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86C1F2EE-BB8B-40F4-9C7D-9762E1315E40}" xr6:coauthVersionLast="47" xr6:coauthVersionMax="47" xr10:uidLastSave="{00000000-0000-0000-0000-000000000000}"/>
  <bookViews>
    <workbookView xWindow="-27840" yWindow="-4192" windowWidth="18038" windowHeight="14790" tabRatio="820" activeTab="3" xr2:uid="{00000000-000D-0000-FFFF-FFFF00000000}"/>
  </bookViews>
  <sheets>
    <sheet name="Cover Page" sheetId="67" r:id="rId1"/>
    <sheet name="ToC" sheetId="100" r:id="rId2"/>
    <sheet name="Formatting and References" sheetId="101" r:id="rId3"/>
    <sheet name="1-DRR" sheetId="1" r:id="rId4"/>
    <sheet name="2-True-upDRR" sheetId="47" r:id="rId5"/>
    <sheet name="3-ATA" sheetId="108" r:id="rId6"/>
    <sheet name="4-WholesaleRates" sheetId="106" r:id="rId7"/>
    <sheet name="5-CostofCap-3" sheetId="70" r:id="rId8"/>
    <sheet name="5-CostofCap-4" sheetId="71" r:id="rId9"/>
    <sheet name="6-PlantJurisdiction" sheetId="135" r:id="rId10"/>
    <sheet name="7-PlantInService" sheetId="136" r:id="rId11"/>
    <sheet name="8-DemandForAllocation" sheetId="105" r:id="rId12"/>
    <sheet name="9-WholesaleRevenues" sheetId="104" r:id="rId13"/>
    <sheet name="10-AccDep" sheetId="137" r:id="rId14"/>
    <sheet name="11-Depreciation" sheetId="138" r:id="rId15"/>
    <sheet name="12-DepRates" sheetId="78" r:id="rId16"/>
    <sheet name="13-WorkCap" sheetId="79" r:id="rId17"/>
    <sheet name="14-ADIT" sheetId="80" r:id="rId18"/>
    <sheet name="15-LossFactors" sheetId="109" r:id="rId19"/>
    <sheet name="16-UnfundedReserves" sheetId="141" r:id="rId20"/>
    <sheet name="17-RegAssets-1" sheetId="83" r:id="rId21"/>
    <sheet name="17-RegAssets-2" sheetId="139" r:id="rId22"/>
    <sheet name="17-RegAssets-3" sheetId="140" r:id="rId23"/>
    <sheet name="18-OandM" sheetId="84" r:id="rId24"/>
    <sheet name="19-AandG" sheetId="85" r:id="rId25"/>
    <sheet name="20-RevenueCredits" sheetId="86" r:id="rId26"/>
    <sheet name="21-CoO" sheetId="125" r:id="rId27"/>
    <sheet name="22-TaxRates" sheetId="88" r:id="rId28"/>
    <sheet name="23-CustServCharge" sheetId="126" r:id="rId29"/>
    <sheet name="24-Allocators" sheetId="90" r:id="rId30"/>
    <sheet name="25-RevenueFeeFactors" sheetId="91" r:id="rId31"/>
    <sheet name="26-NPandS" sheetId="142" r:id="rId32"/>
  </sheets>
  <definedNames>
    <definedName name="\a" localSheetId="19">#REF!</definedName>
    <definedName name="\a" localSheetId="21">#REF!</definedName>
    <definedName name="\a" localSheetId="22">#REF!</definedName>
    <definedName name="\a" localSheetId="31">#REF!</definedName>
    <definedName name="\a" localSheetId="9">#REF!</definedName>
    <definedName name="\a">#REF!</definedName>
    <definedName name="\b" localSheetId="19">#REF!</definedName>
    <definedName name="\b" localSheetId="9">#REF!</definedName>
    <definedName name="\b">#REF!</definedName>
    <definedName name="\x" localSheetId="19">#REF!</definedName>
    <definedName name="\x" localSheetId="9">#REF!</definedName>
    <definedName name="\x">#REF!</definedName>
    <definedName name="_________________H1" localSheetId="31">{"'Metretek HTML'!$A$7:$W$42"}</definedName>
    <definedName name="_________________H1">{"'Metretek HTML'!$A$7:$W$42"}</definedName>
    <definedName name="__________dat1111">#REF!</definedName>
    <definedName name="_________dat1111">#REF!</definedName>
    <definedName name="________dat1111">#REF!</definedName>
    <definedName name="_______agr8690">#REF!</definedName>
    <definedName name="_______agr8790">#REF!</definedName>
    <definedName name="_______agr8791">#REF!</definedName>
    <definedName name="_______agr8890">#REF!</definedName>
    <definedName name="_______agr8891">#REF!</definedName>
    <definedName name="_______agr8892">#REF!</definedName>
    <definedName name="_______agr8990">#REF!</definedName>
    <definedName name="_______agr8991">#REF!</definedName>
    <definedName name="_______agr8992">#REF!</definedName>
    <definedName name="_______agr8993">#REF!</definedName>
    <definedName name="_______agr9091">#REF!</definedName>
    <definedName name="_______agr9092">#REF!</definedName>
    <definedName name="_______agr9093">#REF!</definedName>
    <definedName name="_______agr9094">#REF!</definedName>
    <definedName name="_______agr9192">#REF!</definedName>
    <definedName name="_______agr9193">#REF!</definedName>
    <definedName name="_______agr9194">#REF!</definedName>
    <definedName name="_______agr9195">#REF!</definedName>
    <definedName name="_______agr9293">#REF!</definedName>
    <definedName name="_______agr9294">#REF!</definedName>
    <definedName name="_______agr9295">#REF!</definedName>
    <definedName name="_______agr9296">#REF!</definedName>
    <definedName name="_______agr9394">#REF!</definedName>
    <definedName name="_______agr9395">#REF!</definedName>
    <definedName name="_______agr9396">#REF!</definedName>
    <definedName name="_______agr9397">#REF!</definedName>
    <definedName name="_______agr9495">#REF!</definedName>
    <definedName name="_______agr9496">#REF!</definedName>
    <definedName name="_______agr9497">#REF!</definedName>
    <definedName name="_______agr9498">#REF!</definedName>
    <definedName name="_______agr9596">#REF!</definedName>
    <definedName name="_______agr9597">#REF!</definedName>
    <definedName name="_______agr9598">#REF!</definedName>
    <definedName name="_______agr9697">#REF!</definedName>
    <definedName name="_______agr9698">#REF!</definedName>
    <definedName name="_______agr9798">#REF!</definedName>
    <definedName name="_______dat1111">#REF!</definedName>
    <definedName name="_______qre84">#REF!</definedName>
    <definedName name="_______qre8490">#REF!</definedName>
    <definedName name="_______qre8491">#REF!</definedName>
    <definedName name="_______qre8492">#REF!</definedName>
    <definedName name="_______qre8493">#REF!</definedName>
    <definedName name="_______qre8494">#REF!</definedName>
    <definedName name="_______qre8495">#REF!</definedName>
    <definedName name="_______qre8496">#REF!</definedName>
    <definedName name="_______qre8497">#REF!</definedName>
    <definedName name="_______qre8498">#REF!</definedName>
    <definedName name="_______qre85">#REF!</definedName>
    <definedName name="_______qre8590">#REF!</definedName>
    <definedName name="_______qre8591">#REF!</definedName>
    <definedName name="_______qre8592">#REF!</definedName>
    <definedName name="_______qre8593">#REF!</definedName>
    <definedName name="_______qre8594">#REF!</definedName>
    <definedName name="_______qre8595">#REF!</definedName>
    <definedName name="_______qre8596">#REF!</definedName>
    <definedName name="_______qre8597">#REF!</definedName>
    <definedName name="_______qre8598">#REF!</definedName>
    <definedName name="_______qre86">#REF!</definedName>
    <definedName name="_______qre8690">#REF!</definedName>
    <definedName name="_______qre8691">#REF!</definedName>
    <definedName name="_______qre8692">#REF!</definedName>
    <definedName name="_______qre8693">#REF!</definedName>
    <definedName name="_______qre8694">#REF!</definedName>
    <definedName name="_______qre8695">#REF!</definedName>
    <definedName name="_______qre8696">#REF!</definedName>
    <definedName name="_______qre8697">#REF!</definedName>
    <definedName name="_______qre8698">#REF!</definedName>
    <definedName name="_______qre87">#REF!</definedName>
    <definedName name="_______qre8790">#REF!</definedName>
    <definedName name="_______qre8791">#REF!</definedName>
    <definedName name="_______qre8792">#REF!</definedName>
    <definedName name="_______qre8793">#REF!</definedName>
    <definedName name="_______qre8794">#REF!</definedName>
    <definedName name="_______qre8795">#REF!</definedName>
    <definedName name="_______qre8796">#REF!</definedName>
    <definedName name="_______qre8797">#REF!</definedName>
    <definedName name="_______qre8798">#REF!</definedName>
    <definedName name="_______qre88">#REF!</definedName>
    <definedName name="_______qre8890">#REF!</definedName>
    <definedName name="_______qre8891">#REF!</definedName>
    <definedName name="_______qre8892">#REF!</definedName>
    <definedName name="_______qre8893">#REF!</definedName>
    <definedName name="_______qre8894">#REF!</definedName>
    <definedName name="_______qre8895">#REF!</definedName>
    <definedName name="_______qre8896">#REF!</definedName>
    <definedName name="_______qre8897">#REF!</definedName>
    <definedName name="_______qre8898">#REF!</definedName>
    <definedName name="_______qre89">#REF!</definedName>
    <definedName name="_______qre90">#REF!</definedName>
    <definedName name="_______qre91">#REF!</definedName>
    <definedName name="_______qre92">#REF!</definedName>
    <definedName name="_______qre93">#REF!</definedName>
    <definedName name="_______qre94">#REF!</definedName>
    <definedName name="_______qre95">#REF!</definedName>
    <definedName name="_______qre96">#REF!</definedName>
    <definedName name="_______qre97">#REF!</definedName>
    <definedName name="_______qre98">#REF!</definedName>
    <definedName name="_______tqc90">#REF!</definedName>
    <definedName name="_______tqc91">#REF!</definedName>
    <definedName name="_______tqc92">#REF!</definedName>
    <definedName name="_______tqc93">#REF!</definedName>
    <definedName name="_______tqc94">#REF!</definedName>
    <definedName name="_______tqc95">#REF!</definedName>
    <definedName name="_______tqc96">#REF!</definedName>
    <definedName name="_______tqc97">#REF!</definedName>
    <definedName name="_______tqc98">#REF!</definedName>
    <definedName name="_______tql90">#REF!</definedName>
    <definedName name="_______tql91">#REF!</definedName>
    <definedName name="_______tql92">#REF!</definedName>
    <definedName name="_______tql93">#REF!</definedName>
    <definedName name="_______tql94">#REF!</definedName>
    <definedName name="_______tql95">#REF!</definedName>
    <definedName name="_______tql96">#REF!</definedName>
    <definedName name="_______tql97">#REF!</definedName>
    <definedName name="_______tql98">#REF!</definedName>
    <definedName name="_______tqs90">#REF!</definedName>
    <definedName name="_______tqs91">#REF!</definedName>
    <definedName name="_______tqs92">#REF!</definedName>
    <definedName name="_______tqs93">#REF!</definedName>
    <definedName name="_______tqs94">#REF!</definedName>
    <definedName name="_______tqs95">#REF!</definedName>
    <definedName name="_______tqs96">#REF!</definedName>
    <definedName name="_______tqs97">#REF!</definedName>
    <definedName name="_______tqs98">#REF!</definedName>
    <definedName name="______agr8690">#REF!</definedName>
    <definedName name="______agr8790">#REF!</definedName>
    <definedName name="______agr8791">#REF!</definedName>
    <definedName name="______agr8890">#REF!</definedName>
    <definedName name="______agr8891">#REF!</definedName>
    <definedName name="______agr8892">#REF!</definedName>
    <definedName name="______agr8990">#REF!</definedName>
    <definedName name="______agr8991">#REF!</definedName>
    <definedName name="______agr8992">#REF!</definedName>
    <definedName name="______agr8993">#REF!</definedName>
    <definedName name="______agr9091">#REF!</definedName>
    <definedName name="______agr9092">#REF!</definedName>
    <definedName name="______agr9093">#REF!</definedName>
    <definedName name="______agr9094">#REF!</definedName>
    <definedName name="______agr9192">#REF!</definedName>
    <definedName name="______agr9193">#REF!</definedName>
    <definedName name="______agr9194">#REF!</definedName>
    <definedName name="______agr9195">#REF!</definedName>
    <definedName name="______agr9293">#REF!</definedName>
    <definedName name="______agr9294">#REF!</definedName>
    <definedName name="______agr9295">#REF!</definedName>
    <definedName name="______agr9296">#REF!</definedName>
    <definedName name="______agr9394">#REF!</definedName>
    <definedName name="______agr9395">#REF!</definedName>
    <definedName name="______agr9396">#REF!</definedName>
    <definedName name="______agr9397">#REF!</definedName>
    <definedName name="______agr9495">#REF!</definedName>
    <definedName name="______agr9496">#REF!</definedName>
    <definedName name="______agr9497">#REF!</definedName>
    <definedName name="______agr9498">#REF!</definedName>
    <definedName name="______agr9596">#REF!</definedName>
    <definedName name="______agr9597">#REF!</definedName>
    <definedName name="______agr9598">#REF!</definedName>
    <definedName name="______agr9697">#REF!</definedName>
    <definedName name="______agr9698">#REF!</definedName>
    <definedName name="______agr9798">#REF!</definedName>
    <definedName name="______dat1111">#REF!</definedName>
    <definedName name="______H1" localSheetId="31">{"'Metretek HTML'!$A$7:$W$42"}</definedName>
    <definedName name="______H1">{"'Metretek HTML'!$A$7:$W$42"}</definedName>
    <definedName name="______qre84">#REF!</definedName>
    <definedName name="______qre8490">#REF!</definedName>
    <definedName name="______qre8491">#REF!</definedName>
    <definedName name="______qre8492">#REF!</definedName>
    <definedName name="______qre8493">#REF!</definedName>
    <definedName name="______qre8494">#REF!</definedName>
    <definedName name="______qre8495">#REF!</definedName>
    <definedName name="______qre8496">#REF!</definedName>
    <definedName name="______qre8497">#REF!</definedName>
    <definedName name="______qre8498">#REF!</definedName>
    <definedName name="______qre85">#REF!</definedName>
    <definedName name="______qre8590">#REF!</definedName>
    <definedName name="______qre8591">#REF!</definedName>
    <definedName name="______qre8592">#REF!</definedName>
    <definedName name="______qre8593">#REF!</definedName>
    <definedName name="______qre8594">#REF!</definedName>
    <definedName name="______qre8595">#REF!</definedName>
    <definedName name="______qre8596">#REF!</definedName>
    <definedName name="______qre8597">#REF!</definedName>
    <definedName name="______qre8598">#REF!</definedName>
    <definedName name="______qre86">#REF!</definedName>
    <definedName name="______qre8690">#REF!</definedName>
    <definedName name="______qre8691">#REF!</definedName>
    <definedName name="______qre8692">#REF!</definedName>
    <definedName name="______qre8693">#REF!</definedName>
    <definedName name="______qre8694">#REF!</definedName>
    <definedName name="______qre8695">#REF!</definedName>
    <definedName name="______qre8696">#REF!</definedName>
    <definedName name="______qre8697">#REF!</definedName>
    <definedName name="______qre8698">#REF!</definedName>
    <definedName name="______qre87">#REF!</definedName>
    <definedName name="______qre8790">#REF!</definedName>
    <definedName name="______qre8791">#REF!</definedName>
    <definedName name="______qre8792">#REF!</definedName>
    <definedName name="______qre8793">#REF!</definedName>
    <definedName name="______qre8794">#REF!</definedName>
    <definedName name="______qre8795">#REF!</definedName>
    <definedName name="______qre8796">#REF!</definedName>
    <definedName name="______qre8797">#REF!</definedName>
    <definedName name="______qre8798">#REF!</definedName>
    <definedName name="______qre88">#REF!</definedName>
    <definedName name="______qre8890">#REF!</definedName>
    <definedName name="______qre8891">#REF!</definedName>
    <definedName name="______qre8892">#REF!</definedName>
    <definedName name="______qre8893">#REF!</definedName>
    <definedName name="______qre8894">#REF!</definedName>
    <definedName name="______qre8895">#REF!</definedName>
    <definedName name="______qre8896">#REF!</definedName>
    <definedName name="______qre8897">#REF!</definedName>
    <definedName name="______qre8898">#REF!</definedName>
    <definedName name="______qre89">#REF!</definedName>
    <definedName name="______qre90">#REF!</definedName>
    <definedName name="______qre91">#REF!</definedName>
    <definedName name="______qre92">#REF!</definedName>
    <definedName name="______qre93">#REF!</definedName>
    <definedName name="______qre94">#REF!</definedName>
    <definedName name="______qre95">#REF!</definedName>
    <definedName name="______qre96">#REF!</definedName>
    <definedName name="______qre97">#REF!</definedName>
    <definedName name="______qre98">#REF!</definedName>
    <definedName name="______tqc90">#REF!</definedName>
    <definedName name="______tqc91">#REF!</definedName>
    <definedName name="______tqc92">#REF!</definedName>
    <definedName name="______tqc93">#REF!</definedName>
    <definedName name="______tqc94">#REF!</definedName>
    <definedName name="______tqc95">#REF!</definedName>
    <definedName name="______tqc96">#REF!</definedName>
    <definedName name="______tqc97">#REF!</definedName>
    <definedName name="______tqc98">#REF!</definedName>
    <definedName name="______tql90">#REF!</definedName>
    <definedName name="______tql91">#REF!</definedName>
    <definedName name="______tql92">#REF!</definedName>
    <definedName name="______tql93">#REF!</definedName>
    <definedName name="______tql94">#REF!</definedName>
    <definedName name="______tql95">#REF!</definedName>
    <definedName name="______tql96">#REF!</definedName>
    <definedName name="______tql97">#REF!</definedName>
    <definedName name="______tql98">#REF!</definedName>
    <definedName name="______tqs90">#REF!</definedName>
    <definedName name="______tqs91">#REF!</definedName>
    <definedName name="______tqs92">#REF!</definedName>
    <definedName name="______tqs93">#REF!</definedName>
    <definedName name="______tqs94">#REF!</definedName>
    <definedName name="______tqs95">#REF!</definedName>
    <definedName name="______tqs96">#REF!</definedName>
    <definedName name="______tqs97">#REF!</definedName>
    <definedName name="______tqs98">#REF!</definedName>
    <definedName name="_____agr8690">#REF!</definedName>
    <definedName name="_____agr8790">#REF!</definedName>
    <definedName name="_____agr8791">#REF!</definedName>
    <definedName name="_____agr8890">#REF!</definedName>
    <definedName name="_____agr8891">#REF!</definedName>
    <definedName name="_____agr8892">#REF!</definedName>
    <definedName name="_____agr8990">#REF!</definedName>
    <definedName name="_____agr8991">#REF!</definedName>
    <definedName name="_____agr8992">#REF!</definedName>
    <definedName name="_____agr8993">#REF!</definedName>
    <definedName name="_____agr9091">#REF!</definedName>
    <definedName name="_____agr9092">#REF!</definedName>
    <definedName name="_____agr9093">#REF!</definedName>
    <definedName name="_____agr9094">#REF!</definedName>
    <definedName name="_____agr9192">#REF!</definedName>
    <definedName name="_____agr9193">#REF!</definedName>
    <definedName name="_____agr9194">#REF!</definedName>
    <definedName name="_____agr9195">#REF!</definedName>
    <definedName name="_____agr9293">#REF!</definedName>
    <definedName name="_____agr9294">#REF!</definedName>
    <definedName name="_____agr9295">#REF!</definedName>
    <definedName name="_____agr9296">#REF!</definedName>
    <definedName name="_____agr9394">#REF!</definedName>
    <definedName name="_____agr9395">#REF!</definedName>
    <definedName name="_____agr9396">#REF!</definedName>
    <definedName name="_____agr9397">#REF!</definedName>
    <definedName name="_____agr9495">#REF!</definedName>
    <definedName name="_____agr9496">#REF!</definedName>
    <definedName name="_____agr9497">#REF!</definedName>
    <definedName name="_____agr9498">#REF!</definedName>
    <definedName name="_____agr9596">#REF!</definedName>
    <definedName name="_____agr9597">#REF!</definedName>
    <definedName name="_____agr9598">#REF!</definedName>
    <definedName name="_____agr9697">#REF!</definedName>
    <definedName name="_____agr9698">#REF!</definedName>
    <definedName name="_____agr9798">#REF!</definedName>
    <definedName name="_____dat1111">#REF!</definedName>
    <definedName name="_____H1" localSheetId="31">{"'Metretek HTML'!$A$7:$W$42"}</definedName>
    <definedName name="_____H1">{"'Metretek HTML'!$A$7:$W$42"}</definedName>
    <definedName name="_____qre84">#REF!</definedName>
    <definedName name="_____qre8490">#REF!</definedName>
    <definedName name="_____qre8491">#REF!</definedName>
    <definedName name="_____qre8492">#REF!</definedName>
    <definedName name="_____qre8493">#REF!</definedName>
    <definedName name="_____qre8494">#REF!</definedName>
    <definedName name="_____qre8495">#REF!</definedName>
    <definedName name="_____qre8496">#REF!</definedName>
    <definedName name="_____qre8497">#REF!</definedName>
    <definedName name="_____qre8498">#REF!</definedName>
    <definedName name="_____qre85">#REF!</definedName>
    <definedName name="_____qre8590">#REF!</definedName>
    <definedName name="_____qre8591">#REF!</definedName>
    <definedName name="_____qre8592">#REF!</definedName>
    <definedName name="_____qre8593">#REF!</definedName>
    <definedName name="_____qre8594">#REF!</definedName>
    <definedName name="_____qre8595">#REF!</definedName>
    <definedName name="_____qre8596">#REF!</definedName>
    <definedName name="_____qre8597">#REF!</definedName>
    <definedName name="_____qre8598">#REF!</definedName>
    <definedName name="_____qre86">#REF!</definedName>
    <definedName name="_____qre8690">#REF!</definedName>
    <definedName name="_____qre8691">#REF!</definedName>
    <definedName name="_____qre8692">#REF!</definedName>
    <definedName name="_____qre8693">#REF!</definedName>
    <definedName name="_____qre8694">#REF!</definedName>
    <definedName name="_____qre8695">#REF!</definedName>
    <definedName name="_____qre8696">#REF!</definedName>
    <definedName name="_____qre8697">#REF!</definedName>
    <definedName name="_____qre8698">#REF!</definedName>
    <definedName name="_____qre87">#REF!</definedName>
    <definedName name="_____qre8790">#REF!</definedName>
    <definedName name="_____qre8791">#REF!</definedName>
    <definedName name="_____qre8792">#REF!</definedName>
    <definedName name="_____qre8793">#REF!</definedName>
    <definedName name="_____qre8794">#REF!</definedName>
    <definedName name="_____qre8795">#REF!</definedName>
    <definedName name="_____qre8796">#REF!</definedName>
    <definedName name="_____qre8797">#REF!</definedName>
    <definedName name="_____qre8798">#REF!</definedName>
    <definedName name="_____qre88">#REF!</definedName>
    <definedName name="_____qre8890">#REF!</definedName>
    <definedName name="_____qre8891">#REF!</definedName>
    <definedName name="_____qre8892">#REF!</definedName>
    <definedName name="_____qre8893">#REF!</definedName>
    <definedName name="_____qre8894">#REF!</definedName>
    <definedName name="_____qre8895">#REF!</definedName>
    <definedName name="_____qre8896">#REF!</definedName>
    <definedName name="_____qre8897">#REF!</definedName>
    <definedName name="_____qre8898">#REF!</definedName>
    <definedName name="_____qre89">#REF!</definedName>
    <definedName name="_____qre90">#REF!</definedName>
    <definedName name="_____qre91">#REF!</definedName>
    <definedName name="_____qre92">#REF!</definedName>
    <definedName name="_____qre93">#REF!</definedName>
    <definedName name="_____qre94">#REF!</definedName>
    <definedName name="_____qre95">#REF!</definedName>
    <definedName name="_____qre96">#REF!</definedName>
    <definedName name="_____qre97">#REF!</definedName>
    <definedName name="_____qre98">#REF!</definedName>
    <definedName name="_____tqc90">#REF!</definedName>
    <definedName name="_____tqc91">#REF!</definedName>
    <definedName name="_____tqc92">#REF!</definedName>
    <definedName name="_____tqc93">#REF!</definedName>
    <definedName name="_____tqc94">#REF!</definedName>
    <definedName name="_____tqc95">#REF!</definedName>
    <definedName name="_____tqc96">#REF!</definedName>
    <definedName name="_____tqc97">#REF!</definedName>
    <definedName name="_____tqc98">#REF!</definedName>
    <definedName name="_____tql90">#REF!</definedName>
    <definedName name="_____tql91">#REF!</definedName>
    <definedName name="_____tql92">#REF!</definedName>
    <definedName name="_____tql93">#REF!</definedName>
    <definedName name="_____tql94">#REF!</definedName>
    <definedName name="_____tql95">#REF!</definedName>
    <definedName name="_____tql96">#REF!</definedName>
    <definedName name="_____tql97">#REF!</definedName>
    <definedName name="_____tql98">#REF!</definedName>
    <definedName name="_____tqs90">#REF!</definedName>
    <definedName name="_____tqs91">#REF!</definedName>
    <definedName name="_____tqs92">#REF!</definedName>
    <definedName name="_____tqs93">#REF!</definedName>
    <definedName name="_____tqs94">#REF!</definedName>
    <definedName name="_____tqs95">#REF!</definedName>
    <definedName name="_____tqs96">#REF!</definedName>
    <definedName name="_____tqs97">#REF!</definedName>
    <definedName name="_____tqs98">#REF!</definedName>
    <definedName name="____agr8690">#REF!</definedName>
    <definedName name="____agr8790">#REF!</definedName>
    <definedName name="____agr8791">#REF!</definedName>
    <definedName name="____agr8890">#REF!</definedName>
    <definedName name="____agr8891">#REF!</definedName>
    <definedName name="____agr8892">#REF!</definedName>
    <definedName name="____agr8990">#REF!</definedName>
    <definedName name="____agr8991">#REF!</definedName>
    <definedName name="____agr8992">#REF!</definedName>
    <definedName name="____agr8993">#REF!</definedName>
    <definedName name="____agr9091">#REF!</definedName>
    <definedName name="____agr9092">#REF!</definedName>
    <definedName name="____agr9093">#REF!</definedName>
    <definedName name="____agr9094">#REF!</definedName>
    <definedName name="____agr9192">#REF!</definedName>
    <definedName name="____agr9193">#REF!</definedName>
    <definedName name="____agr9194">#REF!</definedName>
    <definedName name="____agr9195">#REF!</definedName>
    <definedName name="____agr9293">#REF!</definedName>
    <definedName name="____agr9294">#REF!</definedName>
    <definedName name="____agr9295">#REF!</definedName>
    <definedName name="____agr9296">#REF!</definedName>
    <definedName name="____agr9394">#REF!</definedName>
    <definedName name="____agr9395">#REF!</definedName>
    <definedName name="____agr9396">#REF!</definedName>
    <definedName name="____agr9397">#REF!</definedName>
    <definedName name="____agr9495">#REF!</definedName>
    <definedName name="____agr9496">#REF!</definedName>
    <definedName name="____agr9497">#REF!</definedName>
    <definedName name="____agr9498">#REF!</definedName>
    <definedName name="____agr9596">#REF!</definedName>
    <definedName name="____agr9597">#REF!</definedName>
    <definedName name="____agr9598">#REF!</definedName>
    <definedName name="____agr9697">#REF!</definedName>
    <definedName name="____agr9698">#REF!</definedName>
    <definedName name="____agr9798">#REF!</definedName>
    <definedName name="____dat1111">#REF!</definedName>
    <definedName name="____H1" localSheetId="31">{"'Metretek HTML'!$A$7:$W$42"}</definedName>
    <definedName name="____H1">{"'Metretek HTML'!$A$7:$W$42"}</definedName>
    <definedName name="____qre84">#REF!</definedName>
    <definedName name="____qre8490">#REF!</definedName>
    <definedName name="____qre8491">#REF!</definedName>
    <definedName name="____qre8492">#REF!</definedName>
    <definedName name="____qre8493">#REF!</definedName>
    <definedName name="____qre8494">#REF!</definedName>
    <definedName name="____qre8495">#REF!</definedName>
    <definedName name="____qre8496">#REF!</definedName>
    <definedName name="____qre8497">#REF!</definedName>
    <definedName name="____qre8498">#REF!</definedName>
    <definedName name="____qre85">#REF!</definedName>
    <definedName name="____qre8590">#REF!</definedName>
    <definedName name="____qre8591">#REF!</definedName>
    <definedName name="____qre8592">#REF!</definedName>
    <definedName name="____qre8593">#REF!</definedName>
    <definedName name="____qre8594">#REF!</definedName>
    <definedName name="____qre8595">#REF!</definedName>
    <definedName name="____qre8596">#REF!</definedName>
    <definedName name="____qre8597">#REF!</definedName>
    <definedName name="____qre8598">#REF!</definedName>
    <definedName name="____qre86">#REF!</definedName>
    <definedName name="____qre8690">#REF!</definedName>
    <definedName name="____qre8691">#REF!</definedName>
    <definedName name="____qre8692">#REF!</definedName>
    <definedName name="____qre8693">#REF!</definedName>
    <definedName name="____qre8694">#REF!</definedName>
    <definedName name="____qre8695">#REF!</definedName>
    <definedName name="____qre8696">#REF!</definedName>
    <definedName name="____qre8697">#REF!</definedName>
    <definedName name="____qre8698">#REF!</definedName>
    <definedName name="____qre87">#REF!</definedName>
    <definedName name="____qre8790">#REF!</definedName>
    <definedName name="____qre8791">#REF!</definedName>
    <definedName name="____qre8792">#REF!</definedName>
    <definedName name="____qre8793">#REF!</definedName>
    <definedName name="____qre8794">#REF!</definedName>
    <definedName name="____qre8795">#REF!</definedName>
    <definedName name="____qre8796">#REF!</definedName>
    <definedName name="____qre8797">#REF!</definedName>
    <definedName name="____qre8798">#REF!</definedName>
    <definedName name="____qre88">#REF!</definedName>
    <definedName name="____qre8890">#REF!</definedName>
    <definedName name="____qre8891">#REF!</definedName>
    <definedName name="____qre8892">#REF!</definedName>
    <definedName name="____qre8893">#REF!</definedName>
    <definedName name="____qre8894">#REF!</definedName>
    <definedName name="____qre8895">#REF!</definedName>
    <definedName name="____qre8896">#REF!</definedName>
    <definedName name="____qre8897">#REF!</definedName>
    <definedName name="____qre8898">#REF!</definedName>
    <definedName name="____qre89">#REF!</definedName>
    <definedName name="____qre90">#REF!</definedName>
    <definedName name="____qre91">#REF!</definedName>
    <definedName name="____qre92">#REF!</definedName>
    <definedName name="____qre93">#REF!</definedName>
    <definedName name="____qre94">#REF!</definedName>
    <definedName name="____qre95">#REF!</definedName>
    <definedName name="____qre96">#REF!</definedName>
    <definedName name="____qre97">#REF!</definedName>
    <definedName name="____qre98">#REF!</definedName>
    <definedName name="____tqc90">#REF!</definedName>
    <definedName name="____tqc91">#REF!</definedName>
    <definedName name="____tqc92">#REF!</definedName>
    <definedName name="____tqc93">#REF!</definedName>
    <definedName name="____tqc94">#REF!</definedName>
    <definedName name="____tqc95">#REF!</definedName>
    <definedName name="____tqc96">#REF!</definedName>
    <definedName name="____tqc97">#REF!</definedName>
    <definedName name="____tqc98">#REF!</definedName>
    <definedName name="____tql90">#REF!</definedName>
    <definedName name="____tql91">#REF!</definedName>
    <definedName name="____tql92">#REF!</definedName>
    <definedName name="____tql93">#REF!</definedName>
    <definedName name="____tql94">#REF!</definedName>
    <definedName name="____tql95">#REF!</definedName>
    <definedName name="____tql96">#REF!</definedName>
    <definedName name="____tql97">#REF!</definedName>
    <definedName name="____tql98">#REF!</definedName>
    <definedName name="____tqs90">#REF!</definedName>
    <definedName name="____tqs91">#REF!</definedName>
    <definedName name="____tqs92">#REF!</definedName>
    <definedName name="____tqs93">#REF!</definedName>
    <definedName name="____tqs94">#REF!</definedName>
    <definedName name="____tqs95">#REF!</definedName>
    <definedName name="____tqs96">#REF!</definedName>
    <definedName name="____tqs97">#REF!</definedName>
    <definedName name="____tqs98">#REF!</definedName>
    <definedName name="___agr8690">#REF!</definedName>
    <definedName name="___agr8790">#REF!</definedName>
    <definedName name="___agr8791">#REF!</definedName>
    <definedName name="___agr8890">#REF!</definedName>
    <definedName name="___agr8891">#REF!</definedName>
    <definedName name="___agr8892">#REF!</definedName>
    <definedName name="___agr8990">#REF!</definedName>
    <definedName name="___agr8991">#REF!</definedName>
    <definedName name="___agr8992">#REF!</definedName>
    <definedName name="___agr8993">#REF!</definedName>
    <definedName name="___agr9091">#REF!</definedName>
    <definedName name="___agr9092">#REF!</definedName>
    <definedName name="___agr9093">#REF!</definedName>
    <definedName name="___agr9094">#REF!</definedName>
    <definedName name="___agr9192">#REF!</definedName>
    <definedName name="___agr9193">#REF!</definedName>
    <definedName name="___agr9194">#REF!</definedName>
    <definedName name="___agr9195">#REF!</definedName>
    <definedName name="___agr9293">#REF!</definedName>
    <definedName name="___agr9294">#REF!</definedName>
    <definedName name="___agr9295">#REF!</definedName>
    <definedName name="___agr9296">#REF!</definedName>
    <definedName name="___agr9394">#REF!</definedName>
    <definedName name="___agr9395">#REF!</definedName>
    <definedName name="___agr9396">#REF!</definedName>
    <definedName name="___agr9397">#REF!</definedName>
    <definedName name="___agr9495">#REF!</definedName>
    <definedName name="___agr9496">#REF!</definedName>
    <definedName name="___agr9497">#REF!</definedName>
    <definedName name="___agr9498">#REF!</definedName>
    <definedName name="___agr9596">#REF!</definedName>
    <definedName name="___agr9597">#REF!</definedName>
    <definedName name="___agr9598">#REF!</definedName>
    <definedName name="___agr9697">#REF!</definedName>
    <definedName name="___agr9698">#REF!</definedName>
    <definedName name="___agr9798">#REF!</definedName>
    <definedName name="___dat1111">#REF!</definedName>
    <definedName name="___H1" localSheetId="31">{"'Metretek HTML'!$A$7:$W$42"}</definedName>
    <definedName name="___H1">{"'Metretek HTML'!$A$7:$W$42"}</definedName>
    <definedName name="___huh2" localSheetId="19" hidden="1">{#N/A,#N/A,FALSE,"Dist Rev at PR ";#N/A,#N/A,FALSE,"Spec";#N/A,#N/A,FALSE,"Res";#N/A,#N/A,FALSE,"Small L&amp;P";#N/A,#N/A,FALSE,"Medium L&amp;P";#N/A,#N/A,FALSE,"E-19";#N/A,#N/A,FALSE,"E-20";#N/A,#N/A,FALSE,"Strtlts &amp; Standby";#N/A,#N/A,FALSE,"A-RTP";#N/A,#N/A,FALSE,"2003mixeduse"}</definedName>
    <definedName name="___huh2" localSheetId="21" hidden="1">{#N/A,#N/A,FALSE,"Dist Rev at PR ";#N/A,#N/A,FALSE,"Spec";#N/A,#N/A,FALSE,"Res";#N/A,#N/A,FALSE,"Small L&amp;P";#N/A,#N/A,FALSE,"Medium L&amp;P";#N/A,#N/A,FALSE,"E-19";#N/A,#N/A,FALSE,"E-20";#N/A,#N/A,FALSE,"Strtlts &amp; Standby";#N/A,#N/A,FALSE,"A-RTP";#N/A,#N/A,FALSE,"2003mixeduse"}</definedName>
    <definedName name="___huh2" localSheetId="22" hidden="1">{#N/A,#N/A,FALSE,"Dist Rev at PR ";#N/A,#N/A,FALSE,"Spec";#N/A,#N/A,FALSE,"Res";#N/A,#N/A,FALSE,"Small L&amp;P";#N/A,#N/A,FALSE,"Medium L&amp;P";#N/A,#N/A,FALSE,"E-19";#N/A,#N/A,FALSE,"E-20";#N/A,#N/A,FALSE,"Strtlts &amp; Standby";#N/A,#N/A,FALSE,"A-RTP";#N/A,#N/A,FALSE,"2003mixeduse"}</definedName>
    <definedName name="___huh2" localSheetId="31" hidden="1">{#N/A,#N/A,FALSE,"Dist Rev at PR ";#N/A,#N/A,FALSE,"Spec";#N/A,#N/A,FALSE,"Res";#N/A,#N/A,FALSE,"Small L&amp;P";#N/A,#N/A,FALSE,"Medium L&amp;P";#N/A,#N/A,FALSE,"E-19";#N/A,#N/A,FALSE,"E-20";#N/A,#N/A,FALSE,"Strtlts &amp; Standby";#N/A,#N/A,FALSE,"A-RTP";#N/A,#N/A,FALSE,"2003mixeduse"}</definedName>
    <definedName name="___huh2" localSheetId="9"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_OFF2">#REF!</definedName>
    <definedName name="___PPP1">#REF!</definedName>
    <definedName name="___qre84">#REF!</definedName>
    <definedName name="___qre8490">#REF!</definedName>
    <definedName name="___qre8491">#REF!</definedName>
    <definedName name="___qre8492">#REF!</definedName>
    <definedName name="___qre8493">#REF!</definedName>
    <definedName name="___qre8494">#REF!</definedName>
    <definedName name="___qre8495">#REF!</definedName>
    <definedName name="___qre8496">#REF!</definedName>
    <definedName name="___qre8497">#REF!</definedName>
    <definedName name="___qre8498">#REF!</definedName>
    <definedName name="___qre85">#REF!</definedName>
    <definedName name="___qre8590">#REF!</definedName>
    <definedName name="___qre8591">#REF!</definedName>
    <definedName name="___qre8592">#REF!</definedName>
    <definedName name="___qre8593">#REF!</definedName>
    <definedName name="___qre8594">#REF!</definedName>
    <definedName name="___qre8595">#REF!</definedName>
    <definedName name="___qre8596">#REF!</definedName>
    <definedName name="___qre8597">#REF!</definedName>
    <definedName name="___qre8598">#REF!</definedName>
    <definedName name="___qre86">#REF!</definedName>
    <definedName name="___qre8690">#REF!</definedName>
    <definedName name="___qre8691">#REF!</definedName>
    <definedName name="___qre8692">#REF!</definedName>
    <definedName name="___qre8693">#REF!</definedName>
    <definedName name="___qre8694">#REF!</definedName>
    <definedName name="___qre8695">#REF!</definedName>
    <definedName name="___qre8696">#REF!</definedName>
    <definedName name="___qre8697">#REF!</definedName>
    <definedName name="___qre8698">#REF!</definedName>
    <definedName name="___qre87">#REF!</definedName>
    <definedName name="___qre8790">#REF!</definedName>
    <definedName name="___qre8791">#REF!</definedName>
    <definedName name="___qre8792">#REF!</definedName>
    <definedName name="___qre8793">#REF!</definedName>
    <definedName name="___qre8794">#REF!</definedName>
    <definedName name="___qre8795">#REF!</definedName>
    <definedName name="___qre8796">#REF!</definedName>
    <definedName name="___qre8797">#REF!</definedName>
    <definedName name="___qre8798">#REF!</definedName>
    <definedName name="___qre88">#REF!</definedName>
    <definedName name="___qre8890">#REF!</definedName>
    <definedName name="___qre8891">#REF!</definedName>
    <definedName name="___qre8892">#REF!</definedName>
    <definedName name="___qre8893">#REF!</definedName>
    <definedName name="___qre8894">#REF!</definedName>
    <definedName name="___qre8895">#REF!</definedName>
    <definedName name="___qre8896">#REF!</definedName>
    <definedName name="___qre8897">#REF!</definedName>
    <definedName name="___qre8898">#REF!</definedName>
    <definedName name="___qre89">#REF!</definedName>
    <definedName name="___qre90">#REF!</definedName>
    <definedName name="___qre91">#REF!</definedName>
    <definedName name="___qre92">#REF!</definedName>
    <definedName name="___qre93">#REF!</definedName>
    <definedName name="___qre94">#REF!</definedName>
    <definedName name="___qre95">#REF!</definedName>
    <definedName name="___qre96">#REF!</definedName>
    <definedName name="___qre97">#REF!</definedName>
    <definedName name="___qre98">#REF!</definedName>
    <definedName name="___tqc90">#REF!</definedName>
    <definedName name="___tqc91">#REF!</definedName>
    <definedName name="___tqc92">#REF!</definedName>
    <definedName name="___tqc93">#REF!</definedName>
    <definedName name="___tqc94">#REF!</definedName>
    <definedName name="___tqc95">#REF!</definedName>
    <definedName name="___tqc96">#REF!</definedName>
    <definedName name="___tqc97">#REF!</definedName>
    <definedName name="___tqc98">#REF!</definedName>
    <definedName name="___tql90">#REF!</definedName>
    <definedName name="___tql91">#REF!</definedName>
    <definedName name="___tql92">#REF!</definedName>
    <definedName name="___tql93">#REF!</definedName>
    <definedName name="___tql94">#REF!</definedName>
    <definedName name="___tql95">#REF!</definedName>
    <definedName name="___tql96">#REF!</definedName>
    <definedName name="___tql97">#REF!</definedName>
    <definedName name="___tql98">#REF!</definedName>
    <definedName name="___tqs90">#REF!</definedName>
    <definedName name="___tqs91">#REF!</definedName>
    <definedName name="___tqs92">#REF!</definedName>
    <definedName name="___tqs93">#REF!</definedName>
    <definedName name="___tqs94">#REF!</definedName>
    <definedName name="___tqs95">#REF!</definedName>
    <definedName name="___tqs96">#REF!</definedName>
    <definedName name="___tqs97">#REF!</definedName>
    <definedName name="___tqs98">#REF!</definedName>
    <definedName name="__123Graph_A" localSheetId="31" hidden="1">#REF!</definedName>
    <definedName name="__123Graph_A" localSheetId="7" hidden="1">#REF!</definedName>
    <definedName name="__123Graph_A" hidden="1">#REF!</definedName>
    <definedName name="__123Graph_A1991" localSheetId="31" hidden="1">#REF!</definedName>
    <definedName name="__123Graph_A1991" hidden="1">#REF!</definedName>
    <definedName name="__123Graph_A1992" hidden="1">#REF!</definedName>
    <definedName name="__123Graph_A1993" hidden="1">#REF!</definedName>
    <definedName name="__123Graph_A1994" hidden="1">#REF!</definedName>
    <definedName name="__123Graph_A1995" hidden="1">#REF!</definedName>
    <definedName name="__123Graph_A1996" hidden="1">#REF!</definedName>
    <definedName name="__123Graph_ABAR" hidden="1">#REF!</definedName>
    <definedName name="__123Graph_AGRAPH" localSheetId="7" hidden="1">#REF!</definedName>
    <definedName name="__123Graph_AGRS" localSheetId="7" hidden="1">#REF!</definedName>
    <definedName name="__123Graph_B" localSheetId="31" hidden="1">#REF!</definedName>
    <definedName name="__123Graph_B" localSheetId="7" hidden="1">#REF!</definedName>
    <definedName name="__123Graph_B" hidden="1">#REF!</definedName>
    <definedName name="__123Graph_B1991" localSheetId="31" hidden="1">#REF!</definedName>
    <definedName name="__123Graph_B1991" hidden="1">#REF!</definedName>
    <definedName name="__123Graph_B1992" localSheetId="31" hidden="1">#REF!</definedName>
    <definedName name="__123Graph_B1992" hidden="1">#REF!</definedName>
    <definedName name="__123Graph_B1993" localSheetId="31" hidden="1">#REF!</definedName>
    <definedName name="__123Graph_B1993" hidden="1">#REF!</definedName>
    <definedName name="__123Graph_B1994" hidden="1">#REF!</definedName>
    <definedName name="__123Graph_B1995" hidden="1">#REF!</definedName>
    <definedName name="__123Graph_B1996" hidden="1">#REF!</definedName>
    <definedName name="__123Graph_BBAR" hidden="1">#REF!</definedName>
    <definedName name="__123Graph_BGRAPH" localSheetId="7" hidden="1">#REF!</definedName>
    <definedName name="__123Graph_BGRS" localSheetId="7" hidden="1">#REF!</definedName>
    <definedName name="__123Graph_C" localSheetId="31" hidden="1">#REF!</definedName>
    <definedName name="__123Graph_C" localSheetId="7" hidden="1">#REF!</definedName>
    <definedName name="__123Graph_C" hidden="1">#REF!</definedName>
    <definedName name="__123Graph_CBAR" localSheetId="31" hidden="1">#REF!</definedName>
    <definedName name="__123Graph_CBAR" hidden="1">#REF!</definedName>
    <definedName name="__123Graph_CGRAPH" localSheetId="7" hidden="1">#REF!</definedName>
    <definedName name="__123Graph_CGRS" localSheetId="7" hidden="1">#REF!</definedName>
    <definedName name="__123Graph_D" localSheetId="31" hidden="1">#REF!</definedName>
    <definedName name="__123Graph_D" hidden="1">#REF!</definedName>
    <definedName name="__123Graph_DBAR" localSheetId="31" hidden="1">#REF!</definedName>
    <definedName name="__123Graph_DBAR" hidden="1">#REF!</definedName>
    <definedName name="__123Graph_DGRAPH" localSheetId="7" hidden="1">#REF!</definedName>
    <definedName name="__123Graph_DGRS" localSheetId="7" hidden="1">#REF!</definedName>
    <definedName name="__123Graph_E" localSheetId="31" hidden="1">#REF!</definedName>
    <definedName name="__123Graph_E" hidden="1">#REF!</definedName>
    <definedName name="__123Graph_EBAR" localSheetId="31" hidden="1">#REF!</definedName>
    <definedName name="__123Graph_EBAR" hidden="1">#REF!</definedName>
    <definedName name="__123Graph_F" localSheetId="31" hidden="1">#REF!</definedName>
    <definedName name="__123Graph_F" hidden="1">#REF!</definedName>
    <definedName name="__123Graph_FBAR" localSheetId="31" hidden="1">#REF!</definedName>
    <definedName name="__123Graph_FBAR" hidden="1">#REF!</definedName>
    <definedName name="__123Graph_LBL_A" localSheetId="7" hidden="1">#REF!</definedName>
    <definedName name="__123Graph_LBL_EGRAPH" localSheetId="7" hidden="1">#REF!</definedName>
    <definedName name="__123Graph_LBL_EGRS" localSheetId="7" hidden="1">#REF!</definedName>
    <definedName name="__123Graph_X" localSheetId="7" hidden="1">#REF!</definedName>
    <definedName name="__123Graph_X" hidden="1">#REF!</definedName>
    <definedName name="__123Graph_X1991" hidden="1">#REF!</definedName>
    <definedName name="__123Graph_X1992" hidden="1">#REF!</definedName>
    <definedName name="__123Graph_X1993" hidden="1">#REF!</definedName>
    <definedName name="__123Graph_X1994" hidden="1">#REF!</definedName>
    <definedName name="__123Graph_X1995" hidden="1">#REF!</definedName>
    <definedName name="__123Graph_X1996" hidden="1">#REF!</definedName>
    <definedName name="__agr8690">#REF!</definedName>
    <definedName name="__agr8790">#REF!</definedName>
    <definedName name="__agr8791">#REF!</definedName>
    <definedName name="__agr8890">#REF!</definedName>
    <definedName name="__agr8891">#REF!</definedName>
    <definedName name="__agr8892">#REF!</definedName>
    <definedName name="__agr8990">#REF!</definedName>
    <definedName name="__agr8991">#REF!</definedName>
    <definedName name="__agr8992">#REF!</definedName>
    <definedName name="__agr8993">#REF!</definedName>
    <definedName name="__agr9091">#REF!</definedName>
    <definedName name="__agr9092">#REF!</definedName>
    <definedName name="__agr9093">#REF!</definedName>
    <definedName name="__agr9094">#REF!</definedName>
    <definedName name="__agr9192">#REF!</definedName>
    <definedName name="__agr9193">#REF!</definedName>
    <definedName name="__agr9194">#REF!</definedName>
    <definedName name="__agr9195">#REF!</definedName>
    <definedName name="__agr9293">#REF!</definedName>
    <definedName name="__agr9294">#REF!</definedName>
    <definedName name="__agr9295">#REF!</definedName>
    <definedName name="__agr9296">#REF!</definedName>
    <definedName name="__agr9394">#REF!</definedName>
    <definedName name="__agr9395">#REF!</definedName>
    <definedName name="__agr9396">#REF!</definedName>
    <definedName name="__agr9397">#REF!</definedName>
    <definedName name="__agr9495">#REF!</definedName>
    <definedName name="__agr9496">#REF!</definedName>
    <definedName name="__agr9497">#REF!</definedName>
    <definedName name="__agr9498">#REF!</definedName>
    <definedName name="__agr9596">#REF!</definedName>
    <definedName name="__agr9597">#REF!</definedName>
    <definedName name="__agr9598">#REF!</definedName>
    <definedName name="__agr9697">#REF!</definedName>
    <definedName name="__agr9698">#REF!</definedName>
    <definedName name="__agr9798">#REF!</definedName>
    <definedName name="__dat1111">#REF!</definedName>
    <definedName name="__foo1"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19" hidden="1">{#N/A,#N/A,FALSE,"Res - Unadj";#N/A,#N/A,FALSE,"Small L&amp;P";#N/A,#N/A,FALSE,"Medium L&amp;P";#N/A,#N/A,FALSE,"E-19";#N/A,#N/A,FALSE,"E-20";#N/A,#N/A,FALSE,"A-RTP";#N/A,#N/A,FALSE,"Strtlts &amp; Standby";#N/A,#N/A,FALSE,"AG";#N/A,#N/A,FALSE,"2001mixeduse"}</definedName>
    <definedName name="__foo3" localSheetId="21" hidden="1">{#N/A,#N/A,FALSE,"Res - Unadj";#N/A,#N/A,FALSE,"Small L&amp;P";#N/A,#N/A,FALSE,"Medium L&amp;P";#N/A,#N/A,FALSE,"E-19";#N/A,#N/A,FALSE,"E-20";#N/A,#N/A,FALSE,"A-RTP";#N/A,#N/A,FALSE,"Strtlts &amp; Standby";#N/A,#N/A,FALSE,"AG";#N/A,#N/A,FALSE,"2001mixeduse"}</definedName>
    <definedName name="__foo3" localSheetId="22" hidden="1">{#N/A,#N/A,FALSE,"Res - Unadj";#N/A,#N/A,FALSE,"Small L&amp;P";#N/A,#N/A,FALSE,"Medium L&amp;P";#N/A,#N/A,FALSE,"E-19";#N/A,#N/A,FALSE,"E-20";#N/A,#N/A,FALSE,"A-RTP";#N/A,#N/A,FALSE,"Strtlts &amp; Standby";#N/A,#N/A,FALSE,"AG";#N/A,#N/A,FALSE,"2001mixeduse"}</definedName>
    <definedName name="__foo3" localSheetId="31" hidden="1">{#N/A,#N/A,FALSE,"Res - Unadj";#N/A,#N/A,FALSE,"Small L&amp;P";#N/A,#N/A,FALSE,"Medium L&amp;P";#N/A,#N/A,FALSE,"E-19";#N/A,#N/A,FALSE,"E-20";#N/A,#N/A,FALSE,"A-RTP";#N/A,#N/A,FALSE,"Strtlts &amp; Standby";#N/A,#N/A,FALSE,"AG";#N/A,#N/A,FALSE,"2001mixeduse"}</definedName>
    <definedName name="__foo3" localSheetId="9"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19" hidden="1">{"Summary","1",FALSE,"Summary"}</definedName>
    <definedName name="__foo4" localSheetId="21" hidden="1">{"Summary","1",FALSE,"Summary"}</definedName>
    <definedName name="__foo4" localSheetId="22" hidden="1">{"Summary","1",FALSE,"Summary"}</definedName>
    <definedName name="__foo4" localSheetId="31" hidden="1">{"Summary","1",FALSE,"Summary"}</definedName>
    <definedName name="__foo4" localSheetId="9" hidden="1">{"Summary","1",FALSE,"Summary"}</definedName>
    <definedName name="__foo4" hidden="1">{"Summary","1",FALSE,"Summary"}</definedName>
    <definedName name="__FPMExcelClient_CellBasedFunctionStatus" localSheetId="24">"2_1_2_2_2_2"</definedName>
    <definedName name="__H1" localSheetId="31">{"'Metretek HTML'!$A$7:$W$42"}</definedName>
    <definedName name="__H1">{"'Metretek HTML'!$A$7:$W$42"}</definedName>
    <definedName name="__qre84">#REF!</definedName>
    <definedName name="__qre8490">#REF!</definedName>
    <definedName name="__qre8491">#REF!</definedName>
    <definedName name="__qre8492">#REF!</definedName>
    <definedName name="__qre8493">#REF!</definedName>
    <definedName name="__qre8494">#REF!</definedName>
    <definedName name="__qre8495">#REF!</definedName>
    <definedName name="__qre8496">#REF!</definedName>
    <definedName name="__qre8497">#REF!</definedName>
    <definedName name="__qre8498">#REF!</definedName>
    <definedName name="__qre85">#REF!</definedName>
    <definedName name="__qre8590">#REF!</definedName>
    <definedName name="__qre8591">#REF!</definedName>
    <definedName name="__qre8592">#REF!</definedName>
    <definedName name="__qre8593">#REF!</definedName>
    <definedName name="__qre8594">#REF!</definedName>
    <definedName name="__qre8595">#REF!</definedName>
    <definedName name="__qre8596">#REF!</definedName>
    <definedName name="__qre8597">#REF!</definedName>
    <definedName name="__qre8598">#REF!</definedName>
    <definedName name="__qre86">#REF!</definedName>
    <definedName name="__qre8690">#REF!</definedName>
    <definedName name="__qre8691">#REF!</definedName>
    <definedName name="__qre8692">#REF!</definedName>
    <definedName name="__qre8693">#REF!</definedName>
    <definedName name="__qre8694">#REF!</definedName>
    <definedName name="__qre8695">#REF!</definedName>
    <definedName name="__qre8696">#REF!</definedName>
    <definedName name="__qre8697">#REF!</definedName>
    <definedName name="__qre8698">#REF!</definedName>
    <definedName name="__qre87">#REF!</definedName>
    <definedName name="__qre8790">#REF!</definedName>
    <definedName name="__qre8791">#REF!</definedName>
    <definedName name="__qre8792">#REF!</definedName>
    <definedName name="__qre8793">#REF!</definedName>
    <definedName name="__qre8794">#REF!</definedName>
    <definedName name="__qre8795">#REF!</definedName>
    <definedName name="__qre8796">#REF!</definedName>
    <definedName name="__qre8797">#REF!</definedName>
    <definedName name="__qre8798">#REF!</definedName>
    <definedName name="__qre88">#REF!</definedName>
    <definedName name="__qre8890">#REF!</definedName>
    <definedName name="__qre8891">#REF!</definedName>
    <definedName name="__qre8892">#REF!</definedName>
    <definedName name="__qre8893">#REF!</definedName>
    <definedName name="__qre8894">#REF!</definedName>
    <definedName name="__qre8895">#REF!</definedName>
    <definedName name="__qre8896">#REF!</definedName>
    <definedName name="__qre8897">#REF!</definedName>
    <definedName name="__qre8898">#REF!</definedName>
    <definedName name="__qre89">#REF!</definedName>
    <definedName name="__qre90">#REF!</definedName>
    <definedName name="__qre91">#REF!</definedName>
    <definedName name="__qre92">#REF!</definedName>
    <definedName name="__qre93">#REF!</definedName>
    <definedName name="__qre94">#REF!</definedName>
    <definedName name="__qre95">#REF!</definedName>
    <definedName name="__qre96">#REF!</definedName>
    <definedName name="__qre97">#REF!</definedName>
    <definedName name="__qre98">#REF!</definedName>
    <definedName name="__tet12" localSheetId="31" hidden="1">{"assumptions",#N/A,FALSE,"Scenario 1";"valuation",#N/A,FALSE,"Scenario 1"}</definedName>
    <definedName name="__tet12" hidden="1">{"assumptions",#N/A,FALSE,"Scenario 1";"valuation",#N/A,FALSE,"Scenario 1"}</definedName>
    <definedName name="__tet5" localSheetId="31" hidden="1">{"assumptions",#N/A,FALSE,"Scenario 1";"valuation",#N/A,FALSE,"Scenario 1"}</definedName>
    <definedName name="__tet5" hidden="1">{"assumptions",#N/A,FALSE,"Scenario 1";"valuation",#N/A,FALSE,"Scenario 1"}</definedName>
    <definedName name="__tqc90">#REF!</definedName>
    <definedName name="__tqc91">#REF!</definedName>
    <definedName name="__tqc92">#REF!</definedName>
    <definedName name="__tqc93">#REF!</definedName>
    <definedName name="__tqc94">#REF!</definedName>
    <definedName name="__tqc95">#REF!</definedName>
    <definedName name="__tqc96">#REF!</definedName>
    <definedName name="__tqc97">#REF!</definedName>
    <definedName name="__tqc98">#REF!</definedName>
    <definedName name="__tql90">#REF!</definedName>
    <definedName name="__tql91">#REF!</definedName>
    <definedName name="__tql92">#REF!</definedName>
    <definedName name="__tql93">#REF!</definedName>
    <definedName name="__tql94">#REF!</definedName>
    <definedName name="__tql95">#REF!</definedName>
    <definedName name="__tql96">#REF!</definedName>
    <definedName name="__tql97">#REF!</definedName>
    <definedName name="__tql98">#REF!</definedName>
    <definedName name="__tqs90">#REF!</definedName>
    <definedName name="__tqs91">#REF!</definedName>
    <definedName name="__tqs92">#REF!</definedName>
    <definedName name="__tqs93">#REF!</definedName>
    <definedName name="__tqs94">#REF!</definedName>
    <definedName name="__tqs95">#REF!</definedName>
    <definedName name="__tqs96">#REF!</definedName>
    <definedName name="__tqs97">#REF!</definedName>
    <definedName name="__tqs98">#REF!</definedName>
    <definedName name="_1__123Graph_ACONTRACT_BY_B_U" hidden="1">#REF!</definedName>
    <definedName name="_10__123Graph_AWAGES_BY_B_U" hidden="1">#REF!</definedName>
    <definedName name="_10__123Graph_BQRE_S_BY_TYPE" hidden="1">#REF!</definedName>
    <definedName name="_11__123Graph_BCONTRACT_BY_B_U" hidden="1">#REF!</definedName>
    <definedName name="_11__123Graph_BSENS_COMPARISON" hidden="1">#REF!</definedName>
    <definedName name="_12__123Graph_BQRE_S_BY_CO." hidden="1">#REF!</definedName>
    <definedName name="_12__123Graph_BSUPPLIES_BY_B_U" hidden="1">#REF!</definedName>
    <definedName name="_123Graph_B.1" localSheetId="31" hidden="1">#REF!</definedName>
    <definedName name="_123Graph_B.1" hidden="1">#REF!</definedName>
    <definedName name="_13__123Graph_BQRE_S_BY_TYPE" hidden="1">#REF!</definedName>
    <definedName name="_13__123Graph_BTAX_CREDIT" hidden="1">#REF!</definedName>
    <definedName name="_14__123Graph_BSENS_COMPARISON" hidden="1">#REF!</definedName>
    <definedName name="_14__123Graph_BWAGES_BY_B_U" hidden="1">#REF!</definedName>
    <definedName name="_15__123Graph_BSUPPLIES_BY_B_U" hidden="1">#REF!</definedName>
    <definedName name="_15__123Graph_CCONTRACT_BY_B_U" hidden="1">#REF!</definedName>
    <definedName name="_16__123Graph_BTAX_CREDIT" hidden="1">#REF!</definedName>
    <definedName name="_16__123Graph_CQRE_S_BY_CO." hidden="1">#REF!</definedName>
    <definedName name="_17__123Graph_BWAGES_BY_B_U" hidden="1">#REF!</definedName>
    <definedName name="_17__123Graph_CQRE_S_BY_TYPE" hidden="1">#REF!</definedName>
    <definedName name="_18__123Graph_CCONTRACT_BY_B_U" hidden="1">#REF!</definedName>
    <definedName name="_18__123Graph_CSENS_COMPARISON" hidden="1">#REF!</definedName>
    <definedName name="_19__123Graph_CQRE_S_BY_CO." hidden="1">#REF!</definedName>
    <definedName name="_19__123Graph_CSUPPLIES_BY_B_U" hidden="1">#REF!</definedName>
    <definedName name="_1E_1">#N/A</definedName>
    <definedName name="_1K" hidden="1">#REF!</definedName>
    <definedName name="_2__123Graph_AQRE_S_BY_CO." hidden="1">#REF!</definedName>
    <definedName name="_20__123Graph_CQRE_S_BY_TYPE" hidden="1">#REF!</definedName>
    <definedName name="_20__123Graph_CWAGES_BY_B_U" hidden="1">#REF!</definedName>
    <definedName name="_21__123Graph_CSENS_COMPARISON" hidden="1">#REF!</definedName>
    <definedName name="_21__123Graph_DCONTRACT_BY_B_U" hidden="1">#REF!</definedName>
    <definedName name="_22__123Graph_CSUPPLIES_BY_B_U" hidden="1">#REF!</definedName>
    <definedName name="_22__123Graph_DQRE_S_BY_CO." hidden="1">#REF!</definedName>
    <definedName name="_23__123Graph_CWAGES_BY_B_U" hidden="1">#REF!</definedName>
    <definedName name="_23__123Graph_DSUPPLIES_BY_B_U" hidden="1">#REF!</definedName>
    <definedName name="_24__123Graph_DCONTRACT_BY_B_U" hidden="1">#REF!</definedName>
    <definedName name="_24__123Graph_DWAGES_BY_B_U" hidden="1">#REF!</definedName>
    <definedName name="_25__123Graph_DQRE_S_BY_CO." hidden="1">#REF!</definedName>
    <definedName name="_25__123Graph_ECONTRACT_BY_B_U" hidden="1">#REF!</definedName>
    <definedName name="_26__123Graph_DSUPPLIES_BY_B_U" hidden="1">#REF!</definedName>
    <definedName name="_26__123Graph_EQRE_S_BY_CO." hidden="1">#REF!</definedName>
    <definedName name="_27__123Graph_DWAGES_BY_B_U" hidden="1">#REF!</definedName>
    <definedName name="_27__123Graph_ESUPPLIES_BY_B_U" hidden="1">#REF!</definedName>
    <definedName name="_28__123Graph_ECONTRACT_BY_B_U" hidden="1">#REF!</definedName>
    <definedName name="_28__123Graph_EWAGES_BY_B_U" hidden="1">#REF!</definedName>
    <definedName name="_29__123Graph_EQRE_S_BY_CO." hidden="1">#REF!</definedName>
    <definedName name="_29__123Graph_FCONTRACT_BY_B_U" hidden="1">#REF!</definedName>
    <definedName name="_2K" hidden="1">#REF!</definedName>
    <definedName name="_2S" hidden="1">#REF!</definedName>
    <definedName name="_3__123Graph_AQRE_S_BY_TYPE" hidden="1">#REF!</definedName>
    <definedName name="_30__123Graph_ESUPPLIES_BY_B_U" hidden="1">#REF!</definedName>
    <definedName name="_30__123Graph_FQRE_S_BY_CO." hidden="1">#REF!</definedName>
    <definedName name="_31__123Graph_EWAGES_BY_B_U" hidden="1">#REF!</definedName>
    <definedName name="_31__123Graph_FSUPPLIES_BY_B_U" hidden="1">#REF!</definedName>
    <definedName name="_31_Dec_00" localSheetId="31">#REF!</definedName>
    <definedName name="_31_Dec_00">#REF!</definedName>
    <definedName name="_31_Jan_01" localSheetId="31">#REF!</definedName>
    <definedName name="_31_Jan_01">#REF!</definedName>
    <definedName name="_32__123Graph_FCONTRACT_BY_B_U" hidden="1">#REF!</definedName>
    <definedName name="_32__123Graph_FWAGES_BY_B_U" hidden="1">#REF!</definedName>
    <definedName name="_33__123Graph_FQRE_S_BY_CO." hidden="1">#REF!</definedName>
    <definedName name="_33__123Graph_XCONTRACT_BY_B_U" hidden="1">#REF!</definedName>
    <definedName name="_34__123Graph_FSUPPLIES_BY_B_U" hidden="1">#REF!</definedName>
    <definedName name="_34__123Graph_XQRE_S_BY_CO." hidden="1">#REF!</definedName>
    <definedName name="_35__123Graph_FWAGES_BY_B_U" hidden="1">#REF!</definedName>
    <definedName name="_35__123Graph_XQRE_S_BY_TYPE" hidden="1">#REF!</definedName>
    <definedName name="_36__123Graph_XCONTRACT_BY_B_U" hidden="1">#REF!</definedName>
    <definedName name="_36__123Graph_XSUPPLIES_BY_B_U" hidden="1">#REF!</definedName>
    <definedName name="_37__123Graph_XQRE_S_BY_CO." hidden="1">#REF!</definedName>
    <definedName name="_37__123Graph_XTAX_CREDIT" hidden="1">#REF!</definedName>
    <definedName name="_38__123Graph_XQRE_S_BY_TYPE" hidden="1">#REF!</definedName>
    <definedName name="_39__123Graph_XSUPPLIES_BY_B_U" hidden="1">#REF!</definedName>
    <definedName name="_4__123Graph_ACONTRACT_BY_B_U" hidden="1">#REF!</definedName>
    <definedName name="_4__123Graph_ASENS_COMPARISON" hidden="1">#REF!</definedName>
    <definedName name="_40__123Graph_XTAX_CREDIT" hidden="1">#REF!</definedName>
    <definedName name="_4S" hidden="1">#REF!</definedName>
    <definedName name="_5__123Graph_AQRE_S_BY_CO." hidden="1">#REF!</definedName>
    <definedName name="_5__123Graph_ASUPPLIES_BY_B_U" hidden="1">#REF!</definedName>
    <definedName name="_6__123Graph_AQRE_S_BY_TYPE" hidden="1">#REF!</definedName>
    <definedName name="_6__123Graph_ATAX_CREDIT" hidden="1">#REF!</definedName>
    <definedName name="_7__123Graph_ASENS_COMPARISON" hidden="1">#REF!</definedName>
    <definedName name="_7__123Graph_AWAGES_BY_B_U" hidden="1">#REF!</definedName>
    <definedName name="_8__123Graph_ASUPPLIES_BY_B_U" hidden="1">#REF!</definedName>
    <definedName name="_8__123Graph_BCONTRACT_BY_B_U" hidden="1">#REF!</definedName>
    <definedName name="_84_PHASE1">#REF!</definedName>
    <definedName name="_85_PHASE1">#REF!</definedName>
    <definedName name="_86_PHASE1">#REF!</definedName>
    <definedName name="_87_PHASE1">#REF!</definedName>
    <definedName name="_88_PHASE1">#REF!</definedName>
    <definedName name="_89_PHASE1">#REF!</definedName>
    <definedName name="_9__123Graph_ATAX_CREDIT" hidden="1">#REF!</definedName>
    <definedName name="_9__123Graph_BQRE_S_BY_CO." hidden="1">#REF!</definedName>
    <definedName name="_90_PHASE1">#REF!</definedName>
    <definedName name="_91_PHASE1">#REF!</definedName>
    <definedName name="_92_PHASE1">#REF!</definedName>
    <definedName name="_93_PHASE1">#REF!</definedName>
    <definedName name="_94_PHASE1">#REF!</definedName>
    <definedName name="_95_PHASE1">#REF!</definedName>
    <definedName name="_96_PHASE1">#REF!</definedName>
    <definedName name="_97_PHASE1">#REF!</definedName>
    <definedName name="_98_PHASE1">#REF!</definedName>
    <definedName name="_agr8690">#REF!</definedName>
    <definedName name="_agr8790">#REF!</definedName>
    <definedName name="_agr8791">#REF!</definedName>
    <definedName name="_agr8890">#REF!</definedName>
    <definedName name="_agr8891">#REF!</definedName>
    <definedName name="_agr8892">#REF!</definedName>
    <definedName name="_agr8990">#REF!</definedName>
    <definedName name="_agr8991">#REF!</definedName>
    <definedName name="_agr8992">#REF!</definedName>
    <definedName name="_agr8993">#REF!</definedName>
    <definedName name="_agr9091">#REF!</definedName>
    <definedName name="_agr9092">#REF!</definedName>
    <definedName name="_agr9093">#REF!</definedName>
    <definedName name="_agr9094">#REF!</definedName>
    <definedName name="_agr9192">#REF!</definedName>
    <definedName name="_agr9193">#REF!</definedName>
    <definedName name="_agr9194">#REF!</definedName>
    <definedName name="_agr9195">#REF!</definedName>
    <definedName name="_agr9293">#REF!</definedName>
    <definedName name="_agr9294">#REF!</definedName>
    <definedName name="_agr9295">#REF!</definedName>
    <definedName name="_agr9296">#REF!</definedName>
    <definedName name="_agr9394">#REF!</definedName>
    <definedName name="_agr9395">#REF!</definedName>
    <definedName name="_agr9396">#REF!</definedName>
    <definedName name="_agr9397">#REF!</definedName>
    <definedName name="_agr9495">#REF!</definedName>
    <definedName name="_agr9496">#REF!</definedName>
    <definedName name="_agr9497">#REF!</definedName>
    <definedName name="_agr9498">#REF!</definedName>
    <definedName name="_agr9596">#REF!</definedName>
    <definedName name="_agr9597">#REF!</definedName>
    <definedName name="_agr9598">#REF!</definedName>
    <definedName name="_agr9697">#REF!</definedName>
    <definedName name="_agr9698">#REF!</definedName>
    <definedName name="_agr9798">#REF!</definedName>
    <definedName name="_bdm.DA90C587C9374C5A8F37C549C9BCDD3D.edm" localSheetId="13" hidden="1">#REF!</definedName>
    <definedName name="_bdm.DA90C587C9374C5A8F37C549C9BCDD3D.edm" localSheetId="14" hidden="1">#REF!</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9" hidden="1">#REF!</definedName>
    <definedName name="_bdm.DA90C587C9374C5A8F37C549C9BCDD3D.edm" localSheetId="20" hidden="1">#REF!</definedName>
    <definedName name="_bdm.DA90C587C9374C5A8F37C549C9BCDD3D.edm" localSheetId="23" hidden="1">#REF!</definedName>
    <definedName name="_bdm.DA90C587C9374C5A8F37C549C9BCDD3D.edm" localSheetId="25" hidden="1">#REF!</definedName>
    <definedName name="_bdm.DA90C587C9374C5A8F37C549C9BCDD3D.edm" localSheetId="27" hidden="1">#REF!</definedName>
    <definedName name="_bdm.DA90C587C9374C5A8F37C549C9BCDD3D.edm" localSheetId="29" hidden="1">#REF!</definedName>
    <definedName name="_bdm.DA90C587C9374C5A8F37C549C9BCDD3D.edm" localSheetId="30" hidden="1">#REF!</definedName>
    <definedName name="_bdm.DA90C587C9374C5A8F37C549C9BCDD3D.edm" localSheetId="31" hidden="1">#REF!</definedName>
    <definedName name="_bdm.DA90C587C9374C5A8F37C549C9BCDD3D.edm" localSheetId="4" hidden="1">#REF!</definedName>
    <definedName name="_bdm.DA90C587C9374C5A8F37C549C9BCDD3D.edm" localSheetId="7" hidden="1">#REF!</definedName>
    <definedName name="_bdm.DA90C587C9374C5A8F37C549C9BCDD3D.edm" localSheetId="9" hidden="1">#REF!</definedName>
    <definedName name="_bdm.DA90C587C9374C5A8F37C549C9BCDD3D.edm" localSheetId="10" hidden="1">#REF!</definedName>
    <definedName name="_bdm.DA90C587C9374C5A8F37C549C9BCDD3D.edm" hidden="1">#REF!</definedName>
    <definedName name="_dat1111">#REF!</definedName>
    <definedName name="_Dist_Bin" localSheetId="31" hidden="1">#REF!</definedName>
    <definedName name="_Dist_Bin" hidden="1">#REF!</definedName>
    <definedName name="_Dist_Values" localSheetId="31" hidden="1">#REF!</definedName>
    <definedName name="_Dist_Values" hidden="1">#REF!</definedName>
    <definedName name="_FEB01" localSheetId="31" hidden="1">{#N/A,#N/A,FALSE,"EMPPAY"}</definedName>
    <definedName name="_FEB01" hidden="1">{#N/A,#N/A,FALSE,"EMPPAY"}</definedName>
    <definedName name="_Fill" localSheetId="19" hidden="1">#REF!</definedName>
    <definedName name="_Fill" localSheetId="31" hidden="1">#REF!</definedName>
    <definedName name="_Fill" hidden="1">#REF!</definedName>
    <definedName name="_Fill.1" localSheetId="31" hidden="1">#REF!</definedName>
    <definedName name="_Fill.1" hidden="1">#REF!</definedName>
    <definedName name="_foo1"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19" hidden="1">{#N/A,#N/A,FALSE,"Res - Unadj";#N/A,#N/A,FALSE,"Small L&amp;P";#N/A,#N/A,FALSE,"Medium L&amp;P";#N/A,#N/A,FALSE,"E-19";#N/A,#N/A,FALSE,"E-20";#N/A,#N/A,FALSE,"A-RTP";#N/A,#N/A,FALSE,"Strtlts &amp; Standby";#N/A,#N/A,FALSE,"AG";#N/A,#N/A,FALSE,"2001mixeduse"}</definedName>
    <definedName name="_foo3" localSheetId="21" hidden="1">{#N/A,#N/A,FALSE,"Res - Unadj";#N/A,#N/A,FALSE,"Small L&amp;P";#N/A,#N/A,FALSE,"Medium L&amp;P";#N/A,#N/A,FALSE,"E-19";#N/A,#N/A,FALSE,"E-20";#N/A,#N/A,FALSE,"A-RTP";#N/A,#N/A,FALSE,"Strtlts &amp; Standby";#N/A,#N/A,FALSE,"AG";#N/A,#N/A,FALSE,"2001mixeduse"}</definedName>
    <definedName name="_foo3" localSheetId="22" hidden="1">{#N/A,#N/A,FALSE,"Res - Unadj";#N/A,#N/A,FALSE,"Small L&amp;P";#N/A,#N/A,FALSE,"Medium L&amp;P";#N/A,#N/A,FALSE,"E-19";#N/A,#N/A,FALSE,"E-20";#N/A,#N/A,FALSE,"A-RTP";#N/A,#N/A,FALSE,"Strtlts &amp; Standby";#N/A,#N/A,FALSE,"AG";#N/A,#N/A,FALSE,"2001mixeduse"}</definedName>
    <definedName name="_foo3" localSheetId="31" hidden="1">{#N/A,#N/A,FALSE,"Res - Unadj";#N/A,#N/A,FALSE,"Small L&amp;P";#N/A,#N/A,FALSE,"Medium L&amp;P";#N/A,#N/A,FALSE,"E-19";#N/A,#N/A,FALSE,"E-20";#N/A,#N/A,FALSE,"A-RTP";#N/A,#N/A,FALSE,"Strtlts &amp; Standby";#N/A,#N/A,FALSE,"AG";#N/A,#N/A,FALSE,"2001mixeduse"}</definedName>
    <definedName name="_foo3" localSheetId="9"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19" hidden="1">{"Summary","1",FALSE,"Summary"}</definedName>
    <definedName name="_foo4" localSheetId="21" hidden="1">{"Summary","1",FALSE,"Summary"}</definedName>
    <definedName name="_foo4" localSheetId="22" hidden="1">{"Summary","1",FALSE,"Summary"}</definedName>
    <definedName name="_foo4" localSheetId="31" hidden="1">{"Summary","1",FALSE,"Summary"}</definedName>
    <definedName name="_foo4" localSheetId="9" hidden="1">{"Summary","1",FALSE,"Summary"}</definedName>
    <definedName name="_foo4" hidden="1">{"Summary","1",FALSE,"Summary"}</definedName>
    <definedName name="_H1" localSheetId="31">{"'Metretek HTML'!$A$7:$W$42"}</definedName>
    <definedName name="_H1">{"'Metretek HTML'!$A$7:$W$42"}</definedName>
    <definedName name="_huh2" localSheetId="19" hidden="1">{#N/A,#N/A,FALSE,"Dist Rev at PR ";#N/A,#N/A,FALSE,"Spec";#N/A,#N/A,FALSE,"Res";#N/A,#N/A,FALSE,"Small L&amp;P";#N/A,#N/A,FALSE,"Medium L&amp;P";#N/A,#N/A,FALSE,"E-19";#N/A,#N/A,FALSE,"E-20";#N/A,#N/A,FALSE,"Strtlts &amp; Standby";#N/A,#N/A,FALSE,"A-RTP";#N/A,#N/A,FALSE,"2003mixeduse"}</definedName>
    <definedName name="_huh2" localSheetId="21" hidden="1">{#N/A,#N/A,FALSE,"Dist Rev at PR ";#N/A,#N/A,FALSE,"Spec";#N/A,#N/A,FALSE,"Res";#N/A,#N/A,FALSE,"Small L&amp;P";#N/A,#N/A,FALSE,"Medium L&amp;P";#N/A,#N/A,FALSE,"E-19";#N/A,#N/A,FALSE,"E-20";#N/A,#N/A,FALSE,"Strtlts &amp; Standby";#N/A,#N/A,FALSE,"A-RTP";#N/A,#N/A,FALSE,"2003mixeduse"}</definedName>
    <definedName name="_huh2" localSheetId="22" hidden="1">{#N/A,#N/A,FALSE,"Dist Rev at PR ";#N/A,#N/A,FALSE,"Spec";#N/A,#N/A,FALSE,"Res";#N/A,#N/A,FALSE,"Small L&amp;P";#N/A,#N/A,FALSE,"Medium L&amp;P";#N/A,#N/A,FALSE,"E-19";#N/A,#N/A,FALSE,"E-20";#N/A,#N/A,FALSE,"Strtlts &amp; Standby";#N/A,#N/A,FALSE,"A-RTP";#N/A,#N/A,FALSE,"2003mixeduse"}</definedName>
    <definedName name="_huh2" localSheetId="31" hidden="1">{#N/A,#N/A,FALSE,"Dist Rev at PR ";#N/A,#N/A,FALSE,"Spec";#N/A,#N/A,FALSE,"Res";#N/A,#N/A,FALSE,"Small L&amp;P";#N/A,#N/A,FALSE,"Medium L&amp;P";#N/A,#N/A,FALSE,"E-19";#N/A,#N/A,FALSE,"E-20";#N/A,#N/A,FALSE,"Strtlts &amp; Standby";#N/A,#N/A,FALSE,"A-RTP";#N/A,#N/A,FALSE,"2003mixeduse"}</definedName>
    <definedName name="_huh2" localSheetId="9"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JAN01" localSheetId="31" hidden="1">{#N/A,#N/A,FALSE,"EMPPAY"}</definedName>
    <definedName name="_JAN01" hidden="1">{#N/A,#N/A,FALSE,"EMPPAY"}</definedName>
    <definedName name="_JAN2001" localSheetId="31" hidden="1">{#N/A,#N/A,FALSE,"EMPPAY"}</definedName>
    <definedName name="_JAN2001" hidden="1">{#N/A,#N/A,FALSE,"EMPPAY"}</definedName>
    <definedName name="_Key.1"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9" hidden="1">#REF!</definedName>
    <definedName name="_Key1" localSheetId="20" hidden="1">#REF!</definedName>
    <definedName name="_Key1" localSheetId="21" hidden="1">#REF!</definedName>
    <definedName name="_Key1" localSheetId="23" hidden="1">#REF!</definedName>
    <definedName name="_Key1" localSheetId="25" hidden="1">#REF!</definedName>
    <definedName name="_Key1" localSheetId="27" hidden="1">#REF!</definedName>
    <definedName name="_Key1" localSheetId="29" hidden="1">#REF!</definedName>
    <definedName name="_Key1" localSheetId="30" hidden="1">#REF!</definedName>
    <definedName name="_Key1" localSheetId="31" hidden="1">#REF!</definedName>
    <definedName name="_Key1" localSheetId="4" hidden="1">#REF!</definedName>
    <definedName name="_Key1" localSheetId="7" hidden="1">#REF!</definedName>
    <definedName name="_Key1" localSheetId="9" hidden="1">#REF!</definedName>
    <definedName name="_Key1" localSheetId="10" hidden="1">#REF!</definedName>
    <definedName name="_Key1" hidden="1">#REF!</definedName>
    <definedName name="_Key2" localSheetId="13" hidden="1">#REF!</definedName>
    <definedName name="_Key2" localSheetId="14" hidden="1">#REF!</definedName>
    <definedName name="_Key2" localSheetId="15" hidden="1">#REF!</definedName>
    <definedName name="_Key2" localSheetId="16" hidden="1">#REF!</definedName>
    <definedName name="_Key2" localSheetId="17" hidden="1">#REF!</definedName>
    <definedName name="_Key2" localSheetId="19" hidden="1">#REF!</definedName>
    <definedName name="_Key2" localSheetId="20" hidden="1">#REF!</definedName>
    <definedName name="_Key2" localSheetId="21" hidden="1">#REF!</definedName>
    <definedName name="_Key2" localSheetId="23" hidden="1">#REF!</definedName>
    <definedName name="_Key2" localSheetId="25" hidden="1">#REF!</definedName>
    <definedName name="_Key2" localSheetId="27" hidden="1">#REF!</definedName>
    <definedName name="_Key2" localSheetId="29" hidden="1">#REF!</definedName>
    <definedName name="_Key2" localSheetId="30" hidden="1">#REF!</definedName>
    <definedName name="_Key2" localSheetId="31" hidden="1">#REF!</definedName>
    <definedName name="_Key2" localSheetId="4" hidden="1">#REF!</definedName>
    <definedName name="_Key2" localSheetId="7" hidden="1">#REF!</definedName>
    <definedName name="_Key2" localSheetId="9" hidden="1">#REF!</definedName>
    <definedName name="_Key2" localSheetId="10" hidden="1">#REF!</definedName>
    <definedName name="_Key2" hidden="1">#REF!</definedName>
    <definedName name="_L2" localSheetId="19" hidden="1">{"PI_Data",#N/A,TRUE,"P&amp;I Data"}</definedName>
    <definedName name="_L2" localSheetId="21" hidden="1">{"PI_Data",#N/A,TRUE,"P&amp;I Data"}</definedName>
    <definedName name="_L2" localSheetId="22" hidden="1">{"PI_Data",#N/A,TRUE,"P&amp;I Data"}</definedName>
    <definedName name="_L2" localSheetId="31" hidden="1">{"PI_Data",#N/A,TRUE,"P&amp;I Data"}</definedName>
    <definedName name="_L2" localSheetId="9" hidden="1">{"PI_Data",#N/A,TRUE,"P&amp;I Data"}</definedName>
    <definedName name="_L2" hidden="1">{"PI_Data",#N/A,TRUE,"P&amp;I Data"}</definedName>
    <definedName name="_m2" localSheetId="19" hidden="1">{"PI_Data",#N/A,TRUE,"P&amp;I Data"}</definedName>
    <definedName name="_m2" localSheetId="21" hidden="1">{"PI_Data",#N/A,TRUE,"P&amp;I Data"}</definedName>
    <definedName name="_m2" localSheetId="22" hidden="1">{"PI_Data",#N/A,TRUE,"P&amp;I Data"}</definedName>
    <definedName name="_m2" localSheetId="31" hidden="1">{"PI_Data",#N/A,TRUE,"P&amp;I Data"}</definedName>
    <definedName name="_m2" localSheetId="9" hidden="1">{"PI_Data",#N/A,TRUE,"P&amp;I Data"}</definedName>
    <definedName name="_m2" hidden="1">{"PI_Data",#N/A,TRUE,"P&amp;I Data"}</definedName>
    <definedName name="_MatInverse_In" hidden="1">#REF!</definedName>
    <definedName name="_MatInverse_Out" localSheetId="31" hidden="1">#REF!</definedName>
    <definedName name="_MatInverse_Out" hidden="1">#REF!</definedName>
    <definedName name="_MatMult_A" localSheetId="31" hidden="1">#REF!</definedName>
    <definedName name="_MatMult_A" hidden="1">#REF!</definedName>
    <definedName name="_MatMult_AxB" hidden="1">#REF!</definedName>
    <definedName name="_MatMult_B" hidden="1">#REF!</definedName>
    <definedName name="_OFF2">#REF!</definedName>
    <definedName name="_Order.1" hidden="1">255</definedName>
    <definedName name="_Order1">255</definedName>
    <definedName name="_Order2">255</definedName>
    <definedName name="_p2" localSheetId="19" hidden="1">{"PI_Data",#N/A,TRUE,"P&amp;I Data"}</definedName>
    <definedName name="_p2" localSheetId="21" hidden="1">{"PI_Data",#N/A,TRUE,"P&amp;I Data"}</definedName>
    <definedName name="_p2" localSheetId="22" hidden="1">{"PI_Data",#N/A,TRUE,"P&amp;I Data"}</definedName>
    <definedName name="_p2" localSheetId="31" hidden="1">{"PI_Data",#N/A,TRUE,"P&amp;I Data"}</definedName>
    <definedName name="_p2" localSheetId="9" hidden="1">{"PI_Data",#N/A,TRUE,"P&amp;I Data"}</definedName>
    <definedName name="_p2" hidden="1">{"PI_Data",#N/A,TRUE,"P&amp;I Data"}</definedName>
    <definedName name="_Parse_In" hidden="1">#REF!</definedName>
    <definedName name="_Parse_Out" localSheetId="31" hidden="1">#REF!</definedName>
    <definedName name="_Parse_Out" hidden="1">#REF!</definedName>
    <definedName name="_PPP1">#REF!</definedName>
    <definedName name="_qre84">#REF!</definedName>
    <definedName name="_qre8490">#REF!</definedName>
    <definedName name="_qre8491">#REF!</definedName>
    <definedName name="_qre8492">#REF!</definedName>
    <definedName name="_qre8493">#REF!</definedName>
    <definedName name="_qre8494">#REF!</definedName>
    <definedName name="_qre8495">#REF!</definedName>
    <definedName name="_qre8496">#REF!</definedName>
    <definedName name="_qre8497">#REF!</definedName>
    <definedName name="_qre8498">#REF!</definedName>
    <definedName name="_qre85">#REF!</definedName>
    <definedName name="_qre8590">#REF!</definedName>
    <definedName name="_qre8591">#REF!</definedName>
    <definedName name="_qre8592">#REF!</definedName>
    <definedName name="_qre8593">#REF!</definedName>
    <definedName name="_qre8594">#REF!</definedName>
    <definedName name="_qre8595">#REF!</definedName>
    <definedName name="_qre8596">#REF!</definedName>
    <definedName name="_qre8597">#REF!</definedName>
    <definedName name="_qre8598">#REF!</definedName>
    <definedName name="_qre86">#REF!</definedName>
    <definedName name="_qre8690">#REF!</definedName>
    <definedName name="_qre8691">#REF!</definedName>
    <definedName name="_qre8692">#REF!</definedName>
    <definedName name="_qre8693">#REF!</definedName>
    <definedName name="_qre8694">#REF!</definedName>
    <definedName name="_qre8695">#REF!</definedName>
    <definedName name="_qre8696">#REF!</definedName>
    <definedName name="_qre8697">#REF!</definedName>
    <definedName name="_qre8698">#REF!</definedName>
    <definedName name="_qre87">#REF!</definedName>
    <definedName name="_qre8790">#REF!</definedName>
    <definedName name="_qre8791">#REF!</definedName>
    <definedName name="_qre8792">#REF!</definedName>
    <definedName name="_qre8793">#REF!</definedName>
    <definedName name="_qre8794">#REF!</definedName>
    <definedName name="_qre8795">#REF!</definedName>
    <definedName name="_qre8796">#REF!</definedName>
    <definedName name="_qre8797">#REF!</definedName>
    <definedName name="_qre8798">#REF!</definedName>
    <definedName name="_qre88">#REF!</definedName>
    <definedName name="_qre8890">#REF!</definedName>
    <definedName name="_qre8891">#REF!</definedName>
    <definedName name="_qre8892">#REF!</definedName>
    <definedName name="_qre8893">#REF!</definedName>
    <definedName name="_qre8894">#REF!</definedName>
    <definedName name="_qre8895">#REF!</definedName>
    <definedName name="_qre8896">#REF!</definedName>
    <definedName name="_qre8897">#REF!</definedName>
    <definedName name="_qre8898">#REF!</definedName>
    <definedName name="_qre89">#REF!</definedName>
    <definedName name="_qre90">#REF!</definedName>
    <definedName name="_qre91">#REF!</definedName>
    <definedName name="_qre92">#REF!</definedName>
    <definedName name="_qre93">#REF!</definedName>
    <definedName name="_qre94">#REF!</definedName>
    <definedName name="_qre95">#REF!</definedName>
    <definedName name="_qre96">#REF!</definedName>
    <definedName name="_qre97">#REF!</definedName>
    <definedName name="_qre98">#REF!</definedName>
    <definedName name="_Regression_Int">1</definedName>
    <definedName name="_Regression_Out" hidden="1">#REF!</definedName>
    <definedName name="_Regression_X" localSheetId="31" hidden="1">#REF!</definedName>
    <definedName name="_Regression_X" hidden="1">#REF!</definedName>
    <definedName name="_Regression_Y" localSheetId="31" hidden="1">#REF!</definedName>
    <definedName name="_Regression_Y" hidden="1">#REF!</definedName>
    <definedName name="_ryr56565" localSheetId="31"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ort" localSheetId="13"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9" hidden="1">#REF!</definedName>
    <definedName name="_Sort" localSheetId="20" hidden="1">#REF!</definedName>
    <definedName name="_Sort" localSheetId="21" hidden="1">#REF!</definedName>
    <definedName name="_Sort" localSheetId="23" hidden="1">#REF!</definedName>
    <definedName name="_Sort" localSheetId="25" hidden="1">#REF!</definedName>
    <definedName name="_Sort" localSheetId="27" hidden="1">#REF!</definedName>
    <definedName name="_Sort" localSheetId="29" hidden="1">#REF!</definedName>
    <definedName name="_Sort" localSheetId="30" hidden="1">#REF!</definedName>
    <definedName name="_Sort" localSheetId="31" hidden="1">#REF!</definedName>
    <definedName name="_Sort" localSheetId="4" hidden="1">#REF!</definedName>
    <definedName name="_Sort" localSheetId="7" hidden="1">#REF!</definedName>
    <definedName name="_Sort" localSheetId="9" hidden="1">#REF!</definedName>
    <definedName name="_Sort" localSheetId="10" hidden="1">#REF!</definedName>
    <definedName name="_Sort" hidden="1">#REF!</definedName>
    <definedName name="_Sort.1" hidden="1">#REF!</definedName>
    <definedName name="_sort2" hidden="1">#REF!</definedName>
    <definedName name="_t2" localSheetId="19" hidden="1">{"PI_Data",#N/A,TRUE,"P&amp;I Data"}</definedName>
    <definedName name="_t2" localSheetId="21" hidden="1">{"PI_Data",#N/A,TRUE,"P&amp;I Data"}</definedName>
    <definedName name="_t2" localSheetId="22" hidden="1">{"PI_Data",#N/A,TRUE,"P&amp;I Data"}</definedName>
    <definedName name="_t2" localSheetId="31" hidden="1">{"PI_Data",#N/A,TRUE,"P&amp;I Data"}</definedName>
    <definedName name="_t2" localSheetId="9" hidden="1">{"PI_Data",#N/A,TRUE,"P&amp;I Data"}</definedName>
    <definedName name="_t2" hidden="1">{"PI_Data",#N/A,TRUE,"P&amp;I Data"}</definedName>
    <definedName name="_Table1_Out" hidden="1">#REF!</definedName>
    <definedName name="_tet12" localSheetId="31" hidden="1">{"assumptions",#N/A,FALSE,"Scenario 1";"valuation",#N/A,FALSE,"Scenario 1"}</definedName>
    <definedName name="_tet12" hidden="1">{"assumptions",#N/A,FALSE,"Scenario 1";"valuation",#N/A,FALSE,"Scenario 1"}</definedName>
    <definedName name="_tet5" localSheetId="31" hidden="1">{"assumptions",#N/A,FALSE,"Scenario 1";"valuation",#N/A,FALSE,"Scenario 1"}</definedName>
    <definedName name="_tet5" hidden="1">{"assumptions",#N/A,FALSE,"Scenario 1";"valuation",#N/A,FALSE,"Scenario 1"}</definedName>
    <definedName name="_tqc90">#REF!</definedName>
    <definedName name="_tqc91">#REF!</definedName>
    <definedName name="_tqc92">#REF!</definedName>
    <definedName name="_tqc93">#REF!</definedName>
    <definedName name="_tqc94">#REF!</definedName>
    <definedName name="_tqc95">#REF!</definedName>
    <definedName name="_tqc96">#REF!</definedName>
    <definedName name="_tqc97">#REF!</definedName>
    <definedName name="_tqc98">#REF!</definedName>
    <definedName name="_tql90">#REF!</definedName>
    <definedName name="_tql91">#REF!</definedName>
    <definedName name="_tql92">#REF!</definedName>
    <definedName name="_tql93">#REF!</definedName>
    <definedName name="_tql94">#REF!</definedName>
    <definedName name="_tql95">#REF!</definedName>
    <definedName name="_tql96">#REF!</definedName>
    <definedName name="_tql97">#REF!</definedName>
    <definedName name="_tql98">#REF!</definedName>
    <definedName name="_tqs90">#REF!</definedName>
    <definedName name="_tqs91">#REF!</definedName>
    <definedName name="_tqs92">#REF!</definedName>
    <definedName name="_tqs93">#REF!</definedName>
    <definedName name="_tqs94">#REF!</definedName>
    <definedName name="_tqs95">#REF!</definedName>
    <definedName name="_tqs96">#REF!</definedName>
    <definedName name="_tqs97">#REF!</definedName>
    <definedName name="_tqs98">#REF!</definedName>
    <definedName name="a" localSheetId="19" hidden="1">{#N/A,#N/A,FALSE,"CTC Summary - EOY";#N/A,#N/A,FALSE,"CTC Summary - Wtavg"}</definedName>
    <definedName name="a" localSheetId="21" hidden="1">{#N/A,#N/A,FALSE,"CTC Summary - EOY";#N/A,#N/A,FALSE,"CTC Summary - Wtavg"}</definedName>
    <definedName name="a" localSheetId="22" hidden="1">{#N/A,#N/A,FALSE,"CTC Summary - EOY";#N/A,#N/A,FALSE,"CTC Summary - Wtavg"}</definedName>
    <definedName name="a" localSheetId="31" hidden="1">{#N/A,#N/A,FALSE,"CTC Summary - EOY";#N/A,#N/A,FALSE,"CTC Summary - Wtavg"}</definedName>
    <definedName name="a" localSheetId="9" hidden="1">{#N/A,#N/A,FALSE,"CTC Summary - EOY";#N/A,#N/A,FALSE,"CTC Summary - Wtavg"}</definedName>
    <definedName name="a" hidden="1">{#N/A,#N/A,FALSE,"CTC Summary - EOY";#N/A,#N/A,FALSE,"CTC Summary - Wtavg"}</definedName>
    <definedName name="a.1" localSheetId="31" hidden="1">{"LBO Summary",#N/A,FALSE,"Summary"}</definedName>
    <definedName name="a.1" hidden="1">{"LBO Summary",#N/A,FALSE,"Summary"}</definedName>
    <definedName name="aaa" localSheetId="31"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31"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"AAB_Description for addin 5,Description for addin 5,Description for addin 5,Description for addin 5,Description for addin 5,Description for addin 5"</definedName>
    <definedName name="ab" localSheetId="31">{"'Metretek HTML'!$A$7:$W$42"}</definedName>
    <definedName name="ab">{"'Metretek HTML'!$A$7:$W$42"}</definedName>
    <definedName name="above">OFFSET(!A1,-1,0)</definedName>
    <definedName name="AC_255">#REF!</definedName>
    <definedName name="acc" localSheetId="31">#REF!</definedName>
    <definedName name="acc">#REF!</definedName>
    <definedName name="ACCELERATED2" localSheetId="19" hidden="1">{#N/A,#N/A,FALSE,"CTC Summary - EOY";#N/A,#N/A,FALSE,"CTC Summary - Wtavg"}</definedName>
    <definedName name="ACCELERATED2" localSheetId="21" hidden="1">{#N/A,#N/A,FALSE,"CTC Summary - EOY";#N/A,#N/A,FALSE,"CTC Summary - Wtavg"}</definedName>
    <definedName name="ACCELERATED2" localSheetId="22" hidden="1">{#N/A,#N/A,FALSE,"CTC Summary - EOY";#N/A,#N/A,FALSE,"CTC Summary - Wtavg"}</definedName>
    <definedName name="ACCELERATED2" localSheetId="31" hidden="1">{#N/A,#N/A,FALSE,"CTC Summary - EOY";#N/A,#N/A,FALSE,"CTC Summary - Wtavg"}</definedName>
    <definedName name="ACCELERATED2" localSheetId="9" hidden="1">{#N/A,#N/A,FALSE,"CTC Summary - EOY";#N/A,#N/A,FALSE,"CTC Summary - Wtavg"}</definedName>
    <definedName name="ACCELERATED2" hidden="1">{#N/A,#N/A,FALSE,"CTC Summary - EOY";#N/A,#N/A,FALSE,"CTC Summary - Wtavg"}</definedName>
    <definedName name="ACCELLERATED1X" localSheetId="19" hidden="1">{#N/A,#N/A,FALSE,"CTC Summary - EOY";#N/A,#N/A,FALSE,"CTC Summary - Wtavg"}</definedName>
    <definedName name="ACCELLERATED1X" localSheetId="21" hidden="1">{#N/A,#N/A,FALSE,"CTC Summary - EOY";#N/A,#N/A,FALSE,"CTC Summary - Wtavg"}</definedName>
    <definedName name="ACCELLERATED1X" localSheetId="22" hidden="1">{#N/A,#N/A,FALSE,"CTC Summary - EOY";#N/A,#N/A,FALSE,"CTC Summary - Wtavg"}</definedName>
    <definedName name="ACCELLERATED1X" localSheetId="31" hidden="1">{#N/A,#N/A,FALSE,"CTC Summary - EOY";#N/A,#N/A,FALSE,"CTC Summary - Wtavg"}</definedName>
    <definedName name="ACCELLERATED1X" localSheetId="9" hidden="1">{#N/A,#N/A,FALSE,"CTC Summary - EOY";#N/A,#N/A,FALSE,"CTC Summary - Wtavg"}</definedName>
    <definedName name="ACCELLERATED1X" hidden="1">{#N/A,#N/A,FALSE,"CTC Summary - EOY";#N/A,#N/A,FALSE,"CTC Summary - Wtavg"}</definedName>
    <definedName name="Acct_AZ_UNSG_By_Plant">#REF!</definedName>
    <definedName name="ACTDEM" localSheetId="31">#REF!</definedName>
    <definedName name="ACTDEM">#REF!</definedName>
    <definedName name="ActivityType">#REF!</definedName>
    <definedName name="Actual">#REF!</definedName>
    <definedName name="ACTUAL_DEMAND__KW" localSheetId="31">#REF!</definedName>
    <definedName name="ACTUAL_DEMAND__KW">#REF!</definedName>
    <definedName name="Actual_Net_Rev_Req" localSheetId="31">#REF!</definedName>
    <definedName name="Actual_Net_Rev_Req">#REF!</definedName>
    <definedName name="adfsadfds" localSheetId="31"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DIT">#REF!</definedName>
    <definedName name="ADIT_TST">#REF!</definedName>
    <definedName name="Adjusted_KW">#REF!</definedName>
    <definedName name="ADTL">#REF!</definedName>
    <definedName name="AEAlloc" localSheetId="31">#REF!</definedName>
    <definedName name="AEAlloc">#REF!</definedName>
    <definedName name="AFMYear" localSheetId="31">#REF!</definedName>
    <definedName name="AFMYear">#REF!</definedName>
    <definedName name="ag_1">#REF!</definedName>
    <definedName name="ag_cap_indirect">#REF!</definedName>
    <definedName name="ag_mix_cap">#REF!</definedName>
    <definedName name="ag_mix_total">#REF!</definedName>
    <definedName name="AG_TST">#REF!</definedName>
    <definedName name="again" localSheetId="19" hidden="1">{#N/A,#N/A,FALSE,"ND Rev at Pres Rates";#N/A,#N/A,FALSE,"Res - Unadj sales";#N/A,#N/A,FALSE,"Small L&amp;P";#N/A,#N/A,FALSE,"Medium L&amp;P";#N/A,#N/A,FALSE,"E-19";#N/A,#N/A,FALSE,"E-20";#N/A,#N/A,FALSE,"Strtlts &amp; Standby";#N/A,#N/A,FALSE,"AG";#N/A,#N/A,FALSE,"A-RTP";#N/A,#N/A,FALSE,"Spec"}</definedName>
    <definedName name="again" localSheetId="21" hidden="1">{#N/A,#N/A,FALSE,"ND Rev at Pres Rates";#N/A,#N/A,FALSE,"Res - Unadj sales";#N/A,#N/A,FALSE,"Small L&amp;P";#N/A,#N/A,FALSE,"Medium L&amp;P";#N/A,#N/A,FALSE,"E-19";#N/A,#N/A,FALSE,"E-20";#N/A,#N/A,FALSE,"Strtlts &amp; Standby";#N/A,#N/A,FALSE,"AG";#N/A,#N/A,FALSE,"A-RTP";#N/A,#N/A,FALSE,"Spec"}</definedName>
    <definedName name="again" localSheetId="22" hidden="1">{#N/A,#N/A,FALSE,"ND Rev at Pres Rates";#N/A,#N/A,FALSE,"Res - Unadj sales";#N/A,#N/A,FALSE,"Small L&amp;P";#N/A,#N/A,FALSE,"Medium L&amp;P";#N/A,#N/A,FALSE,"E-19";#N/A,#N/A,FALSE,"E-20";#N/A,#N/A,FALSE,"Strtlts &amp; Standby";#N/A,#N/A,FALSE,"AG";#N/A,#N/A,FALSE,"A-RTP";#N/A,#N/A,FALSE,"Spec"}</definedName>
    <definedName name="again" localSheetId="31" hidden="1">{#N/A,#N/A,FALSE,"ND Rev at Pres Rates";#N/A,#N/A,FALSE,"Res - Unadj sales";#N/A,#N/A,FALSE,"Small L&amp;P";#N/A,#N/A,FALSE,"Medium L&amp;P";#N/A,#N/A,FALSE,"E-19";#N/A,#N/A,FALSE,"E-20";#N/A,#N/A,FALSE,"Strtlts &amp; Standby";#N/A,#N/A,FALSE,"AG";#N/A,#N/A,FALSE,"A-RTP";#N/A,#N/A,FALSE,"Spec"}</definedName>
    <definedName name="again" localSheetId="9"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ging" localSheetId="31" hidden="1">{#N/A,#N/A,FALSE,"Aging Summary";#N/A,#N/A,FALSE,"Ratio Analysis";#N/A,#N/A,FALSE,"Test 120 Day Accts";#N/A,#N/A,FALSE,"Tickmarks"}</definedName>
    <definedName name="aging" hidden="1">{#N/A,#N/A,FALSE,"Aging Summary";#N/A,#N/A,FALSE,"Ratio Analysis";#N/A,#N/A,FALSE,"Test 120 Day Accts";#N/A,#N/A,FALSE,"Tickmarks"}</definedName>
    <definedName name="AGXP">#REF!</definedName>
    <definedName name="aircqre">#REF!</definedName>
    <definedName name="aircqrelabel">#REF!</definedName>
    <definedName name="airctitle">#REF!</definedName>
    <definedName name="Alignment" hidden="1">"a1"</definedName>
    <definedName name="ALL_QRES">#REF!</definedName>
    <definedName name="ALL_QRES0.75">#REF!</definedName>
    <definedName name="ALL_QRES0.80">#REF!</definedName>
    <definedName name="ALL_QRES0.85">#REF!</definedName>
    <definedName name="ALL_QRES0.90">#REF!</definedName>
    <definedName name="ALL_QRES0.95">#REF!</definedName>
    <definedName name="ALL_QRES1.00">#REF!</definedName>
    <definedName name="ALL_QRES1.05">#REF!</definedName>
    <definedName name="ALL_QRES1.10">#REF!</definedName>
    <definedName name="ALL_QRES1.15">#REF!</definedName>
    <definedName name="ALL_QRES1.20">#REF!</definedName>
    <definedName name="ALL_QRES1.25">#REF!</definedName>
    <definedName name="AllASS">#REF!</definedName>
    <definedName name="ALLCGI">#REF!</definedName>
    <definedName name="AllocationDate" localSheetId="31">#REF!</definedName>
    <definedName name="AllocationDate">#REF!</definedName>
    <definedName name="Allocator.gross.plant">#REF!</definedName>
    <definedName name="Allocator.net.plant">#REF!</definedName>
    <definedName name="Allocator.wages.salary">#REF!</definedName>
    <definedName name="Allocators" localSheetId="31">#REF!</definedName>
    <definedName name="Allocators">#REF!</definedName>
    <definedName name="ALLRD">#REF!</definedName>
    <definedName name="ALLSKP">#REF!</definedName>
    <definedName name="alsdfa" localSheetId="31"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mort_04">#REF!</definedName>
    <definedName name="Amort_05">#REF!</definedName>
    <definedName name="Amort_06">#REF!</definedName>
    <definedName name="Amort_07">#REF!</definedName>
    <definedName name="Amort_08">#REF!</definedName>
    <definedName name="Amort_09">#REF!</definedName>
    <definedName name="Amort_10">#REF!</definedName>
    <definedName name="Amort_11">#REF!</definedName>
    <definedName name="Amort_12">#REF!</definedName>
    <definedName name="anscount" hidden="1">1</definedName>
    <definedName name="APCFAC">#REF!</definedName>
    <definedName name="APCLF" localSheetId="31">#REF!</definedName>
    <definedName name="APCLF">#REF!</definedName>
    <definedName name="APCMW" localSheetId="31">#REF!</definedName>
    <definedName name="APCMW">#REF!</definedName>
    <definedName name="APCMWH">#REF!</definedName>
    <definedName name="APN">#REF!</definedName>
    <definedName name="April" localSheetId="19" hidden="1">{#N/A,#N/A,FALSE,"CTC Summary - EOY";#N/A,#N/A,FALSE,"CTC Summary - Wtavg"}</definedName>
    <definedName name="April" localSheetId="21" hidden="1">{#N/A,#N/A,FALSE,"CTC Summary - EOY";#N/A,#N/A,FALSE,"CTC Summary - Wtavg"}</definedName>
    <definedName name="April" localSheetId="22" hidden="1">{#N/A,#N/A,FALSE,"CTC Summary - EOY";#N/A,#N/A,FALSE,"CTC Summary - Wtavg"}</definedName>
    <definedName name="April" localSheetId="31" hidden="1">{#N/A,#N/A,FALSE,"CTC Summary - EOY";#N/A,#N/A,FALSE,"CTC Summary - Wtavg"}</definedName>
    <definedName name="April" localSheetId="9" hidden="1">{#N/A,#N/A,FALSE,"CTC Summary - EOY";#N/A,#N/A,FALSE,"CTC Summary - Wtavg"}</definedName>
    <definedName name="April" hidden="1">{#N/A,#N/A,FALSE,"CTC Summary - EOY";#N/A,#N/A,FALSE,"CTC Summary - Wtavg"}</definedName>
    <definedName name="ARB_04">#REF!</definedName>
    <definedName name="ARB_05">#REF!</definedName>
    <definedName name="ARB_06">#REF!</definedName>
    <definedName name="ARB_07">#REF!</definedName>
    <definedName name="ARB_08">#REF!</definedName>
    <definedName name="ARB_09">#REF!</definedName>
    <definedName name="ARB_10">#REF!</definedName>
    <definedName name="ARB_11">#REF!</definedName>
    <definedName name="AS" localSheetId="31">{"'Metretek HTML'!$A$7:$W$42"}</definedName>
    <definedName name="AS">{"'Metretek HTML'!$A$7:$W$42"}</definedName>
    <definedName name="AS2DocOpenMode">"AS2DocumentEdit"</definedName>
    <definedName name="asdf" localSheetId="31"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31"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31"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OfMonthText">#REF!</definedName>
    <definedName name="assd" localSheetId="31"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ugust" localSheetId="19" hidden="1">{#N/A,#N/A,FALSE,"CTC Summary - EOY";#N/A,#N/A,FALSE,"CTC Summary - Wtavg"}</definedName>
    <definedName name="August" localSheetId="21" hidden="1">{#N/A,#N/A,FALSE,"CTC Summary - EOY";#N/A,#N/A,FALSE,"CTC Summary - Wtavg"}</definedName>
    <definedName name="August" localSheetId="22" hidden="1">{#N/A,#N/A,FALSE,"CTC Summary - EOY";#N/A,#N/A,FALSE,"CTC Summary - Wtavg"}</definedName>
    <definedName name="August" localSheetId="31" hidden="1">{#N/A,#N/A,FALSE,"CTC Summary - EOY";#N/A,#N/A,FALSE,"CTC Summary - Wtavg"}</definedName>
    <definedName name="August" localSheetId="9" hidden="1">{#N/A,#N/A,FALSE,"CTC Summary - EOY";#N/A,#N/A,FALSE,"CTC Summary - Wtavg"}</definedName>
    <definedName name="August" hidden="1">{#N/A,#N/A,FALSE,"CTC Summary - EOY";#N/A,#N/A,FALSE,"CTC Summary - Wtavg"}</definedName>
    <definedName name="avoidint">"V2001-12-31"</definedName>
    <definedName name="az" localSheetId="31">{"'Metretek HTML'!$A$7:$W$42"}</definedName>
    <definedName name="az">{"'Metretek HTML'!$A$7:$W$42"}</definedName>
    <definedName name="b" localSheetId="19" hidden="1">{#N/A,#N/A,FALSE,"CTC Summary - EOY";#N/A,#N/A,FALSE,"CTC Summary - Wtavg"}</definedName>
    <definedName name="b" localSheetId="21" hidden="1">{#N/A,#N/A,FALSE,"CTC Summary - EOY";#N/A,#N/A,FALSE,"CTC Summary - Wtavg"}</definedName>
    <definedName name="b" localSheetId="22" hidden="1">{#N/A,#N/A,FALSE,"CTC Summary - EOY";#N/A,#N/A,FALSE,"CTC Summary - Wtavg"}</definedName>
    <definedName name="b" localSheetId="31" hidden="1">{#N/A,#N/A,FALSE,"CTC Summary - EOY";#N/A,#N/A,FALSE,"CTC Summary - Wtavg"}</definedName>
    <definedName name="b" localSheetId="9" hidden="1">{#N/A,#N/A,FALSE,"CTC Summary - EOY";#N/A,#N/A,FALSE,"CTC Summary - Wtavg"}</definedName>
    <definedName name="b" hidden="1">{#N/A,#N/A,FALSE,"CTC Summary - EOY";#N/A,#N/A,FALSE,"CTC Summary - Wtavg"}</definedName>
    <definedName name="b_u_10">#REF!</definedName>
    <definedName name="b_u_11">#REF!</definedName>
    <definedName name="b_u_12">#REF!</definedName>
    <definedName name="b_u_13">#REF!</definedName>
    <definedName name="b_u_14">#REF!</definedName>
    <definedName name="b_u_15">#REF!</definedName>
    <definedName name="b_u_16">#REF!</definedName>
    <definedName name="b_u_17">#REF!</definedName>
    <definedName name="b_u_18">#REF!</definedName>
    <definedName name="b_u_19">#REF!</definedName>
    <definedName name="b_u_2">#REF!</definedName>
    <definedName name="b_u_20">#REF!</definedName>
    <definedName name="b_u_21">#REF!</definedName>
    <definedName name="b_u_22">#REF!</definedName>
    <definedName name="b_u_23">#REF!</definedName>
    <definedName name="b_u_3">#REF!</definedName>
    <definedName name="b_u_4">#REF!</definedName>
    <definedName name="b_u_5">#REF!</definedName>
    <definedName name="b_u_6">#REF!</definedName>
    <definedName name="b_u_7">#REF!</definedName>
    <definedName name="b_u_8">#REF!</definedName>
    <definedName name="b_u_9">#REF!</definedName>
    <definedName name="B1P1" localSheetId="31">#REF!</definedName>
    <definedName name="B1P1">#REF!</definedName>
    <definedName name="BALANCE">#REF!</definedName>
    <definedName name="Balances" localSheetId="31">#REF!</definedName>
    <definedName name="Balances">#REF!</definedName>
    <definedName name="BASE_DETAIL_QRE">#REF!</definedName>
    <definedName name="BASE_QRES">#REF!</definedName>
    <definedName name="BASE_QRES0.75">#REF!</definedName>
    <definedName name="BASE_QRES0.80">#REF!</definedName>
    <definedName name="BASE_QRES0.85">#REF!</definedName>
    <definedName name="BASE_QRES0.90">#REF!</definedName>
    <definedName name="BASE_QRES0.95">#REF!</definedName>
    <definedName name="BASE_QRES1.00">#REF!</definedName>
    <definedName name="BASE_QRES1.05">#REF!</definedName>
    <definedName name="BASE_QRES1.10">#REF!</definedName>
    <definedName name="BASE_QRES1.15">#REF!</definedName>
    <definedName name="BASE_QRES1.20">#REF!</definedName>
    <definedName name="BASE_QRES1.25">#REF!</definedName>
    <definedName name="BaseYear" localSheetId="31">#REF!</definedName>
    <definedName name="BaseYear">#REF!</definedName>
    <definedName name="Basis_Points">#REF!</definedName>
    <definedName name="bbb" localSheetId="31"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31"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31"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31" hidden="1">{#N/A,#N/A,FALSE,"O&amp;M by processes";#N/A,#N/A,FALSE,"Elec Act vs Bud";#N/A,#N/A,FALSE,"G&amp;A";#N/A,#N/A,FALSE,"BGS";#N/A,#N/A,FALSE,"Res Cost"}</definedName>
    <definedName name="bbc" hidden="1">{#N/A,#N/A,FALSE,"O&amp;M by processes";#N/A,#N/A,FALSE,"Elec Act vs Bud";#N/A,#N/A,FALSE,"G&amp;A";#N/A,#N/A,FALSE,"BGS";#N/A,#N/A,FALSE,"Res Cost"}</definedName>
    <definedName name="BBFAC">#REF!</definedName>
    <definedName name="BBLF" localSheetId="31">#REF!</definedName>
    <definedName name="BBLF">#REF!</definedName>
    <definedName name="BBMW" localSheetId="31">#REF!</definedName>
    <definedName name="BBMW">#REF!</definedName>
    <definedName name="BBMWH">#REF!</definedName>
    <definedName name="beg_CWIP">#REF!</definedName>
    <definedName name="below">OFFSET(!A1,1,0)</definedName>
    <definedName name="bench" localSheetId="31">#REF!</definedName>
    <definedName name="bench">#REF!</definedName>
    <definedName name="Benefits">350</definedName>
    <definedName name="beny" localSheetId="31"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x0017DGUEDPCFJUPUZOOLJCS2B" hidden="1">#REF!</definedName>
    <definedName name="BEx001CNWHJ5RULCSFM36ZCGJ1UH" localSheetId="31" hidden="1">#REF!</definedName>
    <definedName name="BEx001CNWHJ5RULCSFM36ZCGJ1UH" hidden="1">#REF!</definedName>
    <definedName name="BEx004791UAJIJSN57OT7YBLNP82" localSheetId="31"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0O4PAWETUBT0XVI1C4OHM15U" hidden="1">#REF!</definedName>
    <definedName name="BEx01HY6E3GJ66ABU5ABN26V6Q13" localSheetId="31" hidden="1">#REF!</definedName>
    <definedName name="BEx01HY6E3GJ66ABU5ABN26V6Q13" hidden="1">#REF!</definedName>
    <definedName name="BEx01PQPVA98GRAAKX3HEZZ0XK5C" localSheetId="31" hidden="1">#REF!</definedName>
    <definedName name="BEx01PQPVA98GRAAKX3HEZZ0XK5C" hidden="1">#REF!</definedName>
    <definedName name="BEx01PW5YQKEGAR8JDDI5OARYXDF" localSheetId="31" hidden="1">#REF!</definedName>
    <definedName name="BEx01PW5YQKEGAR8JDDI5OARYXDF" hidden="1">#REF!</definedName>
    <definedName name="BEx01XJ94SHJ1YQ7ORPW0RQGKI2H" hidden="1">#REF!</definedName>
    <definedName name="BEx0262TTS9LPE4KF6VUW72201AB" hidden="1">#REF!</definedName>
    <definedName name="BEx02PPH4OWYB9ZB2611OC9DA9MZ"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XBADB31WUEH8U617C5F40X9" hidden="1">#REF!</definedName>
    <definedName name="BEx1FZV2CM77TBH1R6YYV9P06KA2" hidden="1">#REF!</definedName>
    <definedName name="BEx1G59AY8195JTUM6P18VXUFJ3E" hidden="1">#REF!</definedName>
    <definedName name="BEx1GRFPRSO5UT952RBFGUHDUZN5"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HU8WGEGZ07PO2AYJ3Q7JV682" hidden="1">#REF!</definedName>
    <definedName name="BEx1I4QKTILCKZUSOJCVZN7SNHL5" localSheetId="31" hidden="1">#REF!</definedName>
    <definedName name="BEx1I4QKTILCKZUSOJCVZN7SNHL5" hidden="1">#REF!</definedName>
    <definedName name="BEx1IE0ZP7RIFM9FI24S9I6AAJ14" localSheetId="31" hidden="1">#REF!</definedName>
    <definedName name="BEx1IE0ZP7RIFM9FI24S9I6AAJ14" hidden="1">#REF!</definedName>
    <definedName name="BEx1IGQ5B697MNDOE06MVSR0H58E" localSheetId="31" hidden="1">#REF!</definedName>
    <definedName name="BEx1IGQ5B697MNDOE06MVSR0H58E" hidden="1">#REF!</definedName>
    <definedName name="BEx1IKRPW8MLB9Y485M1TL2IT9SH" hidden="1">#REF!</definedName>
    <definedName name="BEx1J0CSSHDJGBJUHVOEMCF2P4DL"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VTNDJQ0189VAB5O88Z9N2B1" hidden="1">#REF!</definedName>
    <definedName name="BEx1JXBM5W4YRWNQ0P95QQS6JWD6" hidden="1">#REF!</definedName>
    <definedName name="BEx1K4D3BL8221FE5HGCB9VDX83Q" hidden="1">#REF!</definedName>
    <definedName name="BEx1K95QRKBCQOHKAK00IAOF748I" localSheetId="31" hidden="1">#REF!</definedName>
    <definedName name="BEx1K95QRKBCQOHKAK00IAOF748I" hidden="1">#REF!</definedName>
    <definedName name="BEx1KGCOC0TV99C9CNDK7IZRHVGO" localSheetId="31" hidden="1">#REF!</definedName>
    <definedName name="BEx1KGCOC0TV99C9CNDK7IZRHVGO" hidden="1">#REF!</definedName>
    <definedName name="BEx1KGY9QEHZ9QSARMQUTQKRK4UX" localSheetId="31"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AX8UE95OMEMCKW7PJJO7FX5" hidden="1">#REF!</definedName>
    <definedName name="BEx1LD63FP2Z4BR9TKSHOZW9KKZ5" hidden="1">#REF!</definedName>
    <definedName name="BEx1LDMB9RW982DUILM2WPT5VWQ3" hidden="1">#REF!</definedName>
    <definedName name="BEx1LR3VGF6TOZ4ZPIXZ96JKRKKD" hidden="1">#REF!</definedName>
    <definedName name="BEx1LRPGDQCOEMW8YT80J1XCDCIV" hidden="1">#REF!</definedName>
    <definedName name="BEx1LRUSJW4JG54X07QWD9R27WV9" hidden="1">#REF!</definedName>
    <definedName name="BEx1LU92C01NBTGCF0WADTO32CU2" hidden="1">#REF!</definedName>
    <definedName name="BEx1M1WBK5T0LP1AK2JYV6W87ID6" hidden="1">#REF!</definedName>
    <definedName name="BEx1M51HHDYGIT8PON7U8ICL2S95" hidden="1">#REF!</definedName>
    <definedName name="BEx1M68NRL0QD9UQV1RA9L68505H" hidden="1">#REF!</definedName>
    <definedName name="BEx1MQ0S8ZPM3QRPBJFVO8KGKJO2" hidden="1">#REF!</definedName>
    <definedName name="BEx1MTRKKVCHOZ0YGID6HZ49LJTO" hidden="1">#REF!</definedName>
    <definedName name="BEx1N3CUJ3UX61X38ZAJVPEN4KMC" hidden="1">#REF!</definedName>
    <definedName name="BEx1NM34KQTO1LDNSAFD1L82UZFG" hidden="1">#REF!</definedName>
    <definedName name="BEx1NNQJ0R56EJAAW1MXNECZ55XH" hidden="1">#REF!</definedName>
    <definedName name="BEx1NO6TXZVOGCUWCCRTXRXWW0XL" localSheetId="31" hidden="1">#REF!</definedName>
    <definedName name="BEx1NO6TXZVOGCUWCCRTXRXWW0XL" hidden="1">#REF!</definedName>
    <definedName name="BEx1NS8EU5P9FQV3S0WRTXI5L361" localSheetId="31" hidden="1">#REF!</definedName>
    <definedName name="BEx1NS8EU5P9FQV3S0WRTXI5L361" hidden="1">#REF!</definedName>
    <definedName name="BEx1NUBX5VUYZFKQH69FN6BTLWCR" localSheetId="31" hidden="1">#REF!</definedName>
    <definedName name="BEx1NUBX5VUYZFKQH69FN6BTLWCR" hidden="1">#REF!</definedName>
    <definedName name="BEx1NZ4K1L8UON80Y2A4RASKWGNP" hidden="1">#REF!</definedName>
    <definedName name="BEx1O24FHGT1KV1PHK1VQ1OUH4VP" hidden="1">#REF!</definedName>
    <definedName name="BEx1OFB62PDZZNV8TCVH2GJNNOSC" hidden="1">#REF!</definedName>
    <definedName name="BEx1OLAZ915OGYWP0QP1QQWDLCRX" hidden="1">#REF!</definedName>
    <definedName name="BEx1OO5ER042IS6IC4TLDI75JNVH" hidden="1">#REF!</definedName>
    <definedName name="BEx1OTE544O0H6QOAIX6QZKHCDFW"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58EB7DAA5Y346WUQVQR9QEO" hidden="1">#REF!</definedName>
    <definedName name="BEx1P7S1J4TKGVJ43C2Q2R3M9WRB" hidden="1">#REF!</definedName>
    <definedName name="BEx1PA11BLPVZM8RC5BL46WX8YB5" hidden="1">#REF!</definedName>
    <definedName name="BEx1PBZ4BEFIPGMQXT9T8S4PZ2IM" hidden="1">#REF!</definedName>
    <definedName name="BEx1PKINWPH6BLUM5BTUM1OMO78L" hidden="1">#REF!</definedName>
    <definedName name="BEx1PLF2CFSXBZPVI6CJ534EIJDN" hidden="1">#REF!</definedName>
    <definedName name="BEx1PMWZB2DO6EM9BKLUICZJ65HD" hidden="1">#REF!</definedName>
    <definedName name="BEx1PUK290DX9LHEN2RS5E5L92YR" hidden="1">#REF!</definedName>
    <definedName name="BEx1PWNKPN825TMXC0L3V3FWMXS4" hidden="1">#REF!</definedName>
    <definedName name="BEx1Q21TG5PWZ4V504UC7VGQ9FEI" localSheetId="31" hidden="1">#REF!</definedName>
    <definedName name="BEx1Q21TG5PWZ4V504UC7VGQ9FEI" hidden="1">#REF!</definedName>
    <definedName name="BEx1QA54J2A4I7IBQR19BTY28ZMR" localSheetId="31" hidden="1">#REF!</definedName>
    <definedName name="BEx1QA54J2A4I7IBQR19BTY28ZMR" hidden="1">#REF!</definedName>
    <definedName name="BEx1QMKTAIQ9VGEWQ95YM98EUX0H" localSheetId="31" hidden="1">#REF!</definedName>
    <definedName name="BEx1QMKTAIQ9VGEWQ95YM98EUX0H" hidden="1">#REF!</definedName>
    <definedName name="BEx1QMQAHG3KQUK59DVM68SWKZIZ" hidden="1">#REF!</definedName>
    <definedName name="BEx1R9YFKJCMSEST8OVCAO5E47FO" hidden="1">#REF!</definedName>
    <definedName name="BEx1RBGC06B3T52OIC0EQ1KGVP1I" hidden="1">#REF!</definedName>
    <definedName name="BEx1RG3NJLA83JCT26IM1NH7FHA3" hidden="1">#REF!</definedName>
    <definedName name="BEx1RPJGA9DKDGRAYU2BHE6FRJ0N"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FGNVAFMGBWWJ1P5SP00N381" hidden="1">#REF!</definedName>
    <definedName name="BEx1SFGP1BMG8LP140SHD1AEEPXP" hidden="1">#REF!</definedName>
    <definedName name="BEx1SK3U02H0RGKEYXW7ZMCEOF3V" localSheetId="31" hidden="1">#REF!</definedName>
    <definedName name="BEx1SK3U02H0RGKEYXW7ZMCEOF3V" hidden="1">#REF!</definedName>
    <definedName name="BEx1SO5L68CL3H1IC2HQ6TPY8U6F" localSheetId="31" hidden="1">#REF!</definedName>
    <definedName name="BEx1SO5L68CL3H1IC2HQ6TPY8U6F" hidden="1">#REF!</definedName>
    <definedName name="BEx1SSNEZINBJT29QVS62VS1THT4" localSheetId="31" hidden="1">#REF!</definedName>
    <definedName name="BEx1SSNEZINBJT29QVS62VS1THT4" hidden="1">#REF!</definedName>
    <definedName name="BEx1SVNCHNANBJIDIQVB8AFK4HAN" hidden="1">#REF!</definedName>
    <definedName name="BEx1TE2YGKCOGDSQUWA9TLZW5GV4" hidden="1">#REF!</definedName>
    <definedName name="BEx1TJ0WLS9O7KNSGIPWTYHDYI1D" hidden="1">#REF!</definedName>
    <definedName name="BEx1TLF98B75D1P3EJQ1GRYKUU6P" hidden="1">#REF!</definedName>
    <definedName name="BEx1TYRAHXVPGDVF5KTTB3900F58" hidden="1">#REF!</definedName>
    <definedName name="BEx1U15M7LVVFZENH830B2BGWC04" localSheetId="31" hidden="1">#REF!</definedName>
    <definedName name="BEx1U15M7LVVFZENH830B2BGWC04" hidden="1">#REF!</definedName>
    <definedName name="BEx1U5NGVTXGL4CIPVT5O034KGGR" localSheetId="31" hidden="1">#REF!</definedName>
    <definedName name="BEx1U5NGVTXGL4CIPVT5O034KGGR" hidden="1">#REF!</definedName>
    <definedName name="BEx1U7WFO8OZKB1EBF4H386JW91L" localSheetId="31" hidden="1">#REF!</definedName>
    <definedName name="BEx1U7WFO8OZKB1EBF4H386JW91L" hidden="1">#REF!</definedName>
    <definedName name="BEx1U87938YR9N6HYI24KVBKLOS3" localSheetId="31" hidden="1">#REF!</definedName>
    <definedName name="BEx1U87938YR9N6HYI24KVBKLOS3" hidden="1">#REF!</definedName>
    <definedName name="BEx1UESH4KDWHYESQU2IE55RS3LI" localSheetId="31" hidden="1">#REF!</definedName>
    <definedName name="BEx1UESH4KDWHYESQU2IE55RS3LI" hidden="1">#REF!</definedName>
    <definedName name="BEx1UFZM4VZBYSPNK43H7Y6HNB2B" hidden="1">#REF!</definedName>
    <definedName name="BEx1UI8N9KTCPSOJ7RDW0T8UEBNP" hidden="1">#REF!</definedName>
    <definedName name="BEx1UML0HHJFHA5TBOYQ24I3RV1W" hidden="1">#REF!</definedName>
    <definedName name="BEx1UUDIQPZ23XQ79GUL0RAWRSCK" hidden="1">#REF!</definedName>
    <definedName name="BEx1UUTSK2C11SHV8AJXLYCJP9N4" hidden="1">#REF!</definedName>
    <definedName name="BEx1V67SEV778NVW68J8W5SND1J7" hidden="1">#REF!</definedName>
    <definedName name="BEx1VAK6RBDZVE57N471WHPORUOE"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1SS6VBZVRNQ2BCV14SDSN2T"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40E3PP1FR4Z1T8TYMERO4NV" hidden="1">#REF!</definedName>
    <definedName name="BEx1YESSUDLAERX6LBB8V56M8SLC"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3OD51ISAN2LLIBMULN0U4ZC" hidden="1">#REF!</definedName>
    <definedName name="BEx3BAKI5N8MFGVWZWCRJQZ879OO" hidden="1">#REF!</definedName>
    <definedName name="BEx3BG9I89VA2OLYT4PV61JDXU69" hidden="1">#REF!</definedName>
    <definedName name="BEx3BG9J3N0QW0HQLPDKHG4LNUP8"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WAOSJWUXB8I63LLLOB0IJP1" hidden="1">#REF!</definedName>
    <definedName name="BEx3BYP0FG369M7G3JEFLMMXAKTS" hidden="1">#REF!</definedName>
    <definedName name="BEx3C2QR0WUD19QSVO8EMIPNQJKH" hidden="1">#REF!</definedName>
    <definedName name="BEx3C8AAGO4EJFEL0JJN2VY0HYIB" hidden="1">#REF!</definedName>
    <definedName name="BEx3CCS3VNR1KW2R7DKSQFZ17QW0" hidden="1">#REF!</definedName>
    <definedName name="BEx3CJTRYTU2EE1EL7M6DVFD01KO" hidden="1">#REF!</definedName>
    <definedName name="BEx3CKFCCPZZ6ROLAT5C1DZNIC1U" hidden="1">#REF!</definedName>
    <definedName name="BEx3CN4AESXZTH159TR8B9DJG12Z" hidden="1">#REF!</definedName>
    <definedName name="BEx3CO0SVO4WLH0DO43DCHYDTH1P" hidden="1">#REF!</definedName>
    <definedName name="BEx3D9G6QTSPF9UYI4X0XY0VE896" hidden="1">#REF!</definedName>
    <definedName name="BEx3DCQU9PBRXIMLO62KS5RLH447" hidden="1">#REF!</definedName>
    <definedName name="BEx3E9K8R6R3TVXS3UM0127D8DNP" hidden="1">#REF!</definedName>
    <definedName name="BEx3EE23XC21IEMZ81C84ZBTBZA8"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EYVWCTX3E5LGECYH82ENAGBU" hidden="1">#REF!</definedName>
    <definedName name="BEx3F0JC8H5K4UPZ6HTO1OZ2OOOA" hidden="1">#REF!</definedName>
    <definedName name="BEx3F86EA79UA9R15EEYT5ZAYQGI" hidden="1">#REF!</definedName>
    <definedName name="BEx3FF2JGKF9FOM69W2I5I0JVUSZ" hidden="1">#REF!</definedName>
    <definedName name="BEx3FHMD1P5XBCH23ZKIFO6ZTCNB" hidden="1">#REF!</definedName>
    <definedName name="BEx3FI2G3YYIACQHXNXEA15M8ZK5" hidden="1">#REF!</definedName>
    <definedName name="BEx3FJ9MHSLDK8W91GO85FX1GX57" hidden="1">#REF!</definedName>
    <definedName name="BEx3FNM4HIBMXBBXPV7LKCWA3GHW" hidden="1">#REF!</definedName>
    <definedName name="BEx3FR251HFU7A33PU01SJUENL2B" hidden="1">#REF!</definedName>
    <definedName name="BEx3FRIE1T53ZMO1E61ZGQ9THDOQ" hidden="1">#REF!</definedName>
    <definedName name="BEx3FX7EJL47JSLSWP3EOC265WAE" localSheetId="31" hidden="1">#REF!</definedName>
    <definedName name="BEx3FX7EJL47JSLSWP3EOC265WAE" hidden="1">#REF!</definedName>
    <definedName name="BEx3G201R8NLJ6FIHO2QS0SW9QVV" localSheetId="31" hidden="1">#REF!</definedName>
    <definedName name="BEx3G201R8NLJ6FIHO2QS0SW9QVV" hidden="1">#REF!</definedName>
    <definedName name="BEx3G2LL2II66XY5YCDPG4JE13A3" localSheetId="31" hidden="1">#REF!</definedName>
    <definedName name="BEx3G2LL2II66XY5YCDPG4JE13A3" hidden="1">#REF!</definedName>
    <definedName name="BEx3G2WA0DTYY9D8AGHHOBTPE2B2" hidden="1">#REF!</definedName>
    <definedName name="BEx3G3HT0ZM1BO84RTJMXZ1842C6" hidden="1">#REF!</definedName>
    <definedName name="BEx3GCXR6IAS0B6WJ03GJVH7CO52" localSheetId="31" hidden="1">#REF!</definedName>
    <definedName name="BEx3GCXR6IAS0B6WJ03GJVH7CO52" hidden="1">#REF!</definedName>
    <definedName name="BEx3GEVV18SEQDI1JGY7EN6D1GT1" localSheetId="31" hidden="1">#REF!</definedName>
    <definedName name="BEx3GEVV18SEQDI1JGY7EN6D1GT1" hidden="1">#REF!</definedName>
    <definedName name="BEx3GKFH64MKQX61S7DYTZ15JCPY" localSheetId="3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VD97A24S6H24BSXJFP4JCW6" hidden="1">#REF!</definedName>
    <definedName name="BEx3H5UX2GZFZZT657YR76RHW5I6" hidden="1">#REF!</definedName>
    <definedName name="BEx3HMSEFOP6DBM4R97XA6B7NFG6" hidden="1">#REF!</definedName>
    <definedName name="BEx3HNZM1GOP9RT8C2AXOMFXIMQ8" hidden="1">#REF!</definedName>
    <definedName name="BEx3HWJ5SQSD2CVCQNR183X44FR8" hidden="1">#REF!</definedName>
    <definedName name="BEx3I09YVXO0G4X7KGSA4WGORM35" hidden="1">#REF!</definedName>
    <definedName name="BEx3I7BLM11AXCZ8E4JU8ZIAXPAS"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HMINP1THWDI6C83QR21FBGR" hidden="1">#REF!</definedName>
    <definedName name="BEx3JX23SYDIGOGM4Y0CQFBW8ZBV" hidden="1">#REF!</definedName>
    <definedName name="BEx3JXCXCVBZJGV5VEG9MJEI01AL" hidden="1">#REF!</definedName>
    <definedName name="BEx3JY98ZGQOIJAD31AKR12C64LP" hidden="1">#REF!</definedName>
    <definedName name="BEx3JYK2N7X59TPJSKYZ77ENY8SS" hidden="1">#REF!</definedName>
    <definedName name="BEx3K4EII7GU1CG0BN7UL15M6J8Z" hidden="1">#REF!</definedName>
    <definedName name="BEx3K4ZXQUQ2KYZF74B84SO48XMW" hidden="1">#REF!</definedName>
    <definedName name="BEx3K5QZUNWBEQQWDCJDXXFBV4QK" hidden="1">#REF!</definedName>
    <definedName name="BEx3KC6WKRCQX6L4P34ZM7CCJFBT"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7NTB2BHXP26B5F4A3PRTY0Z" hidden="1">#REF!</definedName>
    <definedName name="BEx3LM1PR4Y7KINKMTMKR984GX8Q" hidden="1">#REF!</definedName>
    <definedName name="BEx3LPCEZ1C0XEKNCM3YT09JWCUO" hidden="1">#REF!</definedName>
    <definedName name="BEx3LTU80DDHQRJRLVN79J3RC5Z0" hidden="1">#REF!</definedName>
    <definedName name="BEx3LUL5EICSTN6KP1M6B7NAHYVO" hidden="1">#REF!</definedName>
    <definedName name="BEx3M1MR1K1NQD03H74BFWOK4MWQ" hidden="1">#REF!</definedName>
    <definedName name="BEx3M4H77MYUKOOD31H9F80NMVK8" hidden="1">#REF!</definedName>
    <definedName name="BEx3M885DQ9KX2HJ6T6P6HDY9GC4" hidden="1">#REF!</definedName>
    <definedName name="BEx3M9VFX329PZWYC4DMZ6P3W9R2" hidden="1">#REF!</definedName>
    <definedName name="BEx3MCQ0L5NQSPA1DGA0QTYSLHNP" hidden="1">#REF!</definedName>
    <definedName name="BEx3MCQ0VEBV0CZXDS505L38EQ8N" hidden="1">#REF!</definedName>
    <definedName name="BEx3ME2HC294KYAUDR73NXYGVDW0" hidden="1">#REF!</definedName>
    <definedName name="BEx3MEYV5LQY0BAL7V3CFAFVOM3T" hidden="1">#REF!</definedName>
    <definedName name="BEx3MREOFWJQEYMCMBL7ZE06NBN6" hidden="1">#REF!</definedName>
    <definedName name="BEx3MRPHDEYR919ZKPYTH3O7DQTY" hidden="1">#REF!</definedName>
    <definedName name="BEx3NKXF7GYXHBK75UI6MDRUSU0J" hidden="1">#REF!</definedName>
    <definedName name="BEx3NLIZ7PHF2XE59ECZ3MD04ZG1" hidden="1">#REF!</definedName>
    <definedName name="BEx3NMQ4BVC94728AUM7CCX7UHTU" hidden="1">#REF!</definedName>
    <definedName name="BEx3NNBPZUO6BZU0DLA11SQERG4L" hidden="1">#REF!</definedName>
    <definedName name="BEx3NR2I4OUFP3Z2QZEDU2PIFIDI" hidden="1">#REF!</definedName>
    <definedName name="BEx3NVV3RL4UV2EU430NY5LKTPXD" hidden="1">#REF!</definedName>
    <definedName name="BEx3O1420BO99ELGBDOEK6YUS2AH" hidden="1">#REF!</definedName>
    <definedName name="BEx3O19B8FTTAPVT5DZXQGQXWFR8" hidden="1">#REF!</definedName>
    <definedName name="BEx3O208V4211X3WMWUFFIW28Y5U" hidden="1">#REF!</definedName>
    <definedName name="BEx3O7JY7N5U41CVEUHYIEK343YH" hidden="1">#REF!</definedName>
    <definedName name="BEx3O85IKWARA6NCJOLRBRJFMEWW" hidden="1">#REF!</definedName>
    <definedName name="BEx3OFCGQH8N5QT3C8M44CX5CLHX" localSheetId="31" hidden="1">#REF!</definedName>
    <definedName name="BEx3OFCGQH8N5QT3C8M44CX5CLHX" hidden="1">#REF!</definedName>
    <definedName name="BEx3OJZSCGFRW7SVGBFI0X9DNVMM" localSheetId="31" hidden="1">#REF!</definedName>
    <definedName name="BEx3OJZSCGFRW7SVGBFI0X9DNVMM" hidden="1">#REF!</definedName>
    <definedName name="BEx3ORSBUXAF21MKEY90YJV9AY9A" localSheetId="31"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G24EE6BFX4WK0PD7YR4MWXE"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CKN624WDXN9HIU6BDOOFL1"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LKKMOCYGB7DSNC29XGRU52O" hidden="1">#REF!</definedName>
    <definedName name="BEx3QR9D45DHW50VQ7Y3Q1AXPOB9" hidden="1">#REF!</definedName>
    <definedName name="BEx3QSWT2S5KWG6U2V9711IYDQBM" hidden="1">#REF!</definedName>
    <definedName name="BEx3QU9AM2D9N0887SF1H9427JKU" hidden="1">#REF!</definedName>
    <definedName name="BEx3QVGG7Q2X4HZHJAM35A8T3VR7" hidden="1">#REF!</definedName>
    <definedName name="BEx3R0JUB9YN8PHPPQTAMIT1IHWK" hidden="1">#REF!</definedName>
    <definedName name="BEx3R81NFRO7M81VHVKOBFT0QBIL" hidden="1">#REF!</definedName>
    <definedName name="BEx3R8N7YCUKJFKXRC8VVKDGUCWT" hidden="1">#REF!</definedName>
    <definedName name="BEx3RFJCSRTFFKD3A8DC3F4ZHW92" hidden="1">#REF!</definedName>
    <definedName name="BEx3RHC2ZD5UFS6QD4OPFCNNMWH1" hidden="1">#REF!</definedName>
    <definedName name="BEx3RHMVYSP3UJFE4JFGYN439AJK" hidden="1">#REF!</definedName>
    <definedName name="BEx3RKHARL8IJX5B7DY70B7NIRVT" hidden="1">#REF!</definedName>
    <definedName name="BEx3RQ10QIWBAPHALAA91BUUCM2X" hidden="1">#REF!</definedName>
    <definedName name="BEx3RV4E1WT43SZBUN09RTB8EK1O" hidden="1">#REF!</definedName>
    <definedName name="BEx3RXO31FBRRLV0JNYV5WKXBI0B" hidden="1">#REF!</definedName>
    <definedName name="BEx3RXYU0QLFXSFTM5EB20GD03W5" hidden="1">#REF!</definedName>
    <definedName name="BEx3RYKLC3QQO3XTUN7BEW2AQL98" hidden="1">#REF!</definedName>
    <definedName name="BEx3S0D6JUMB108LOCZDSMZJEEJ5" hidden="1">#REF!</definedName>
    <definedName name="BEx3SHWF5FZ1ENNWE8YT6JTBCDWU"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90SRPHVFZGKZPEL156PTBLG" hidden="1">#REF!</definedName>
    <definedName name="BEx3TMNO7NM03FQTML6ZEBRQXY0M"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G11PSVRK9DW5ZNKOB4T24MN" hidden="1">#REF!</definedName>
    <definedName name="BEx3UIQ5B7PL8QJ6RI0LF7QJWLLO" localSheetId="31" hidden="1">#REF!</definedName>
    <definedName name="BEx3UIQ5B7PL8QJ6RI0LF7QJWLLO" hidden="1">#REF!</definedName>
    <definedName name="BEx3UIQ5WRJBGNTFCCLOR4N7B1OQ" localSheetId="31" hidden="1">#REF!</definedName>
    <definedName name="BEx3UIQ5WRJBGNTFCCLOR4N7B1OQ" hidden="1">#REF!</definedName>
    <definedName name="BEx3UJMIX2NUSSWGMSI25A5DM4CH" localSheetId="31" hidden="1">#REF!</definedName>
    <definedName name="BEx3UJMIX2NUSSWGMSI25A5DM4CH" hidden="1">#REF!</definedName>
    <definedName name="BEx3UKOCOQG7S1YQ436S997K1KWV" hidden="1">#REF!</definedName>
    <definedName name="BEx3UQ7WT8T56S476IYJBFTP1FBY" hidden="1">#REF!</definedName>
    <definedName name="BEx3UU46FGPB8C5GM6QZZZNI8FY1" localSheetId="31" hidden="1">#REF!</definedName>
    <definedName name="BEx3UU46FGPB8C5GM6QZZZNI8FY1" hidden="1">#REF!</definedName>
    <definedName name="BEx3UYM19VIXLA0EU7LB9NHA77PB" localSheetId="31" hidden="1">#REF!</definedName>
    <definedName name="BEx3UYM19VIXLA0EU7LB9NHA77PB" hidden="1">#REF!</definedName>
    <definedName name="BEx3V0EPR8DD44FA1TJFATXBJ5BA" localSheetId="31" hidden="1">#REF!</definedName>
    <definedName name="BEx3V0EPR8DD44FA1TJFATXBJ5BA" hidden="1">#REF!</definedName>
    <definedName name="BEx3VML7CG70HPISMVYIUEN3711Q" hidden="1">#REF!</definedName>
    <definedName name="BEx56ZID5H04P9AIYLP1OASFGV56" hidden="1">#REF!</definedName>
    <definedName name="BEx57VVOKGYOTHR9Z8AJNKRDSU20" hidden="1">#REF!</definedName>
    <definedName name="BEx587EYSS57E3PI8DT973HLJM9E" hidden="1">#REF!</definedName>
    <definedName name="BEx587KFQ3VKCOCY1SA5F24PQGUI" hidden="1">#REF!</definedName>
    <definedName name="BEx589YSF6Z3BES2WDO9VJF6J7RD" hidden="1">#REF!</definedName>
    <definedName name="BEx58HRBEO7GYHL70I9S0DIIR5Y3" hidden="1">#REF!</definedName>
    <definedName name="BEx58O1WGJ5ARYSTQ7E7Z9CZ70FW"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6ATFUVEJ0HUDROD1OO0CGV5"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RVI26GBOMZ6NBHE2KUBTNSP" hidden="1">#REF!</definedName>
    <definedName name="BEx5AUVDSQ35VO4BD9AKKGBM5S7D" localSheetId="31" hidden="1">#REF!</definedName>
    <definedName name="BEx5AUVDSQ35VO4BD9AKKGBM5S7D" hidden="1">#REF!</definedName>
    <definedName name="BEx5B4RHHX0J1BF2FZKEA0SPP29O" localSheetId="31" hidden="1">#REF!</definedName>
    <definedName name="BEx5B4RHHX0J1BF2FZKEA0SPP29O" hidden="1">#REF!</definedName>
    <definedName name="BEx5B5YMSWP0OVI5CIQRP5V18D0C" localSheetId="31"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5L6LIQ99M87XJMWWNL031Z" hidden="1">#REF!</definedName>
    <definedName name="BEx5BDR56MEV4IHY6CIH2SVNG1UB" hidden="1">#REF!</definedName>
    <definedName name="BEx5BESZC5H329SKHGJOHZFILYJJ" hidden="1">#REF!</definedName>
    <definedName name="BEx5BHSQ42B50IU1TEQFUXFX9XQD" hidden="1">#REF!</definedName>
    <definedName name="BEx5BKHUCQEM4FA2DEQUKKC2QEYR" hidden="1">#REF!</definedName>
    <definedName name="BEx5BKSM4UN4C1DM3EYKM79MRC5K" hidden="1">#REF!</definedName>
    <definedName name="BEx5BNN8NPH9KVOBARB9CDD9WLB6" hidden="1">#REF!</definedName>
    <definedName name="BEx5BQ6UF5C89VX5ZUUUNN7Q2S3Z" hidden="1">#REF!</definedName>
    <definedName name="BEx5BWC3RHNNZZNXQ3IJ1GNNZW7M" hidden="1">#REF!</definedName>
    <definedName name="BEx5BXJATFA4GZNILN2UJ1D2AOGO"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SUOL05D8PAM2TRDA9VRJT1O" hidden="1">#REF!</definedName>
    <definedName name="BEx5CUNFOO4YDFJ22HCMI2QKIGKM" hidden="1">#REF!</definedName>
    <definedName name="BEx5D2W3OTZO7F8Q91CV254Q4LKE" hidden="1">#REF!</definedName>
    <definedName name="BEx5D5W0OED6788ZKXNBW6BMYRB4"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EW87ACRI46LAKG0VDJVFLG7R" hidden="1">#REF!</definedName>
    <definedName name="BEx5F6KF3SROYIFF0A1HJRV87YZC" hidden="1">#REF!</definedName>
    <definedName name="BEx5F6V72QTCK7O39Y59R0EVM6CW" hidden="1">#REF!</definedName>
    <definedName name="BEx5F9K9B2XA4LVU2LJMI89AW8BO"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OUK8T0EOTFUKGIWKKOE6F7G" hidden="1">#REF!</definedName>
    <definedName name="BEx5FQNA6V4CNYSH013K45RI4BCV" hidden="1">#REF!</definedName>
    <definedName name="BEx5FVQPPEU32CPNV9RRQ9MNLLVE" hidden="1">#REF!</definedName>
    <definedName name="BEx5FZC6RK92TU32WZ4N099LWYKZ"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78SWSMTWKQVAC01YN6480JD"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8DU0ZDRX2BY3TDR7LG7FYG" hidden="1">#REF!</definedName>
    <definedName name="BEx5HJZ9FAVNZSSBTAYRPZDYM9NU" hidden="1">#REF!</definedName>
    <definedName name="BEx5HMDKAGHEFJ193YZUKU547LDS" hidden="1">#REF!</definedName>
    <definedName name="BEx5HZ9JMKHNLFWLVUB1WP5B39BL" hidden="1">#REF!</definedName>
    <definedName name="BEx5I1D22RX2VD9NZESVVM6JZ8G5" hidden="1">#REF!</definedName>
    <definedName name="BEx5I244LQHZTF3XI66J8705R9XX" hidden="1">#REF!</definedName>
    <definedName name="BEx5I5K5UOAJ82FDJ4HULUM3KX7E"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IMN4F143KVYVDFOQYZVJG5X6" hidden="1">#REF!</definedName>
    <definedName name="BEx5ITU42638OWOBF2BOWE37XFP9"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F88OT7666J799PZCTHRBOPU" hidden="1">#REF!</definedName>
    <definedName name="BEx5KMVAY7UVXRQY7NI5EZYMNGC7"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Z9QXSWRX35EGBF4FB303PNE" hidden="1">#REF!</definedName>
    <definedName name="BEx5MB9BR71LZDG7XXQ2EO58JC5F" hidden="1">#REF!</definedName>
    <definedName name="BEx5MLQZM68YQSKARVWTTPINFQ2C" hidden="1">#REF!</definedName>
    <definedName name="BEx5MVXTKNBXHNWTL43C670E4KXC" localSheetId="31" hidden="1">#REF!</definedName>
    <definedName name="BEx5MVXTKNBXHNWTL43C670E4KXC" hidden="1">#REF!</definedName>
    <definedName name="BEx5N4XI4PWB1W9PMZ4O5R0HWTYD" localSheetId="31" hidden="1">#REF!</definedName>
    <definedName name="BEx5N4XI4PWB1W9PMZ4O5R0HWTYD" hidden="1">#REF!</definedName>
    <definedName name="BEx5N8TQPT9Q7AMBG5SNEYKR98Y8" localSheetId="31" hidden="1">#REF!</definedName>
    <definedName name="BEx5N8TQPT9Q7AMBG5SNEYKR98Y8" hidden="1">#REF!</definedName>
    <definedName name="BEx5NA68N6FJFX9UJXK4M14U487F" hidden="1">#REF!</definedName>
    <definedName name="BEx5ND64XZTLSC6HF2CJ3WYIIH2F" hidden="1">#REF!</definedName>
    <definedName name="BEx5NHTGLW35S2ITT7VPUKDNZRF7" hidden="1">#REF!</definedName>
    <definedName name="BEx5NIKBG2GDJOYGE3WCXKU7YY51" hidden="1">#REF!</definedName>
    <definedName name="BEx5NV06L5J5IMKGOMGKGJ4PBZCD" hidden="1">#REF!</definedName>
    <definedName name="BEx5NZSSQ6PY99ZX2D7Q9IGOR34W" hidden="1">#REF!</definedName>
    <definedName name="BEx5O2CHK5IPBZFPSJ15PKMKXH2W" hidden="1">#REF!</definedName>
    <definedName name="BEx5O3ZUQ2OARA1CDOZ3NC4UE5AA" hidden="1">#REF!</definedName>
    <definedName name="BEx5OAFS0NJ2CB86A02E1JYHMLQ1" hidden="1">#REF!</definedName>
    <definedName name="BEx5OFDQH6J3G0YOE5U93X2QN95E" hidden="1">#REF!</definedName>
    <definedName name="BEx5OG4RPU8W1ETWDWM234NYYYEN" hidden="1">#REF!</definedName>
    <definedName name="BEx5OP9Y43F99O2IT69MKCCXGL61" hidden="1">#REF!</definedName>
    <definedName name="BEx5ORDB6IPFBL15XLQCRC6PS01K" hidden="1">#REF!</definedName>
    <definedName name="BEx5P3243YD55WK9A04WKXBOHZ9F" hidden="1">#REF!</definedName>
    <definedName name="BEx5P9Y9RDXNUAJ6CZ2LHMM8IM7T" localSheetId="31" hidden="1">#REF!</definedName>
    <definedName name="BEx5P9Y9RDXNUAJ6CZ2LHMM8IM7T" hidden="1">#REF!</definedName>
    <definedName name="BEx5PF76KPATYJ4N41VA1D7CDWY4" localSheetId="31" hidden="1">#REF!</definedName>
    <definedName name="BEx5PF76KPATYJ4N41VA1D7CDWY4" hidden="1">#REF!</definedName>
    <definedName name="BEx5PHWB2C0D5QLP3BZIP3UO7DIZ" localSheetId="31"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SVN624OKKQLMBVAPE9KAL13" hidden="1">#REF!</definedName>
    <definedName name="BEx74W6BJ8ENO3J25WNM5H5APKA3" hidden="1">#REF!</definedName>
    <definedName name="BEx7532GP65LPFYWT7B0NMQMFZNV" hidden="1">#REF!</definedName>
    <definedName name="BEx755GRRD9BL27YHLH5QWIYLWB7" hidden="1">#REF!</definedName>
    <definedName name="BEx7579IFVUAVJ784K1JNXQW1Z9I" hidden="1">#REF!</definedName>
    <definedName name="BEx759D1D5SXS5ELLZVBI0SXYUNF" hidden="1">#REF!</definedName>
    <definedName name="BEx75GJZSZHUDN6OOAGQYFUDA2LP" hidden="1">#REF!</definedName>
    <definedName name="BEx75HGCCV5K4UCJWYV8EV9AG5YT" hidden="1">#REF!</definedName>
    <definedName name="BEx75OHUDAC9RZDLL9L4I1L7VQ21" hidden="1">#REF!</definedName>
    <definedName name="BEx75PZT8TY5P13U978NVBUXKHT4" localSheetId="31" hidden="1">#REF!</definedName>
    <definedName name="BEx75PZT8TY5P13U978NVBUXKHT4" hidden="1">#REF!</definedName>
    <definedName name="BEx75T55F7GML8V1DMWL26WRT006" localSheetId="31" hidden="1">#REF!</definedName>
    <definedName name="BEx75T55F7GML8V1DMWL26WRT006" hidden="1">#REF!</definedName>
    <definedName name="BEx75VJGR07JY6UUWURQ4PJ29UKC" localSheetId="31" hidden="1">#REF!</definedName>
    <definedName name="BEx75VJGR07JY6UUWURQ4PJ29UKC" hidden="1">#REF!</definedName>
    <definedName name="BEx7696C3JFS7JTBL4CH2YB4GLHQ" hidden="1">#REF!</definedName>
    <definedName name="BEx76F0MJW2PS2LZH14RJZO14ARD" hidden="1">#REF!</definedName>
    <definedName name="BEx7741OUGLA0WJQLQRUJSL4DE00" localSheetId="31" hidden="1">#REF!</definedName>
    <definedName name="BEx7741OUGLA0WJQLQRUJSL4DE00" hidden="1">#REF!</definedName>
    <definedName name="BEx774N83DXLJZ54Q42PWIJZ2DN1" localSheetId="31" hidden="1">#REF!</definedName>
    <definedName name="BEx774N83DXLJZ54Q42PWIJZ2DN1" hidden="1">#REF!</definedName>
    <definedName name="BEx779QNIY3061ZV9BR462WKEGRW" localSheetId="31" hidden="1">#REF!</definedName>
    <definedName name="BEx779QNIY3061ZV9BR462WKEGRW" hidden="1">#REF!</definedName>
    <definedName name="BEx77G19QU9A95CNHE6QMVSQR2T3" hidden="1">#REF!</definedName>
    <definedName name="BEx77NIZM6XEWOV6EXQU2UG5MSUR" hidden="1">#REF!</definedName>
    <definedName name="BEx77P0S3GVMS7BJUL9OWUGJ1B02" localSheetId="31" hidden="1">#REF!</definedName>
    <definedName name="BEx77P0S3GVMS7BJUL9OWUGJ1B02" hidden="1">#REF!</definedName>
    <definedName name="BEx77P69SYJJ2S37W7MAD4IWKUO4" localSheetId="31" hidden="1">#REF!</definedName>
    <definedName name="BEx77P69SYJJ2S37W7MAD4IWKUO4" hidden="1">#REF!</definedName>
    <definedName name="BEx77QDESURI6WW5582YXSK3A972" localSheetId="31" hidden="1">#REF!</definedName>
    <definedName name="BEx77QDESURI6WW5582YXSK3A972" hidden="1">#REF!</definedName>
    <definedName name="BEx77U9O8O8ZI1JB5ZFCC25C06DJ"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7GF57Y7X323F3OTRWSGH7HZ" hidden="1">#REF!</definedName>
    <definedName name="BEx7881ZZBWHRAX6W2GY19J8MGEQ" hidden="1">#REF!</definedName>
    <definedName name="BEx78HHRIWDLHQX2LG0HWFRYEL1T" hidden="1">#REF!</definedName>
    <definedName name="BEx78LE2GHJ4PVWT3ULLA2J3TY1V" hidden="1">#REF!</definedName>
    <definedName name="BEx78QMXZ2P1ZB3HJ9O50DWHCMXR" hidden="1">#REF!</definedName>
    <definedName name="BEx78SFO5VR28677DWZEMDN7G86X" hidden="1">#REF!</definedName>
    <definedName name="BEx78SFOYH1Z0ZDTO47W2M60TW6K" hidden="1">#REF!</definedName>
    <definedName name="BEx79APUP133FLMIO8AZJFIIYD1L"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18OPKC61FNESSBTAXMF8AW7" hidden="1">#REF!</definedName>
    <definedName name="BEx7A1DZ3ACKTQDO9ELXW44GL8Y2" hidden="1">#REF!</definedName>
    <definedName name="BEx7A7DRZSSF2EG6JQH27X93U90I" localSheetId="31" hidden="1">#REF!</definedName>
    <definedName name="BEx7A7DRZSSF2EG6JQH27X93U90I" hidden="1">#REF!</definedName>
    <definedName name="BEx7A9S3JA1X7FH4CFSQLTZC4691" localSheetId="31" hidden="1">#REF!</definedName>
    <definedName name="BEx7A9S3JA1X7FH4CFSQLTZC4691" hidden="1">#REF!</definedName>
    <definedName name="BEx7ABA2C9IWH5VSLVLLLCY62161" localSheetId="31" hidden="1">#REF!</definedName>
    <definedName name="BEx7ABA2C9IWH5VSLVLLLCY62161" hidden="1">#REF!</definedName>
    <definedName name="BEx7AE4LPLX8N85BYB0WCO5S7ZPV" hidden="1">#REF!</definedName>
    <definedName name="BEx7AJ81S7N0ZOX5HWUXTT04D8KK" hidden="1">#REF!</definedName>
    <definedName name="BEx7AQKAXA50BVHLEWZFVHEFM6BR" localSheetId="31" hidden="1">#REF!</definedName>
    <definedName name="BEx7AQKAXA50BVHLEWZFVHEFM6BR" hidden="1">#REF!</definedName>
    <definedName name="BEx7ASD1I654MEDCO6GGWA95PXSC" localSheetId="31" hidden="1">#REF!</definedName>
    <definedName name="BEx7ASD1I654MEDCO6GGWA95PXSC" hidden="1">#REF!</definedName>
    <definedName name="BEx7AVCX9S5RJP3NSZ4QM4E6ERDT" localSheetId="31" hidden="1">#REF!</definedName>
    <definedName name="BEx7AVCX9S5RJP3NSZ4QM4E6ERDT" hidden="1">#REF!</definedName>
    <definedName name="BEx7AVT704ZMAOMB9JGPZ6LXHSQG"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1RKPVBM823KIGN85C8NOGLB" hidden="1">#REF!</definedName>
    <definedName name="BEx7C40F0PQURHPI6YQ39NFIR86Z" hidden="1">#REF!</definedName>
    <definedName name="BEx7C93VR7SYRIJS1JO8YZKSFAW9" hidden="1">#REF!</definedName>
    <definedName name="BEx7CCPC6R1KQQZ2JQU6EFI1G0RM" hidden="1">#REF!</definedName>
    <definedName name="BEx7CDAXF5MHW62MV0JHIEM92MPI" hidden="1">#REF!</definedName>
    <definedName name="BEx7CIJST9GLS2QD383UK7VUDTGL" hidden="1">#REF!</definedName>
    <definedName name="BEx7CN1OPV8F04BRSJJSWFTXJAD5"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SW841R32GCRO0M9X6GW5L"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V2C287ME9PQ0FIM5QWZ3O9K" hidden="1">#REF!</definedName>
    <definedName name="BEx7EWK9GUVV6FXWYIGH0TAI4V2O" hidden="1">#REF!</definedName>
    <definedName name="BEx7EYYLHMBYQTH6I377FCQS7CSX" hidden="1">#REF!</definedName>
    <definedName name="BEx7F3R8WBC6E9U65SYE1VCBPKTN" hidden="1">#REF!</definedName>
    <definedName name="BEx7FCLG1RYI2SNOU1Y2GQZNZSWA" hidden="1">#REF!</definedName>
    <definedName name="BEx7FN32ZGWOAA4TTH79KINTDWR9" hidden="1">#REF!</definedName>
    <definedName name="BEx7G0F5491O5LOO00O1AXXAE24R" hidden="1">#REF!</definedName>
    <definedName name="BEx7G82CKM3NIY1PHNFK28M09PCH" hidden="1">#REF!</definedName>
    <definedName name="BEx7GR3ENYWRXXS5IT0UMEGOLGUH" hidden="1">#REF!</definedName>
    <definedName name="BEx7GSAL6P7TASL8MB63RFST1LJL" hidden="1">#REF!</definedName>
    <definedName name="BEx7H0JCP7ZU8M0UWQXEBQ8U7WXG"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NM5QUG90PN1J2VL176TH6KY"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JOI6V63WKXYU6YTHPHUSP7U" hidden="1">#REF!</definedName>
    <definedName name="BEx7IRRUY5JMPVVS2G8ZTVLVF9H8" hidden="1">#REF!</definedName>
    <definedName name="BEx7IV2IJ5WT7UC0UG7WP0WF2JZI" hidden="1">#REF!</definedName>
    <definedName name="BEx7IXGU74GE5E4S6W4Z13AR092Y" hidden="1">#REF!</definedName>
    <definedName name="BEx7J4YL8Q3BI1MLH16YYQ18IJRD" hidden="1">#REF!</definedName>
    <definedName name="BEx7J7CWKB4WKZAQMK3Z0S9GSOSM" hidden="1">#REF!</definedName>
    <definedName name="BEx7JH3HGBPI07OHZ5LFYK0UFZQR" hidden="1">#REF!</definedName>
    <definedName name="BEx7JV194190CNM6WWGQ3UBJ3CHH" hidden="1">#REF!</definedName>
    <definedName name="BEx7JZJ4XFUATU0PG7083JPTXG4K" hidden="1">#REF!</definedName>
    <definedName name="BEx7K469BHM1J8L2PEX3Z5HEMTCE" hidden="1">#REF!</definedName>
    <definedName name="BEx7K7GZ607XQOGB81A1HINBTGOZ" hidden="1">#REF!</definedName>
    <definedName name="BEx7KEYPBDXSNROH8M6CDCBN6B50" hidden="1">#REF!</definedName>
    <definedName name="BEx7KMGGB2E6YDRM0M7DPVYH3ADI" hidden="1">#REF!</definedName>
    <definedName name="BEx7KR92AZ8OH3I7N51J8AU9LRP3" localSheetId="31" hidden="1">#REF!</definedName>
    <definedName name="BEx7KR92AZ8OH3I7N51J8AU9LRP3" hidden="1">#REF!</definedName>
    <definedName name="BEx7KSAS8BZT6H8OQCZ5DNSTMO07" localSheetId="31" hidden="1">#REF!</definedName>
    <definedName name="BEx7KSAS8BZT6H8OQCZ5DNSTMO07" hidden="1">#REF!</definedName>
    <definedName name="BEx7KWHTBD21COXVI4HNEQH0Z3L8" localSheetId="31" hidden="1">#REF!</definedName>
    <definedName name="BEx7KWHTBD21COXVI4HNEQH0Z3L8" hidden="1">#REF!</definedName>
    <definedName name="BEx7KWY24UYSDR57WCCVR4KEHE7U" hidden="1">#REF!</definedName>
    <definedName name="BEx7KXUGRMRSUXCM97Z7VRZQ9JH2" hidden="1">#REF!</definedName>
    <definedName name="BEx7L21IQVP1N1TTQLRMANSSLSLE" hidden="1">#REF!</definedName>
    <definedName name="BEx7L5C6U8MP6IZ67BD649WQYJEK" hidden="1">#REF!</definedName>
    <definedName name="BEx7L7QID2UUN1F4435LIWAW8DV3" hidden="1">#REF!</definedName>
    <definedName name="BEx7L8HEYEVTATR0OG5JJO647KNI" hidden="1">#REF!</definedName>
    <definedName name="BEx7L8XOV64OMS15ZFURFEUXLMWF" hidden="1">#REF!</definedName>
    <definedName name="BEx7LJVFQACL9F4DRS9YZQ9R2N30" hidden="1">#REF!</definedName>
    <definedName name="BEx7LZ0D7JSY0VK5FBGMZE26ZKFJ" hidden="1">#REF!</definedName>
    <definedName name="BEx7MAUI1JJFDIJGDW4RWY5384LY" localSheetId="31" hidden="1">#REF!</definedName>
    <definedName name="BEx7MAUI1JJFDIJGDW4RWY5384LY" hidden="1">#REF!</definedName>
    <definedName name="BEx7MJZO3UKAMJ53UWOJ5ZD4GGMQ" localSheetId="31" hidden="1">#REF!</definedName>
    <definedName name="BEx7MJZO3UKAMJ53UWOJ5ZD4GGMQ" hidden="1">#REF!</definedName>
    <definedName name="BEx7MQ4RBQK32VUVPFRBYN76KSOD" localSheetId="31" hidden="1">#REF!</definedName>
    <definedName name="BEx7MQ4RBQK32VUVPFRBYN76KSOD" hidden="1">#REF!</definedName>
    <definedName name="BEx7MT4MFNXIVQGAT6D971GZW7CA" hidden="1">#REF!</definedName>
    <definedName name="BEx7NE3X8Z6J8PMTHDO51G0HICD5" hidden="1">#REF!</definedName>
    <definedName name="BEx7NI062THZAM6I8AJWTFJL91CS" hidden="1">#REF!</definedName>
    <definedName name="BEx8Z3M9Z5VD3MZ8TD1F5M49MOTD" hidden="1">#REF!</definedName>
    <definedName name="BEx8ZCWSI30U7NSNHLBK5HV2J2EN" hidden="1">#REF!</definedName>
    <definedName name="BEx904S75BPRYMHF0083JF7ES4NG" hidden="1">#REF!</definedName>
    <definedName name="BEx90EZ2HAURBQ5I4V6WD6NYD0AQ" hidden="1">#REF!</definedName>
    <definedName name="BEx90H2KA91ZVRIJCDN62HJVKQWC" hidden="1">#REF!</definedName>
    <definedName name="BEx90HDD4RWF7JZGA8GCGG7D63MG" hidden="1">#REF!</definedName>
    <definedName name="BEx90VGH5H09ON2QXYC9WIIEU98T" hidden="1">#REF!</definedName>
    <definedName name="BEx911LKH78Q9WUWXLOQFEL59ITN" hidden="1">#REF!</definedName>
    <definedName name="BEx911WE3W1AI7TEJHN5ROFMFVQ8" hidden="1">#REF!</definedName>
    <definedName name="BEx9175B70QXYAU5A8DJPGZQ46L9" localSheetId="31" hidden="1">#REF!</definedName>
    <definedName name="BEx9175B70QXYAU5A8DJPGZQ46L9" hidden="1">#REF!</definedName>
    <definedName name="BEx917QTZAYKMWFVDPZEDX8FH1J3" localSheetId="31" hidden="1">#REF!</definedName>
    <definedName name="BEx917QTZAYKMWFVDPZEDX8FH1J3" hidden="1">#REF!</definedName>
    <definedName name="BEx91AQQRTV87AO27VWHSFZAD4ZR" localSheetId="31" hidden="1">#REF!</definedName>
    <definedName name="BEx91AQQRTV87AO27VWHSFZAD4ZR" hidden="1">#REF!</definedName>
    <definedName name="BEx91FU57YXJK7RHMFDKKYY2JFS7" hidden="1">#REF!</definedName>
    <definedName name="BEx91KXLTRYJVT47UU2JUUFNKFUT"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0O0C4FBKNO2WASY82KSAGWC" hidden="1">#REF!</definedName>
    <definedName name="BEx921PNZ46VORG2VRMWREWIC0SE" hidden="1">#REF!</definedName>
    <definedName name="BEx929YGVS1SWUVBOM0JDPJFRIA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18BWFQZC3NQS37Q6XU3D425"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SIC58506DFIGKOLIHQ7KCX" hidden="1">#REF!</definedName>
    <definedName name="BEx942UCRHMI4B0US31HO95GSC2X" hidden="1">#REF!</definedName>
    <definedName name="BEx944SDUSMOBHNE6J8XN1EOL90T"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TXH048JPPZ7VXKTCAEE6GQS"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KWJ7BHXX4IIM048C3O7S59S" hidden="1">#REF!</definedName>
    <definedName name="BEx96SUFKHHFE8XQ6UUO6ILDOXHO" localSheetId="31" hidden="1">#REF!</definedName>
    <definedName name="BEx96SUFKHHFE8XQ6UUO6ILDOXHO" hidden="1">#REF!</definedName>
    <definedName name="BEx96UN4YWXBDEZ1U1ZUIPP41Z7I" localSheetId="31" hidden="1">#REF!</definedName>
    <definedName name="BEx96UN4YWXBDEZ1U1ZUIPP41Z7I" hidden="1">#REF!</definedName>
    <definedName name="BEx970MYCPJ6DQ44TKLOIGZO5LHH" localSheetId="31" hidden="1">#REF!</definedName>
    <definedName name="BEx970MYCPJ6DQ44TKLOIGZO5LHH" hidden="1">#REF!</definedName>
    <definedName name="BEx978KSD61YJH3S9DGO050R2EHA" hidden="1">#REF!</definedName>
    <definedName name="BEx97CBOZZVIAFCLYWXO84QIM5RH"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0QZQVMVK22H7FW8VJ1Y8HJR" hidden="1">#REF!</definedName>
    <definedName name="BEx981HW73BUZWT14TBTZHC0ZTJ4" hidden="1">#REF!</definedName>
    <definedName name="BEx9853EGK21LS9VVKSCCC6V43AN" hidden="1">#REF!</definedName>
    <definedName name="BEx985JLSPMNH380TKBDXAEFC980" hidden="1">#REF!</definedName>
    <definedName name="BEx9871KU0N99P0900EAK69VFYT2" hidden="1">#REF!</definedName>
    <definedName name="BEx98A6S6VO1UKBYLX05KBIT7SC0" hidden="1">#REF!</definedName>
    <definedName name="BEx98IFKNJFGZFLID1YTRFEG1SXY" hidden="1">#REF!</definedName>
    <definedName name="BEx98N2R8QZSZ6MEH3L7U7U7D9GD" hidden="1">#REF!</definedName>
    <definedName name="BEx9915UVD4G7RA3IMLFZ0LG3UA2" hidden="1">#REF!</definedName>
    <definedName name="BEx992CZON8AO7U7V88VN1JBO0MG" hidden="1">#REF!</definedName>
    <definedName name="BEx9952469XMFGSPXL7CMXHPJF90" hidden="1">#REF!</definedName>
    <definedName name="BEx996PK8YMHSV0CFJOHOX1OCXHG"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BFT5XKMEOKSZYR2JDGKF" hidden="1">#REF!</definedName>
    <definedName name="BEx9B917EUP13X6FQ3NPQL76XM5V" hidden="1">#REF!</definedName>
    <definedName name="BEx9BAJ5WYEQ623HUT9NNCMP3RUG" hidden="1">#REF!</definedName>
    <definedName name="BEx9BURCKUDZU2MLNSZIIBVDAXBV" hidden="1">#REF!</definedName>
    <definedName name="BEx9BYNN9WBL0OZNO7QKTM7XA0XO" hidden="1">#REF!</definedName>
    <definedName name="BEx9BYSYW7QCPXS2NAVLFAU5Y2Z2" hidden="1">#REF!</definedName>
    <definedName name="BEx9C590HJ2O31IWJB73C1HR74AI" hidden="1">#REF!</definedName>
    <definedName name="BEx9CCQRMYYOGIOYTOM73VKDIPS1" hidden="1">#REF!</definedName>
    <definedName name="BEx9COA2U27AO1YZGMLP7B8DR22D" hidden="1">#REF!</definedName>
    <definedName name="BEx9D1BC9FT19KY0INAABNDBAMR1"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6DJDRR3E21QMZAPDC3O470U"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1Q3X2QNEWIFN2YPBFX6LMO"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645M2VLV3GR46GAUCXDZQ4K" hidden="1">#REF!</definedName>
    <definedName name="BEx9H8YR0E906F1JXZMBX3LNT004" hidden="1">#REF!</definedName>
    <definedName name="BEx9HVQR4IC0WPZ653S8B4V0A13M" hidden="1">#REF!</definedName>
    <definedName name="BEx9I38IOO8BH8XCE1W3NL31U1L9" localSheetId="31" hidden="1">#REF!</definedName>
    <definedName name="BEx9I38IOO8BH8XCE1W3NL31U1L9" hidden="1">#REF!</definedName>
    <definedName name="BEx9I8XIG7E5NB48QQHXP23FIN60" localSheetId="31" hidden="1">#REF!</definedName>
    <definedName name="BEx9I8XIG7E5NB48QQHXP23FIN60" hidden="1">#REF!</definedName>
    <definedName name="BEx9IHX7C0FG3M2R14H0SWIUGAOA" localSheetId="31" hidden="1">#REF!</definedName>
    <definedName name="BEx9IHX7C0FG3M2R14H0SWIUGAOA" hidden="1">#REF!</definedName>
    <definedName name="BEx9IQRF01ATLVK0YE60ARKQJ68L" hidden="1">#REF!</definedName>
    <definedName name="BEx9IT5QNZWKM6YQ5WER0DC2PMMU" hidden="1">#REF!</definedName>
    <definedName name="BEx9ITRA6B7P81T57OO22V5XLX9P" hidden="1">#REF!</definedName>
    <definedName name="BEx9IW5MFLXTVCJHVUZTUH93AXOS" hidden="1">#REF!</definedName>
    <definedName name="BEx9IXCSPSZC80YZUPRCYTG326KV" hidden="1">#REF!</definedName>
    <definedName name="BEx9IZR39NHDGOM97H4E6F81RTQW" hidden="1">#REF!</definedName>
    <definedName name="BEx9J07CU8X78XP5E4QC8XZ6YRCG" hidden="1">#REF!</definedName>
    <definedName name="BEx9J6CH5E7YZPER7HXEIOIKGPCA" hidden="1">#REF!</definedName>
    <definedName name="BEx9JJTZKVUJAVPTRE0RAVTEH41G" hidden="1">#REF!</definedName>
    <definedName name="BEx9JLBYK239B3F841C7YG1GT7ST" hidden="1">#REF!</definedName>
    <definedName name="BEx9JQQ6BSIHSV0FS8QDIRPHMMLE" hidden="1">#REF!</definedName>
    <definedName name="BEx9KP7077LQ4Q2NWSIETHZ0VA05" hidden="1">#REF!</definedName>
    <definedName name="BExAW4IIW5D0MDY6TJ3G4FOLPYIR" hidden="1">#REF!</definedName>
    <definedName name="BExAW4TAPBZ18ES67GKFVYMS67N7" hidden="1">#REF!</definedName>
    <definedName name="BExAWOAN9I36Q6B2P1316PE3048X" hidden="1">#REF!</definedName>
    <definedName name="BExAWSSHUYAPXJEDC9JT9394SHQ5" hidden="1">#REF!</definedName>
    <definedName name="BExAX410NB4F2XOB84OR2197H8M5" hidden="1">#REF!</definedName>
    <definedName name="BExAX70W4OH6R7K3QT3YA9PA2APO" hidden="1">#REF!</definedName>
    <definedName name="BExAX8TNG8LQ5Q4904SAYQIPGBSV" hidden="1">#REF!</definedName>
    <definedName name="BExAXLK9UGB0UFRV7X4UPIUEJ3VZ" hidden="1">#REF!</definedName>
    <definedName name="BExAY0EAT2LXR5MFGM0DLIB45PLO" hidden="1">#REF!</definedName>
    <definedName name="BExAYE6LNIEBR9DSNI5JGNITGKIT" hidden="1">#REF!</definedName>
    <definedName name="BExAYHMLXGGO25P8HYB2S75DEB4F" hidden="1">#REF!</definedName>
    <definedName name="BExAYJQ9G4ZXJFPWD4VIWQU6WUFT"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UYTMF7YSRG951CIIWKZM0T5"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AZXXGBA3DZ26LBRJCSRIMDYY6" hidden="1">#REF!</definedName>
    <definedName name="BExB012NJ8GASTNNPBRRFTLHIOC9" localSheetId="31" hidden="1">#REF!</definedName>
    <definedName name="BExB012NJ8GASTNNPBRRFTLHIOC9" hidden="1">#REF!</definedName>
    <definedName name="BExB072HHXVMUC0VYNGG48GRSH5Q" localSheetId="31" hidden="1">#REF!</definedName>
    <definedName name="BExB072HHXVMUC0VYNGG48GRSH5Q" hidden="1">#REF!</definedName>
    <definedName name="BExB0FRDEYDEUEAB1W8KD6D965XA" localSheetId="31" hidden="1">#REF!</definedName>
    <definedName name="BExB0FRDEYDEUEAB1W8KD6D965XA" hidden="1">#REF!</definedName>
    <definedName name="BExB0KPCN7YJORQAYUCF4YKIKPMC" hidden="1">#REF!</definedName>
    <definedName name="BExB0WE4PI3NOBXXVO9CTEN4DIU2" hidden="1">#REF!</definedName>
    <definedName name="BExB0ZJIGMTDV9JC5IILPRZ5BXNJ" hidden="1">#REF!</definedName>
    <definedName name="BExB10QNIVITUYS55OAEKK3VLJFE" hidden="1">#REF!</definedName>
    <definedName name="BExB14HG3PSHTJ4S9G0Y803UWLWP" hidden="1">#REF!</definedName>
    <definedName name="BExB15ZDRY4CIJ911DONP0KCY9KU" hidden="1">#REF!</definedName>
    <definedName name="BExB16VQY0O0RLZYJFU3OFEONVTE" hidden="1">#REF!</definedName>
    <definedName name="BExB1C4HDPDZBISSQ3JREULJJZ7K"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15I6XJMAXZ5JDHT0R7K0CS1"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TBL7K5D70TOLTXT6SAAJQS9" hidden="1">#REF!</definedName>
    <definedName name="BExB2WRQ815O1VGMGAGDGQHTTUIN" hidden="1">#REF!</definedName>
    <definedName name="BExB30IP1DNKNQ6PZ5ERUGR5MK4Z" hidden="1">#REF!</definedName>
    <definedName name="BExB30YTF8EK04RZ190LBP9R44TW" hidden="1">#REF!</definedName>
    <definedName name="BExB31PVM8TBKT8GI5VYI71JWZ0D" hidden="1">#REF!</definedName>
    <definedName name="BExB37UZ7KOLOBAPDS5EM5MJTPFJ" hidden="1">#REF!</definedName>
    <definedName name="BExB3S8NRKFKQZGZDLCF1J5OPNQX" hidden="1">#REF!</definedName>
    <definedName name="BExB4016U17W1T4ZWNG5SJCGWE9P" hidden="1">#REF!</definedName>
    <definedName name="BExB442RX0T3L6HUL6X5T21CENW6" hidden="1">#REF!</definedName>
    <definedName name="BExB472MUJSUYK7SI8BX1ZGQL0NK" hidden="1">#REF!</definedName>
    <definedName name="BExB4ADD0L7417CII901XTFKXD1J" hidden="1">#REF!</definedName>
    <definedName name="BExB4DO1V1NL2AVK5YE1RSL5RYHL" hidden="1">#REF!</definedName>
    <definedName name="BExB4DYU06HCGRIPBSWRCXK804UM" hidden="1">#REF!</definedName>
    <definedName name="BExB4XW9A16UWK9TUIA84W8X2ZEA"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IFAFRG56RCEOOXLOQHCNSLB"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6RZAN4TW4BIS93TJP3MTSF2V" hidden="1">#REF!</definedName>
    <definedName name="BExB6SKVVBQPHZ4Y692I5525S418" hidden="1">#REF!</definedName>
    <definedName name="BExB719SGNX4Y8NE6JEXC555K596" hidden="1">#REF!</definedName>
    <definedName name="BExB7265DCHKS7V2OWRBXCZTEIW9" hidden="1">#REF!</definedName>
    <definedName name="BExB73DAG0L10ZK0L6HQWV9BISN7" hidden="1">#REF!</definedName>
    <definedName name="BExB74PS5P9G0P09Y6DZSCX0FLTJ" hidden="1">#REF!</definedName>
    <definedName name="BExB77KDAUB9VYWBDJP50RIW7Y73" hidden="1">#REF!</definedName>
    <definedName name="BExB78RH79J0MIF7H8CAZ0CFE88Q" hidden="1">#REF!</definedName>
    <definedName name="BExB7ELT09HGDVO5BJC1ZY9D09GZ" hidden="1">#REF!</definedName>
    <definedName name="BExB7PZU5KVXW0MOS9BQNVV0U4WD" hidden="1">#REF!</definedName>
    <definedName name="BExB7R1PBLH2KKT4OJI4ESYMV3B3" hidden="1">#REF!</definedName>
    <definedName name="BExB7SUFBKOZJWAZHJSNHTBMUZE4" hidden="1">#REF!</definedName>
    <definedName name="BExB806PAXX70XUTA3ZI7OORD78R" hidden="1">#REF!</definedName>
    <definedName name="BExB88FBDZ0MSRCK5MB3E06QBO1N" hidden="1">#REF!</definedName>
    <definedName name="BExB89H5ZI7PL41B4CQN2OSUPK7A" hidden="1">#REF!</definedName>
    <definedName name="BExB8HF4UBVZKQCSRFRUQL2EE6VL" hidden="1">#REF!</definedName>
    <definedName name="BExB8HKHKZ1ORJZUYGG2M4VSCC39" hidden="1">#REF!</definedName>
    <definedName name="BExB8PIBXT2X11LCOX7RIO57ITDV" hidden="1">#REF!</definedName>
    <definedName name="BExB8QPH8DC5BESEVPSMBCWVN6PO" hidden="1">#REF!</definedName>
    <definedName name="BExB8U5N0D85YR8APKN3PPKG0FWP" hidden="1">#REF!</definedName>
    <definedName name="BExB91I17P2IIQ85B7OF9X01BBL0" hidden="1">#REF!</definedName>
    <definedName name="BExB9DHI5I2TJ2LXYPM98EE81L27" hidden="1">#REF!</definedName>
    <definedName name="BExB9IVQ5K36625BTKIXXB3R8NKE" hidden="1">#REF!</definedName>
    <definedName name="BExB9Q2MZZHBGW8QQKVEYIMJBPIE" hidden="1">#REF!</definedName>
    <definedName name="BExB9UVAU97XX5IFJV05VHTKS512" hidden="1">#REF!</definedName>
    <definedName name="BExB9WTBZ1ZNJ5PYDE80FJ9A5MQS" hidden="1">#REF!</definedName>
    <definedName name="BExBA1GON0EZRJ20UYPILAPLNQWM" hidden="1">#REF!</definedName>
    <definedName name="BExBA1RFNTGEN0TO2IRNXT6F3QKR" hidden="1">#REF!</definedName>
    <definedName name="BExBA69ASGYRZW1G1DYIS9QRRTBN" hidden="1">#REF!</definedName>
    <definedName name="BExBA6K42582A14WFFWQ3Q8QQWB6" hidden="1">#REF!</definedName>
    <definedName name="BExBA6PL9AA5J2L0KPL378AA2VZ4" hidden="1">#REF!</definedName>
    <definedName name="BExBA8I5D4R8R2PYQ1K16TWGTOEP" hidden="1">#REF!</definedName>
    <definedName name="BExBA8NMWNC4ESE854DLVFP3K8UR" hidden="1">#REF!</definedName>
    <definedName name="BExBA93PE0DGUUTA7LLSIGBIXWE5" hidden="1">#REF!</definedName>
    <definedName name="BExBAAWGR2BBXC8GXEYNQ9TYNUN8" hidden="1">#REF!</definedName>
    <definedName name="BExBAG5D16CADDC0MWOKCY7JZQO0" hidden="1">#REF!</definedName>
    <definedName name="BExBAHY3NCFFKJ0L0RWLV9Q2XEA7"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5L31H53WLFYF54SQM4A7EU4" hidden="1">#REF!</definedName>
    <definedName name="BExBC78HXWXHO3XAB6E8NVTBGLJS" hidden="1">#REF!</definedName>
    <definedName name="BExBCATYYZZEDHH6VTB2O2HIRMIR" hidden="1">#REF!</definedName>
    <definedName name="BExBCKKJTIRKC1RZJRTK65HHLX4W" hidden="1">#REF!</definedName>
    <definedName name="BExBCLMEPAN3XXX174TU8SS0627Q" hidden="1">#REF!</definedName>
    <definedName name="BExBCRBEYR2KZ8FAQFZ2NHY13WIY" hidden="1">#REF!</definedName>
    <definedName name="BExBD05M2XLZ3FDJC1J5FM7IICZB" hidden="1">#REF!</definedName>
    <definedName name="BExBD4I559NXSV6J07Q343TKYMVJ" localSheetId="31" hidden="1">#REF!</definedName>
    <definedName name="BExBD4I559NXSV6J07Q343TKYMVJ" hidden="1">#REF!</definedName>
    <definedName name="BExBDBZQLTX3OGFYGULQFK5WEZU5" localSheetId="31" hidden="1">#REF!</definedName>
    <definedName name="BExBDBZQLTX3OGFYGULQFK5WEZU5" hidden="1">#REF!</definedName>
    <definedName name="BExBDJS9TUEU8Z84IV59E5V4T8K6" localSheetId="31" hidden="1">#REF!</definedName>
    <definedName name="BExBDJS9TUEU8Z84IV59E5V4T8K6" hidden="1">#REF!</definedName>
    <definedName name="BExBDKOMSVH4XMH52CFJ3F028I9R" hidden="1">#REF!</definedName>
    <definedName name="BExBDSRXVZQ0W5WXQMP5XD00GRRL" hidden="1">#REF!</definedName>
    <definedName name="BExBDT87JCZT4EZQQ1HEUN7ZAMNT" hidden="1">#REF!</definedName>
    <definedName name="BExBDUVGK3E1J4JY9ZYTS7V14BLY" hidden="1">#REF!</definedName>
    <definedName name="BExBDVH3DOL955WK34ZBD4XWH6OI" hidden="1">#REF!</definedName>
    <definedName name="BExBE162OSBKD30I7T1DKKPT3I9I" localSheetId="31" hidden="1">#REF!</definedName>
    <definedName name="BExBE162OSBKD30I7T1DKKPT3I9I" hidden="1">#REF!</definedName>
    <definedName name="BExBE5YPUY1T7N7DHMMIGGXK8TMP" localSheetId="31" hidden="1">#REF!</definedName>
    <definedName name="BExBE5YPUY1T7N7DHMMIGGXK8TMP" hidden="1">#REF!</definedName>
    <definedName name="BExBE827OBMEXJZS59TKFQS6FC0Z" localSheetId="31" hidden="1">#REF!</definedName>
    <definedName name="BExBE827OBMEXJZS59TKFQS6FC0Z" hidden="1">#REF!</definedName>
    <definedName name="BExBEC9ATLQZF86W1M3APSM4HEOH" hidden="1">#REF!</definedName>
    <definedName name="BExBEHCOWXYAJ0G8WL2C0YAEM0A3" hidden="1">#REF!</definedName>
    <definedName name="BExBEIUMJGTX2SBNU3E8Z2XPR27P" hidden="1">#REF!</definedName>
    <definedName name="BExBEYFQJE9YK12A6JBMRFKEC7RN" hidden="1">#REF!</definedName>
    <definedName name="BExBG1ED81J2O4A2S5F5Y3BPHMCR" hidden="1">#REF!</definedName>
    <definedName name="BExCRHX1OTQXWVM4RKG8IHHYCVFP"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OMZRUX4W3XE4LX5XXH5F2L" hidden="1">#REF!</definedName>
    <definedName name="BExCSMOFTXSUEC1T46LR1UPYRCX5" hidden="1">#REF!</definedName>
    <definedName name="BExCSMTPZZ9RQU93PT4098LW6KAZ" hidden="1">#REF!</definedName>
    <definedName name="BExCSSDG3TM6TPKS19E9QYJEELZ6" hidden="1">#REF!</definedName>
    <definedName name="BExCSZV7U67UWXL2HKJNM5W1E4OO" hidden="1">#REF!</definedName>
    <definedName name="BExCT4NSDT61OCH04Y2QIFIOP75H" hidden="1">#REF!</definedName>
    <definedName name="BExCTDNIGAFFV0FMRGUS25TGONCJ" hidden="1">#REF!</definedName>
    <definedName name="BExCTNE23PLYUM60ZCQ942C1KG81" hidden="1">#REF!</definedName>
    <definedName name="BExCTW8G3VCZ55S09HTUGXKB1P2M" hidden="1">#REF!</definedName>
    <definedName name="BExCTWJ9A4QCQ9OZN28V6HYAACMI"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BILFA1EYYEOFEX37L275Z4P" hidden="1">#REF!</definedName>
    <definedName name="BExCUDRJO23YOKT8GPWOVQ4XEHF5" hidden="1">#REF!</definedName>
    <definedName name="BExCUPAXFR16YMWL30ME3F3BSRDZ" hidden="1">#REF!</definedName>
    <definedName name="BExCUR94DHCE47PUUWEMT5QZOYR2" hidden="1">#REF!</definedName>
    <definedName name="BExCUT768Y9WTBMX7GXYUGHWIXZD" hidden="1">#REF!</definedName>
    <definedName name="BExCUW1QXVMEP3B9SFPNEEWCG9I0" hidden="1">#REF!</definedName>
    <definedName name="BExCUWN57J3KE1LMYFY8FAMDD57T" localSheetId="31" hidden="1">#REF!</definedName>
    <definedName name="BExCUWN57J3KE1LMYFY8FAMDD57T" hidden="1">#REF!</definedName>
    <definedName name="BExCV4VXZA9HAYPSLTWYK66MGS3Y" localSheetId="31" hidden="1">#REF!</definedName>
    <definedName name="BExCV4VXZA9HAYPSLTWYK66MGS3Y" hidden="1">#REF!</definedName>
    <definedName name="BExCV634L7SVHGB0UDDTRRQ2Q72H" localSheetId="31" hidden="1">#REF!</definedName>
    <definedName name="BExCV634L7SVHGB0UDDTRRQ2Q72H" hidden="1">#REF!</definedName>
    <definedName name="BExCVA4UIZYJL3LZ7EQQOM9CIPAD" hidden="1">#REF!</definedName>
    <definedName name="BExCVBMRUN39FYTXYMM2N12EFLG1" hidden="1">#REF!</definedName>
    <definedName name="BExCVBXGSXT9FWJRG62PX9S1RK83" hidden="1">#REF!</definedName>
    <definedName name="BExCVEH7A1VWBBC4BVU6VNJA1WGJ" hidden="1">#REF!</definedName>
    <definedName name="BExCVHBNLOHNFS0JAV3I1XGPNH9W" hidden="1">#REF!</definedName>
    <definedName name="BExCVI86R31A2IOZIEBY1FJLVILD" hidden="1">#REF!</definedName>
    <definedName name="BExCVKGZXE0I9EIXKBZVSGSEY2RR" hidden="1">#REF!</definedName>
    <definedName name="BExCVM4B2PZUHY0W5DLK6RO6HSGU"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JOP24TCAR0PRZG8HD526AHX" hidden="1">#REF!</definedName>
    <definedName name="BExCWM8JQB8SI9MNZVUOQN3547K8" hidden="1">#REF!</definedName>
    <definedName name="BExCWOBVOESHXLNFULF3L3PHKV9U" hidden="1">#REF!</definedName>
    <definedName name="BExCWP2YCA04PGYT4V2CKSHBG2N7" hidden="1">#REF!</definedName>
    <definedName name="BExCWPDPESGZS07QGBLSBWDNVJLZ" hidden="1">#REF!</definedName>
    <definedName name="BExCWTVKHIVCRHF8GC39KI58YM5K" hidden="1">#REF!</definedName>
    <definedName name="BExCWZPWC0LNH9ZNEEWXFFTQFZN4" hidden="1">#REF!</definedName>
    <definedName name="BExCX2KGRZBRVLZNM8SUSIE6A0RL" hidden="1">#REF!</definedName>
    <definedName name="BExCX30QEPK6YY3L5B9A865PM1XZ" hidden="1">#REF!</definedName>
    <definedName name="BExCX3X451T70LZ1VF95L7W4Y4TM" hidden="1">#REF!</definedName>
    <definedName name="BExCX4NZ2N1OUGXM7EV0U7VULJMM" hidden="1">#REF!</definedName>
    <definedName name="BExCX5KCKNR3QHCET9D7RK52DEJB" hidden="1">#REF!</definedName>
    <definedName name="BExCX8V1U9KN0DWRM7RHUYCTBVEN" hidden="1">#REF!</definedName>
    <definedName name="BExCXCGIFCIU1476QTARIGF5OXEL" hidden="1">#REF!</definedName>
    <definedName name="BExCXILMURGYMAH6N5LF5DV6K3GM" hidden="1">#REF!</definedName>
    <definedName name="BExCXMY5ISUXV19SSN8W6FPXAY3L" hidden="1">#REF!</definedName>
    <definedName name="BExCXQUFBMXQ1650735H48B1AZT3" hidden="1">#REF!</definedName>
    <definedName name="BExCXUFX19ADNJAUPHJ62T1ZS5A4" hidden="1">#REF!</definedName>
    <definedName name="BExCY2DQO9VLA77Q7EG3T0XNXX4F" hidden="1">#REF!</definedName>
    <definedName name="BExCY6VMJ68MX3C981R5Q0BX5791" hidden="1">#REF!</definedName>
    <definedName name="BExCYAH2SAZCPW6XCB7V7PMMCAWO" hidden="1">#REF!</definedName>
    <definedName name="BExCYE2K07U5UQ0WQNHXML7T0NJO" hidden="1">#REF!</definedName>
    <definedName name="BExCYH7R2U5R12XVG3NJ54H052NJ" hidden="1">#REF!</definedName>
    <definedName name="BExCYJBB52X8B3AREHCC1L5QNPX7" hidden="1">#REF!</definedName>
    <definedName name="BExCYPRC5HJE6N2XQTHCT6NXGP8N" hidden="1">#REF!</definedName>
    <definedName name="BExCYUK0I3UEXZNFDW71G6Z6D8XR" hidden="1">#REF!</definedName>
    <definedName name="BExCZ9UA19GWDW0TL6HVTOXIRSPV" hidden="1">#REF!</definedName>
    <definedName name="BExCZFZCXMLY5DWESYJ9NGTJYQ8M" hidden="1">#REF!</definedName>
    <definedName name="BExCZIJ0082EB1UPRKX9EHOOUV0U" hidden="1">#REF!</definedName>
    <definedName name="BExCZJ4P8WS0BDT31WDXI0ROE7D6" hidden="1">#REF!</definedName>
    <definedName name="BExCZKH6NI0EE02L995IFVBD1J59" hidden="1">#REF!</definedName>
    <definedName name="BExCZNH3KPWE50T7YYORPIC1TXLN" hidden="1">#REF!</definedName>
    <definedName name="BExCZSKJ3H9C3V7IL5VIJR1XCVS6" hidden="1">#REF!</definedName>
    <definedName name="BExCZUD9FEOJBKDJ51Z3JON9LKJ8" hidden="1">#REF!</definedName>
    <definedName name="BExD03NQ5GR56X8Y0Y29FLTRLLS2" hidden="1">#REF!</definedName>
    <definedName name="BExD0508DAALLU00PHFPBC8SRRKT" hidden="1">#REF!</definedName>
    <definedName name="BExD0BAT3ER3NBREZM75FYDXWDA7" hidden="1">#REF!</definedName>
    <definedName name="BExD0BG9BZG0I2HQ6PWHGGVEMY6K" hidden="1">#REF!</definedName>
    <definedName name="BExD0C1TNBFIEWNG3IH7R8WOPI6B" hidden="1">#REF!</definedName>
    <definedName name="BExD0HALIN0JR4JTPGDEVAEE5EX5" hidden="1">#REF!</definedName>
    <definedName name="BExD0LCCDPG16YLY5WQSZF1XI5DA" hidden="1">#REF!</definedName>
    <definedName name="BExD0M38AXH7IMGDWBCB3CT349N5" hidden="1">#REF!</definedName>
    <definedName name="BExD0RMWSB4TRECEHTH6NN4K9DFZ" hidden="1">#REF!</definedName>
    <definedName name="BExD0U6KG10QGVDI1XSHK0J10A2V" hidden="1">#REF!</definedName>
    <definedName name="BExD11Z3KEWZ3PWH1UZSJRDRV9IH" hidden="1">#REF!</definedName>
    <definedName name="BExD13RUIBGRXDL4QDZ305UKUR12" hidden="1">#REF!</definedName>
    <definedName name="BExD14DETV5R4OOTMAXD5NAKWRO3" hidden="1">#REF!</definedName>
    <definedName name="BExD160UKTD6MG5W79IBIHP0ZPKQ" hidden="1">#REF!</definedName>
    <definedName name="BExD16BM4TPPOCZ5ARF5HM6XKRFF" hidden="1">#REF!</definedName>
    <definedName name="BExD1OAU9OXQAZA4D70HP72CU6GB" hidden="1">#REF!</definedName>
    <definedName name="BExD1Y1JV61416YA1XRQHKWPZIE7" hidden="1">#REF!</definedName>
    <definedName name="BExD25DU4ZMU9XFJZTH3WMVIKAK6" hidden="1">#REF!</definedName>
    <definedName name="BExD2CFHIRMBKN5KXE5QP4XXEWFS" hidden="1">#REF!</definedName>
    <definedName name="BExD2DMHH1HWXQ9W0YYMDP8AAX8Q" hidden="1">#REF!</definedName>
    <definedName name="BExD2HTPC7IWBAU6OSQ67MQA8BYZ" hidden="1">#REF!</definedName>
    <definedName name="BExD2I9RDS4BGCN1GXO7T9OCTVFP" hidden="1">#REF!</definedName>
    <definedName name="BExD2O9JP64FF7WFAC5CXN0SJ91I" hidden="1">#REF!</definedName>
    <definedName name="BExD363H2VGFIQUCE6LS4AC5J0ZT" hidden="1">#REF!</definedName>
    <definedName name="BExD3A588E939V61P1XEW0FI5Q0S" hidden="1">#REF!</definedName>
    <definedName name="BExD3AW300FSO6AAXTER82E4G06O"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3ZGUHLSCF22XMCGLGJ6SWTEA" hidden="1">#REF!</definedName>
    <definedName name="BExD40O0CFTNJFOFMMM1KH0P7BUI" hidden="1">#REF!</definedName>
    <definedName name="BExD42M7FXJ8KK8AK9LDV75Z0U92" hidden="1">#REF!</definedName>
    <definedName name="BExD4440VK5VJ036LP729F6A0YGC" hidden="1">#REF!</definedName>
    <definedName name="BExD4BLRYNKM0GO3B3KP6590EN75" localSheetId="31" hidden="1">#REF!</definedName>
    <definedName name="BExD4BLRYNKM0GO3B3KP6590EN75" hidden="1">#REF!</definedName>
    <definedName name="BExD4BR9HJ3MWWZ5KLVZWX9FJAUS" localSheetId="31" hidden="1">#REF!</definedName>
    <definedName name="BExD4BR9HJ3MWWZ5KLVZWX9FJAUS" hidden="1">#REF!</definedName>
    <definedName name="BExD4CYDIFKUQ00ORL8MH1G8AEOH" localSheetId="31" hidden="1">#REF!</definedName>
    <definedName name="BExD4CYDIFKUQ00ORL8MH1G8AEOH"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ZQEW7F25SBOT6GFHWYONPD2" hidden="1">#REF!</definedName>
    <definedName name="BExD50MT3M6XZLNUP9JL93EG6D9R" localSheetId="31" hidden="1">#REF!</definedName>
    <definedName name="BExD50MT3M6XZLNUP9JL93EG6D9R" hidden="1">#REF!</definedName>
    <definedName name="BExD58FB2E94KZRKVS2HR2X2RPON" localSheetId="31" hidden="1">#REF!</definedName>
    <definedName name="BExD58FB2E94KZRKVS2HR2X2RPON" hidden="1">#REF!</definedName>
    <definedName name="BExD5EV7KDSVF1CJT38M4IBPFLPY" localSheetId="31" hidden="1">#REF!</definedName>
    <definedName name="BExD5EV7KDSVF1CJT38M4IBPFLPY" hidden="1">#REF!</definedName>
    <definedName name="BExD5FRK547OESJRYAW574DZEZ7J" hidden="1">#REF!</definedName>
    <definedName name="BExD5I5X2YA2YNCTCDSMEL4CWF4N" hidden="1">#REF!</definedName>
    <definedName name="BExD5LGLIOQ0OLD32Y77OQHSFA20"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IKQHK6BAYQM4S5BEVL56Z8X" hidden="1">#REF!</definedName>
    <definedName name="BExD71LTOE015TV5RSAHM8NT8GVW" hidden="1">#REF!</definedName>
    <definedName name="BExD73USXVADC7EHGHVTQNCT06ZA" hidden="1">#REF!</definedName>
    <definedName name="BExD7BHVRBZ6463MAK6KNCZQQAZL" hidden="1">#REF!</definedName>
    <definedName name="BExD7GAI1HJ9MD4ZU26MDRDS4E2B"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7N6P5ERNDX7C0TYFQOP08EQQ" hidden="1">#REF!</definedName>
    <definedName name="BExD87EVTIE7IAHSBAD70MNJUTK8" hidden="1">#REF!</definedName>
    <definedName name="BExD8H5O087KQVWIVPUUID5VMGMS" hidden="1">#REF!</definedName>
    <definedName name="BExD8OCLZMFN5K3VZYI4Q4ITVKUA" hidden="1">#REF!</definedName>
    <definedName name="BExD8UY01RLLF0MGPUZLE6EXR9AC" hidden="1">#REF!</definedName>
    <definedName name="BExD90MZC8CFEENJPJGQXGWBZL33" hidden="1">#REF!</definedName>
    <definedName name="BExD93C1R6LC0631ECHVFYH0R0PD" hidden="1">#REF!</definedName>
    <definedName name="BExD97TXIO0COVNN4OH3DEJ33YLM" hidden="1">#REF!</definedName>
    <definedName name="BExD99RZ1RFIMK6O1ZHSPJ68X9Y5" hidden="1">#REF!</definedName>
    <definedName name="BExD9C0ZMLX1WR2QR1YPWX15IH8W" hidden="1">#REF!</definedName>
    <definedName name="BExD9L0ID3VSOU609GKWYTA5BFMA" localSheetId="31" hidden="1">#REF!</definedName>
    <definedName name="BExD9L0ID3VSOU609GKWYTA5BFMA" hidden="1">#REF!</definedName>
    <definedName name="BExD9M7SEMG0JK2FUTTZXWIEBTKB" localSheetId="31" hidden="1">#REF!</definedName>
    <definedName name="BExD9M7SEMG0JK2FUTTZXWIEBTKB" hidden="1">#REF!</definedName>
    <definedName name="BExD9MNYBYB1AICQL5165G472IE2" localSheetId="31" hidden="1">#REF!</definedName>
    <definedName name="BExD9MNYBYB1AICQL5165G472IE2" hidden="1">#REF!</definedName>
    <definedName name="BExD9PNSYT7GASEGUVL48MUQ02WO" hidden="1">#REF!</definedName>
    <definedName name="BExD9TK2MIWFH5SKUYU9ZKF4NPHQ" hidden="1">#REF!</definedName>
    <definedName name="BExDA2JS3GCJ8M5I4XF4ZMYZ4BXT" hidden="1">#REF!</definedName>
    <definedName name="BExDA6LD9061UULVKUUI4QP8SK13" hidden="1">#REF!</definedName>
    <definedName name="BExDA7SHULP5GGGVSZFK3FMN833U" hidden="1">#REF!</definedName>
    <definedName name="BExDABE0KA94036RVJKMXL7GB30N" hidden="1">#REF!</definedName>
    <definedName name="BExDAGMVMNLQ6QXASB9R6D8DIT12" hidden="1">#REF!</definedName>
    <definedName name="BExDAYBHU9ADLXI8VRC7F608RVGM" hidden="1">#REF!</definedName>
    <definedName name="BExDBDR1XR0FV0CYUCB2OJ7CJCZU" hidden="1">#REF!</definedName>
    <definedName name="BExDBO8QK1FUFVLO07NZ0BZ9BKA0" hidden="1">#REF!</definedName>
    <definedName name="BExDBRJDI7W1042W6UYNA12BZGBJ" hidden="1">#REF!</definedName>
    <definedName name="BExDBY4R8EXLUENLCDFC4YRRVQPS"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OKLZRPEMPJO02S4EGHZXAWN3"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E3GC6W9CGTSGR7X502XUI5L" hidden="1">#REF!</definedName>
    <definedName name="BExEQFLE2RPWGMWQAI4JMKUEFRPT" hidden="1">#REF!</definedName>
    <definedName name="BExEQK38GYRBUH7XFJUH04UET47Q" hidden="1">#REF!</definedName>
    <definedName name="BExEQKE1O2TX2P7ZGJMB9VWDXWO4" hidden="1">#REF!</definedName>
    <definedName name="BExEQTZAP8R69U31W4LKGTKKGKQE" hidden="1">#REF!</definedName>
    <definedName name="BExEQU4RR1SZE5XJ90D8ZQ8KRZFG" hidden="1">#REF!</definedName>
    <definedName name="BExER2O72H1F9WV6S1J04C15PXX7" hidden="1">#REF!</definedName>
    <definedName name="BExERFEPB2LP5DWH3DNZJF8R0AK9" hidden="1">#REF!</definedName>
    <definedName name="BExERRUIKIOATPZ9U4HQ0V52RJAU" hidden="1">#REF!</definedName>
    <definedName name="BExERSANFNM1O7T65PC5MJ301YET" hidden="1">#REF!</definedName>
    <definedName name="BExERTNAJZ59DKI5JCRPJKMWW067" hidden="1">#REF!</definedName>
    <definedName name="BExERWCEBKQRYWRQLYJ4UCMMKTHG" hidden="1">#REF!</definedName>
    <definedName name="BExES1QK2RJM42AWEVW7RIMFEW0F" localSheetId="31" hidden="1">#REF!</definedName>
    <definedName name="BExES1QK2RJM42AWEVW7RIMFEW0F" hidden="1">#REF!</definedName>
    <definedName name="BExES44RHHDL3V7FLV6M20834WF1" localSheetId="31" hidden="1">#REF!</definedName>
    <definedName name="BExES44RHHDL3V7FLV6M20834WF1" hidden="1">#REF!</definedName>
    <definedName name="BExES4A7VE2X3RYYTVRLKZD4I7WU" localSheetId="31" hidden="1">#REF!</definedName>
    <definedName name="BExES4A7VE2X3RYYTVRLKZD4I7WU" hidden="1">#REF!</definedName>
    <definedName name="BExES6ZC8R7PHJ21OVJFLIR7DY30" hidden="1">#REF!</definedName>
    <definedName name="BExESEH25TCNEETUCSRK8DYHROYY"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3SPX08PMIJ6NN1UTG16Y6O2" hidden="1">#REF!</definedName>
    <definedName name="BExETA3B1FCIOA80H94K90FWXQKE" hidden="1">#REF!</definedName>
    <definedName name="BExETAZOYT4CJIT8RRKC9F2HJG1D" hidden="1">#REF!</definedName>
    <definedName name="BExETDZJZBM897WV9SJ54R7KH7MG" hidden="1">#REF!</definedName>
    <definedName name="BExETDZKK8E89XXW4SLL9AY29YEZ" hidden="1">#REF!</definedName>
    <definedName name="BExETF6QD5A9GEINE1KZRRC2LXWM" hidden="1">#REF!</definedName>
    <definedName name="BExETQ9XRXLUACN82805SPSPNKHI" hidden="1">#REF!</definedName>
    <definedName name="BExETR0YRMOR63E6DHLEHV9QVVON" hidden="1">#REF!</definedName>
    <definedName name="BExETU66ISCWFE06X0BBMH4H32HS" hidden="1">#REF!</definedName>
    <definedName name="BExETVTGY38YXYYF7N73OYN6FYY3" hidden="1">#REF!</definedName>
    <definedName name="BExEUNE4T242Y59C6MS28MXEUGCP" hidden="1">#REF!</definedName>
    <definedName name="BExEV1H9B1FRT8LPRHN7ODLAOI8T" hidden="1">#REF!</definedName>
    <definedName name="BExEV2TP7NA3ZR6RJGH5ER370OUM" localSheetId="31" hidden="1">#REF!</definedName>
    <definedName name="BExEV2TP7NA3ZR6RJGH5ER370OUM" hidden="1">#REF!</definedName>
    <definedName name="BExEV69USLNYO2QRJRC0J92XUF00" localSheetId="31" hidden="1">#REF!</definedName>
    <definedName name="BExEV69USLNYO2QRJRC0J92XUF00" hidden="1">#REF!</definedName>
    <definedName name="BExEV6KNTQOCFD7GV726XQEVQ7R6" localSheetId="31" hidden="1">#REF!</definedName>
    <definedName name="BExEV6KNTQOCFD7GV726XQEVQ7R6" hidden="1">#REF!</definedName>
    <definedName name="BExEV6VGM4POO9QT9KH3QA3VYCWM" hidden="1">#REF!</definedName>
    <definedName name="BExEV7MBFVP1I7TO351C06LT5IXR" hidden="1">#REF!</definedName>
    <definedName name="BExEVET98G3FU6QBF9LHYWSAMV0O" hidden="1">#REF!</definedName>
    <definedName name="BExEVNCUT0PDUYNJH7G6BSEWZOT2" hidden="1">#REF!</definedName>
    <definedName name="BExEVPGF4V5J0WQRZKUM8F9TTKZJ" hidden="1">#REF!</definedName>
    <definedName name="BExEVPWH8S9GER9M14SPIT6XZ8SG" hidden="1">#REF!</definedName>
    <definedName name="BExEVSLKRULT27602UIM13PGVL2R"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5SCJJRAF57MFJ81MB2U6K1N" hidden="1">#REF!</definedName>
    <definedName name="BExEW68M9WL8214QH9C7VCK7BN08" localSheetId="31" hidden="1">#REF!</definedName>
    <definedName name="BExEW68M9WL8214QH9C7VCK7BN08" hidden="1">#REF!</definedName>
    <definedName name="BExEW8C5SY1NQL4BKYZVXQ6JPR0W" localSheetId="31" hidden="1">#REF!</definedName>
    <definedName name="BExEW8C5SY1NQL4BKYZVXQ6JPR0W" hidden="1">#REF!</definedName>
    <definedName name="BExEW8HFKH6F47KIHYBDRUEFZ2ZZ" localSheetId="31"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RTB911TBBZNA61Y44XXUP7N" hidden="1">#REF!</definedName>
    <definedName name="BExEWY3WYCWEMX9F15OWWUSC6ITZ" hidden="1">#REF!</definedName>
    <definedName name="BExEX25M63XO5LQD9ZS2VHQ0U8SR"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3GVGXSA8OTWWVC0OOM3N7EO"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JFE12J96ZPQZ2WHQZ66M1PC" hidden="1">#REF!</definedName>
    <definedName name="BExF0LOEHV42P2DV7QL8O7HOQ3N9" hidden="1">#REF!</definedName>
    <definedName name="BExF0MVJ4YGAIOT97BSBZTKKMJLO" hidden="1">#REF!</definedName>
    <definedName name="BExF0WRM9VO25RLSO03ZOCE8H7K5" hidden="1">#REF!</definedName>
    <definedName name="BExF0ZRI7W4RSLIDLHTSM0AWXO3S" hidden="1">#REF!</definedName>
    <definedName name="BExF15RBGKENVWZEFUPEK40YBRA7" hidden="1">#REF!</definedName>
    <definedName name="BExF19CT3MMZZ2T5EWMDNG3UOJ01" hidden="1">#REF!</definedName>
    <definedName name="BExF1I6ZCNOTATBG3PZ1RGSJ7JEC"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1Z9Z270BYA12GL2T6GSF2ZTY" hidden="1">#REF!</definedName>
    <definedName name="BExF29MBQUXJYOPZW1LVIKUJ4C01" hidden="1">#REF!</definedName>
    <definedName name="BExF2CWZN6E87RGTBMD4YQI2QT7R" hidden="1">#REF!</definedName>
    <definedName name="BExF2DYO1WQ7GMXSTAQRDBW1NSFG" hidden="1">#REF!</definedName>
    <definedName name="BExF2MSVB7MZZMDR2SCNEYJX21AU"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HDFSQD839XTC1DA8K1VHPZK" hidden="1">#REF!</definedName>
    <definedName name="BExF3I9T44X7DV9HHV51DVDDPPZG" hidden="1">#REF!</definedName>
    <definedName name="BExF3JMFX5DILOIFUDIO1HZUK875" hidden="1">#REF!</definedName>
    <definedName name="BExF3NO0RE1VBB19GCRR03V0B690" hidden="1">#REF!</definedName>
    <definedName name="BExF3NTC4BGZEM6B87TCFX277QCS" localSheetId="31" hidden="1">#REF!</definedName>
    <definedName name="BExF3NTC4BGZEM6B87TCFX277QCS" hidden="1">#REF!</definedName>
    <definedName name="BExF3Q7NI90WT31QHYSJDIG0LLLJ" localSheetId="31" hidden="1">#REF!</definedName>
    <definedName name="BExF3Q7NI90WT31QHYSJDIG0LLLJ" hidden="1">#REF!</definedName>
    <definedName name="BExF3QD55TIY1MSBSRK9TUJKBEWO" localSheetId="31" hidden="1">#REF!</definedName>
    <definedName name="BExF3QD55TIY1MSBSRK9TUJKBEWO" hidden="1">#REF!</definedName>
    <definedName name="BExF3QT8J6RIF1L3R700MBSKIOKW" hidden="1">#REF!</definedName>
    <definedName name="BExF3WT0ZHF3EL0ASMG2VZWM9G8I"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RZ6DOAJ22UKB3277ZIOU46S"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6H4GVM169LVJ9EMCTORM8Q7" hidden="1">#REF!</definedName>
    <definedName name="BExF6786I4LDI5XCLJEAUR1360PJ"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QUSYQJK98BYSLTE5MXT70P5"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7R9OJ83YUOQJTFS47QJFPBA6" hidden="1">#REF!</definedName>
    <definedName name="BExF7WD56YB3STK93BIQP3486ZEI" hidden="1">#REF!</definedName>
    <definedName name="BExF80K6MCUWS9W99VRNYEN44QQZ" hidden="1">#REF!</definedName>
    <definedName name="BExF81GI8B8WBHXFTET68A9358BR" hidden="1">#REF!</definedName>
    <definedName name="BExF87GAYMXKMUTK8SVUQ03Q8QZR" hidden="1">#REF!</definedName>
    <definedName name="BExGKVQARCQ9KIFMMXBXEKHDTREN" hidden="1">#REF!</definedName>
    <definedName name="BExGL97US0Y3KXXASUTVR26XLT70" localSheetId="31" hidden="1">#REF!</definedName>
    <definedName name="BExGL97US0Y3KXXASUTVR26XLT70" hidden="1">#REF!</definedName>
    <definedName name="BExGLA47VYPH5Q19X9DS7CT55B4I" localSheetId="31" hidden="1">#REF!</definedName>
    <definedName name="BExGLA47VYPH5Q19X9DS7CT55B4I" hidden="1">#REF!</definedName>
    <definedName name="BExGLC7R4C33RO0PID97ZPPVCW4M" localSheetId="31"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X716Z4UBZVUK6LS4LCBZ8EV" hidden="1">#REF!</definedName>
    <definedName name="BExGLYE6RZTAAWHJBG2QFJPTDS2Q"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7SOVSLKC6I1KE8PWWP0JN74" hidden="1">#REF!</definedName>
    <definedName name="BExGN9FZ2RWCMSY1YOBJKZMNIM9R" hidden="1">#REF!</definedName>
    <definedName name="BExGNDSIMTHOCXXG6QOGR6DA8SGG" hidden="1">#REF!</definedName>
    <definedName name="BExGNG6TCN1ZSYO3FQ0I1CHBMQSK"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3Y9EAR1NQIAT7U7P8UVVPK" hidden="1">#REF!</definedName>
    <definedName name="BExGOB25QJMQCQE76MRW9X58OIOO" localSheetId="31" hidden="1">#REF!</definedName>
    <definedName name="BExGOB25QJMQCQE76MRW9X58OIOO" hidden="1">#REF!</definedName>
    <definedName name="BExGOD5OOOBUBIMGTY10CMMLMXNN" localSheetId="31" hidden="1">#REF!</definedName>
    <definedName name="BExGOD5OOOBUBIMGTY10CMMLMXNN" hidden="1">#REF!</definedName>
    <definedName name="BExGODAZKJ9EXMQZNQR5YDBSS525" localSheetId="31" hidden="1">#REF!</definedName>
    <definedName name="BExGODAZKJ9EXMQZNQR5YDBSS525" hidden="1">#REF!</definedName>
    <definedName name="BExGODR8ZSMUC11I56QHSZ686XV5" hidden="1">#REF!</definedName>
    <definedName name="BExGOT6UXUX5FVTAYL9SOBZ1D0II" hidden="1">#REF!</definedName>
    <definedName name="BExGOXJDHUDPDT8I8IVGVW9J0R5Q" hidden="1">#REF!</definedName>
    <definedName name="BExGP3TT3CY5VYQJQ82YO0NMENH1"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4E4XWZBZNG82O3F6S3IX0UD" hidden="1">#REF!</definedName>
    <definedName name="BExGQ61DTJ0SBFMDFBAK3XZ9O0ZO" hidden="1">#REF!</definedName>
    <definedName name="BExGQ6SG9XEOD0VMBAR22YPZWSTA" hidden="1">#REF!</definedName>
    <definedName name="BExGQGJ1A7LNZUS8QSMOG8UNGLMK" hidden="1">#REF!</definedName>
    <definedName name="BExGQNPYSR0588CMPYC6F4KV9EDE" hidden="1">#REF!</definedName>
    <definedName name="BExGQPO7ENFEQC0NC6MC9OZR2LHY" localSheetId="31" hidden="1">#REF!</definedName>
    <definedName name="BExGQPO7ENFEQC0NC6MC9OZR2LHY" hidden="1">#REF!</definedName>
    <definedName name="BExGQX0H4EZMXBJTKJJE4ICJWN5O" localSheetId="31" hidden="1">#REF!</definedName>
    <definedName name="BExGQX0H4EZMXBJTKJJE4ICJWN5O" hidden="1">#REF!</definedName>
    <definedName name="BExGR4CW3WRIID17GGX4MI9ZDHFE" localSheetId="31"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AY9F658TSUK4B5X7SAIOYT9" hidden="1">#REF!</definedName>
    <definedName name="BExGRD74EJWS14SU2OOJCGK9X1W7" hidden="1">#REF!</definedName>
    <definedName name="BExGROQL61G1JF22224SED98B361" hidden="1">#REF!</definedName>
    <definedName name="BExGRUKVVKDL8483WI70VN2QZDGD" hidden="1">#REF!</definedName>
    <definedName name="BExGRW2VUL2RYAVBES5DLY6VH9EK" hidden="1">#REF!</definedName>
    <definedName name="BExGS2IWR5DUNJ1U9PAKIV8CMBNI" hidden="1">#REF!</definedName>
    <definedName name="BExGS39S7AWXR3SMHER030GA9FHE"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CKA06Y0QKMK697YEVLEA9FY" hidden="1">#REF!</definedName>
    <definedName name="BExGSJWJN6NORKNRWIN4W0MANCAV" hidden="1">#REF!</definedName>
    <definedName name="BExGSQY65LH1PCKKM5WHDW83F35O" hidden="1">#REF!</definedName>
    <definedName name="BExGSSW8N9A0O48I1Z0M4ZIIXNTV" hidden="1">#REF!</definedName>
    <definedName name="BExGSYW1GKISF0PMUAK3XJK9PEW9" hidden="1">#REF!</definedName>
    <definedName name="BExGSZCAQHVWXD4N87N0EW2W1JGB" hidden="1">#REF!</definedName>
    <definedName name="BExGT0DZJB6LSF6L693UUB9EY1VQ" hidden="1">#REF!</definedName>
    <definedName name="BExGTGVFIF8HOQXR54SK065A8M4K" hidden="1">#REF!</definedName>
    <definedName name="BExGTHRSN7OEWMFAXSHGKS2ECVLO" hidden="1">#REF!</definedName>
    <definedName name="BExGTIYX3OWPIINOGY1E4QQYSKHP" hidden="1">#REF!</definedName>
    <definedName name="BExGTKGUN0KUU3C0RL2LK98D8MEK" hidden="1">#REF!</definedName>
    <definedName name="BExGTTWOFVNMXRUNAMNODBN7I5RE" hidden="1">#REF!</definedName>
    <definedName name="BExGTZ046J7VMUG4YPKFN2K8TWB7" hidden="1">#REF!</definedName>
    <definedName name="BExGU1JWSVXPWIF3A5PN098ST2ZB"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PZ6NZ68L2EDDWJAMBIUVHKZ"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LQV4WLYED6UCM4VDJMDIODS" hidden="1">#REF!</definedName>
    <definedName name="BExGVQE1PH4Q46QUDV9GXTDJHSBP" hidden="1">#REF!</definedName>
    <definedName name="BExGVQUBBCND7N6N8UAFSJ3XMO2K" hidden="1">#REF!</definedName>
    <definedName name="BExGVV6OOLDQ3TXZK51TTF3YX0WN" hidden="1">#REF!</definedName>
    <definedName name="BExGW0KVS7U0C87XFZ78QW991IEV" hidden="1">#REF!</definedName>
    <definedName name="BExGW2Z7AMPG6H9EXA9ML6EZVGGA" hidden="1">#REF!</definedName>
    <definedName name="BExGW4XE5DHK7GOPYX8TT51CSG15" hidden="1">#REF!</definedName>
    <definedName name="BExGW5Z3L0OX08J99L459WM06JKA" hidden="1">#REF!</definedName>
    <definedName name="BExGWABG5VT5XO1A196RK61AXA8C" hidden="1">#REF!</definedName>
    <definedName name="BExGWE2ENPKKCYNRTQY1QKPWFLXM" hidden="1">#REF!</definedName>
    <definedName name="BExGWEO0JDG84NYLEAV5NSOAGMJZ" hidden="1">#REF!</definedName>
    <definedName name="BExGWK7JDSL1M5WZ40HT9QXFJ1EM" hidden="1">#REF!</definedName>
    <definedName name="BExGWLEOC70Z8QAJTPT2PDHTNM4L" hidden="1">#REF!</definedName>
    <definedName name="BExGWNCXLCRTLBVMTXYJ5PHQI6SS" hidden="1">#REF!</definedName>
    <definedName name="BExGWTI0YD2LF2C6MIF0OB6ZIWO7"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R7QM0F3N9OYEG8V5BZ8X5WD"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M8ENAT3UBFMSYCXQG8WWNVD" hidden="1">#REF!</definedName>
    <definedName name="BExGYMZGRR1O4VFUEQP4FPY9SFY6"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GZTE5G7WSV7TYWM2Q9FW7YZUN" hidden="1">#REF!</definedName>
    <definedName name="BExH00L21GZX5YJJGVMOAWBERLP5" hidden="1">#REF!</definedName>
    <definedName name="BExH02ZD6VAY1KQLAQYBBI6WWIZB" hidden="1">#REF!</definedName>
    <definedName name="BExH08Z6LQCGGSGSAILMHX4X7JMD" hidden="1">#REF!</definedName>
    <definedName name="BExH0BTMHS9M9C5JSOE1DK83LRCJ"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81KIGEHYN7U002O6RO1HZT7" hidden="1">#REF!</definedName>
    <definedName name="BExH1COQB2N3U6HS9ITOY40KC6JA" hidden="1">#REF!</definedName>
    <definedName name="BExH1FDTQXR9QQ31WDB7OPXU7MPT" hidden="1">#REF!</definedName>
    <definedName name="BExH1FOMEUIJNIDJAUY0ZQFBJSY9" hidden="1">#REF!</definedName>
    <definedName name="BExH1G4VNA3BFMF4QK35PGSBQJMB" hidden="1">#REF!</definedName>
    <definedName name="BExH1JFFHEBFX9BWJMNIA3N66R3Z" hidden="1">#REF!</definedName>
    <definedName name="BExH1UYUZFQ3NQ2E3UANIJDR9U8U" hidden="1">#REF!</definedName>
    <definedName name="BExH1Z0GIUSVTF2H1G1I3PDGBNK2" hidden="1">#REF!</definedName>
    <definedName name="BExH225UTM6S9FW4MUDZS7F1PQSH" hidden="1">#REF!</definedName>
    <definedName name="BExH22M34C4EGB2M8ES9K2NBZFIX" hidden="1">#REF!</definedName>
    <definedName name="BExH23271RF7AYZ542KHQTH68GQ7" hidden="1">#REF!</definedName>
    <definedName name="BExH25LUU6AHETNY34SBU5S7UOWE" hidden="1">#REF!</definedName>
    <definedName name="BExH2EARUVJ0LN7IJXI0S3UWLQB2" localSheetId="31" hidden="1">#REF!</definedName>
    <definedName name="BExH2EARUVJ0LN7IJXI0S3UWLQB2" hidden="1">#REF!</definedName>
    <definedName name="BExH2GJQR4JALNB314RY0LDI49VH" localSheetId="31" hidden="1">#REF!</definedName>
    <definedName name="BExH2GJQR4JALNB314RY0LDI49VH" hidden="1">#REF!</definedName>
    <definedName name="BExH2JZR49T7644JFVE7B3N7RZM9" localSheetId="31"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HTQQA3RHXK08CNPZI42FVSA" hidden="1">#REF!</definedName>
    <definedName name="BExIGJBO8R13LV7CZ7C1YCP974NN" hidden="1">#REF!</definedName>
    <definedName name="BExIGWT86FPOEYTI8GXCGU5Y3KGK" hidden="1">#REF!</definedName>
    <definedName name="BExIHBHXA7E7VUTBVHXXXCH3A5CL" hidden="1">#REF!</definedName>
    <definedName name="BExIHBHXMSLC44C053SZXSYO7792" hidden="1">#REF!</definedName>
    <definedName name="BExIHPQCQTGEW8QOJVIQ4VX0P6DX" hidden="1">#REF!</definedName>
    <definedName name="BExII1F6IZ6R90QEXPQM797VHUO1" hidden="1">#REF!</definedName>
    <definedName name="BExII1KN91Q7DLW0UB7W2TJ5ACT9" hidden="1">#REF!</definedName>
    <definedName name="BExII50LI8I0CDOOZEMIVHVA2V95" hidden="1">#REF!</definedName>
    <definedName name="BExIIFCX8RFH3G7Q9DCH3HTE14VA"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DISZXEB5UAC55IINOQUBK6X" hidden="1">#REF!</definedName>
    <definedName name="BExIJFGZJ5ED9D6KAY4PGQYLELAX" hidden="1">#REF!</definedName>
    <definedName name="BExIJQK80ZEKSTV62E59AYJYUNLI" hidden="1">#REF!</definedName>
    <definedName name="BExIJRLX3M0YQLU1D5Y9V7HM5QNM" hidden="1">#REF!</definedName>
    <definedName name="BExIJRR7W9PHGSRPIHRCMIOQUEQQ" hidden="1">#REF!</definedName>
    <definedName name="BExIJV22J0QA7286KNPMHO1ZUCB3" localSheetId="31" hidden="1">#REF!</definedName>
    <definedName name="BExIJV22J0QA7286KNPMHO1ZUCB3" hidden="1">#REF!</definedName>
    <definedName name="BExIJVI6OC7B6ZE9V4PAOYZXKNER" localSheetId="31" hidden="1">#REF!</definedName>
    <definedName name="BExIJVI6OC7B6ZE9V4PAOYZXKNER" hidden="1">#REF!</definedName>
    <definedName name="BExIJWK0NGTGQ4X7D5VIVXD14JHI" localSheetId="31"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PRX2YB5WTLBU2ZIIDKTSZLB"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5T2MJ6DXYOSVERRYGMDV89B" hidden="1">#REF!</definedName>
    <definedName name="BExILAAXRTRAD18K74M6MGUEEPUM" hidden="1">#REF!</definedName>
    <definedName name="BExILG5F338C0FFLMVOKMKF8X5ZP" hidden="1">#REF!</definedName>
    <definedName name="BExILGQTQM0HOD0BJI90YO7GOIN3" hidden="1">#REF!</definedName>
    <definedName name="BExILT6PKNSR8V0R7UE4IRG590K6" hidden="1">#REF!</definedName>
    <definedName name="BExIM2RXHXBO63HBPUTHF775IIRY" localSheetId="31" hidden="1">#REF!</definedName>
    <definedName name="BExIM2RXHXBO63HBPUTHF775IIRY" hidden="1">#REF!</definedName>
    <definedName name="BExIM2RXYS5BGYBDMFLU1RE8039Z" localSheetId="31" hidden="1">#REF!</definedName>
    <definedName name="BExIM2RXYS5BGYBDMFLU1RE8039Z" hidden="1">#REF!</definedName>
    <definedName name="BExIM2X90EG7J3TG4STQ3J1OK4O0" localSheetId="31" hidden="1">#REF!</definedName>
    <definedName name="BExIM2X90EG7J3TG4STQ3J1OK4O0" hidden="1">#REF!</definedName>
    <definedName name="BExIM9DBUB7ZGF4B20FVUO9QGOX2" localSheetId="31" hidden="1">#REF!</definedName>
    <definedName name="BExIM9DBUB7ZGF4B20FVUO9QGOX2" hidden="1">#REF!</definedName>
    <definedName name="BExIMGK9Z94TFPWWZFMD10HV0IF6" localSheetId="31" hidden="1">#REF!</definedName>
    <definedName name="BExIMGK9Z94TFPWWZFMD10HV0IF6" hidden="1">#REF!</definedName>
    <definedName name="BExIMPEGKG18TELVC33T4OQTNBWC" localSheetId="31" hidden="1">#REF!</definedName>
    <definedName name="BExIMPEGKG18TELVC33T4OQTNBWC" hidden="1">#REF!</definedName>
    <definedName name="BExIN4OR435DL1US13JQPOQK8GD5" hidden="1">#REF!</definedName>
    <definedName name="BExINHQ27UK79IK88M14P1SXMGYY" hidden="1">#REF!</definedName>
    <definedName name="BExINI6A7H3KSFRFA6UBBDPKW37F" hidden="1">#REF!</definedName>
    <definedName name="BExINIMK8XC3JOBT2EXYFHHH52H0" hidden="1">#REF!</definedName>
    <definedName name="BExINLGZTO4C3BAICP3I2AXI0L3L" hidden="1">#REF!</definedName>
    <definedName name="BExINLX401ZKEGWU168DS4JUM2J6" hidden="1">#REF!</definedName>
    <definedName name="BExINMYYJO1FTV1CZF6O5XCFAMQX" hidden="1">#REF!</definedName>
    <definedName name="BExINP2H4KI05FRFV5PKZFE00HKO" hidden="1">#REF!</definedName>
    <definedName name="BExINT417AAWC51ZA8X4TDJCY0QV" hidden="1">#REF!</definedName>
    <definedName name="BExINT42RM5ESUGKCUN8IZFWEV0D" hidden="1">#REF!</definedName>
    <definedName name="BExINZELBUXH0OXC3SAGC2RI7DXI" localSheetId="31" hidden="1">#REF!</definedName>
    <definedName name="BExINZELBUXH0OXC3SAGC2RI7DXI" hidden="1">#REF!</definedName>
    <definedName name="BExINZELVWYGU876QUUZCIMXPBQC" localSheetId="31" hidden="1">#REF!</definedName>
    <definedName name="BExINZELVWYGU876QUUZCIMXPBQC" hidden="1">#REF!</definedName>
    <definedName name="BExIOCQUQHKUU1KONGSDOLQTQEIC" localSheetId="31" hidden="1">#REF!</definedName>
    <definedName name="BExIOCQUQHKUU1KONGSDOLQTQEIC" hidden="1">#REF!</definedName>
    <definedName name="BExIOFL8Y5O61VLKTB4H20IJNWS1" hidden="1">#REF!</definedName>
    <definedName name="BExIOMBXRW5NS4ZPYX9G5QREZ5J6" hidden="1">#REF!</definedName>
    <definedName name="BExIOP121EZ0DOU3CLJVVRUIQPZP" hidden="1">#REF!</definedName>
    <definedName name="BExIORA3GK78T7C7SNBJJUONJ0LS" hidden="1">#REF!</definedName>
    <definedName name="BExIORFDXP4AVIEBLSTZ8ETSXMNM" hidden="1">#REF!</definedName>
    <definedName name="BExIOTZ5EFZ2NASVQ05RH15HRSW6"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PMWA45QSRZBQJ7J5LE412D5J"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65DFEB0L9IMMF5X977SD" hidden="1">#REF!</definedName>
    <definedName name="BExIQBMDE1L6J4H27K1FMSHQKDSE" hidden="1">#REF!</definedName>
    <definedName name="BExIQE65LVXUOF3UZFO7SDHFJH22" hidden="1">#REF!</definedName>
    <definedName name="BExIQG9OO2KKBOWTMD1OXY36TEGA" hidden="1">#REF!</definedName>
    <definedName name="BExIQK0FRCT7UYOFPF6HXKEUARNJ" hidden="1">#REF!</definedName>
    <definedName name="BExIQX1XBB31HZTYEEVOBSE3C5A6" hidden="1">#REF!</definedName>
    <definedName name="BExIQY8VY7PMQS8M5UTSAF3MW1AA"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RRM8X5MMN15Q3SPFK13165ZR" hidden="1">#REF!</definedName>
    <definedName name="BExIS4T0DRF57HYO7OGG72KBOFOI" localSheetId="31" hidden="1">#REF!</definedName>
    <definedName name="BExIS4T0DRF57HYO7OGG72KBOFOI" hidden="1">#REF!</definedName>
    <definedName name="BExIS77BJDDK18PGI9DSEYZPIL7P" localSheetId="31" hidden="1">#REF!</definedName>
    <definedName name="BExIS77BJDDK18PGI9DSEYZPIL7P" hidden="1">#REF!</definedName>
    <definedName name="BExIS8UME1A94FJH5YHFVEO8E03Z" localSheetId="31" hidden="1">#REF!</definedName>
    <definedName name="BExIS8UME1A94FJH5YHFVEO8E03Z"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SXVMB9A7MHHRJTQGWLTINL5K" hidden="1">#REF!</definedName>
    <definedName name="BExIT1MK8TBAK3SNP36A8FKDQSOK" hidden="1">#REF!</definedName>
    <definedName name="BExITBNYANV2S8KD56GOGCKW393R" hidden="1">#REF!</definedName>
    <definedName name="BExITENTNC8AZE7V0WRWRYW8HP0C" hidden="1">#REF!</definedName>
    <definedName name="BExITKI640SU7Y4KLZY9I1Z9R6TT" hidden="1">#REF!</definedName>
    <definedName name="BExITTSMS5QHJIV39IX8L172UTTU" hidden="1">#REF!</definedName>
    <definedName name="BExITU3FT317H7G8057DIO12TN7U" hidden="1">#REF!</definedName>
    <definedName name="BExITXE2V3RFP2CB0EZVVTMZFX7T" hidden="1">#REF!</definedName>
    <definedName name="BExIUAFCGGFQDEDMTXUYTTA3EYBT" hidden="1">#REF!</definedName>
    <definedName name="BExIUD4OJGH65NFNQ4VMCE3R4J1X" hidden="1">#REF!</definedName>
    <definedName name="BExIUKGWIPE992U6T8OUR0LZQDXK" hidden="1">#REF!</definedName>
    <definedName name="BExIUM46R6FW1PBJUL86BQVXB96X" hidden="1">#REF!</definedName>
    <definedName name="BExIUTB5OAAXYW0OFMP0PS40SPOB" hidden="1">#REF!</definedName>
    <definedName name="BExIUUT2MHIOV6R3WHA0DPM1KBKY" hidden="1">#REF!</definedName>
    <definedName name="BExIUY3RMHPHDAHQNA21GY3ZUTMU"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8AM80CS6E5TN6IATF33GV1V" hidden="1">#REF!</definedName>
    <definedName name="BExIVBFYNRU691AQPVWWPH7PG4PX" hidden="1">#REF!</definedName>
    <definedName name="BExIVC6WZMHRBRGIBUVX0CO2RK05" hidden="1">#REF!</definedName>
    <definedName name="BExIVCXWL6H5LD9DHDIA4F5U9TQL" hidden="1">#REF!</definedName>
    <definedName name="BExIVEL6GUMOY062S9PFOGOGJ1UX"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CGFM00Y1WAFPJT5KRD1K5XP" hidden="1">#REF!</definedName>
    <definedName name="BExIWG1W7XP9DFYYSZAIOSHM0QLQ" hidden="1">#REF!</definedName>
    <definedName name="BExIWH3KUK94B7833DD4TB0Y6KP9" hidden="1">#REF!</definedName>
    <definedName name="BExIWKE9MGIDWORBI43AWTUNYFAN" hidden="1">#REF!</definedName>
    <definedName name="BExIWLFXFUPVKEPUHWJYGEW9I7SQ" hidden="1">#REF!</definedName>
    <definedName name="BExIWNZR6BI167OK1PHT0XMDHSMS" hidden="1">#REF!</definedName>
    <definedName name="BExIWQ8KOCZ9G1137JOM03I28GP4" hidden="1">#REF!</definedName>
    <definedName name="BExIX34PM5DBTRHRQWP6PL6WIX88" hidden="1">#REF!</definedName>
    <definedName name="BExIX5OAP9KSUE5SIZCW9P39Q4WE" hidden="1">#REF!</definedName>
    <definedName name="BExIXB7UUMLUUU4G2KWA00VKHNEJ"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Q63QDPSPOEL1H0OP89YQTZH" hidden="1">#REF!</definedName>
    <definedName name="BExIYV9IMIVVVSZNL48E412WN7ZF" localSheetId="31" hidden="1">#REF!</definedName>
    <definedName name="BExIYV9IMIVVVSZNL48E412WN7ZF" hidden="1">#REF!</definedName>
    <definedName name="BExIYWWSSNFJ49218D4EO9QWKL69" localSheetId="31" hidden="1">#REF!</definedName>
    <definedName name="BExIYWWSSNFJ49218D4EO9QWKL69" hidden="1">#REF!</definedName>
    <definedName name="BExIYZGLDQ1TN7BIIN4RLDP31GIM" localSheetId="31" hidden="1">#REF!</definedName>
    <definedName name="BExIYZGLDQ1TN7BIIN4RLDP31GIM" hidden="1">#REF!</definedName>
    <definedName name="BExIZ4K0EZJK6PW3L8SVKTJFSWW9" hidden="1">#REF!</definedName>
    <definedName name="BExIZ5GDN6WSJ55BFCN2CC7G80L0" hidden="1">#REF!</definedName>
    <definedName name="BExIZ6YBLNY9O1BQC129VGDXCVNX"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J1PWWYANUHL8A16ETV0RDAXC3" hidden="1">#REF!</definedName>
    <definedName name="BExKCDYKAEV45AFXHVHZZ62E5BM3" hidden="1">#REF!</definedName>
    <definedName name="BExKCJCRGT5SGXIHDQI24Z6J8GI4" hidden="1">#REF!</definedName>
    <definedName name="BExKDKO0W4AGQO1V7K6Q4VM750FT" hidden="1">#REF!</definedName>
    <definedName name="BExKDLF10G7W77J87QWH3ZGLUCLW" hidden="1">#REF!</definedName>
    <definedName name="BExKE0PBX3XGOUM78ZT54ALDAVSP"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HGARZIYPYRZWQNLP5VVCRE2" hidden="1">#REF!</definedName>
    <definedName name="BExKFINBFV5J2NFRCL4YUO3YF0ZE" hidden="1">#REF!</definedName>
    <definedName name="BExKFISRBFACTAMJSALEYMY66F6X" hidden="1">#REF!</definedName>
    <definedName name="BExKFOSK5DJ151C4E8544UWMYTOC" hidden="1">#REF!</definedName>
    <definedName name="BExKFY32BHV278YC2ID5UIB5O51K" hidden="1">#REF!</definedName>
    <definedName name="BExKFYJC4EVEV54F82K6VKP7Q3OU" hidden="1">#REF!</definedName>
    <definedName name="BExKG4IYHBKQQ8J8FN10GB2IKO33" hidden="1">#REF!</definedName>
    <definedName name="BExKG60XBDFYOF7ZU3F5US7CM2Y4" hidden="1">#REF!</definedName>
    <definedName name="BExKG6XA0DGM4VUMUE4NHHVYVJ0J"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RLRYB3OW56X3JCUII1OOS3K" hidden="1">#REF!</definedName>
    <definedName name="BExKGV77YH9YXIQTRKK2331QGYKF" hidden="1">#REF!</definedName>
    <definedName name="BExKH170S7VQ0NRNOWNT98XVEWUH"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HWD5BOLP8DQJHOIBWHYCSY9W" hidden="1">#REF!</definedName>
    <definedName name="BExKI4076KXCDE5KXL79KT36OKLO" hidden="1">#REF!</definedName>
    <definedName name="BExKI45P8VH8M6QPIX8B2CFPOGZ3" hidden="1">#REF!</definedName>
    <definedName name="BExKI7LO70WYISR7Q0Y1ZDWO9M3B" hidden="1">#REF!</definedName>
    <definedName name="BExKIEN5C2YIQQSVLK8YO62XYJMM"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CRXE2B5CHO3044NF9QAKPIW" hidden="1">#REF!</definedName>
    <definedName name="BExKKIM9NPF6B3SPMPIQB27HQME4" hidden="1">#REF!</definedName>
    <definedName name="BExKKIX1BCBQ4R3K41QD8NTV0OV0" hidden="1">#REF!</definedName>
    <definedName name="BExKKKV82VW7RLX4HE7NYZULP4I5" hidden="1">#REF!</definedName>
    <definedName name="BExKKLGTZTV7J4XD4AGDM4UEZFTY" hidden="1">#REF!</definedName>
    <definedName name="BExKKQ3ZWADYV03YHMXDOAMU90EB" hidden="1">#REF!</definedName>
    <definedName name="BExKKRWPS7N7KUY6X06X0TEINQM6" hidden="1">#REF!</definedName>
    <definedName name="BExKKUGD2HMJWQEYZ8H3X1BMXFS9" hidden="1">#REF!</definedName>
    <definedName name="BExKKX05KCZZZPKOR1NE5A8RGVT4" hidden="1">#REF!</definedName>
    <definedName name="BExKKX5GX2R75C9E5OJC8AEQ02WR" hidden="1">#REF!</definedName>
    <definedName name="BExKLD6S9L66QYREYHBE5J44OK7X" hidden="1">#REF!</definedName>
    <definedName name="BExKLEZK32L28GYJWVO63BZ5E1JD" hidden="1">#REF!</definedName>
    <definedName name="BExKLHTYKCAWH7WCYP78L3516NDH" hidden="1">#REF!</definedName>
    <definedName name="BExKLLKVVHT06LA55JB2FC871DC5" hidden="1">#REF!</definedName>
    <definedName name="BExKMFUOVKD6ZRRWMW0FAANYOY14" hidden="1">#REF!</definedName>
    <definedName name="BExKMM52P2JTD826GL7EUFZ2GOWA" localSheetId="31" hidden="1">#REF!</definedName>
    <definedName name="BExKMM52P2JTD826GL7EUFZ2GOWA" hidden="1">#REF!</definedName>
    <definedName name="BExKMWBX4EH3EYJ07UFEM08NB40Z" localSheetId="31" hidden="1">#REF!</definedName>
    <definedName name="BExKMWBX4EH3EYJ07UFEM08NB40Z" hidden="1">#REF!</definedName>
    <definedName name="BExKNBGV2IR3S7M0BX4810KZB4V3" localSheetId="31" hidden="1">#REF!</definedName>
    <definedName name="BExKNBGV2IR3S7M0BX4810KZB4V3" hidden="1">#REF!</definedName>
    <definedName name="BExKNCTBZTSY3MO42VU5PLV6YUHZ" hidden="1">#REF!</definedName>
    <definedName name="BExKNGV2YY749C42AQ2T9QNIE5C3" hidden="1">#REF!</definedName>
    <definedName name="BExKNSP7EUXMQ7HQ1I4UI51T620P"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BVQIBD5QN64WI0VMWG8ECVY" hidden="1">#REF!</definedName>
    <definedName name="BExKODIZGWW2EQD0FEYW6WK6XLCM" hidden="1">#REF!</definedName>
    <definedName name="BExKOPO2HPWVQGAKW8LOZMPIDEFG" hidden="1">#REF!</definedName>
    <definedName name="BExKOU0G4S03BPJYQJ7Q6BXA1XZE" hidden="1">#REF!</definedName>
    <definedName name="BExKP1NNUBCM89W1AWCQ4GYT46VL" hidden="1">#REF!</definedName>
    <definedName name="BExKPEZP0QTKOTLIMMIFSVTHQEEK" localSheetId="31" hidden="1">#REF!</definedName>
    <definedName name="BExKPEZP0QTKOTLIMMIFSVTHQEEK" hidden="1">#REF!</definedName>
    <definedName name="BExKPJXT3SWOS15NRMD9RAD4AXOC" localSheetId="31" hidden="1">#REF!</definedName>
    <definedName name="BExKPJXT3SWOS15NRMD9RAD4AXOC" hidden="1">#REF!</definedName>
    <definedName name="BExKPLFRCAYNO7ZNGISMPGFFXB00" localSheetId="31" hidden="1">#REF!</definedName>
    <definedName name="BExKPLFRCAYNO7ZNGISMPGFFXB00" hidden="1">#REF!</definedName>
    <definedName name="BExKPLQJX0HJ8OTXBXH9IC9J2V0W" hidden="1">#REF!</definedName>
    <definedName name="BExKPN8C7GN36ZJZHLOB74LU6KT0" hidden="1">#REF!</definedName>
    <definedName name="BExKPUKRNDWTKQ8SV8FLABPPXTJK" hidden="1">#REF!</definedName>
    <definedName name="BExKPX9VZ1J5021Q98K60HMPJU58"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R8NYY6S7G0RNG3W5UHF26LU" hidden="1">#REF!</definedName>
    <definedName name="BExKQRUAOHG635WYE6STI4YHGJPE" hidden="1">#REF!</definedName>
    <definedName name="BExKQTXRG3ECU8NT47UR7643LO5G" hidden="1">#REF!</definedName>
    <definedName name="BExKQVL7HPOIZ4FHANDFMVOJLEPR" hidden="1">#REF!</definedName>
    <definedName name="BExKR1VS7ERDDF8HXB3WTPYEUCIU" hidden="1">#REF!</definedName>
    <definedName name="BExKR32XG1WY77WDT8KW9FJPGQTU" hidden="1">#REF!</definedName>
    <definedName name="BExKR510GA0MUAKSG4OVIQ26I0BG"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LH6QVG81B35VZ8FUSPBKTD5" hidden="1">#REF!</definedName>
    <definedName name="BExKSRX3BUJY78UHYYZJVTVLMZVP" hidden="1">#REF!</definedName>
    <definedName name="BExKSU0MKNAVZYYPKCYTZDWQX4R8" hidden="1">#REF!</definedName>
    <definedName name="BExKSUBFNA2CM15GD0QR99POCR5I" hidden="1">#REF!</definedName>
    <definedName name="BExKSV7ROT5B5BVJ3G19JSC85BAD" hidden="1">#REF!</definedName>
    <definedName name="BExKSX60G1MUS689FXIGYP2F7C62" hidden="1">#REF!</definedName>
    <definedName name="BExKT2UZ7Y2VWF5NQE18SJRLD2RN" hidden="1">#REF!</definedName>
    <definedName name="BExKT3GJFNGAM09H5F615E36A38C" hidden="1">#REF!</definedName>
    <definedName name="BExKT9AWCJUL6FVVYMI7NGFTAEEG" hidden="1">#REF!</definedName>
    <definedName name="BExKTQZGN8GI3XGSEXMPCCA3S19H" hidden="1">#REF!</definedName>
    <definedName name="BExKTSBXGP8YGSN5UO0FUHVXT92J" hidden="1">#REF!</definedName>
    <definedName name="BExKTUKYYU0F6TUW1RXV24LRAZFE" hidden="1">#REF!</definedName>
    <definedName name="BExKU3FBLHQBIUTN6XEZW5GC9OG1" hidden="1">#REF!</definedName>
    <definedName name="BExKU3KMPVWH483Q5TP8K2H0S2L4" hidden="1">#REF!</definedName>
    <definedName name="BExKU82I99FEUIZLODXJDOJC96CQ" hidden="1">#REF!</definedName>
    <definedName name="BExKU9EXMNZKVJV6GSO4XEI3YCWM" hidden="1">#REF!</definedName>
    <definedName name="BExKUDM0DFSCM3D91SH0XLXJSL18" hidden="1">#REF!</definedName>
    <definedName name="BExKUGGKEOHX3EEPQ7NGSZWZ8UPA" hidden="1">#REF!</definedName>
    <definedName name="BExKULEKJLA77AUQPDUHSM94Y76Z" hidden="1">#REF!</definedName>
    <definedName name="BExKUPAT7VWF9ZS0PSYAV71U4N72" hidden="1">#REF!</definedName>
    <definedName name="BExKV08R85MKI3MAX9E2HERNQUNL" localSheetId="31" hidden="1">#REF!</definedName>
    <definedName name="BExKV08R85MKI3MAX9E2HERNQUNL" hidden="1">#REF!</definedName>
    <definedName name="BExKV334XOSQSXAYPE1ZFCWHR4J8" localSheetId="31" hidden="1">#REF!</definedName>
    <definedName name="BExKV334XOSQSXAYPE1ZFCWHR4J8" hidden="1">#REF!</definedName>
    <definedName name="BExKV4AAUNNJL5JWD7PX6BFKVS6O" localSheetId="31" hidden="1">#REF!</definedName>
    <definedName name="BExKV4AAUNNJL5JWD7PX6BFKVS6O" hidden="1">#REF!</definedName>
    <definedName name="BExKV6J9WVQH09L0UOV4PHTLKXRK" hidden="1">#REF!</definedName>
    <definedName name="BExKVDVK6HN74GQPTXICP9BFC8CF" hidden="1">#REF!</definedName>
    <definedName name="BExKVFZ3ZZGIC1QI8XN6BYFWN0ZY" hidden="1">#REF!</definedName>
    <definedName name="BExKVG4KGO28KPGTAFL1R8TTZ10N" hidden="1">#REF!</definedName>
    <definedName name="BExKVQRICZRKMKC3XFBPYJM79KT1" hidden="1">#REF!</definedName>
    <definedName name="BExKW0CSH7DA02YSNV64PSEIXB2P" hidden="1">#REF!</definedName>
    <definedName name="BExKW61SUXF65SCFWSZUR9GUOOMH" hidden="1">#REF!</definedName>
    <definedName name="BExM9NUG3Q31X01AI9ZJCZIX25CS" hidden="1">#REF!</definedName>
    <definedName name="BExM9OG182RP30MY23PG49LVPZ1C" hidden="1">#REF!</definedName>
    <definedName name="BExMA64MW1S18NH8DCKPCCEI5KCB" hidden="1">#REF!</definedName>
    <definedName name="BExMAAMGWSV264QND3PEEFNT51OK" hidden="1">#REF!</definedName>
    <definedName name="BExMAC4FBX1U0Y3998JERGS9KL2T" hidden="1">#REF!</definedName>
    <definedName name="BExMAIF09XQ94J83IAH3DFXTENQV"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MVGO0XJ71IWHILW9QA74NPG" hidden="1">#REF!</definedName>
    <definedName name="BExMBYPQDG9AYDQ5E8IECVFREPO6" hidden="1">#REF!</definedName>
    <definedName name="BExMBZ5YTPW7PFDUD2A9VUJ4HTNH" localSheetId="31" hidden="1">#REF!</definedName>
    <definedName name="BExMBZ5YTPW7PFDUD2A9VUJ4HTNH" hidden="1">#REF!</definedName>
    <definedName name="BExMBZM2XYYERB8X75SWZCZRQTT3" localSheetId="31" hidden="1">#REF!</definedName>
    <definedName name="BExMBZM2XYYERB8X75SWZCZRQTT3" hidden="1">#REF!</definedName>
    <definedName name="BExMC8AZUTX8LG89K2JJR7ZG62XX" localSheetId="31"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GUFAIU47IPVOIVWOZPLSX79" hidden="1">#REF!</definedName>
    <definedName name="BExMCMZOEYWVOOJ98TBHTTCS7XB8" hidden="1">#REF!</definedName>
    <definedName name="BExMCQQH8CGFPPPG70D6VV4J3XR6"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PI2FVMORSWDDCVAJ85WYAYO" hidden="1">#REF!</definedName>
    <definedName name="BExMDUWB7VWHFFR266QXO46BNV2S" hidden="1">#REF!</definedName>
    <definedName name="BExME2U47N8LZG0BPJ49ANY5QVV2" hidden="1">#REF!</definedName>
    <definedName name="BExME5OOQT5THEZMTKUDCTJQJ75P" hidden="1">#REF!</definedName>
    <definedName name="BExME88DH5DUKMUFI9FNVECXFD2E" hidden="1">#REF!</definedName>
    <definedName name="BExME9A7MOGAK7YTTQYXP5DL6VYA" hidden="1">#REF!</definedName>
    <definedName name="BExMEIF7MG94HDIP9UUN2B1R7AP9" hidden="1">#REF!</definedName>
    <definedName name="BExMEOV9YFRY5C3GDLU60GIX10BY" hidden="1">#REF!</definedName>
    <definedName name="BExMEQ7OI6NAP3UP3UX0O5JKS0DV" hidden="1">#REF!</definedName>
    <definedName name="BExMEY09ESM4H2YGKEQQRYUD114R" hidden="1">#REF!</definedName>
    <definedName name="BExMF4G4IUPQY1Y5GEY5N3E04CL6" hidden="1">#REF!</definedName>
    <definedName name="BExMF5I0YYHYSHHGNQEI50YPTUFU" hidden="1">#REF!</definedName>
    <definedName name="BExMF9UIGYMOAQK0ELUWP0S0HZZY" hidden="1">#REF!</definedName>
    <definedName name="BExMFDLBSWFMRDYJ2DZETI3EXKN2" hidden="1">#REF!</definedName>
    <definedName name="BExMFLDTMRTCHKA37LQW67BG8D5C" hidden="1">#REF!</definedName>
    <definedName name="BExMFYPXA6CPPQEIQCZVJ1O8CC3D" hidden="1">#REF!</definedName>
    <definedName name="BExMG3IJ4BTO1ISLMJY91RJVU21M" hidden="1">#REF!</definedName>
    <definedName name="BExMG9NSK30KD01QX0UBN2VNRTG4" hidden="1">#REF!</definedName>
    <definedName name="BExMGD99CUH3CN5F5OWTFJPXIOC5" hidden="1">#REF!</definedName>
    <definedName name="BExMGG3PFIHPHX7NXB7HDFI3N12L" hidden="1">#REF!</definedName>
    <definedName name="BExMGGUQP0X7T5PIESJE86819NLZ"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58NHPZ1UTOZCYFOQPS8I7WN" hidden="1">#REF!</definedName>
    <definedName name="BExMI6L9KX05GAK523JFKICJMTA5" hidden="1">#REF!</definedName>
    <definedName name="BExMI6QQ20XHD0NWJUN741B37182" hidden="1">#REF!</definedName>
    <definedName name="BExMI7MYLMINF9AC59CYYVFGQJAY" hidden="1">#REF!</definedName>
    <definedName name="BExMI8JB94SBD9EMNJEK7Y2T6GYU" hidden="1">#REF!</definedName>
    <definedName name="BExMI8OS85YTW3KYVE4YD0R7Z6UV" hidden="1">#REF!</definedName>
    <definedName name="BExMIBOOZU40JS3F89OMPSRCE9MM" hidden="1">#REF!</definedName>
    <definedName name="BExMIHJ01IVQHPV5ZNO9UPQB64N8" hidden="1">#REF!</definedName>
    <definedName name="BExMIIQ5MBWSIHTFWAQADXMZC22Q" hidden="1">#REF!</definedName>
    <definedName name="BExMIL4I2GE866I25CR5JBLJWJ6A" hidden="1">#REF!</definedName>
    <definedName name="BExMIRKIPF27SNO82SPFSB3T5U17" hidden="1">#REF!</definedName>
    <definedName name="BExMITILFEELDXT62AREXCM0DX4R" hidden="1">#REF!</definedName>
    <definedName name="BExMIV0KC8555D5E42ZGWG15Y0MO" hidden="1">#REF!</definedName>
    <definedName name="BExMIZT6AN7E6YMW2S87CTCN2UXH" hidden="1">#REF!</definedName>
    <definedName name="BExMJ03XNEEQE05W28YBDN4G56JD" hidden="1">#REF!</definedName>
    <definedName name="BExMJ15T9F3475M0896SG60TN0SR" hidden="1">#REF!</definedName>
    <definedName name="BExMJ39CRE4I6SJI19LKWDKX3OQ2" hidden="1">#REF!</definedName>
    <definedName name="BExMJC8UI1MMXIJR29O1IWETLHH6" hidden="1">#REF!</definedName>
    <definedName name="BExMJNC8ZFB9DRFOJ961ZAJ8U3A8" hidden="1">#REF!</definedName>
    <definedName name="BExMJSA6JY35531TSI8ZQP6U7CDE" hidden="1">#REF!</definedName>
    <definedName name="BExMJTBV8A3D31W2IQHP9RDFPPHQ" hidden="1">#REF!</definedName>
    <definedName name="BExMK2RTXN4QJWEUNX002XK8VQP8" hidden="1">#REF!</definedName>
    <definedName name="BExMK3YZF17HAMXX3PO2KP6S46ZU" hidden="1">#REF!</definedName>
    <definedName name="BExMKBGQDUZ8AWXYHA3QVMSDVZ3D" hidden="1">#REF!</definedName>
    <definedName name="BExMKBM1467553LDFZRRKVSHN374" hidden="1">#REF!</definedName>
    <definedName name="BExMKGK5FJUC0AU8MABRGDC5ZM70" hidden="1">#REF!</definedName>
    <definedName name="BExMKISYVO6POIGSJWIW3PHDYL45" hidden="1">#REF!</definedName>
    <definedName name="BExMKSP1VOPPTKX4WEPT3LUKE8WQ"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2VXA0E0WCJ13O00WFMOW4RI" hidden="1">#REF!</definedName>
    <definedName name="BExML3XQNDIMX55ZCHHXKUV3D6E6" hidden="1">#REF!</definedName>
    <definedName name="BExML5QGSWHLI18BGY4CGOTD3UWH" hidden="1">#REF!</definedName>
    <definedName name="BExML6MTWMIEAK6NWSBVYN98A7G9"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844A9KG2DK921WGK4O9YPZ" hidden="1">#REF!</definedName>
    <definedName name="BExMMQIUVPCOBISTEJJYNCCLUCPY" hidden="1">#REF!</definedName>
    <definedName name="BExMMSH37SF6GV4N9O9EW1APAZ1E" hidden="1">#REF!</definedName>
    <definedName name="BExMMTIXETA5VAKBSOFDD5SRU887" hidden="1">#REF!</definedName>
    <definedName name="BExMMV0P6P5YS3C35G0JYYHI7992" hidden="1">#REF!</definedName>
    <definedName name="BExMN1WVXE52MEF2NT3IVTY8KJQM" hidden="1">#REF!</definedName>
    <definedName name="BExMN2IH1J3S3D19MIV7YYZMS9DV" hidden="1">#REF!</definedName>
    <definedName name="BExMNAWJNSZ1W6QTQUX8O56Y0NF2" hidden="1">#REF!</definedName>
    <definedName name="BExMNDR4V2VG5RFZDGTAGD3Q9PPG" localSheetId="31" hidden="1">#REF!</definedName>
    <definedName name="BExMNDR4V2VG5RFZDGTAGD3Q9PPG" hidden="1">#REF!</definedName>
    <definedName name="BExMNJLFWZBRN9PZF1IO9CYWV1B2" localSheetId="31" hidden="1">#REF!</definedName>
    <definedName name="BExMNJLFWZBRN9PZF1IO9CYWV1B2" hidden="1">#REF!</definedName>
    <definedName name="BExMNKCJ0FA57YEUUAJE43U1QN5P" localSheetId="31"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OIYOIL4KOXZBI7MJYXPIV1QJ" hidden="1">#REF!</definedName>
    <definedName name="BExMORI2ZA9JU0J28GT1ZAXP5A9C"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PT9KA5ZL7QPEO8EJSGDXUSF6"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86DS3IHF2GL3USMAG2JZHWC" hidden="1">#REF!</definedName>
    <definedName name="BExMSCO8TZ680ZEYN2WP0KB738IZ" hidden="1">#REF!</definedName>
    <definedName name="BExMSQRCC40AP8BDUPL2I2DNC210" hidden="1">#REF!</definedName>
    <definedName name="BExO4J9LR712G00TVA82VNTG8O7H" hidden="1">#REF!</definedName>
    <definedName name="BExO4WGD4T7PXNGQYFD65V3BP906" hidden="1">#REF!</definedName>
    <definedName name="BExO55G2KVZ7MIJ30N827CLH0I2A" localSheetId="31" hidden="1">#REF!</definedName>
    <definedName name="BExO55G2KVZ7MIJ30N827CLH0I2A" hidden="1">#REF!</definedName>
    <definedName name="BExO5A8PZD9EUHC5CMPU6N3SQ15L" localSheetId="31" hidden="1">#REF!</definedName>
    <definedName name="BExO5A8PZD9EUHC5CMPU6N3SQ15L" hidden="1">#REF!</definedName>
    <definedName name="BExO5XMAHL7CY3X0B1OPKZ28DCJ5" localSheetId="31" hidden="1">#REF!</definedName>
    <definedName name="BExO5XMAHL7CY3X0B1OPKZ28DCJ5" hidden="1">#REF!</definedName>
    <definedName name="BExO64NREBN75DKW0OMYAUWYVY5S" hidden="1">#REF!</definedName>
    <definedName name="BExO66LZJKY4PTQVREELI6POS4AY" hidden="1">#REF!</definedName>
    <definedName name="BExO6LLHCYTF7CIVHKAO0NMET14Q" hidden="1">#REF!</definedName>
    <definedName name="BExO6QE36OX39618EFGY819YKS0N" hidden="1">#REF!</definedName>
    <definedName name="BExO6Y6LB0P6L4JTH4J6TCB4OHW8" hidden="1">#REF!</definedName>
    <definedName name="BExO7OUQS3XTUQ2LDKGQ8AAQ3OJJ" hidden="1">#REF!</definedName>
    <definedName name="BExO7RUSODZC2NQZMT2AFSMV2ONF" hidden="1">#REF!</definedName>
    <definedName name="BExO7VLLWHHV7J25Z3RPF2PK6D8H" hidden="1">#REF!</definedName>
    <definedName name="BExO7WNA0JRE553ALPEZODW1ICID" hidden="1">#REF!</definedName>
    <definedName name="BExO85HMYXZJ7SONWBKKIAXMCI3C" hidden="1">#REF!</definedName>
    <definedName name="BExO863922O4PBGQMUNEQKGN3K96" hidden="1">#REF!</definedName>
    <definedName name="BExO89ZIOXN0HOKHY24F7HDZ87UT" hidden="1">#REF!</definedName>
    <definedName name="BExO8BXK76C9VFPKRARWMK6YTJ6O" hidden="1">#REF!</definedName>
    <definedName name="BExO8CDTBCABLEUD6PE2UM2EZ6C4" hidden="1">#REF!</definedName>
    <definedName name="BExO8I85NBW303RBA7RZM8Q42KKU" hidden="1">#REF!</definedName>
    <definedName name="BExO8IZ05ZG0XVOL3W41KBQE176A" hidden="1">#REF!</definedName>
    <definedName name="BExO8SK9JB6X989C2E50VDFI9589" hidden="1">#REF!</definedName>
    <definedName name="BExO8SPR4QWYLQRJDDPI2HTYU64C" hidden="1">#REF!</definedName>
    <definedName name="BExO8UTAGQWDBQZEEF4HUNMLQCVU" hidden="1">#REF!</definedName>
    <definedName name="BExO8ZWPPH977G7OJO9G8JR25ZG1" hidden="1">#REF!</definedName>
    <definedName name="BExO937E20IHMGQOZMECL3VZC7OX" hidden="1">#REF!</definedName>
    <definedName name="BExO94UTJKQQ7TJTTJRTSR70YVJC" hidden="1">#REF!</definedName>
    <definedName name="BExO9AZXF5CN7MTM11IM5SV2RXHY"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AULC4L2CQJSFPGMEJUUTI5B1" hidden="1">#REF!</definedName>
    <definedName name="BExOAZU2Y521ZUPN4R2HWBIUQKKR"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XURJP8XL4VX0LAH1M4VR4VL" hidden="1">#REF!</definedName>
    <definedName name="BExOBYAVUCQ0IGM0Y6A75QHP0Q1A" hidden="1">#REF!</definedName>
    <definedName name="BExOC3UEHB1CZNINSQHZANWJYKR8" hidden="1">#REF!</definedName>
    <definedName name="BExOCBSF3XGO9YJ23LX2H78VOUR7" hidden="1">#REF!</definedName>
    <definedName name="BExOCHBYK42SX24MJ239H6G9OJ8E"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7UQ6G3P86ZLZV0GY79H7VLL" hidden="1">#REF!</definedName>
    <definedName name="BExODEWDDEABM4ZY3XREJIBZ8IVP" hidden="1">#REF!</definedName>
    <definedName name="BExODNLAA1L7WQ9ZQX6A1ZOXK9VR" hidden="1">#REF!</definedName>
    <definedName name="BExODZFEIWV26E8RFU7XQYX1J458" hidden="1">#REF!</definedName>
    <definedName name="BExOEBKG55EROA2VL360A06LKASE" hidden="1">#REF!</definedName>
    <definedName name="BExOED2F7B5GEHKVIWGRV2BCDE2Y" hidden="1">#REF!</definedName>
    <definedName name="BExOERG5LWXYYEN1DY1H2FWRJS9T" hidden="1">#REF!</definedName>
    <definedName name="BExOEV1S6JJVO5PP4BZ20SNGZR7D" hidden="1">#REF!</definedName>
    <definedName name="BExOF2U4Y5JYM0GUBGC0U2UH931Y" hidden="1">#REF!</definedName>
    <definedName name="BExOF6VWODFNH2HUFTQI5L0UHNQ9" hidden="1">#REF!</definedName>
    <definedName name="BExOFEDNCYI2TPTMQ8SJN3AW4YMF" localSheetId="31" hidden="1">#REF!</definedName>
    <definedName name="BExOFEDNCYI2TPTMQ8SJN3AW4YMF" hidden="1">#REF!</definedName>
    <definedName name="BExOFGRSPF8UTG0K1OGA8LX12P37" localSheetId="31" hidden="1">#REF!</definedName>
    <definedName name="BExOFGRSPF8UTG0K1OGA8LX12P37" hidden="1">#REF!</definedName>
    <definedName name="BExOFVLXVD6RVHSQO8KZOOACSV24" localSheetId="31" hidden="1">#REF!</definedName>
    <definedName name="BExOFVLXVD6RVHSQO8KZOOACSV24" hidden="1">#REF!</definedName>
    <definedName name="BExOG2SW3XOGP9VAPQ3THV3VWV12" hidden="1">#REF!</definedName>
    <definedName name="BExOG45J81K4OPA40KW5VQU54KY3" hidden="1">#REF!</definedName>
    <definedName name="BExOGBXX51PO4FXDL42WFPKYU6Y9"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CI9MFNF9Y2P8D4LJGJ5B5CB" hidden="1">#REF!</definedName>
    <definedName name="BExOHL75H3OT4WAKKPUXIVXWFVDS" hidden="1">#REF!</definedName>
    <definedName name="BExOHLHXXJL6363CC082M9M5VVXQ" hidden="1">#REF!</definedName>
    <definedName name="BExOHNAO5UDXSO73BK2ARHWKS90Y" hidden="1">#REF!</definedName>
    <definedName name="BExOHNLFZGEVXCTJ9CWMJJS7C98A"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K437LIDQQW9LPBD4ZIP504X" hidden="1">#REF!</definedName>
    <definedName name="BExOIM7L0Z3LSII9P7ZTV4KJ8RMA" hidden="1">#REF!</definedName>
    <definedName name="BExOIRR9MU1G575D1ZA3HFPLOPHO" hidden="1">#REF!</definedName>
    <definedName name="BExOIWJVMJ6MG6JC4SPD1L00OHU1" hidden="1">#REF!</definedName>
    <definedName name="BExOIYCN8Z4JK3OOG86KYUCV0ME8" hidden="1">#REF!</definedName>
    <definedName name="BExOJ1HV93EOH7BOVAII53VPS2G2" hidden="1">#REF!</definedName>
    <definedName name="BExOJ3AKZ9BCBZT3KD8WMSLK6MN2" hidden="1">#REF!</definedName>
    <definedName name="BExOJ3FWAWMR29DR11VER2OQPUJT"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6EKT2189GVNUAT82OZYA3XB" hidden="1">#REF!</definedName>
    <definedName name="BExOKFUDO7FXT8ZXISPIKAJYI0CO" hidden="1">#REF!</definedName>
    <definedName name="BExOKI3C3DWTNF6PRKG2XY34A3JA"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UCCA6OM4TBUAJHS6O1UU6TO" hidden="1">#REF!</definedName>
    <definedName name="BExOLYZNG5RBD0BTS1OEZJNU92Q5" hidden="1">#REF!</definedName>
    <definedName name="BExOM3HIJ3UZPOKJI68KPBJAHPDC" hidden="1">#REF!</definedName>
    <definedName name="BExOM8VPAS5WZAM0QNYW8ZY56VAP"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DSE2SJ2Q00MS22HA9D59305"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0EYS79NAIW0WEELRXCYS9GK" hidden="1">#REF!</definedName>
    <definedName name="BExOO1WWIZSGB0YTGKESB45TSVMZ" localSheetId="31" hidden="1">#REF!</definedName>
    <definedName name="BExOO1WWIZSGB0YTGKESB45TSVMZ" hidden="1">#REF!</definedName>
    <definedName name="BExOO4B8FPAFYPHCTYTX37P1TQM5" localSheetId="31" hidden="1">#REF!</definedName>
    <definedName name="BExOO4B8FPAFYPHCTYTX37P1TQM5" hidden="1">#REF!</definedName>
    <definedName name="BExOO5D2QZREOU0YQCGPBXBS4YQ1" localSheetId="31" hidden="1">#REF!</definedName>
    <definedName name="BExOO5D2QZREOU0YQCGPBXBS4YQ1" hidden="1">#REF!</definedName>
    <definedName name="BExOO6ERU9G120RGLKYWC09LZ5RE" hidden="1">#REF!</definedName>
    <definedName name="BExOO824YWJ12GSXLC07K7266C14" hidden="1">#REF!</definedName>
    <definedName name="BExOOIULUDOJRMYABWV5CCL906X6" hidden="1">#REF!</definedName>
    <definedName name="BExOOLE93DKM88V3PQ8ELSMZCHUA"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OYH5SW4PG5JI8ED4NJN4422" hidden="1">#REF!</definedName>
    <definedName name="BExQ29C73XR33S3668YYSYZAIHTG" hidden="1">#REF!</definedName>
    <definedName name="BExQ2D8FO6F5AOMJ5FJODJ81T8C3" hidden="1">#REF!</definedName>
    <definedName name="BExQ2FS228IUDUP2023RA1D4AO4C" hidden="1">#REF!</definedName>
    <definedName name="BExQ2L0XYWLY9VPZWXYYFRIRQRJ1" hidden="1">#REF!</definedName>
    <definedName name="BExQ2M841F5Z1BQYR8DG5FKK0LIU" hidden="1">#REF!</definedName>
    <definedName name="BExQ2V7SO1UTLMJ1NFVRKDOOQAP2" hidden="1">#REF!</definedName>
    <definedName name="BExQ300G8I8TK45A0MVHV15422EU" hidden="1">#REF!</definedName>
    <definedName name="BExQ39R28MXSG2SEV956F0KZ20AN" hidden="1">#REF!</definedName>
    <definedName name="BExQ3D1P3M5Z3HLMEZ17E0BLEE4U" hidden="1">#REF!</definedName>
    <definedName name="BExQ3D1PQ0OOWP5T1D37RLPA9BFX" hidden="1">#REF!</definedName>
    <definedName name="BExQ3LW3GD5LUIS2HB4C1TEJJP2P"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FV23PRA8ZOTVPNAWYTCYRR2" hidden="1">#REF!</definedName>
    <definedName name="BExQ4KSYQQLLYN7NYUBF7WND3ACX"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DQ4DQOLJ6KAS500VUBF9OTL" hidden="1">#REF!</definedName>
    <definedName name="BExQ5DVF3U6CH0PO809ZFLIE9A0F" hidden="1">#REF!</definedName>
    <definedName name="BExQ5IO89JL1G3PO02VX1LHZHLZ1" localSheetId="31" hidden="1">#REF!</definedName>
    <definedName name="BExQ5IO89JL1G3PO02VX1LHZHLZ1" hidden="1">#REF!</definedName>
    <definedName name="BExQ5KX3Z668H1KUCKZ9J24HUQ1F" localSheetId="31" hidden="1">#REF!</definedName>
    <definedName name="BExQ5KX3Z668H1KUCKZ9J24HUQ1F" hidden="1">#REF!</definedName>
    <definedName name="BExQ5SPMSOCJYLAY20NB5A6O32RE" localSheetId="31" hidden="1">#REF!</definedName>
    <definedName name="BExQ5SPMSOCJYLAY20NB5A6O32RE" hidden="1">#REF!</definedName>
    <definedName name="BExQ5UICMGTMK790KTLK49MAGXRC" hidden="1">#REF!</definedName>
    <definedName name="BExQ5UID6Y8WYNRD669UN70IZT91" hidden="1">#REF!</definedName>
    <definedName name="BExQ5VEOVW4SMWTX520KZ3TVUW0I" hidden="1">#REF!</definedName>
    <definedName name="BExQ5VEQEIJO7YY80OJTA3XRQYJ9" hidden="1">#REF!</definedName>
    <definedName name="BExQ5Y3SSM2ICJCUN3XZ10VMPD4D" hidden="1">#REF!</definedName>
    <definedName name="BExQ5YUUK9FD0QGTY4WD0W90O7OL" hidden="1">#REF!</definedName>
    <definedName name="BExQ631QZYS8VO7HE6HNP34CEOR2" hidden="1">#REF!</definedName>
    <definedName name="BExQ63793YQ9BH7JLCNRIATIGTRG" hidden="1">#REF!</definedName>
    <definedName name="BExQ6CN1EF2UPZ57ZYMGK8TUJQSS" hidden="1">#REF!</definedName>
    <definedName name="BExQ6M2YXJ8AMRJF3QGHC40ADAHZ" hidden="1">#REF!</definedName>
    <definedName name="BExQ6M8APM0TVP9WQAFVTB8N0NXA" hidden="1">#REF!</definedName>
    <definedName name="BExQ6M8B0X44N9TV56ATUVHGDI00" hidden="1">#REF!</definedName>
    <definedName name="BExQ6POH065GV0I74XXVD0VUPBJW" hidden="1">#REF!</definedName>
    <definedName name="BExQ6R0YG1HMF8DVPFMIHIOUSMVE" hidden="1">#REF!</definedName>
    <definedName name="BExQ6WV9KPSMXPPLGZ3KK4WNYTHU" hidden="1">#REF!</definedName>
    <definedName name="BExQ6Z48UU3475XVS5MSB61Y2LTN" hidden="1">#REF!</definedName>
    <definedName name="BExQ783XTMM2A9I3UKCFWJH1PP2N" localSheetId="31" hidden="1">#REF!</definedName>
    <definedName name="BExQ783XTMM2A9I3UKCFWJH1PP2N" hidden="1">#REF!</definedName>
    <definedName name="BExQ79LX01ZPQB8EGD1ZHR2VK2H3" localSheetId="31" hidden="1">#REF!</definedName>
    <definedName name="BExQ79LX01ZPQB8EGD1ZHR2VK2H3" hidden="1">#REF!</definedName>
    <definedName name="BExQ7AT1ON4L7W584EXCOXCQ8AF8" localSheetId="31" hidden="1">#REF!</definedName>
    <definedName name="BExQ7AT1ON4L7W584EXCOXCQ8AF8"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NJJ5I2EFVEHCKSRF7BAOJX8" hidden="1">#REF!</definedName>
    <definedName name="BExQ7OLEEXKKDJBY2RBEALGCVGC3" hidden="1">#REF!</definedName>
    <definedName name="BExQ7XL2Q1GVUFL1F9KK0K0EXMWG" hidden="1">#REF!</definedName>
    <definedName name="BExQ804OMLOOLGJAZ76PFIUFBWIX" hidden="1">#REF!</definedName>
    <definedName name="BExQ834L4O72YNJYUPLVXEJ7K3BU"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DX1FNZIJVRD63724J6NDCOG" hidden="1">#REF!</definedName>
    <definedName name="BExQ8G0K46ZORA0QVQTDI7Z8LXGF" hidden="1">#REF!</definedName>
    <definedName name="BExQ8O3WEU8HNTTGKTW5T0QSKCLP" hidden="1">#REF!</definedName>
    <definedName name="BExQ8PWMBELWDMVC65RE0VV0PKJ2" hidden="1">#REF!</definedName>
    <definedName name="BExQ8XEDA0NG4CETTWK2XL8XZWLT"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R7UV4VT86NLRFAY9CP2M3CL" hidden="1">#REF!</definedName>
    <definedName name="BExQ9UTANMJCK7LJ4OQMD6F2Q01L" hidden="1">#REF!</definedName>
    <definedName name="BExQ9ZLYHWABXAA9NJDW8ZS0UQ9P" hidden="1">#REF!</definedName>
    <definedName name="BExQA324HSCK40ENJUT9CS9EC71B" localSheetId="31" hidden="1">#REF!</definedName>
    <definedName name="BExQA324HSCK40ENJUT9CS9EC71B" hidden="1">#REF!</definedName>
    <definedName name="BExQA55GY0STSNBWQCWN8E31ZXCS" localSheetId="31" hidden="1">#REF!</definedName>
    <definedName name="BExQA55GY0STSNBWQCWN8E31ZXCS" hidden="1">#REF!</definedName>
    <definedName name="BExQA6Y7SIFO3MVYCQACIZ6YV0WS" localSheetId="31" hidden="1">#REF!</definedName>
    <definedName name="BExQA6Y7SIFO3MVYCQACIZ6YV0WS" hidden="1">#REF!</definedName>
    <definedName name="BExQA9HZIN9XEMHEEVHT99UU9Z82" hidden="1">#REF!</definedName>
    <definedName name="BExQAELFYH92K8CJL155181UDORO" hidden="1">#REF!</definedName>
    <definedName name="BExQAG8PP8R5NJKNQD1U4QOSD6X5" hidden="1">#REF!</definedName>
    <definedName name="BExQATFG0VP9HTVNMWL5T6B3N3IP" hidden="1">#REF!</definedName>
    <definedName name="BExQAYDITUO5K8A2FQRB0H1O4I4E"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BZZKW056AXUH7L35UYMATHNR" hidden="1">#REF!</definedName>
    <definedName name="BExQC5TWT21CGBKD0IHAXTIN2QB8" hidden="1">#REF!</definedName>
    <definedName name="BExQC94JL9F5GW4S8DQCAF4WB2DA" hidden="1">#REF!</definedName>
    <definedName name="BExQCDH4D9DTA02ITMHNTDANJREJ" hidden="1">#REF!</definedName>
    <definedName name="BExQCKTD8AT0824LGWREXM1B5D1X" hidden="1">#REF!</definedName>
    <definedName name="BExQCOV3MAQPJ038UJX6SNODPAZU" hidden="1">#REF!</definedName>
    <definedName name="BExQD571YWOXKR2SX85K5MKQ0AO2" hidden="1">#REF!</definedName>
    <definedName name="BExQD8SK7Y1Y0AYWI0WMF0ET8HR1" hidden="1">#REF!</definedName>
    <definedName name="BExQDB6VCHN8PNX8EA6JNIEQ2JC2" hidden="1">#REF!</definedName>
    <definedName name="BExQDE1B6U2Q9B73KBENABP71YM1" hidden="1">#REF!</definedName>
    <definedName name="BExQDG4YSI6HR3RI4SO2KWMGKUPB" hidden="1">#REF!</definedName>
    <definedName name="BExQDGQCN7ZW41QDUHOBJUGQAX40" hidden="1">#REF!</definedName>
    <definedName name="BExQE73VMCL6FGT6439XK03B088Y" hidden="1">#REF!</definedName>
    <definedName name="BExQEC7BRIJ30PTU3UPFOIP2HPE3" hidden="1">#REF!</definedName>
    <definedName name="BExQELXVICMMT0JFDWUW1L3I335X" hidden="1">#REF!</definedName>
    <definedName name="BExQEMUA4HEFM4OVO8M8MA8PIAW1" hidden="1">#REF!</definedName>
    <definedName name="BExQEQ4XZQFIKUXNU9H7WE7AMZ1U" hidden="1">#REF!</definedName>
    <definedName name="BExQERHKUGD73UH278HHQULBSG9M" hidden="1">#REF!</definedName>
    <definedName name="BExQESZI930ZHFKIRJ3TMK3X27PH" hidden="1">#REF!</definedName>
    <definedName name="BExQEY88PESL76JUL4GA11W8IHFE"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FZZRMR5PQTR0X833N3LRX6ZL" hidden="1">#REF!</definedName>
    <definedName name="BExQG8TYRD2G42UA5ZPCRLNKUDMX" hidden="1">#REF!</definedName>
    <definedName name="BExQGO48J9MPCDQ96RBB9UN9AIGT" hidden="1">#REF!</definedName>
    <definedName name="BExQGSBB6MJWDW7AYWA0MSFTXKRR" hidden="1">#REF!</definedName>
    <definedName name="BExQGV5VQ04IFVBYEFOZQHKJ561J" hidden="1">#REF!</definedName>
    <definedName name="BExQGVB7GL4W9291MCCPQ46Z66C1"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XDHUYC4Q1EIPVGT5YX2JZL4" hidden="1">#REF!</definedName>
    <definedName name="BExQHZBHVN2L4HC7ACTR73T5OCV0" hidden="1">#REF!</definedName>
    <definedName name="BExQI5M37YD0WH3DQITAZHZBB115" hidden="1">#REF!</definedName>
    <definedName name="BExQI7V42EHAI28LLDLOQJ1ETBB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EB09IBJU22LBRVC4SFL687J" hidden="1">#REF!</definedName>
    <definedName name="BExQIJUJOU8IYLVQCFMPTADHZ9J7" hidden="1">#REF!</definedName>
    <definedName name="BExQIS8O6R36CI01XRY9ISM99TW9" hidden="1">#REF!</definedName>
    <definedName name="BExQIVJB9MJ25NDUHTCVMSODJY2C" hidden="1">#REF!</definedName>
    <definedName name="BExQJ2KYENKJB760H4Z8NV8Z08WT" hidden="1">#REF!</definedName>
    <definedName name="BExQJ4DQ84ZQCB1WU62YHO0XEQSV" hidden="1">#REF!</definedName>
    <definedName name="BExQJBF7LAX128WR7VTMJC88ZLPG" hidden="1">#REF!</definedName>
    <definedName name="BExQJEVCKX6KZHNCLYXY7D0MX5KN" hidden="1">#REF!</definedName>
    <definedName name="BExQJJYSDX8B0J1QGF2HL071KKA3" hidden="1">#REF!</definedName>
    <definedName name="BExQJQPFM9GN0NWOW73O5VE3NTJO" hidden="1">#REF!</definedName>
    <definedName name="BExQK1HV6SQQ7CP8H8IUKI9TYXTD" hidden="1">#REF!</definedName>
    <definedName name="BExQK3LE5CSBW1E4H4KHW548FL2R" hidden="1">#REF!</definedName>
    <definedName name="BExQKG6LD6PLNDGNGO9DJXY865BR" hidden="1">#REF!</definedName>
    <definedName name="BExQKKDMM6UNMDK33ZZN3QBP6TN6" hidden="1">#REF!</definedName>
    <definedName name="BExQKP6ANI278H3LT3CHFIOFPQD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17FU4YOHE3YTW15EQ9ZTN1Y" hidden="1">#REF!</definedName>
    <definedName name="BExS0ASQBKRTPDWFK0KUDFOS9LE5" hidden="1">#REF!</definedName>
    <definedName name="BExS0GHQUF6YT0RU3TKDEO8CSJYB" hidden="1">#REF!</definedName>
    <definedName name="BExS0K8IHC45I78DMZBOJ1P13KQA" hidden="1">#REF!</definedName>
    <definedName name="BExS14X03J9K12GCDNGZI9AZKE9C"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KQ6RJB21YELK7Z4KFN2CQPS" hidden="1">#REF!</definedName>
    <definedName name="BExS3LBS0SMTHALVM4NRI1BAV1NP" hidden="1">#REF!</definedName>
    <definedName name="BExS3MTQ75VBXDGEBURP6YT8RROE" hidden="1">#REF!</definedName>
    <definedName name="BExS3OMGYO0DFN5186UFKEXZ2RX3" hidden="1">#REF!</definedName>
    <definedName name="BExS3PO59RQLS7HO1A6UIPRZX70V" hidden="1">#REF!</definedName>
    <definedName name="BExS3SDERJ27OER67TIGOVZU13A2" hidden="1">#REF!</definedName>
    <definedName name="BExS46R5WDNU5KL04FKY5LHJUCB8" hidden="1">#REF!</definedName>
    <definedName name="BExS46WMSMYP0MQ9GHLZM5ON641L" hidden="1">#REF!</definedName>
    <definedName name="BExS4ASWKM93XA275AXHYP8AG6SU" hidden="1">#REF!</definedName>
    <definedName name="BExS4JN3Y6SVBKILQK0R9HS45Y52" hidden="1">#REF!</definedName>
    <definedName name="BExS4P6S41O6Z6BED77U3GD9PNH1" hidden="1">#REF!</definedName>
    <definedName name="BExS4WOJWBEF6OH97BLAVUD3TQ7R"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5UP3NQ1QY0PMIO69O2J1JRQX" hidden="1">#REF!</definedName>
    <definedName name="BExS64QH0TK7BFMOHTRNM3DTXCZ5" hidden="1">#REF!</definedName>
    <definedName name="BExS668EZXO8KT71OK13TBL2MYVF" localSheetId="31" hidden="1">#REF!</definedName>
    <definedName name="BExS668EZXO8KT71OK13TBL2MYVF" hidden="1">#REF!</definedName>
    <definedName name="BExS6GKQ96EHVLYWNJDWXZXUZW90" localSheetId="31" hidden="1">#REF!</definedName>
    <definedName name="BExS6GKQ96EHVLYWNJDWXZXUZW90" hidden="1">#REF!</definedName>
    <definedName name="BExS6ITKSZFRR01YD5B0F676SYN7" localSheetId="31" hidden="1">#REF!</definedName>
    <definedName name="BExS6ITKSZFRR01YD5B0F676SYN7" hidden="1">#REF!</definedName>
    <definedName name="BExS6M4AG8VGSMFGJXMMJ6YYATZI" localSheetId="31" hidden="1">#REF!</definedName>
    <definedName name="BExS6M4AG8VGSMFGJXMMJ6YYATZI" hidden="1">#REF!</definedName>
    <definedName name="BExS6N0LI574IAC89EFW6CLTCQ33" localSheetId="31" hidden="1">#REF!</definedName>
    <definedName name="BExS6N0LI574IAC89EFW6CLTCQ33" hidden="1">#REF!</definedName>
    <definedName name="BExS6WRDBF3ST86ZOBBUL3GTCR11" localSheetId="31" hidden="1">#REF!</definedName>
    <definedName name="BExS6WRDBF3ST86ZOBBUL3GTCR11" hidden="1">#REF!</definedName>
    <definedName name="BExS6XNRKR0C3MTA0LV5B60UB908" localSheetId="31" hidden="1">#REF!</definedName>
    <definedName name="BExS6XNRKR0C3MTA0LV5B60UB908" hidden="1">#REF!</definedName>
    <definedName name="BExS743NAKMEAA4255AJCZWPVQD5" hidden="1">#REF!</definedName>
    <definedName name="BExS7EQLZPAVX5ZPW27ZJHFHXJWR" hidden="1">#REF!</definedName>
    <definedName name="BExS7J348DNX760P5D4N9N72C1H1" hidden="1">#REF!</definedName>
    <definedName name="BExS7OMMB9XYX3CR9NYR0OI0B6YV"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PN4E1L5NH0OOKX0SGAV052X" hidden="1">#REF!</definedName>
    <definedName name="BExS8R51C8RM2FS6V6IRTYO9GA4A" hidden="1">#REF!</definedName>
    <definedName name="BExS8WDX408F60MH1X9B9UZ2H4R7" hidden="1">#REF!</definedName>
    <definedName name="BExS8Z2W2QEC3MH0BZIYLDFQNUIP" hidden="1">#REF!</definedName>
    <definedName name="BExS8Z8DJ9GSBTJQBINLMFIRTKJ2" hidden="1">#REF!</definedName>
    <definedName name="BExS92DKGRFFCIA9C0IXDOLO57EP" hidden="1">#REF!</definedName>
    <definedName name="BExS95DMT99CLDFYVR0MMS5QFQ4O"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MWR7YEFZL0UO24FU8UDGAXH" hidden="1">#REF!</definedName>
    <definedName name="BExS9WI0A6PSEB8N9GPXF2Z7MWHM" hidden="1">#REF!</definedName>
    <definedName name="BExSA5HP306TN9XJS0TU619DLRR7" hidden="1">#REF!</definedName>
    <definedName name="BExSA6U57AKWU3K9W6DLF75569X0" hidden="1">#REF!</definedName>
    <definedName name="BExSA8HLXG7TQJAREJXZWXCKKLYT"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3CYILY5VM7EWWCYC2RHW5GS" hidden="1">#REF!</definedName>
    <definedName name="BExSB4JYKQ3MINI7RAYK5M8BLJDC" localSheetId="31" hidden="1">#REF!</definedName>
    <definedName name="BExSB4JYKQ3MINI7RAYK5M8BLJDC" hidden="1">#REF!</definedName>
    <definedName name="BExSB6NLRVUI2GHH9VI5V6MY8ZL7" localSheetId="31" hidden="1">#REF!</definedName>
    <definedName name="BExSB6NLRVUI2GHH9VI5V6MY8ZL7" hidden="1">#REF!</definedName>
    <definedName name="BExSBMOS41ZRLWYLOU29V6Y7YORR" localSheetId="31"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PN9MLJYMCCD3AD6AGFMBBGA"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B5WUA2A09DZ1ZPZH3J8VFL"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NBSLP026IKXG2AS0SKST99F" hidden="1">#REF!</definedName>
    <definedName name="BExSEP9UVOAI6TMXKNK587PQ3328" hidden="1">#REF!</definedName>
    <definedName name="BExSERZ34ETZF8OI93MYIVZX4RDV" hidden="1">#REF!</definedName>
    <definedName name="BExSF07QFLZCO4P6K6QF05XG7PH1" hidden="1">#REF!</definedName>
    <definedName name="BExSF85QVM8XVOYH429ITJC8TA5Q" hidden="1">#REF!</definedName>
    <definedName name="BExSFELNPJYUZX393PKWKNNZYV1N" hidden="1">#REF!</definedName>
    <definedName name="BExSFHAQ0VN5PU9GULAPYTQ4HKW8" hidden="1">#REF!</definedName>
    <definedName name="BExSFIY63CMZLHHLQETZ2HFOHW52" hidden="1">#REF!</definedName>
    <definedName name="BExSFJ8ZAGQ63A4MVMZRQWLVRGQ5" hidden="1">#REF!</definedName>
    <definedName name="BExSFKQRST2S9KXWWLCXYLKSF4G1" hidden="1">#REF!</definedName>
    <definedName name="BExSFLHT3DWP12GA4DDKMCK3E4F9" hidden="1">#REF!</definedName>
    <definedName name="BExSFYDRRTAZVPXRWUF5PDQ97WFF" localSheetId="31" hidden="1">#REF!</definedName>
    <definedName name="BExSFYDRRTAZVPXRWUF5PDQ97WFF" hidden="1">#REF!</definedName>
    <definedName name="BExSFZVPFTXA3F0IJ2NGH1GXX9R7" localSheetId="31" hidden="1">#REF!</definedName>
    <definedName name="BExSFZVPFTXA3F0IJ2NGH1GXX9R7" hidden="1">#REF!</definedName>
    <definedName name="BExSG90Q4ZUU2IPGDYOM169NJV9S" localSheetId="31"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PODWLV8HDBVY76N01S70YZ"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P7BU5UM9A7AOHIGT50GZN74" hidden="1">#REF!</definedName>
    <definedName name="BExSGR5JQVX2HQ0PKCGZNSSUM1RV" localSheetId="31" hidden="1">#REF!</definedName>
    <definedName name="BExSGR5JQVX2HQ0PKCGZNSSUM1RV" hidden="1">#REF!</definedName>
    <definedName name="BExSGVHX69GJZHD99DKE4RZ042B1" localSheetId="31" hidden="1">#REF!</definedName>
    <definedName name="BExSGVHX69GJZHD99DKE4RZ042B1" hidden="1">#REF!</definedName>
    <definedName name="BExSGZJO4J4ZO04E2N2ECVYS9DEZ" localSheetId="31" hidden="1">#REF!</definedName>
    <definedName name="BExSGZJO4J4ZO04E2N2ECVYS9DEZ" hidden="1">#REF!</definedName>
    <definedName name="BExSHAHFHS7MMNJR8JPVABRGBVIT" hidden="1">#REF!</definedName>
    <definedName name="BExSHFA0PJ5TS0LF5C5VDPKMSUP8"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HVRHZDFJHSWEWWYO8PK8UC27"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localSheetId="31" hidden="1">#REF!</definedName>
    <definedName name="BExTV67VIM8PV6KO253M4DUBJQLC" hidden="1">#REF!</definedName>
    <definedName name="BExTVELZCF2YA5L6F23BYZZR6WHF" localSheetId="31" hidden="1">#REF!</definedName>
    <definedName name="BExTVELZCF2YA5L6F23BYZZR6WHF" hidden="1">#REF!</definedName>
    <definedName name="BExTVGPIQZ99YFXUC8OONUX5BD42" localSheetId="31" hidden="1">#REF!</definedName>
    <definedName name="BExTVGPIQZ99YFXUC8OONUX5BD42" hidden="1">#REF!</definedName>
    <definedName name="BExTVLNG9KX2WVJZRHW6SQVAV80G" hidden="1">#REF!</definedName>
    <definedName name="BExTVOSUIF74AWLLP1Y2PW2T8R4L" hidden="1">#REF!</definedName>
    <definedName name="BExTVYE49EIPTW7ZG5F30RHCYXWI" hidden="1">#REF!</definedName>
    <definedName name="BExTVZQLP9VFLEYQ9280W13X7E8K" hidden="1">#REF!</definedName>
    <definedName name="BExTW4U1EFP1ZS3Q099D6OFYZ4PO" hidden="1">#REF!</definedName>
    <definedName name="BExTWB4LA1PODQOH4LDTHQKBN16K" hidden="1">#REF!</definedName>
    <definedName name="BExTWEQ3PHIFDCWHG4QVX0626J8L" hidden="1">#REF!</definedName>
    <definedName name="BExTWFMEUL2NCM0LIAELE18IZ3TQ" hidden="1">#REF!</definedName>
    <definedName name="BExTWH9QHMKXVF1R0QG6TJ2154QV" hidden="1">#REF!</definedName>
    <definedName name="BExTWHVADLJCCNEWMD928MM0SUBX" hidden="1">#REF!</definedName>
    <definedName name="BExTWI0Q8AWXUA3ZN7I5V3QK2KM1" hidden="1">#REF!</definedName>
    <definedName name="BExTWJTIA3WUW1PUWXAOP9O8NKLZ" hidden="1">#REF!</definedName>
    <definedName name="BExTWP7ODVVVOXUAS0T4KNY9E7XN" hidden="1">#REF!</definedName>
    <definedName name="BExTWTEREH1W943SZJSXS6AZCXLO" hidden="1">#REF!</definedName>
    <definedName name="BExTWW95OX07FNA01WF5MSSSFQLX" hidden="1">#REF!</definedName>
    <definedName name="BExTX476KI0RNB71XI5TYMANSGBG" hidden="1">#REF!</definedName>
    <definedName name="BExTXFQI2GZRV54ZHPCYUHMPUDGG" hidden="1">#REF!</definedName>
    <definedName name="BExTXJ6HBAIXMMWKZTJNFDYVZCAY" hidden="1">#REF!</definedName>
    <definedName name="BExTXT812NQT8GAEGH738U29BI0D" hidden="1">#REF!</definedName>
    <definedName name="BExTXWIP2TFPTQ76NHFOB72NICRZ" hidden="1">#REF!</definedName>
    <definedName name="BExTXZ7U13BQKYC9T78TWXRCE6L6" hidden="1">#REF!</definedName>
    <definedName name="BExTY5T62H651VC86QM4X7E28JVA" hidden="1">#REF!</definedName>
    <definedName name="BExTYHCJJ2NWRM1RV59FYR41534U" hidden="1">#REF!</definedName>
    <definedName name="BExTYKCEFJ83LZM95M1V7CSFQVEA" hidden="1">#REF!</definedName>
    <definedName name="BExTYL3GR8LX1FWLOOBTAZQOOO7D" hidden="1">#REF!</definedName>
    <definedName name="BExTYLUCLWGGQOEPH6W91DIYL3RQ" localSheetId="31" hidden="1">#REF!</definedName>
    <definedName name="BExTYLUCLWGGQOEPH6W91DIYL3RQ" hidden="1">#REF!</definedName>
    <definedName name="BExTYOZQGNRDMMFZOG8515WQDGU3" localSheetId="31" hidden="1">#REF!</definedName>
    <definedName name="BExTYOZQGNRDMMFZOG8515WQDGU3" hidden="1">#REF!</definedName>
    <definedName name="BExTYPLA9N640MFRJJQPKXT7P88M" localSheetId="31" hidden="1">#REF!</definedName>
    <definedName name="BExTYPLA9N640MFRJJQPKXT7P88M" hidden="1">#REF!</definedName>
    <definedName name="BExTYQMZFH06S0SMRP98OBQF34G8" localSheetId="31" hidden="1">#REF!</definedName>
    <definedName name="BExTYQMZFH06S0SMRP98OBQF34G8" hidden="1">#REF!</definedName>
    <definedName name="BExTZ7F71SNTOX4LLZCK5R9VUMIJ" localSheetId="31" hidden="1">#REF!</definedName>
    <definedName name="BExTZ7F71SNTOX4LLZCK5R9VUMIJ" hidden="1">#REF!</definedName>
    <definedName name="BExTZ8GX3F0K1UBDQ5Y9BYXK1Z6F" hidden="1">#REF!</definedName>
    <definedName name="BExTZ8X5G9S3PA4FPSNK7T69W7QT" hidden="1">#REF!</definedName>
    <definedName name="BExTZ97Y0RMR8V5BI9F2H4MFB77O" hidden="1">#REF!</definedName>
    <definedName name="BExTZ97YR84DZ8QVX5145UPYSRH1"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BFKP4UL0TQC5B09T8C2BO3W" hidden="1">#REF!</definedName>
    <definedName name="BExU0CXIZZF3DKCNKF3AHXAPONZC"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DHV15JIOYOXDDJLCPQWUF8Y" hidden="1">#REF!</definedName>
    <definedName name="BExU1GXUTLRPJN4MRINLAPHSZQFG" hidden="1">#REF!</definedName>
    <definedName name="BExU1IL9AOHFO85BZB6S60DK3N8H" hidden="1">#REF!</definedName>
    <definedName name="BExU1NOPS09CLFZL1O31RAF9BQNQ" hidden="1">#REF!</definedName>
    <definedName name="BExU1P6H60U4RWZFX1HYXV8Z6KI7" hidden="1">#REF!</definedName>
    <definedName name="BExU1PH9MOEX1JZVZ3D5M9DXB191" hidden="1">#REF!</definedName>
    <definedName name="BExU1QZEEKJA35IMEOLOJ3ODX0ZA" hidden="1">#REF!</definedName>
    <definedName name="BExU1VRURIWWVJ95O40WA23LMTJD" hidden="1">#REF!</definedName>
    <definedName name="BExU24M8MKBQNO1RXU0IQ2PBN3F1" hidden="1">#REF!</definedName>
    <definedName name="BExU2M5CK6XK55UIHDVYRXJJJRI4" hidden="1">#REF!</definedName>
    <definedName name="BExU2T1JA8VA37QX2DVLJLQAUW7W" hidden="1">#REF!</definedName>
    <definedName name="BExU2TXVT25ZTOFQAF6CM53Z1RLF" hidden="1">#REF!</definedName>
    <definedName name="BExU2XZLYIU19G7358W5T9E87AFR" hidden="1">#REF!</definedName>
    <definedName name="BExU33OMH5JZ904ICANETZ08X20J" hidden="1">#REF!</definedName>
    <definedName name="BExU3B66MCKJFSKT3HL8B5EJGVX0" hidden="1">#REF!</definedName>
    <definedName name="BExU3FIQME8CY7AIZPHINOQE8U4S"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H4QVOMTUDXRKDNWMMIRSYHD" hidden="1">#REF!</definedName>
    <definedName name="BExU4I148DA7PRCCISLWQ6ABXFK6" localSheetId="31" hidden="1">#REF!</definedName>
    <definedName name="BExU4I148DA7PRCCISLWQ6ABXFK6" hidden="1">#REF!</definedName>
    <definedName name="BExU4L101H2KQHVKCKQ4PBAWZV6K" localSheetId="31" hidden="1">#REF!</definedName>
    <definedName name="BExU4L101H2KQHVKCKQ4PBAWZV6K" hidden="1">#REF!</definedName>
    <definedName name="BExU4NA00RRRBGRT6TOB0MXZRCRZ" localSheetId="31" hidden="1">#REF!</definedName>
    <definedName name="BExU4NA00RRRBGRT6TOB0MXZRCRZ"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UQD0ZEWKNYDL4KL8VFIMNVH"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PKGGTU90XX4CKU6M5W0HTLN" hidden="1">#REF!</definedName>
    <definedName name="BExU7Q0JS9YIUKUPNSSAIDK2KJAV" hidden="1">#REF!</definedName>
    <definedName name="BExU7XNR6I6O94DKRLHQ1FWJ64S0" hidden="1">#REF!</definedName>
    <definedName name="BExU80I6AE5OU7P7F5V7HWIZBJ4P" hidden="1">#REF!</definedName>
    <definedName name="BExU86NB26MCPYIISZ36HADONGT2" hidden="1">#REF!</definedName>
    <definedName name="BExU885EZZNSZV3GP298UJ8LB7OL" hidden="1">#REF!</definedName>
    <definedName name="BExU8DZPVHN9IPBJG5ASDBCHVV6F" hidden="1">#REF!</definedName>
    <definedName name="BExU8FSAUP9TUZ1NO9WXK80QPHWV" hidden="1">#REF!</definedName>
    <definedName name="BExU8GOTU4Q7I3BF5S1PKOPIPIP8" hidden="1">#REF!</definedName>
    <definedName name="BExU8KFLAN778MBN93NYZB0FV30G" hidden="1">#REF!</definedName>
    <definedName name="BExU8MDV8JYF9JHWAW4N09DMLGH5" hidden="1">#REF!</definedName>
    <definedName name="BExU8R0Z2JP4BSAIMCN5VNQZSAQV" hidden="1">#REF!</definedName>
    <definedName name="BExU8SO8VG1NKAASDL1AWU8VYF7J" hidden="1">#REF!</definedName>
    <definedName name="BExU8UX9JX3XLB47YZ8GFXE0V7R2" hidden="1">#REF!</definedName>
    <definedName name="BExU91DC3DGKPZD6LTER2IRTF89C" hidden="1">#REF!</definedName>
    <definedName name="BExU91TEHJ9BOPW2I0PGCMVB2LIN" hidden="1">#REF!</definedName>
    <definedName name="BExU935WUOV28D64L2EAFTLHA8XK" hidden="1">#REF!</definedName>
    <definedName name="BExU96M1J7P9DZQ3S9H0C12KGYTW" localSheetId="31" hidden="1">#REF!</definedName>
    <definedName name="BExU96M1J7P9DZQ3S9H0C12KGYTW" hidden="1">#REF!</definedName>
    <definedName name="BExU9F05OR1GZ3057R6UL3WPEIYI" localSheetId="31" hidden="1">#REF!</definedName>
    <definedName name="BExU9F05OR1GZ3057R6UL3WPEIYI" hidden="1">#REF!</definedName>
    <definedName name="BExU9GCSO5YILIKG6VAHN13DL75K" localSheetId="31" hidden="1">#REF!</definedName>
    <definedName name="BExU9GCSO5YILIKG6VAHN13DL75K" hidden="1">#REF!</definedName>
    <definedName name="BExU9KJOZLO15N11MJVN782NFGJ0" hidden="1">#REF!</definedName>
    <definedName name="BExU9KUGSKLYR8ZI3DN6F833CK8A" hidden="1">#REF!</definedName>
    <definedName name="BExU9LG29XU2K1GNKRO4438JYQZE" hidden="1">#REF!</definedName>
    <definedName name="BExU9MHVU4RJY03HU20S53C4BQTJ"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7MHC1RAILNC8XURIB3WHXK3" hidden="1">#REF!</definedName>
    <definedName name="BExUAABKIIVOK3JUILTKGJVUPEQK" hidden="1">#REF!</definedName>
    <definedName name="BExUAAH2D4VGVRIQGPJB00O9MFGA" hidden="1">#REF!</definedName>
    <definedName name="BExUABTJG7CHXQDBVDEEMHSVE1YY" hidden="1">#REF!</definedName>
    <definedName name="BExUAE7VUMCVDFX37BD0AFOQDTE3" localSheetId="31" hidden="1">#REF!</definedName>
    <definedName name="BExUAE7VUMCVDFX37BD0AFOQDTE3" hidden="1">#REF!</definedName>
    <definedName name="BExUAFV4JMBSM2SKBQL9NHL0NIBS" localSheetId="31" hidden="1">#REF!</definedName>
    <definedName name="BExUAFV4JMBSM2SKBQL9NHL0NIBS" hidden="1">#REF!</definedName>
    <definedName name="BExUAMWQODKBXMRH1QCMJLJBF8M7" localSheetId="31" hidden="1">#REF!</definedName>
    <definedName name="BExUAMWQODKBXMRH1QCMJLJBF8M7" hidden="1">#REF!</definedName>
    <definedName name="BExUAQYCACRL8UX675MZ2A0135PW" hidden="1">#REF!</definedName>
    <definedName name="BExUAT7C2EA99VHS9U7OALH9YLZN" hidden="1">#REF!</definedName>
    <definedName name="BExUAVAV8UKWKQ0K62SFQWUFUOTU" hidden="1">#REF!</definedName>
    <definedName name="BExUAX8WS5OPVLCDXRGKTU2QMTFO" hidden="1">#REF!</definedName>
    <definedName name="BExUB8HLEXSBVPZ5AXNQEK96F1N4" hidden="1">#REF!</definedName>
    <definedName name="BExUB9U3LH9RE0L0C9VDXHG4Z0CT" hidden="1">#REF!</definedName>
    <definedName name="BExUBCDVZIEA7YT0LPSMHL5ZSERQ" hidden="1">#REF!</definedName>
    <definedName name="BExUBKXBUCN760QYU7Q8GESBWOQH" hidden="1">#REF!</definedName>
    <definedName name="BExUBL83ED0P076RN9RJ8P1MZ299" hidden="1">#REF!</definedName>
    <definedName name="BExUBS9LHCDLBL7S3ZNT91B3T5I9" hidden="1">#REF!</definedName>
    <definedName name="BExUBZB72GX583YHAMJJC3QGV1EZ" hidden="1">#REF!</definedName>
    <definedName name="BExUC4EMUM9S63KSY0LLQUAGWJ1A" hidden="1">#REF!</definedName>
    <definedName name="BExUC623BDYEODBN0N4DO6PJQ7NU" hidden="1">#REF!</definedName>
    <definedName name="BExUC8WH8TCKBB5313JGYYQ1WFLT" hidden="1">#REF!</definedName>
    <definedName name="BExUCFCDK6SPH86I6STXX8X3WMC4" hidden="1">#REF!</definedName>
    <definedName name="BExUCI1NZNPIHC2T0GUIENNZVCNG" hidden="1">#REF!</definedName>
    <definedName name="BExUCLC6AQ5KR6LXSAXV4QQ8ASVG" hidden="1">#REF!</definedName>
    <definedName name="BExUCPOPUZEN1BYI6PPSAUKQPXP4" hidden="1">#REF!</definedName>
    <definedName name="BExUCQL36TCLIPO8DEYYYFQLM20S" hidden="1">#REF!</definedName>
    <definedName name="BExUD4IOJ12X3PJG5WXNNGDRCKAP" hidden="1">#REF!</definedName>
    <definedName name="BExUD77TM7LZ8CRP774MLVLQMHJF"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BZ76MLA94L1R8NG6162LJJC"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QXGAYDXW65J1WQ66FUBU3MG" hidden="1">#REF!</definedName>
    <definedName name="BExVRT0Z04GVD2DWPCG83NW0VCB8" hidden="1">#REF!</definedName>
    <definedName name="BExVS6TC2D1M7WMNFJPY1Q5XO46F" hidden="1">#REF!</definedName>
    <definedName name="BExVSL787C8E4HFQZ2NVLT35I2XV" hidden="1">#REF!</definedName>
    <definedName name="BExVSP8QTS4AC4LXZ1NVOUOFOBPH"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EJ63CBM9VJMNW3RSE919GDN" hidden="1">#REF!</definedName>
    <definedName name="BExVUKZ8B9WB4BOZ2U77BLN0FQMO" hidden="1">#REF!</definedName>
    <definedName name="BExVUL9V3H8ZF6Y72LQBBN639YAA" hidden="1">#REF!</definedName>
    <definedName name="BExVULFDJFCNRI6ITVSJ20MEQ4RF" hidden="1">#REF!</definedName>
    <definedName name="BExVV5T14N2HZIK7HQ4P2KG09U0J" hidden="1">#REF!</definedName>
    <definedName name="BExVV7R410VYLADLX9LNG63ID6H1" hidden="1">#REF!</definedName>
    <definedName name="BExVV7WJSYFYP74SNAXSODTGHMLZ" hidden="1">#REF!</definedName>
    <definedName name="BExVVCEED4JEKF59OV0G3T4XFMFO" hidden="1">#REF!</definedName>
    <definedName name="BExVVNMYEAFCCP9QT0J8H252JWD9" hidden="1">#REF!</definedName>
    <definedName name="BExVVPFO2J7FMSRPD36909HN4BZJ" localSheetId="31" hidden="1">#REF!</definedName>
    <definedName name="BExVVPFO2J7FMSRPD36909HN4BZJ" hidden="1">#REF!</definedName>
    <definedName name="BExVVQ19AQ3VCARJOC38SF7OYE9Y" localSheetId="31" hidden="1">#REF!</definedName>
    <definedName name="BExVVQ19AQ3VCARJOC38SF7OYE9Y" hidden="1">#REF!</definedName>
    <definedName name="BExVVQ19TAECID45CS4HXT1RD3AQ" localSheetId="31" hidden="1">#REF!</definedName>
    <definedName name="BExVVQ19TAECID45CS4HXT1RD3AQ" hidden="1">#REF!</definedName>
    <definedName name="BExVW0Z6US3NTJHJDYWIZB98DPUY" localSheetId="31" hidden="1">#REF!</definedName>
    <definedName name="BExVW0Z6US3NTJHJDYWIZB98DPUY" hidden="1">#REF!</definedName>
    <definedName name="BExVW1Q2P0JOW0VUQZZGZKEGMFKS" localSheetId="31" hidden="1">#REF!</definedName>
    <definedName name="BExVW1Q2P0JOW0VUQZZGZKEGMFKS" hidden="1">#REF!</definedName>
    <definedName name="BExVW3YV5XGIVJ97UUPDJGJ2P15B" localSheetId="31" hidden="1">#REF!</definedName>
    <definedName name="BExVW3YV5XGIVJ97UUPDJGJ2P15B" hidden="1">#REF!</definedName>
    <definedName name="BExVW5X571GEYR5SCU1Z2DHKWM79" localSheetId="31" hidden="1">#REF!</definedName>
    <definedName name="BExVW5X571GEYR5SCU1Z2DHKWM79" hidden="1">#REF!</definedName>
    <definedName name="BExVW6YTKA098AF57M4PHNQ54XMH" hidden="1">#REF!</definedName>
    <definedName name="BExVWINKCH0V0NUWH363SMXAZE62" hidden="1">#REF!</definedName>
    <definedName name="BExVWTG1XJY59HT2TMMJM4S3G1YT" hidden="1">#REF!</definedName>
    <definedName name="BExVWYU8EK669NP172GEIGCTVPPA"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0O69U12CDKBFJOPW4R1P2N" hidden="1">#REF!</definedName>
    <definedName name="BExVXLX2BZ5EF2X6R41BTKRJR1NM" hidden="1">#REF!</definedName>
    <definedName name="BExVXTK9AEYZ4I2G1G36EB5LBSYN"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DC7HTM8F61S3XN21YNDDND2" hidden="1">#REF!</definedName>
    <definedName name="BExVYFFR4A093PVY6PMSQTBJDM7M" hidden="1">#REF!</definedName>
    <definedName name="BExVYFL875EZ1Y283MJDADGHT55S" hidden="1">#REF!</definedName>
    <definedName name="BExVYHDYIV5397LC02V4FEP8VD6W" localSheetId="31" hidden="1">#REF!</definedName>
    <definedName name="BExVYHDYIV5397LC02V4FEP8VD6W" hidden="1">#REF!</definedName>
    <definedName name="BExVYJXKYUCSEU1BZ19KSB39VXMD" localSheetId="31" hidden="1">#REF!</definedName>
    <definedName name="BExVYJXKYUCSEU1BZ19KSB39VXMD" hidden="1">#REF!</definedName>
    <definedName name="BExVYOVIZDA18YIQ0A30Q052PCAK" localSheetId="31" hidden="1">#REF!</definedName>
    <definedName name="BExVYOVIZDA18YIQ0A30Q052PCAK" hidden="1">#REF!</definedName>
    <definedName name="BExVYQIXPEM6J4JVP78BRHIC05PV" hidden="1">#REF!</definedName>
    <definedName name="BExVYR9UQJ26G3DMTP1TIAG98DRS"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5XB61VWY09SYF60QOK8TPYX" hidden="1">#REF!</definedName>
    <definedName name="BExW06IWPRMJLGPZWY6KNMR28VMQ" hidden="1">#REF!</definedName>
    <definedName name="BExW08MEDLGNM5Z5KYW1HQXCBUR6" localSheetId="31" hidden="1">#REF!</definedName>
    <definedName name="BExW08MEDLGNM5Z5KYW1HQXCBUR6" hidden="1">#REF!</definedName>
    <definedName name="BExW0CIO5SH0TQLZQ1VMKX3JZ7NW" localSheetId="31" hidden="1">#REF!</definedName>
    <definedName name="BExW0CIO5SH0TQLZQ1VMKX3JZ7NW" hidden="1">#REF!</definedName>
    <definedName name="BExW0FYP4WXY71CYUG40SUBG9UWU" localSheetId="31" hidden="1">#REF!</definedName>
    <definedName name="BExW0FYP4WXY71CYUG40SUBG9UWU" hidden="1">#REF!</definedName>
    <definedName name="BExW0RI61B4VV0ARXTFVBAWRA1C5" hidden="1">#REF!</definedName>
    <definedName name="BExW0VZZ6WSKCTPUWLYP7VEYJM10" hidden="1">#REF!</definedName>
    <definedName name="BExW0ZFYUNZUIMD4ETNZWCS9T0CT" hidden="1">#REF!</definedName>
    <definedName name="BExW1BVUYQTKMOR56MW7RVRX4L1L" hidden="1">#REF!</definedName>
    <definedName name="BExW1F1220628FOMTW5UAATHRJHK" hidden="1">#REF!</definedName>
    <definedName name="BExW1K4I0JZH96X4HFQY6YAMIG60" hidden="1">#REF!</definedName>
    <definedName name="BExW1TKA0Z9OP2DTG50GZR5EG8C7" hidden="1">#REF!</definedName>
    <definedName name="BExW1U0JLKQ094DW5MMOI8UHO09V" hidden="1">#REF!</definedName>
    <definedName name="BExW1WUZ349YPJVAKCEJO07L4NFW" hidden="1">#REF!</definedName>
    <definedName name="BExW21T2WD1YDR47I9BWVRGJZMKW" hidden="1">#REF!</definedName>
    <definedName name="BExW24NI0GQA13RVEGFK7ISS512B" localSheetId="31" hidden="1">#REF!</definedName>
    <definedName name="BExW24NI0GQA13RVEGFK7ISS512B" hidden="1">#REF!</definedName>
    <definedName name="BExW283NP9D366XFPXLGSCI5UB0L" localSheetId="31" hidden="1">#REF!</definedName>
    <definedName name="BExW283NP9D366XFPXLGSCI5UB0L" hidden="1">#REF!</definedName>
    <definedName name="BExW2F54PEPPIGMV5I4XLXMKJOTG" localSheetId="31" hidden="1">#REF!</definedName>
    <definedName name="BExW2F54PEPPIGMV5I4XLXMKJOTG" hidden="1">#REF!</definedName>
    <definedName name="BExW2H3C8WJSBW5FGTFKVDVJC4CL" hidden="1">#REF!</definedName>
    <definedName name="BExW2MSCKPGF5K3I7TL4KF5ISUOL" hidden="1">#REF!</definedName>
    <definedName name="BExW2SMO90FU9W8DVVES6Q4E6BZR" hidden="1">#REF!</definedName>
    <definedName name="BExW2V0ZEMESP2BVDJGZFBJOIOIQ" hidden="1">#REF!</definedName>
    <definedName name="BExW36V9N91OHCUMGWJQL3I5P4JK" localSheetId="31" hidden="1">#REF!</definedName>
    <definedName name="BExW36V9N91OHCUMGWJQL3I5P4JK" hidden="1">#REF!</definedName>
    <definedName name="BExW3EIBA1J9Q9NA9VCGZGRS8WV7" localSheetId="31" hidden="1">#REF!</definedName>
    <definedName name="BExW3EIBA1J9Q9NA9VCGZGRS8WV7" hidden="1">#REF!</definedName>
    <definedName name="BExW3FEO8FI8N6AGQKYEG4SQVJWB" localSheetId="31"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MPQ2JLA196HW39IPT3Q6JVK" hidden="1">#REF!</definedName>
    <definedName name="BExW4MV5UH4OKNB95Q2AO7LFASBP" hidden="1">#REF!</definedName>
    <definedName name="BExW4QR9FV9MP5K610THBSM51RYO" hidden="1">#REF!</definedName>
    <definedName name="BExW4T5M43NPIJS54VL6SZAENBOE" hidden="1">#REF!</definedName>
    <definedName name="BExW4Z029R9E19ZENN3WEA3VDAD1" hidden="1">#REF!</definedName>
    <definedName name="BExW51EDOYXJBXR5AFJCYTA7JI06" hidden="1">#REF!</definedName>
    <definedName name="BExW5AZNT6IAZGNF2C879ODHY1B8" hidden="1">#REF!</definedName>
    <definedName name="BExW5VTHC5GDYD5M9B4Q0FUY7OBA" hidden="1">#REF!</definedName>
    <definedName name="BExW5W48S3UI5UJMSXULAD20EMCG" hidden="1">#REF!</definedName>
    <definedName name="BExW5WPU27WD4NWZOT0ZEJIDLX5J" hidden="1">#REF!</definedName>
    <definedName name="BExW5YYNT0AJF2AFS43IFCHR7WQQ" hidden="1">#REF!</definedName>
    <definedName name="BExW660AV1TUV2XNUPD65RZR3QOO" localSheetId="31" hidden="1">#REF!</definedName>
    <definedName name="BExW660AV1TUV2XNUPD65RZR3QOO" hidden="1">#REF!</definedName>
    <definedName name="BExW66LVVZK656PQY1257QMHP2AY" localSheetId="31" hidden="1">#REF!</definedName>
    <definedName name="BExW66LVVZK656PQY1257QMHP2AY" hidden="1">#REF!</definedName>
    <definedName name="BExW6EJPHAP1TWT380AZLXNHR22P" localSheetId="31" hidden="1">#REF!</definedName>
    <definedName name="BExW6EJPHAP1TWT380AZLXNHR22P" hidden="1">#REF!</definedName>
    <definedName name="BExW6G1PJ38H10DVLL8WPQ736OEB" hidden="1">#REF!</definedName>
    <definedName name="BExW6TU0OMFLMCB6EWBOQSGHUMX5" hidden="1">#REF!</definedName>
    <definedName name="BExW6VBYODJKTS0FMZ47EQS9FUF2" hidden="1">#REF!</definedName>
    <definedName name="BExW6WZDUEZS3JDTHC8X310LL1OU" hidden="1">#REF!</definedName>
    <definedName name="BExW76F60TD8OIAVEJQE3MX4PLDY" hidden="1">#REF!</definedName>
    <definedName name="BExW782GMQD1F9JJSPQU5QT2TWON" hidden="1">#REF!</definedName>
    <definedName name="BExW794A74Z5F2K8LVQLD6VSKXUE" hidden="1">#REF!</definedName>
    <definedName name="BExW7DBCHP0SWYSW2RKLS8IBPCVS" hidden="1">#REF!</definedName>
    <definedName name="BExW7S00X50K2O0H0GL7P3JROGG6" hidden="1">#REF!</definedName>
    <definedName name="BExW81FSTXQA1A81CD1MVDX6257O" hidden="1">#REF!</definedName>
    <definedName name="BExW82C756R4HC5DTN5Z29F0D3QO" hidden="1">#REF!</definedName>
    <definedName name="BExW87VVJSJLAJQQHUHH974N4MAO" localSheetId="31" hidden="1">#REF!</definedName>
    <definedName name="BExW87VVJSJLAJQQHUHH974N4MAO" hidden="1">#REF!</definedName>
    <definedName name="BExW8COJI4803WMVPHGL8240OBIU" localSheetId="31" hidden="1">#REF!</definedName>
    <definedName name="BExW8COJI4803WMVPHGL8240OBIU" hidden="1">#REF!</definedName>
    <definedName name="BExW8K0SSIPSKBVP06IJ71600HJZ" localSheetId="31" hidden="1">#REF!</definedName>
    <definedName name="BExW8K0SSIPSKBVP06IJ71600HJZ" hidden="1">#REF!</definedName>
    <definedName name="BExW8NM8DJJESE7GF7VGTO2XO6P1" hidden="1">#REF!</definedName>
    <definedName name="BExW8P9O4HQC1Y372I0HCCBVKNTO"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OHD0PA2FFDEECR0C4SFBRVS" hidden="1">#REF!</definedName>
    <definedName name="BExW9POK1KIOI0ALS5MZIKTDIYMA" hidden="1">#REF!</definedName>
    <definedName name="BExW9TVLB7OIHTG98I7I4EXBL61S" hidden="1">#REF!</definedName>
    <definedName name="BExXL0I7INHGEJWJ97OQTEJKJUBR"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BOA39T2X6Y5Y5GZ5DDNA1AX" hidden="1">#REF!</definedName>
    <definedName name="BExXNCVFNFROM6X4XZABZ1M55JVL" hidden="1">#REF!</definedName>
    <definedName name="BExXND6872VJ3M2PGT056WQMWBHD" hidden="1">#REF!</definedName>
    <definedName name="BExXNPM24UN2PGVL9D1TUBFRIKR4" hidden="1">#REF!</definedName>
    <definedName name="BExXNWYB165VO9MHARCL5WLCHWS0" hidden="1">#REF!</definedName>
    <definedName name="BExXNYLR0NNRQQBQ09OAWL5SFA2P" hidden="1">#REF!</definedName>
    <definedName name="BExXO278QHQN8JDK5425EJ615ECC" hidden="1">#REF!</definedName>
    <definedName name="BExXO574BHMI9HN803IPJ8B00ZQ1" hidden="1">#REF!</definedName>
    <definedName name="BExXO81JZ0ARONLA93VY8VLBDM3Z" hidden="1">#REF!</definedName>
    <definedName name="BExXOBHOP0WGFHI2Y9AO4L440UVQ" hidden="1">#REF!</definedName>
    <definedName name="BExXOHSAD2NSHOLLMZ2JWA4I3I1R" hidden="1">#REF!</definedName>
    <definedName name="BExXOIDP4V2QCBHG5KQQO9VT0HDH" hidden="1">#REF!</definedName>
    <definedName name="BExXOMQ7TBU2AJ03HNGNVCK9S4VM" hidden="1">#REF!</definedName>
    <definedName name="BExXP49C9Y3U7LWFBFCQSE4WPWHA" hidden="1">#REF!</definedName>
    <definedName name="BExXP80B5FGA00JCM7UXKPI3PB7Y" hidden="1">#REF!</definedName>
    <definedName name="BExXP85M4WXYVN1UVHUTOEKEG5XS" hidden="1">#REF!</definedName>
    <definedName name="BExXPELOTHOAG0OWILLAH94OZV5J" hidden="1">#REF!</definedName>
    <definedName name="BExXPEWH9AJE234H90KL5ICZZ0IS" hidden="1">#REF!</definedName>
    <definedName name="BExXPS31W1VD2NMIE4E37LHVDF0L" hidden="1">#REF!</definedName>
    <definedName name="BExXPZKYEMVF5JOC14HYOOYQK6JK" hidden="1">#REF!</definedName>
    <definedName name="BExXQ12Q21G0KAAP7BK68KNBBDMH" hidden="1">#REF!</definedName>
    <definedName name="BExXQ72J3O85VF3MRWYM7RCY6B7A" hidden="1">#REF!</definedName>
    <definedName name="BExXQ89PA10X79WBWOEP1AJX1OQM" hidden="1">#REF!</definedName>
    <definedName name="BExXQCGQGGYSI0LTRVR73MUO50AW" hidden="1">#REF!</definedName>
    <definedName name="BExXQD2B3434GXJT0U2OVW30R5K6"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L4ETKGR5B08IWLV5UKWS07Z" hidden="1">#REF!</definedName>
    <definedName name="BExXRO4A6VUH1F4XV8N1BRJ4896W" hidden="1">#REF!</definedName>
    <definedName name="BExXRO9N1SNJZGKD90P4K7FU1J0P" hidden="1">#REF!</definedName>
    <definedName name="BExXRR9I9RZJSO66K1CB8R2H3ACH"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8HZ90IK9RD5CZ6M2XT64C3R" hidden="1">#REF!</definedName>
    <definedName name="BExXSBSP1TOY051HSPEPM0AEIO2M" hidden="1">#REF!</definedName>
    <definedName name="BExXSC8RFK5D68FJD2HI4K66SA6I" hidden="1">#REF!</definedName>
    <definedName name="BExXSGW487JM8X45CILCD3ELADND" hidden="1">#REF!</definedName>
    <definedName name="BExXSJA8FX6FL775LX7EDM4LQ4ZF" hidden="1">#REF!</definedName>
    <definedName name="BExXSNHC88W4UMXEOIOOATJAIKZO" hidden="1">#REF!</definedName>
    <definedName name="BExXSTBS08WIA9TLALV3UQ2Z3MRG" hidden="1">#REF!</definedName>
    <definedName name="BExXSVQ2WOJJ73YEO8Q2FK60V4G8"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RXWS5WKEYMU65AGIWPW8XMY" hidden="1">#REF!</definedName>
    <definedName name="BExXTYU24I49X78RIN9EOO9PMHSV"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VSXSP8ESN178IHNRRMIMOMT" hidden="1">#REF!</definedName>
    <definedName name="BExXUYND6EJO7CJ5KRICV4O1JNWK" hidden="1">#REF!</definedName>
    <definedName name="BExXV1HYM7PSRL7FDSBCIW13Z2U3" hidden="1">#REF!</definedName>
    <definedName name="BExXV6FWG4H3S2QEUJZYIXILNGJ7" hidden="1">#REF!</definedName>
    <definedName name="BExXVCVYROMZMHARVU6MD514BMTF" hidden="1">#REF!</definedName>
    <definedName name="BExXVGS1T0RO7HBN75IPQXATHZ23" hidden="1">#REF!</definedName>
    <definedName name="BExXVK87BMMO6LHKV0CFDNIQVIBS" hidden="1">#REF!</definedName>
    <definedName name="BExXVKZ9WXPGL6IVY6T61IDD771I" hidden="1">#REF!</definedName>
    <definedName name="BExXVUPU1FDA3CCHMAFE3SPCNSO2"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SAAQ4VSVQZI0D2A8NTQ53VH" hidden="1">#REF!</definedName>
    <definedName name="BExXWVFIBQT8OY1O41FRFPFGXQHK" hidden="1">#REF!</definedName>
    <definedName name="BExXWWXHBZHA9J3N8K47F84X0M0L" hidden="1">#REF!</definedName>
    <definedName name="BExXX7V6XV8D71NMUTIG4TUF6DF3" hidden="1">#REF!</definedName>
    <definedName name="BExXX9D3XK7CEZ9SI9UOA6F79ZPL" localSheetId="31" hidden="1">#REF!</definedName>
    <definedName name="BExXX9D3XK7CEZ9SI9UOA6F79ZPL" hidden="1">#REF!</definedName>
    <definedName name="BExXXBBCLDS7K2HB4LLGA6TTTXO3" localSheetId="31" hidden="1">#REF!</definedName>
    <definedName name="BExXXBBCLDS7K2HB4LLGA6TTTXO3" hidden="1">#REF!</definedName>
    <definedName name="BExXXBGNQF0HXLZNUFVN9AGYLRGU" localSheetId="31" hidden="1">#REF!</definedName>
    <definedName name="BExXXBGNQF0HXLZNUFVN9AGYLRGU"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D85DGL2MUZ4DB0JR3L1UVLF" hidden="1">#REF!</definedName>
    <definedName name="BExXYLBHANUXC5FCTDDTGOVD3GQS" hidden="1">#REF!</definedName>
    <definedName name="BExXYMNYAYH3WA2ZCFAYKZID9ZCI" hidden="1">#REF!</definedName>
    <definedName name="BExXYWEQL36MHLNSDGU1FOTX7M20" hidden="1">#REF!</definedName>
    <definedName name="BExXYWK1Q4ED490YK6LD13PRAMS4" hidden="1">#REF!</definedName>
    <definedName name="BExXYYT12SVN2VDMLVNV4P3ISD8T" hidden="1">#REF!</definedName>
    <definedName name="BExXZEDWUYH25UZMW2QU2RXFILJE" hidden="1">#REF!</definedName>
    <definedName name="BExXZFVV4YB42AZ3H1I40YG3JAPU" hidden="1">#REF!</definedName>
    <definedName name="BExXZH30Y2VXGXW705XP20HU2G86"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G03T6MD304WV4PCS8A8UZOU" hidden="1">#REF!</definedName>
    <definedName name="BExY0JAM6LIEX03Y3CDOQG13XO98" hidden="1">#REF!</definedName>
    <definedName name="BExY0MLAPBIUHZHF3MNQUBZEOPGA"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4VIIZDQ07OMY7WD69P6ZBUX" hidden="1">#REF!</definedName>
    <definedName name="BExY16O8FRFU2AKAB73SDMHTLF36" hidden="1">#REF!</definedName>
    <definedName name="BExY180UKNW5NIAWD6ZUYTFEH8QS" hidden="1">#REF!</definedName>
    <definedName name="BExY1DPTV4LSY9MEOUGXF8X052NA" hidden="1">#REF!</definedName>
    <definedName name="BExY1GK9ELBEKDD7O6HR6DUO8YGO" hidden="1">#REF!</definedName>
    <definedName name="BExY1JK5FLBIKGF4D7K1BMSTT2W7" hidden="1">#REF!</definedName>
    <definedName name="BExY1JUYIFR0O90W747XIO278VF6" localSheetId="31" hidden="1">#REF!</definedName>
    <definedName name="BExY1JUYIFR0O90W747XIO278VF6" hidden="1">#REF!</definedName>
    <definedName name="BExY1NWOXXFV9GGZ3PX444LZ8TVX" localSheetId="31" hidden="1">#REF!</definedName>
    <definedName name="BExY1NWOXXFV9GGZ3PX444LZ8TVX" hidden="1">#REF!</definedName>
    <definedName name="BExY1R7F5GLGAYZT2TMJYZVT5X8X" localSheetId="31" hidden="1">#REF!</definedName>
    <definedName name="BExY1R7F5GLGAYZT2TMJYZVT5X8X" hidden="1">#REF!</definedName>
    <definedName name="BExY1TR13AYI0HGDYRVNRSR1VPOV" hidden="1">#REF!</definedName>
    <definedName name="BExY1UCL0RND63LLSM9X5SFRG117" hidden="1">#REF!</definedName>
    <definedName name="BExY1WAT3937L08HLHIRQHMP2A3H" hidden="1">#REF!</definedName>
    <definedName name="BExY1YEBOSLMID7LURP8QB46AI91" hidden="1">#REF!</definedName>
    <definedName name="BExY29MW53U9H65R6IEGDFI64XHB" hidden="1">#REF!</definedName>
    <definedName name="BExY2FS4LFX9OHOTQT7SJ2PXAC25" hidden="1">#REF!</definedName>
    <definedName name="BExY2GDPCZPVU0IQ6IJIB1YQQRQ6" hidden="1">#REF!</definedName>
    <definedName name="BExY2GTSZ3VA9TXLY7KW1LIAKJ61" hidden="1">#REF!</definedName>
    <definedName name="BExY2H4LV4INLFET24XNE1FUGSXP" hidden="1">#REF!</definedName>
    <definedName name="BExY2IXBR1SGYZH08T7QHKEFS8HA" hidden="1">#REF!</definedName>
    <definedName name="BExY2P7Y7WK5R8PQWMWRW9V4TL58" hidden="1">#REF!</definedName>
    <definedName name="BExY2Q4B5FUDA5VU4VRUHX327QN0" hidden="1">#REF!</definedName>
    <definedName name="BExY2UWXID9H1ZZT216IJ2W3T4R5" hidden="1">#REF!</definedName>
    <definedName name="BExY3BEDJM4RQA202MJY8RJM0FGU" hidden="1">#REF!</definedName>
    <definedName name="BExY3HOSK7YI364K15OX70AVR6F1" hidden="1">#REF!</definedName>
    <definedName name="BExY3T89AUR83SOAZZ3OMDEJDQ39" hidden="1">#REF!</definedName>
    <definedName name="BExY40KOAK8UPA3XIKC6WE4OLQAL" hidden="1">#REF!</definedName>
    <definedName name="BExY4MG771JQ84EMIVB6HQGGHZY7" hidden="1">#REF!</definedName>
    <definedName name="BExY4PWCSFB8P3J3TBQB2MD67263" hidden="1">#REF!</definedName>
    <definedName name="BExY4RZVZXZ35OZVEXTSWVVGE8XF" hidden="1">#REF!</definedName>
    <definedName name="BExY4RZW3KK11JLYBA4DWZ92M6LQ" hidden="1">#REF!</definedName>
    <definedName name="BExY4XOVTTNVZ577RLIEC7NZQFIX" hidden="1">#REF!</definedName>
    <definedName name="BExY50JAF5CG01GTHAUS7I4ZLUDC" hidden="1">#REF!</definedName>
    <definedName name="BExY53J6XUX9MQ87V5K1PHGLA5OZ"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RH59XWU9D7KAUQ3N5FQ6ZQU" hidden="1">#REF!</definedName>
    <definedName name="BExZIYO22G5UXOB42GDLYGVRJ6U7" hidden="1">#REF!</definedName>
    <definedName name="BExZJ7I9T8XU4MZRKJ1VVU76V2LZ" hidden="1">#REF!</definedName>
    <definedName name="BExZJCWI93DAGB0LYD3D3RXA5T1X" hidden="1">#REF!</definedName>
    <definedName name="BExZJG77BNPTTXPHBDO6JVBP267V" hidden="1">#REF!</definedName>
    <definedName name="BExZJMY170JCUU1RWASNZ1HJPRTA" hidden="1">#REF!</definedName>
    <definedName name="BExZJOQR77H0P4SUKVYACDCFBBXO" hidden="1">#REF!</definedName>
    <definedName name="BExZJS6RG34ODDY9HMZ0O34MEMSB" hidden="1">#REF!</definedName>
    <definedName name="BExZJTOQ0YP3Z6MU1Z3EQPWCQJAV" hidden="1">#REF!</definedName>
    <definedName name="BExZJXA66GVI2J3KFTXHYHM2MLFQ" hidden="1">#REF!</definedName>
    <definedName name="BExZK0FLA198EJ94QHWX96XGLB95" hidden="1">#REF!</definedName>
    <definedName name="BExZK28BCCZCJGD4172FUNAGUC1I" hidden="1">#REF!</definedName>
    <definedName name="BExZK34NR4BAD7HJAP7SQ926UQP3" hidden="1">#REF!</definedName>
    <definedName name="BExZK3FGPHH5H771U7D5XY7XBS6E" hidden="1">#REF!</definedName>
    <definedName name="BExZKG5XNKFLT5VIJGTGN1KRY9M1" hidden="1">#REF!</definedName>
    <definedName name="BExZKHYORG3O8C772XPFHM1N8T80" hidden="1">#REF!</definedName>
    <definedName name="BExZKJRF2IRR57DG9CLC7MSHWNNN" hidden="1">#REF!</definedName>
    <definedName name="BExZKV5GYXO0X760SBD9TWTIQHGI" hidden="1">#REF!</definedName>
    <definedName name="BExZKXUJFT2AT6IX3VNR84WD8J6O" hidden="1">#REF!</definedName>
    <definedName name="BExZL6E4YVXRUN7ZGF2BIGIXFR8K" hidden="1">#REF!</definedName>
    <definedName name="BExZLE6HTP4MI0C7JZBPGDRFSQHY"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RC0GXPSO9JOPK8FEZBDS80M" hidden="1">#REF!</definedName>
    <definedName name="BExZMVJ0ODX05Q2E8C4IZVAY7RGU" hidden="1">#REF!</definedName>
    <definedName name="BExZMXH39OB0I43XEL3K11U3G9PM" hidden="1">#REF!</definedName>
    <definedName name="BExZMZQ3RBKDHT5GLFNLS52OSJA0" hidden="1">#REF!</definedName>
    <definedName name="BExZN0MHIAUPB6G7US083VNAPOUO" hidden="1">#REF!</definedName>
    <definedName name="BExZN2F7Y2J2L2LN5WZRG949MS4A" hidden="1">#REF!</definedName>
    <definedName name="BExZN4TJVUGCFWL2CS28R36HN7S6" hidden="1">#REF!</definedName>
    <definedName name="BExZN6BHBBUIDVNQ8LMA86ZJ8SBU" hidden="1">#REF!</definedName>
    <definedName name="BExZN847WUWKRYTZWG9TCQZJS3OL" hidden="1">#REF!</definedName>
    <definedName name="BExZNEUW1MNCUTLJ4LWIW18J6TXS" hidden="1">#REF!</definedName>
    <definedName name="BExZNH3VISFF4NQI11BZDP5IQ7VG" hidden="1">#REF!</definedName>
    <definedName name="BExZNILV5N9PBKDZLALQEXXPJ2GZ" hidden="1">#REF!</definedName>
    <definedName name="BExZNJYCFYVMAOI62GB2BABK1ELE" hidden="1">#REF!</definedName>
    <definedName name="BExZNSCGGDV6CW77IZLFGQGTQJ5Q"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F9R1MU69L6PO5PC7TBTE9G9"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PT0UWFAUYM11ETBX54NBI1PD"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NQOI080YO1ADHPJGCG9R63F" hidden="1">#REF!</definedName>
    <definedName name="BExZQXBYEBN28QUH1KOVW6KKA5UM" hidden="1">#REF!</definedName>
    <definedName name="BExZQZKT146WEN8FTVZ7Y5TSB8L5" hidden="1">#REF!</definedName>
    <definedName name="BExZR12Y982N9EKLLP7Z52WQHXXF" hidden="1">#REF!</definedName>
    <definedName name="BExZR485AKBH93YZ08CMUC3WROED" hidden="1">#REF!</definedName>
    <definedName name="BExZR7TL98P2PPUVGIZYR5873DWW" hidden="1">#REF!</definedName>
    <definedName name="BExZRB9M8SJHCJ3R6G6N2FSC8JDL" hidden="1">#REF!</definedName>
    <definedName name="BExZRGD1603X5ACFALUUDKCD7X48" hidden="1">#REF!</definedName>
    <definedName name="BExZRP1X6UVLN1UOLHH5VF4STP1O" hidden="1">#REF!</definedName>
    <definedName name="BExZRQ930U6OCYNV00CH5I0Q4LPE" hidden="1">#REF!</definedName>
    <definedName name="BExZRVSS7LVKUWW3VM61WKHK4M49" hidden="1">#REF!</definedName>
    <definedName name="BExZRW8W514W8OZ72YBONYJ64GXF" hidden="1">#REF!</definedName>
    <definedName name="BExZRWJP2BUVFJPO8U8ATQEP0LZU" hidden="1">#REF!</definedName>
    <definedName name="BExZRXAKDKQ1K9GZ7R5F89HTIP5Y" hidden="1">#REF!</definedName>
    <definedName name="BExZS2OY9JTSSP01ZQ6V2T2LO5R9" localSheetId="31" hidden="1">#REF!</definedName>
    <definedName name="BExZS2OY9JTSSP01ZQ6V2T2LO5R9" hidden="1">#REF!</definedName>
    <definedName name="BExZSI9USDLZAN8LI8M4YYQL24GZ" localSheetId="31" hidden="1">#REF!</definedName>
    <definedName name="BExZSI9USDLZAN8LI8M4YYQL24GZ" hidden="1">#REF!</definedName>
    <definedName name="BExZSM0TL3458X254CZLZZ3GBCNQ" localSheetId="31" hidden="1">#REF!</definedName>
    <definedName name="BExZSM0TL3458X254CZLZZ3GBCNQ" hidden="1">#REF!</definedName>
    <definedName name="BExZSPX0YNISGS8SVTI69D6NC4IM" hidden="1">#REF!</definedName>
    <definedName name="BExZSS0LA2JY4ZLJ1Z5YCMLJJZCH" hidden="1">#REF!</definedName>
    <definedName name="BExZTAQV2QVSZY5Y3VCCWUBSBW9P" hidden="1">#REF!</definedName>
    <definedName name="BExZTBN9GZGBJ8KW4A2BZPUYXU1F" hidden="1">#REF!</definedName>
    <definedName name="BExZTHSI2FX56PWRSNX9H5EWTZFO" hidden="1">#REF!</definedName>
    <definedName name="BExZTI39Q2UFW9SVCC3Q73QVFBU8"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0192UZZ9JSP428VREBB1ZDY" hidden="1">#REF!</definedName>
    <definedName name="BExZV2QD5ZDK3AGDRULLA7JB46C3" hidden="1">#REF!</definedName>
    <definedName name="BExZV5FHALJ3O5Z9X9CYXRUGCC6O"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WYRG26HN53ZPZ5ERJKTS6RJ1" hidden="1">#REF!</definedName>
    <definedName name="BExZX0EWQEZO86WDAD9A4EAEZ012" hidden="1">#REF!</definedName>
    <definedName name="BExZX2T6ZT2DZLYSDJJBPVIT5OK2" hidden="1">#REF!</definedName>
    <definedName name="BExZXD01YCC2UKH6829EC0LCWB3B" hidden="1">#REF!</definedName>
    <definedName name="BExZXK6UA4ZV3XPC2N2NRSI4ZR6H"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YB62GGL1SOZY9U68AATTICHU" hidden="1">#REF!</definedName>
    <definedName name="BExZYBBCV1AW9XEIT73TO2286ETP" hidden="1">#REF!</definedName>
    <definedName name="BExZYF262HRLEVP6L4KINWX6HBYI" hidden="1">#REF!</definedName>
    <definedName name="BExZZ2FQA9A8C7CJKMEFQ9VPSLCE" hidden="1">#REF!</definedName>
    <definedName name="BExZZCHAVHW8C2H649KRGVQ0WVRT" hidden="1">#REF!</definedName>
    <definedName name="BExZZGIVJRHKETRE8HACEQE30128" hidden="1">#REF!</definedName>
    <definedName name="BExZZTK54OTLF2YB68BHGOS27GEN" hidden="1">#REF!</definedName>
    <definedName name="BExZZXB3JQQG4SIZS4MRU6NNW7HI" hidden="1">#REF!</definedName>
    <definedName name="BExZZZEMIIFKMLLV4DJKX5TB9R5V" hidden="1">#REF!</definedName>
    <definedName name="BGS_Cost_Scenario">#REF!</definedName>
    <definedName name="BGS_RFP">#REF!</definedName>
    <definedName name="BILLCO">#REF!</definedName>
    <definedName name="BILLED_HOURS" localSheetId="31">#REF!</definedName>
    <definedName name="BILLED_HOURS">#REF!</definedName>
    <definedName name="BILLING_DEMAND__KW" localSheetId="31">#REF!</definedName>
    <definedName name="BILLING_DEMAND__KW">#REF!</definedName>
    <definedName name="BLE_Close_Date">#REF!</definedName>
    <definedName name="BPAAlloc" localSheetId="31">#REF!</definedName>
    <definedName name="BPAAlloc">#REF!</definedName>
    <definedName name="BPACustAlloc" localSheetId="31">#REF!</definedName>
    <definedName name="BPACustAlloc">#REF!</definedName>
    <definedName name="BPAGenAlloc" localSheetId="31">#REF!</definedName>
    <definedName name="BPAGenAlloc">#REF!</definedName>
    <definedName name="BPAGenHeader">#REF!</definedName>
    <definedName name="bpgr84">#REF!</definedName>
    <definedName name="bpgr85">#REF!</definedName>
    <definedName name="bpgr86">#REF!</definedName>
    <definedName name="bpgr87">#REF!</definedName>
    <definedName name="bpgr88">#REF!</definedName>
    <definedName name="bpqre84">#REF!</definedName>
    <definedName name="bpqre85">#REF!</definedName>
    <definedName name="bpqre86">#REF!</definedName>
    <definedName name="bpqre87">#REF!</definedName>
    <definedName name="bpqre88">#REF!</definedName>
    <definedName name="BRDMONTH" localSheetId="31">#REF!</definedName>
    <definedName name="BRDMONTH">#REF!</definedName>
    <definedName name="BRDMONTH12" localSheetId="31">#REF!</definedName>
    <definedName name="BRDMONTH12">#REF!</definedName>
    <definedName name="BRDQTR" localSheetId="31">#REF!</definedName>
    <definedName name="BRDQTR">#REF!</definedName>
    <definedName name="BRDYTD">#REF!</definedName>
    <definedName name="BRMAT">#REF!</definedName>
    <definedName name="BS">#REF!</definedName>
    <definedName name="bu10total84">#REF!</definedName>
    <definedName name="bu10total84a">#REF!</definedName>
    <definedName name="bu10total85">#REF!</definedName>
    <definedName name="bu10total85a">#REF!</definedName>
    <definedName name="bu10total86">#REF!</definedName>
    <definedName name="bu10total86a">#REF!</definedName>
    <definedName name="bu10total87">#REF!</definedName>
    <definedName name="bu10total87a">#REF!</definedName>
    <definedName name="bu10total88">#REF!</definedName>
    <definedName name="bu10total88a">#REF!</definedName>
    <definedName name="bu10total89">#REF!</definedName>
    <definedName name="bu10total89a">#REF!</definedName>
    <definedName name="bu10total90">#REF!</definedName>
    <definedName name="bu10total90a">#REF!</definedName>
    <definedName name="bu10total91">#REF!</definedName>
    <definedName name="bu10total91a">#REF!</definedName>
    <definedName name="bu10total92">#REF!</definedName>
    <definedName name="bu10total92a">#REF!</definedName>
    <definedName name="bu10total93">#REF!</definedName>
    <definedName name="bu10total93a">#REF!</definedName>
    <definedName name="bu10total94">#REF!</definedName>
    <definedName name="bu10total94a">#REF!</definedName>
    <definedName name="bu10total95">#REF!</definedName>
    <definedName name="bu10total95a">#REF!</definedName>
    <definedName name="bu10total96">#REF!</definedName>
    <definedName name="bu10total96a">#REF!</definedName>
    <definedName name="bu10total97">#REF!</definedName>
    <definedName name="bu10total97a">#REF!</definedName>
    <definedName name="bu10total98">#REF!</definedName>
    <definedName name="bu10total98a">#REF!</definedName>
    <definedName name="bu11total84">#REF!</definedName>
    <definedName name="bu11total84a">#REF!</definedName>
    <definedName name="bu11total85">#REF!</definedName>
    <definedName name="bu11total85a">#REF!</definedName>
    <definedName name="bu11total86">#REF!</definedName>
    <definedName name="bu11total86a">#REF!</definedName>
    <definedName name="bu11total87">#REF!</definedName>
    <definedName name="bu11total87a">#REF!</definedName>
    <definedName name="bu11total88">#REF!</definedName>
    <definedName name="bu11total88a">#REF!</definedName>
    <definedName name="bu11total89">#REF!</definedName>
    <definedName name="bu11total89a">#REF!</definedName>
    <definedName name="bu11total90">#REF!</definedName>
    <definedName name="bu11total90a">#REF!</definedName>
    <definedName name="bu11total91">#REF!</definedName>
    <definedName name="bu11total91a">#REF!</definedName>
    <definedName name="bu11total92">#REF!</definedName>
    <definedName name="bu11total92a">#REF!</definedName>
    <definedName name="bu11total93">#REF!</definedName>
    <definedName name="bu11total93a">#REF!</definedName>
    <definedName name="bu11total94">#REF!</definedName>
    <definedName name="bu11total94a">#REF!</definedName>
    <definedName name="bu11total95">#REF!</definedName>
    <definedName name="bu11total95a">#REF!</definedName>
    <definedName name="bu11total96">#REF!</definedName>
    <definedName name="bu11total96a">#REF!</definedName>
    <definedName name="bu11total97">#REF!</definedName>
    <definedName name="bu11total97a">#REF!</definedName>
    <definedName name="bu11total98">#REF!</definedName>
    <definedName name="bu11total98a">#REF!</definedName>
    <definedName name="bu12total84">#REF!</definedName>
    <definedName name="bu12total84a">#REF!</definedName>
    <definedName name="bu12total85">#REF!</definedName>
    <definedName name="bu12total85a">#REF!</definedName>
    <definedName name="bu12total86">#REF!</definedName>
    <definedName name="bu12total86a">#REF!</definedName>
    <definedName name="bu12total87">#REF!</definedName>
    <definedName name="bu12total87a">#REF!</definedName>
    <definedName name="bu12total88">#REF!</definedName>
    <definedName name="bu12total88a">#REF!</definedName>
    <definedName name="bu12total89">#REF!</definedName>
    <definedName name="bu12total89a">#REF!</definedName>
    <definedName name="bu12total90">#REF!</definedName>
    <definedName name="bu12total90a">#REF!</definedName>
    <definedName name="bu12total91">#REF!</definedName>
    <definedName name="bu12total91a">#REF!</definedName>
    <definedName name="bu12total92">#REF!</definedName>
    <definedName name="bu12total92a">#REF!</definedName>
    <definedName name="bu12total93">#REF!</definedName>
    <definedName name="bu12total93a">#REF!</definedName>
    <definedName name="bu12total94">#REF!</definedName>
    <definedName name="bu12total94a">#REF!</definedName>
    <definedName name="bu12total95">#REF!</definedName>
    <definedName name="bu12total95a">#REF!</definedName>
    <definedName name="bu12total96">#REF!</definedName>
    <definedName name="bu12total96a">#REF!</definedName>
    <definedName name="bu12total97">#REF!</definedName>
    <definedName name="bu12total97a">#REF!</definedName>
    <definedName name="bu12total98">#REF!</definedName>
    <definedName name="bu12total98a">#REF!</definedName>
    <definedName name="bu13total84">#REF!</definedName>
    <definedName name="bu13total84a">#REF!</definedName>
    <definedName name="bu13total85">#REF!</definedName>
    <definedName name="bu13total85a">#REF!</definedName>
    <definedName name="bu13total86">#REF!</definedName>
    <definedName name="bu13total86a">#REF!</definedName>
    <definedName name="bu13total87">#REF!</definedName>
    <definedName name="bu13total87a">#REF!</definedName>
    <definedName name="bu13total88">#REF!</definedName>
    <definedName name="bu13total88a">#REF!</definedName>
    <definedName name="bu13total89">#REF!</definedName>
    <definedName name="bu13total89a">#REF!</definedName>
    <definedName name="bu13total90">#REF!</definedName>
    <definedName name="bu13total90a">#REF!</definedName>
    <definedName name="bu13total91">#REF!</definedName>
    <definedName name="bu13total91a">#REF!</definedName>
    <definedName name="bu13total92">#REF!</definedName>
    <definedName name="bu13total92a">#REF!</definedName>
    <definedName name="bu13total93">#REF!</definedName>
    <definedName name="bu13total93a">#REF!</definedName>
    <definedName name="bu13total94">#REF!</definedName>
    <definedName name="bu13total94a">#REF!</definedName>
    <definedName name="bu13total95">#REF!</definedName>
    <definedName name="bu13total95a">#REF!</definedName>
    <definedName name="bu13total96">#REF!</definedName>
    <definedName name="bu13total96a">#REF!</definedName>
    <definedName name="bu13total97">#REF!</definedName>
    <definedName name="bu13total97a">#REF!</definedName>
    <definedName name="bu13total98">#REF!</definedName>
    <definedName name="bu13total98a">#REF!</definedName>
    <definedName name="bu14total84">#REF!</definedName>
    <definedName name="bu14total84a">#REF!</definedName>
    <definedName name="bu14total85">#REF!</definedName>
    <definedName name="bu14total85a">#REF!</definedName>
    <definedName name="bu14total86">#REF!</definedName>
    <definedName name="bu14total86a">#REF!</definedName>
    <definedName name="bu14total87">#REF!</definedName>
    <definedName name="bu14total87a">#REF!</definedName>
    <definedName name="bu14total88">#REF!</definedName>
    <definedName name="bu14total88a">#REF!</definedName>
    <definedName name="bu14total89">#REF!</definedName>
    <definedName name="bu14total89a">#REF!</definedName>
    <definedName name="bu14total90">#REF!</definedName>
    <definedName name="bu14total90a">#REF!</definedName>
    <definedName name="bu14total91">#REF!</definedName>
    <definedName name="bu14total91a">#REF!</definedName>
    <definedName name="bu14total92">#REF!</definedName>
    <definedName name="bu14total92a">#REF!</definedName>
    <definedName name="bu14total93">#REF!</definedName>
    <definedName name="bu14total93a">#REF!</definedName>
    <definedName name="bu14total94">#REF!</definedName>
    <definedName name="bu14total94a">#REF!</definedName>
    <definedName name="bu14total95">#REF!</definedName>
    <definedName name="bu14total95a">#REF!</definedName>
    <definedName name="bu14total96">#REF!</definedName>
    <definedName name="bu14total96a">#REF!</definedName>
    <definedName name="bu14total97">#REF!</definedName>
    <definedName name="bu14total97a">#REF!</definedName>
    <definedName name="bu14total98">#REF!</definedName>
    <definedName name="bu14total98a">#REF!</definedName>
    <definedName name="bu15total84">#REF!</definedName>
    <definedName name="bu15total84a">#REF!</definedName>
    <definedName name="bu15total85">#REF!</definedName>
    <definedName name="bu15total85a">#REF!</definedName>
    <definedName name="bu15total86">#REF!</definedName>
    <definedName name="bu15total86a">#REF!</definedName>
    <definedName name="bu15total87">#REF!</definedName>
    <definedName name="bu15total87a">#REF!</definedName>
    <definedName name="bu15total88">#REF!</definedName>
    <definedName name="bu15total88a">#REF!</definedName>
    <definedName name="bu15total89">#REF!</definedName>
    <definedName name="bu15total89a">#REF!</definedName>
    <definedName name="bu15total90">#REF!</definedName>
    <definedName name="bu15total90a">#REF!</definedName>
    <definedName name="bu15total91">#REF!</definedName>
    <definedName name="bu15total91a">#REF!</definedName>
    <definedName name="bu15total92">#REF!</definedName>
    <definedName name="bu15total92a">#REF!</definedName>
    <definedName name="bu15total93">#REF!</definedName>
    <definedName name="bu15total93a">#REF!</definedName>
    <definedName name="bu15total94">#REF!</definedName>
    <definedName name="bu15total94a">#REF!</definedName>
    <definedName name="bu15total95">#REF!</definedName>
    <definedName name="bu15total95a">#REF!</definedName>
    <definedName name="bu15total96">#REF!</definedName>
    <definedName name="bu15total96a">#REF!</definedName>
    <definedName name="bu15total97">#REF!</definedName>
    <definedName name="bu15total97a">#REF!</definedName>
    <definedName name="bu15total98">#REF!</definedName>
    <definedName name="bu15total98a">#REF!</definedName>
    <definedName name="bu16total84">#REF!</definedName>
    <definedName name="bu16total84a">#REF!</definedName>
    <definedName name="bu16total85">#REF!</definedName>
    <definedName name="bu16total85a">#REF!</definedName>
    <definedName name="bu16total86">#REF!</definedName>
    <definedName name="bu16total86a">#REF!</definedName>
    <definedName name="bu16total87">#REF!</definedName>
    <definedName name="bu16total87a">#REF!</definedName>
    <definedName name="bu16total88">#REF!</definedName>
    <definedName name="bu16total88a">#REF!</definedName>
    <definedName name="bu16total89">#REF!</definedName>
    <definedName name="bu16total89a">#REF!</definedName>
    <definedName name="bu16total90">#REF!</definedName>
    <definedName name="bu16total90a">#REF!</definedName>
    <definedName name="bu16total91">#REF!</definedName>
    <definedName name="bu16total91a">#REF!</definedName>
    <definedName name="bu16total92">#REF!</definedName>
    <definedName name="bu16total92a">#REF!</definedName>
    <definedName name="bu16total93">#REF!</definedName>
    <definedName name="bu16total93a">#REF!</definedName>
    <definedName name="bu16total94">#REF!</definedName>
    <definedName name="bu16total94a">#REF!</definedName>
    <definedName name="bu16total95">#REF!</definedName>
    <definedName name="bu16total95a">#REF!</definedName>
    <definedName name="bu16total96">#REF!</definedName>
    <definedName name="bu16total96a">#REF!</definedName>
    <definedName name="bu16total97">#REF!</definedName>
    <definedName name="bu16total97a">#REF!</definedName>
    <definedName name="bu16total98">#REF!</definedName>
    <definedName name="bu16total98a">#REF!</definedName>
    <definedName name="bu17total84">#REF!</definedName>
    <definedName name="bu17total84a">#REF!</definedName>
    <definedName name="bu17total85">#REF!</definedName>
    <definedName name="bu17total85a">#REF!</definedName>
    <definedName name="bu17total86">#REF!</definedName>
    <definedName name="bu17total86a">#REF!</definedName>
    <definedName name="bu17total87">#REF!</definedName>
    <definedName name="bu17total87a">#REF!</definedName>
    <definedName name="bu17total88">#REF!</definedName>
    <definedName name="bu17total88a">#REF!</definedName>
    <definedName name="bu17total89">#REF!</definedName>
    <definedName name="bu17total89a">#REF!</definedName>
    <definedName name="bu17total90">#REF!</definedName>
    <definedName name="bu17total90a">#REF!</definedName>
    <definedName name="bu17total91">#REF!</definedName>
    <definedName name="bu17total91a">#REF!</definedName>
    <definedName name="bu17total92">#REF!</definedName>
    <definedName name="bu17total92a">#REF!</definedName>
    <definedName name="bu17total93">#REF!</definedName>
    <definedName name="bu17total93a">#REF!</definedName>
    <definedName name="bu17total94">#REF!</definedName>
    <definedName name="bu17total94a">#REF!</definedName>
    <definedName name="bu17total95">#REF!</definedName>
    <definedName name="bu17total95a">#REF!</definedName>
    <definedName name="bu17total96">#REF!</definedName>
    <definedName name="bu17total96a">#REF!</definedName>
    <definedName name="bu17total97">#REF!</definedName>
    <definedName name="bu17total97a">#REF!</definedName>
    <definedName name="bu17total98">#REF!</definedName>
    <definedName name="bu17total98a">#REF!</definedName>
    <definedName name="bu18total84">#REF!</definedName>
    <definedName name="bu18total84a">#REF!</definedName>
    <definedName name="bu18total85">#REF!</definedName>
    <definedName name="bu18total85a">#REF!</definedName>
    <definedName name="bu18total86">#REF!</definedName>
    <definedName name="bu18total86a">#REF!</definedName>
    <definedName name="bu18total87">#REF!</definedName>
    <definedName name="bu18total87a">#REF!</definedName>
    <definedName name="bu18total88">#REF!</definedName>
    <definedName name="bu18total88a">#REF!</definedName>
    <definedName name="bu18total89">#REF!</definedName>
    <definedName name="bu18total89a">#REF!</definedName>
    <definedName name="bu18total90">#REF!</definedName>
    <definedName name="bu18total90a">#REF!</definedName>
    <definedName name="bu18total91">#REF!</definedName>
    <definedName name="bu18total91a">#REF!</definedName>
    <definedName name="bu18total92">#REF!</definedName>
    <definedName name="bu18total92a">#REF!</definedName>
    <definedName name="bu18total93">#REF!</definedName>
    <definedName name="bu18total93a">#REF!</definedName>
    <definedName name="bu18total94">#REF!</definedName>
    <definedName name="bu18total94a">#REF!</definedName>
    <definedName name="bu18total95">#REF!</definedName>
    <definedName name="bu18total95a">#REF!</definedName>
    <definedName name="bu18total96">#REF!</definedName>
    <definedName name="bu18total96a">#REF!</definedName>
    <definedName name="bu18total97">#REF!</definedName>
    <definedName name="bu18total97a">#REF!</definedName>
    <definedName name="bu18total98">#REF!</definedName>
    <definedName name="bu18total98a">#REF!</definedName>
    <definedName name="bu19total84">#REF!</definedName>
    <definedName name="bu19total84a">#REF!</definedName>
    <definedName name="bu19total85">#REF!</definedName>
    <definedName name="bu19total85a">#REF!</definedName>
    <definedName name="bu19total86">#REF!</definedName>
    <definedName name="bu19total86a">#REF!</definedName>
    <definedName name="bu19total87">#REF!</definedName>
    <definedName name="bu19total87a">#REF!</definedName>
    <definedName name="bu19total88">#REF!</definedName>
    <definedName name="bu19total88a">#REF!</definedName>
    <definedName name="bu19total89">#REF!</definedName>
    <definedName name="bu19total89a">#REF!</definedName>
    <definedName name="bu19total90">#REF!</definedName>
    <definedName name="bu19total90a">#REF!</definedName>
    <definedName name="bu19total91">#REF!</definedName>
    <definedName name="bu19total91a">#REF!</definedName>
    <definedName name="bu19total92">#REF!</definedName>
    <definedName name="bu19total92a">#REF!</definedName>
    <definedName name="bu19total93">#REF!</definedName>
    <definedName name="bu19total93a">#REF!</definedName>
    <definedName name="bu19total94">#REF!</definedName>
    <definedName name="bu19total94a">#REF!</definedName>
    <definedName name="bu19total95">#REF!</definedName>
    <definedName name="bu19total95a">#REF!</definedName>
    <definedName name="bu19total96">#REF!</definedName>
    <definedName name="bu19total96a">#REF!</definedName>
    <definedName name="bu19total97">#REF!</definedName>
    <definedName name="bu19total97a">#REF!</definedName>
    <definedName name="bu19total98">#REF!</definedName>
    <definedName name="bu19total98a">#REF!</definedName>
    <definedName name="bu1total84">#REF!</definedName>
    <definedName name="bu1total84a">#REF!</definedName>
    <definedName name="bu1total85">#REF!</definedName>
    <definedName name="bu1total85a">#REF!</definedName>
    <definedName name="bu1total86">#REF!</definedName>
    <definedName name="bu1total86a">#REF!</definedName>
    <definedName name="bu1total87">#REF!</definedName>
    <definedName name="bu1total87a">#REF!</definedName>
    <definedName name="bu1total88">#REF!</definedName>
    <definedName name="bu1total88a">#REF!</definedName>
    <definedName name="bu1total89">#REF!</definedName>
    <definedName name="bu1total89a">#REF!</definedName>
    <definedName name="bu1total90">#REF!</definedName>
    <definedName name="bu1total90a">#REF!</definedName>
    <definedName name="bu1total91">#REF!</definedName>
    <definedName name="bu1total91a">#REF!</definedName>
    <definedName name="bu1total92">#REF!</definedName>
    <definedName name="bu1total92a">#REF!</definedName>
    <definedName name="bu1total93">#REF!</definedName>
    <definedName name="bu1total93a">#REF!</definedName>
    <definedName name="bu1total94">#REF!</definedName>
    <definedName name="bu1total94a">#REF!</definedName>
    <definedName name="bu1total95">#REF!</definedName>
    <definedName name="bu1total95a">#REF!</definedName>
    <definedName name="bu1total96">#REF!</definedName>
    <definedName name="bu1total96a">#REF!</definedName>
    <definedName name="bu1total97">#REF!</definedName>
    <definedName name="bu1total97a">#REF!</definedName>
    <definedName name="bu1total98">#REF!</definedName>
    <definedName name="bu1total98a">#REF!</definedName>
    <definedName name="bu20total84">#REF!</definedName>
    <definedName name="bu20total84a">#REF!</definedName>
    <definedName name="bu20total85">#REF!</definedName>
    <definedName name="bu20total85a">#REF!</definedName>
    <definedName name="bu20total86">#REF!</definedName>
    <definedName name="bu20total86a">#REF!</definedName>
    <definedName name="bu20total87">#REF!</definedName>
    <definedName name="bu20total87a">#REF!</definedName>
    <definedName name="bu20total88">#REF!</definedName>
    <definedName name="bu20total88a">#REF!</definedName>
    <definedName name="bu20total89">#REF!</definedName>
    <definedName name="bu20total89a">#REF!</definedName>
    <definedName name="bu20total90">#REF!</definedName>
    <definedName name="bu20total90a">#REF!</definedName>
    <definedName name="bu20total91">#REF!</definedName>
    <definedName name="bu20total91a">#REF!</definedName>
    <definedName name="bu20total92">#REF!</definedName>
    <definedName name="bu20total92a">#REF!</definedName>
    <definedName name="bu20total93">#REF!</definedName>
    <definedName name="bu20total93a">#REF!</definedName>
    <definedName name="bu20total94">#REF!</definedName>
    <definedName name="bu20total94a">#REF!</definedName>
    <definedName name="bu20total95">#REF!</definedName>
    <definedName name="bu20total95a">#REF!</definedName>
    <definedName name="bu20total96">#REF!</definedName>
    <definedName name="bu20total96a">#REF!</definedName>
    <definedName name="bu20total97">#REF!</definedName>
    <definedName name="bu20total97a">#REF!</definedName>
    <definedName name="bu20total98">#REF!</definedName>
    <definedName name="bu20total98a">#REF!</definedName>
    <definedName name="bu21total84">#REF!</definedName>
    <definedName name="bu21total84a">#REF!</definedName>
    <definedName name="bu21total85">#REF!</definedName>
    <definedName name="bu21total85a">#REF!</definedName>
    <definedName name="bu21total86">#REF!</definedName>
    <definedName name="bu21total86a">#REF!</definedName>
    <definedName name="bu21total87">#REF!</definedName>
    <definedName name="bu21total87a">#REF!</definedName>
    <definedName name="bu21total88">#REF!</definedName>
    <definedName name="bu21total88a">#REF!</definedName>
    <definedName name="bu21total89">#REF!</definedName>
    <definedName name="bu21total89a">#REF!</definedName>
    <definedName name="bu21total90">#REF!</definedName>
    <definedName name="bu21total90a">#REF!</definedName>
    <definedName name="bu21total91">#REF!</definedName>
    <definedName name="bu21total91a">#REF!</definedName>
    <definedName name="bu21total92">#REF!</definedName>
    <definedName name="bu21total92a">#REF!</definedName>
    <definedName name="bu21total93">#REF!</definedName>
    <definedName name="bu21total93a">#REF!</definedName>
    <definedName name="bu21total94">#REF!</definedName>
    <definedName name="bu21total94a">#REF!</definedName>
    <definedName name="bu21total95">#REF!</definedName>
    <definedName name="bu21total95a">#REF!</definedName>
    <definedName name="bu21total96">#REF!</definedName>
    <definedName name="bu21total96a">#REF!</definedName>
    <definedName name="bu21total97">#REF!</definedName>
    <definedName name="bu21total97a">#REF!</definedName>
    <definedName name="bu21total98">#REF!</definedName>
    <definedName name="bu21total98a">#REF!</definedName>
    <definedName name="bu22total84">#REF!</definedName>
    <definedName name="bu22total84a">#REF!</definedName>
    <definedName name="bu22total85">#REF!</definedName>
    <definedName name="bu22total85a">#REF!</definedName>
    <definedName name="bu22total86">#REF!</definedName>
    <definedName name="bu22total86a">#REF!</definedName>
    <definedName name="bu22total87">#REF!</definedName>
    <definedName name="bu22total87a">#REF!</definedName>
    <definedName name="bu22total88">#REF!</definedName>
    <definedName name="bu22total88a">#REF!</definedName>
    <definedName name="bu22total89">#REF!</definedName>
    <definedName name="bu22total89a">#REF!</definedName>
    <definedName name="bu22total90">#REF!</definedName>
    <definedName name="bu22total90a">#REF!</definedName>
    <definedName name="bu22total91">#REF!</definedName>
    <definedName name="bu22total91a">#REF!</definedName>
    <definedName name="bu22total92">#REF!</definedName>
    <definedName name="bu22total92a">#REF!</definedName>
    <definedName name="bu22total93">#REF!</definedName>
    <definedName name="bu22total93a">#REF!</definedName>
    <definedName name="bu22total94">#REF!</definedName>
    <definedName name="bu22total94a">#REF!</definedName>
    <definedName name="bu22total95">#REF!</definedName>
    <definedName name="bu22total95a">#REF!</definedName>
    <definedName name="bu22total96">#REF!</definedName>
    <definedName name="bu22total96a">#REF!</definedName>
    <definedName name="bu22total97">#REF!</definedName>
    <definedName name="bu22total97a">#REF!</definedName>
    <definedName name="bu22total98">#REF!</definedName>
    <definedName name="bu22total98a">#REF!</definedName>
    <definedName name="bu23total84">#REF!</definedName>
    <definedName name="bu23total84a">#REF!</definedName>
    <definedName name="bu23total85">#REF!</definedName>
    <definedName name="bu23total85a">#REF!</definedName>
    <definedName name="bu23total86">#REF!</definedName>
    <definedName name="bu23total86a">#REF!</definedName>
    <definedName name="bu23total87">#REF!</definedName>
    <definedName name="bu23total87a">#REF!</definedName>
    <definedName name="bu23total88">#REF!</definedName>
    <definedName name="bu23total88a">#REF!</definedName>
    <definedName name="bu23total89">#REF!</definedName>
    <definedName name="bu23total89a">#REF!</definedName>
    <definedName name="bu23total90">#REF!</definedName>
    <definedName name="bu23total90a">#REF!</definedName>
    <definedName name="bu23total91">#REF!</definedName>
    <definedName name="bu23total91a">#REF!</definedName>
    <definedName name="bu23total92">#REF!</definedName>
    <definedName name="bu23total92a">#REF!</definedName>
    <definedName name="bu23total93">#REF!</definedName>
    <definedName name="bu23total93a">#REF!</definedName>
    <definedName name="bu23total94">#REF!</definedName>
    <definedName name="bu23total94a">#REF!</definedName>
    <definedName name="bu23total95">#REF!</definedName>
    <definedName name="bu23total95a">#REF!</definedName>
    <definedName name="bu23total96">#REF!</definedName>
    <definedName name="bu23total96a">#REF!</definedName>
    <definedName name="bu23total97">#REF!</definedName>
    <definedName name="bu23total97a">#REF!</definedName>
    <definedName name="bu23total98">#REF!</definedName>
    <definedName name="bu23total98a">#REF!</definedName>
    <definedName name="bu2total84">#REF!</definedName>
    <definedName name="bu2total84a">#REF!</definedName>
    <definedName name="bu2total85">#REF!</definedName>
    <definedName name="bu2total85a">#REF!</definedName>
    <definedName name="bu2total86">#REF!</definedName>
    <definedName name="bu2total86a">#REF!</definedName>
    <definedName name="bu2total87">#REF!</definedName>
    <definedName name="bu2total87a">#REF!</definedName>
    <definedName name="bu2total88">#REF!</definedName>
    <definedName name="bu2total88a">#REF!</definedName>
    <definedName name="bu2total89">#REF!</definedName>
    <definedName name="bu2total89a">#REF!</definedName>
    <definedName name="bu2total90">#REF!</definedName>
    <definedName name="bu2total90a">#REF!</definedName>
    <definedName name="bu2total91">#REF!</definedName>
    <definedName name="bu2total91a">#REF!</definedName>
    <definedName name="bu2total92">#REF!</definedName>
    <definedName name="bu2total92a">#REF!</definedName>
    <definedName name="bu2total93">#REF!</definedName>
    <definedName name="bu2total93a">#REF!</definedName>
    <definedName name="bu2total94">#REF!</definedName>
    <definedName name="bu2total94a">#REF!</definedName>
    <definedName name="bu2total95">#REF!</definedName>
    <definedName name="bu2total95a">#REF!</definedName>
    <definedName name="bu2total96">#REF!</definedName>
    <definedName name="bu2total96a">#REF!</definedName>
    <definedName name="bu2total97">#REF!</definedName>
    <definedName name="bu2total97a">#REF!</definedName>
    <definedName name="bu2total98">#REF!</definedName>
    <definedName name="bu2total98a">#REF!</definedName>
    <definedName name="bu3total84">#REF!</definedName>
    <definedName name="bu3total84a">#REF!</definedName>
    <definedName name="bu3total85">#REF!</definedName>
    <definedName name="bu3total85a">#REF!</definedName>
    <definedName name="bu3total86">#REF!</definedName>
    <definedName name="bu3total86a">#REF!</definedName>
    <definedName name="bu3total87">#REF!</definedName>
    <definedName name="bu3total87a">#REF!</definedName>
    <definedName name="bu3total88">#REF!</definedName>
    <definedName name="bu3total88a">#REF!</definedName>
    <definedName name="bu3total89">#REF!</definedName>
    <definedName name="bu3total89a">#REF!</definedName>
    <definedName name="bu3total90">#REF!</definedName>
    <definedName name="bu3total90a">#REF!</definedName>
    <definedName name="bu3total91">#REF!</definedName>
    <definedName name="bu3total91a">#REF!</definedName>
    <definedName name="bu3total92">#REF!</definedName>
    <definedName name="bu3total92a">#REF!</definedName>
    <definedName name="bu3total93">#REF!</definedName>
    <definedName name="bu3total93a">#REF!</definedName>
    <definedName name="bu3total94">#REF!</definedName>
    <definedName name="bu3total94a">#REF!</definedName>
    <definedName name="bu3total95">#REF!</definedName>
    <definedName name="bu3total95a">#REF!</definedName>
    <definedName name="bu3total96">#REF!</definedName>
    <definedName name="bu3total96a">#REF!</definedName>
    <definedName name="bu3total97">#REF!</definedName>
    <definedName name="bu3total97a">#REF!</definedName>
    <definedName name="bu3total98">#REF!</definedName>
    <definedName name="bu3total98a">#REF!</definedName>
    <definedName name="bu4total84">#REF!</definedName>
    <definedName name="bu4total84a">#REF!</definedName>
    <definedName name="bu4total85">#REF!</definedName>
    <definedName name="bu4total85a">#REF!</definedName>
    <definedName name="bu4total86">#REF!</definedName>
    <definedName name="bu4total86a">#REF!</definedName>
    <definedName name="bu4total87">#REF!</definedName>
    <definedName name="bu4total87a">#REF!</definedName>
    <definedName name="bu4total88">#REF!</definedName>
    <definedName name="bu4total88a">#REF!</definedName>
    <definedName name="bu4total89">#REF!</definedName>
    <definedName name="bu4total89a">#REF!</definedName>
    <definedName name="bu4total90">#REF!</definedName>
    <definedName name="bu4total90a">#REF!</definedName>
    <definedName name="bu4total91">#REF!</definedName>
    <definedName name="bu4total91a">#REF!</definedName>
    <definedName name="bu4total92">#REF!</definedName>
    <definedName name="bu4total92a">#REF!</definedName>
    <definedName name="bu4total93">#REF!</definedName>
    <definedName name="bu4total93a">#REF!</definedName>
    <definedName name="bu4total94">#REF!</definedName>
    <definedName name="bu4total94a">#REF!</definedName>
    <definedName name="bu4total95">#REF!</definedName>
    <definedName name="bu4total95a">#REF!</definedName>
    <definedName name="bu4total96">#REF!</definedName>
    <definedName name="bu4total96a">#REF!</definedName>
    <definedName name="bu4total97">#REF!</definedName>
    <definedName name="bu4total97a">#REF!</definedName>
    <definedName name="bu4total98">#REF!</definedName>
    <definedName name="bu4total98a">#REF!</definedName>
    <definedName name="bu5total84">#REF!</definedName>
    <definedName name="bu5total84a">#REF!</definedName>
    <definedName name="bu5total85">#REF!</definedName>
    <definedName name="bu5total85a">#REF!</definedName>
    <definedName name="bu5total86">#REF!</definedName>
    <definedName name="bu5total86a">#REF!</definedName>
    <definedName name="bu5total87">#REF!</definedName>
    <definedName name="bu5total87a">#REF!</definedName>
    <definedName name="bu5total88">#REF!</definedName>
    <definedName name="bu5total88a">#REF!</definedName>
    <definedName name="bu5total89">#REF!</definedName>
    <definedName name="bu5total89a">#REF!</definedName>
    <definedName name="bu5total90">#REF!</definedName>
    <definedName name="bu5total90a">#REF!</definedName>
    <definedName name="bu5total91">#REF!</definedName>
    <definedName name="bu5total91a">#REF!</definedName>
    <definedName name="bu5total92">#REF!</definedName>
    <definedName name="bu5total92a">#REF!</definedName>
    <definedName name="bu5total93">#REF!</definedName>
    <definedName name="bu5total93a">#REF!</definedName>
    <definedName name="bu5total94">#REF!</definedName>
    <definedName name="bu5total94a">#REF!</definedName>
    <definedName name="bu5total95">#REF!</definedName>
    <definedName name="bu5total95a">#REF!</definedName>
    <definedName name="bu5total96">#REF!</definedName>
    <definedName name="bu5total96a">#REF!</definedName>
    <definedName name="bu5total97">#REF!</definedName>
    <definedName name="bu5total97a">#REF!</definedName>
    <definedName name="bu5total98">#REF!</definedName>
    <definedName name="bu5total98a">#REF!</definedName>
    <definedName name="bu6total84">#REF!</definedName>
    <definedName name="bu6total84a">#REF!</definedName>
    <definedName name="bu6total85">#REF!</definedName>
    <definedName name="bu6total85a">#REF!</definedName>
    <definedName name="bu6total86">#REF!</definedName>
    <definedName name="bu6total86a">#REF!</definedName>
    <definedName name="bu6total87">#REF!</definedName>
    <definedName name="bu6total87a">#REF!</definedName>
    <definedName name="bu6total88">#REF!</definedName>
    <definedName name="bu6total88a">#REF!</definedName>
    <definedName name="bu6total89">#REF!</definedName>
    <definedName name="bu6total89a">#REF!</definedName>
    <definedName name="bu6total90">#REF!</definedName>
    <definedName name="bu6total90a">#REF!</definedName>
    <definedName name="bu6total91">#REF!</definedName>
    <definedName name="bu6total91a">#REF!</definedName>
    <definedName name="bu6total92">#REF!</definedName>
    <definedName name="bu6total92a">#REF!</definedName>
    <definedName name="bu6total93">#REF!</definedName>
    <definedName name="bu6total93a">#REF!</definedName>
    <definedName name="bu6total94">#REF!</definedName>
    <definedName name="bu6total94a">#REF!</definedName>
    <definedName name="bu6total95">#REF!</definedName>
    <definedName name="bu6total95a">#REF!</definedName>
    <definedName name="bu6total96">#REF!</definedName>
    <definedName name="bu6total96a">#REF!</definedName>
    <definedName name="bu6total97">#REF!</definedName>
    <definedName name="bu6total97a">#REF!</definedName>
    <definedName name="bu6total98">#REF!</definedName>
    <definedName name="bu6total98a">#REF!</definedName>
    <definedName name="bu7total84">#REF!</definedName>
    <definedName name="bu7total84a">#REF!</definedName>
    <definedName name="bu7total85">#REF!</definedName>
    <definedName name="bu7total85a">#REF!</definedName>
    <definedName name="bu7total86">#REF!</definedName>
    <definedName name="bu7total86a">#REF!</definedName>
    <definedName name="bu7total87">#REF!</definedName>
    <definedName name="bu7total87a">#REF!</definedName>
    <definedName name="bu7total88">#REF!</definedName>
    <definedName name="bu7total88a">#REF!</definedName>
    <definedName name="bu7total89">#REF!</definedName>
    <definedName name="bu7total89a">#REF!</definedName>
    <definedName name="bu7total90">#REF!</definedName>
    <definedName name="bu7total90a">#REF!</definedName>
    <definedName name="bu7total91">#REF!</definedName>
    <definedName name="bu7total91a">#REF!</definedName>
    <definedName name="bu7total92">#REF!</definedName>
    <definedName name="bu7total92a">#REF!</definedName>
    <definedName name="bu7total93">#REF!</definedName>
    <definedName name="bu7total93a">#REF!</definedName>
    <definedName name="bu7total94">#REF!</definedName>
    <definedName name="bu7total94a">#REF!</definedName>
    <definedName name="bu7total95">#REF!</definedName>
    <definedName name="bu7total95a">#REF!</definedName>
    <definedName name="bu7total96">#REF!</definedName>
    <definedName name="bu7total96a">#REF!</definedName>
    <definedName name="bu7total97">#REF!</definedName>
    <definedName name="bu7total97a">#REF!</definedName>
    <definedName name="bu7total98">#REF!</definedName>
    <definedName name="bu7total98a">#REF!</definedName>
    <definedName name="bu8total84">#REF!</definedName>
    <definedName name="bu8total84a">#REF!</definedName>
    <definedName name="bu8total85">#REF!</definedName>
    <definedName name="bu8total85a">#REF!</definedName>
    <definedName name="bu8total86">#REF!</definedName>
    <definedName name="bu8total86a">#REF!</definedName>
    <definedName name="bu8total87">#REF!</definedName>
    <definedName name="bu8total87a">#REF!</definedName>
    <definedName name="bu8total88">#REF!</definedName>
    <definedName name="bu8total88a">#REF!</definedName>
    <definedName name="bu8total89">#REF!</definedName>
    <definedName name="bu8total89a">#REF!</definedName>
    <definedName name="bu8total90">#REF!</definedName>
    <definedName name="bu8total90a">#REF!</definedName>
    <definedName name="bu8total91">#REF!</definedName>
    <definedName name="bu8total91a">#REF!</definedName>
    <definedName name="bu8total92">#REF!</definedName>
    <definedName name="bu8total92a">#REF!</definedName>
    <definedName name="bu8total93">#REF!</definedName>
    <definedName name="bu8total93a">#REF!</definedName>
    <definedName name="bu8total94">#REF!</definedName>
    <definedName name="bu8total94a">#REF!</definedName>
    <definedName name="bu8total95">#REF!</definedName>
    <definedName name="bu8total95a">#REF!</definedName>
    <definedName name="bu8total96">#REF!</definedName>
    <definedName name="bu8total96a">#REF!</definedName>
    <definedName name="bu8total97">#REF!</definedName>
    <definedName name="bu8total97a">#REF!</definedName>
    <definedName name="bu8total98">#REF!</definedName>
    <definedName name="bu8total98a">#REF!</definedName>
    <definedName name="bu9total84">#REF!</definedName>
    <definedName name="bu9total84a">#REF!</definedName>
    <definedName name="bu9total85">#REF!</definedName>
    <definedName name="bu9total85a">#REF!</definedName>
    <definedName name="bu9total86">#REF!</definedName>
    <definedName name="bu9total86a">#REF!</definedName>
    <definedName name="bu9total87">#REF!</definedName>
    <definedName name="bu9total87a">#REF!</definedName>
    <definedName name="bu9total88">#REF!</definedName>
    <definedName name="bu9total88a">#REF!</definedName>
    <definedName name="bu9total89">#REF!</definedName>
    <definedName name="bu9total89a">#REF!</definedName>
    <definedName name="bu9total90">#REF!</definedName>
    <definedName name="bu9total90a">#REF!</definedName>
    <definedName name="bu9total91">#REF!</definedName>
    <definedName name="bu9total91a">#REF!</definedName>
    <definedName name="bu9total92">#REF!</definedName>
    <definedName name="bu9total92a">#REF!</definedName>
    <definedName name="bu9total93">#REF!</definedName>
    <definedName name="bu9total93a">#REF!</definedName>
    <definedName name="bu9total94">#REF!</definedName>
    <definedName name="bu9total94a">#REF!</definedName>
    <definedName name="bu9total95">#REF!</definedName>
    <definedName name="bu9total95a">#REF!</definedName>
    <definedName name="bu9total96">#REF!</definedName>
    <definedName name="bu9total96a">#REF!</definedName>
    <definedName name="bu9total97">#REF!</definedName>
    <definedName name="bu9total97a">#REF!</definedName>
    <definedName name="bu9total98">#REF!</definedName>
    <definedName name="bu9total98a">#REF!</definedName>
    <definedName name="CAAAlloc" localSheetId="31">#REF!</definedName>
    <definedName name="CAAAlloc">#REF!</definedName>
    <definedName name="can" localSheetId="31" hidden="1">{#N/A,#N/A,FALSE,"O&amp;M by processes";#N/A,#N/A,FALSE,"Elec Act vs Bud";#N/A,#N/A,FALSE,"G&amp;A";#N/A,#N/A,FALSE,"BGS";#N/A,#N/A,FALSE,"Res Cost"}</definedName>
    <definedName name="can" hidden="1">{#N/A,#N/A,FALSE,"O&amp;M by processes";#N/A,#N/A,FALSE,"Elec Act vs Bud";#N/A,#N/A,FALSE,"G&amp;A";#N/A,#N/A,FALSE,"BGS";#N/A,#N/A,FALSE,"Res Cost"}</definedName>
    <definedName name="CandAByCust">#REF!</definedName>
    <definedName name="CandAByFunc" localSheetId="31">#REF!</definedName>
    <definedName name="CandAByFunc">#REF!</definedName>
    <definedName name="cap" localSheetId="31">#REF!</definedName>
    <definedName name="cap">#REF!</definedName>
    <definedName name="cap_interest">#REF!</definedName>
    <definedName name="CASE" localSheetId="31">#REF!</definedName>
    <definedName name="CASE">#REF!</definedName>
    <definedName name="cbcvbcv" localSheetId="31"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C_TST">#REF!</definedName>
    <definedName name="cc1end">#REF!</definedName>
    <definedName name="cc1subrange">#REF!</definedName>
    <definedName name="cc2origin">#REF!</definedName>
    <definedName name="cc2subrange">#REF!</definedName>
    <definedName name="cc3subrange">#REF!</definedName>
    <definedName name="ccbbcvbc" localSheetId="31"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 localSheetId="31"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31" hidden="1">{#N/A,#N/A,FALSE,"O&amp;M by processes";#N/A,#N/A,FALSE,"Elec Act vs Bud";#N/A,#N/A,FALSE,"G&amp;A";#N/A,#N/A,FALSE,"BGS";#N/A,#N/A,FALSE,"Res Cost"}</definedName>
    <definedName name="cccc" hidden="1">{#N/A,#N/A,FALSE,"O&amp;M by processes";#N/A,#N/A,FALSE,"Elec Act vs Bud";#N/A,#N/A,FALSE,"G&amp;A";#N/A,#N/A,FALSE,"BGS";#N/A,#N/A,FALSE,"Res Cost"}</definedName>
    <definedName name="CE">#REF!</definedName>
    <definedName name="CE_EAI">#REF!</definedName>
    <definedName name="CE_EGSI">#REF!</definedName>
    <definedName name="CE_ELI">#REF!</definedName>
    <definedName name="CE_EMI">#REF!</definedName>
    <definedName name="CE_ENOI">#REF!</definedName>
    <definedName name="CEA">#REF!</definedName>
    <definedName name="CECE" comment="Common Plant Allocator">#REF!</definedName>
    <definedName name="CEE">#REF!</definedName>
    <definedName name="cell.above">!A1048576</definedName>
    <definedName name="cell.below">!A2</definedName>
    <definedName name="cell.left">!XFD1</definedName>
    <definedName name="cell.right">!B1</definedName>
    <definedName name="CENTS_KWH__GROSS" localSheetId="31">#REF!</definedName>
    <definedName name="CENTS_KWH__GROSS">#REF!</definedName>
    <definedName name="CENTS_KWH__NET" localSheetId="31">#REF!</definedName>
    <definedName name="CENTS_KWH__NET">#REF!</definedName>
    <definedName name="CEP_Amortization">#REF!</definedName>
    <definedName name="CH_COS" localSheetId="31">#REF!</definedName>
    <definedName name="CH_COS">#REF!</definedName>
    <definedName name="chrtContract">#REF!</definedName>
    <definedName name="chrtSensitivity">#REF!</definedName>
    <definedName name="chrtSensWages">#REF!</definedName>
    <definedName name="chrtSupplies">#REF!</definedName>
    <definedName name="chrtTax">#REF!</definedName>
    <definedName name="chrtTotalByCo">#REF!</definedName>
    <definedName name="chrtTotalByType">#REF!</definedName>
    <definedName name="chrtWages">#REF!</definedName>
    <definedName name="CIQWBGuid" hidden="1">"5c45d50c-fbb0-4040-9a33-7ec34da71b69"</definedName>
    <definedName name="CITYM">#REF!</definedName>
    <definedName name="CITYS" localSheetId="31">#REF!</definedName>
    <definedName name="CITYS">#REF!</definedName>
    <definedName name="CITYST" localSheetId="31">#REF!</definedName>
    <definedName name="CITYST">#REF!</definedName>
    <definedName name="CITYT">#REF!</definedName>
    <definedName name="Class">#REF!</definedName>
    <definedName name="ClassCode">#REF!</definedName>
    <definedName name="ClassCustomer">#REF!</definedName>
    <definedName name="ClassDA">#REF!</definedName>
    <definedName name="ClassFunction">#REF!</definedName>
    <definedName name="ClassMethod">#REF!</definedName>
    <definedName name="cleanup" localSheetId="31" hidden="1">{#N/A,#N/A,TRUE,"TAXPROV";#N/A,#N/A,TRUE,"FLOWTHRU";#N/A,#N/A,TRUE,"SCHEDULE M'S";#N/A,#N/A,TRUE,"PLANT M'S";#N/A,#N/A,TRUE,"TAXJE"}</definedName>
    <definedName name="cleanup" hidden="1">{#N/A,#N/A,TRUE,"TAXPROV";#N/A,#N/A,TRUE,"FLOWTHRU";#N/A,#N/A,TRUE,"SCHEDULE M'S";#N/A,#N/A,TRUE,"PLANT M'S";#N/A,#N/A,TRUE,"TAXJE"}</definedName>
    <definedName name="ClientMatter" hidden="1">"b1"</definedName>
    <definedName name="Code">#REF!</definedName>
    <definedName name="COGEN">#REF!</definedName>
    <definedName name="ColumnAttributes1" localSheetId="31">#REF!</definedName>
    <definedName name="ColumnAttributes1">#REF!</definedName>
    <definedName name="ColumnHeadings1" localSheetId="31">#REF!</definedName>
    <definedName name="ColumnHeadings1">#REF!</definedName>
    <definedName name="Columns" localSheetId="31">#REF!</definedName>
    <definedName name="Columns">#REF!</definedName>
    <definedName name="Company_Name">#REF!</definedName>
    <definedName name="CompanyCount">#REF!</definedName>
    <definedName name="CompanyName">#REF!</definedName>
    <definedName name="COMPAR_PRT_RNG">#REF!</definedName>
    <definedName name="compInc">#REF!</definedName>
    <definedName name="Consolid" localSheetId="31"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31" hidden="1">{#N/A,#N/A,FALSE,"O&amp;M by processes";#N/A,#N/A,FALSE,"Elec Act vs Bud";#N/A,#N/A,FALSE,"G&amp;A";#N/A,#N/A,FALSE,"BGS";#N/A,#N/A,FALSE,"Res Cost"}</definedName>
    <definedName name="Consolidated" hidden="1">{#N/A,#N/A,FALSE,"O&amp;M by processes";#N/A,#N/A,FALSE,"Elec Act vs Bud";#N/A,#N/A,FALSE,"G&amp;A";#N/A,#N/A,FALSE,"BGS";#N/A,#N/A,FALSE,"Res Cost"}</definedName>
    <definedName name="ConsolTbal">#REF!</definedName>
    <definedName name="copy" localSheetId="19" hidden="1">{#N/A,#N/A,FALSE,"Dist Rev at PR ";#N/A,#N/A,FALSE,"Spec";#N/A,#N/A,FALSE,"Res";#N/A,#N/A,FALSE,"Small L&amp;P";#N/A,#N/A,FALSE,"Medium L&amp;P";#N/A,#N/A,FALSE,"E-19";#N/A,#N/A,FALSE,"E-20";#N/A,#N/A,FALSE,"Strtlts &amp; Standby";#N/A,#N/A,FALSE,"A-RTP";#N/A,#N/A,FALSE,"2003mixeduse"}</definedName>
    <definedName name="copy" localSheetId="21" hidden="1">{#N/A,#N/A,FALSE,"Dist Rev at PR ";#N/A,#N/A,FALSE,"Spec";#N/A,#N/A,FALSE,"Res";#N/A,#N/A,FALSE,"Small L&amp;P";#N/A,#N/A,FALSE,"Medium L&amp;P";#N/A,#N/A,FALSE,"E-19";#N/A,#N/A,FALSE,"E-20";#N/A,#N/A,FALSE,"Strtlts &amp; Standby";#N/A,#N/A,FALSE,"A-RTP";#N/A,#N/A,FALSE,"2003mixeduse"}</definedName>
    <definedName name="copy" localSheetId="22" hidden="1">{#N/A,#N/A,FALSE,"Dist Rev at PR ";#N/A,#N/A,FALSE,"Spec";#N/A,#N/A,FALSE,"Res";#N/A,#N/A,FALSE,"Small L&amp;P";#N/A,#N/A,FALSE,"Medium L&amp;P";#N/A,#N/A,FALSE,"E-19";#N/A,#N/A,FALSE,"E-20";#N/A,#N/A,FALSE,"Strtlts &amp; Standby";#N/A,#N/A,FALSE,"A-RTP";#N/A,#N/A,FALSE,"2003mixeduse"}</definedName>
    <definedName name="copy" localSheetId="31" hidden="1">{#N/A,#N/A,FALSE,"Dist Rev at PR ";#N/A,#N/A,FALSE,"Spec";#N/A,#N/A,FALSE,"Res";#N/A,#N/A,FALSE,"Small L&amp;P";#N/A,#N/A,FALSE,"Medium L&amp;P";#N/A,#N/A,FALSE,"E-19";#N/A,#N/A,FALSE,"E-20";#N/A,#N/A,FALSE,"Strtlts &amp; Standby";#N/A,#N/A,FALSE,"A-RTP";#N/A,#N/A,FALSE,"2003mixeduse"}</definedName>
    <definedName name="copy" localSheetId="9"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19" hidden="1">{#N/A,#N/A,FALSE,"Workpaper Tables 4-1 &amp; 4-2";#N/A,#N/A,FALSE,"Revenue Allocation Results";#N/A,#N/A,FALSE,"FERC Rev @ PR";#N/A,#N/A,FALSE,"Distribution Revenue Allocation";#N/A,#N/A,FALSE,"Nonallocated Revenues ";#N/A,#N/A,FALSE,"2000mixuse";#N/A,#N/A,FALSE,"MC Revenues- 00 sales, 96 MC's"}</definedName>
    <definedName name="copyprint" localSheetId="21" hidden="1">{#N/A,#N/A,FALSE,"Workpaper Tables 4-1 &amp; 4-2";#N/A,#N/A,FALSE,"Revenue Allocation Results";#N/A,#N/A,FALSE,"FERC Rev @ PR";#N/A,#N/A,FALSE,"Distribution Revenue Allocation";#N/A,#N/A,FALSE,"Nonallocated Revenues ";#N/A,#N/A,FALSE,"2000mixuse";#N/A,#N/A,FALSE,"MC Revenues- 00 sales, 96 MC's"}</definedName>
    <definedName name="copyprint" localSheetId="22" hidden="1">{#N/A,#N/A,FALSE,"Workpaper Tables 4-1 &amp; 4-2";#N/A,#N/A,FALSE,"Revenue Allocation Results";#N/A,#N/A,FALSE,"FERC Rev @ PR";#N/A,#N/A,FALSE,"Distribution Revenue Allocation";#N/A,#N/A,FALSE,"Nonallocated Revenues ";#N/A,#N/A,FALSE,"2000mixuse";#N/A,#N/A,FALSE,"MC Revenues- 00 sales, 96 MC's"}</definedName>
    <definedName name="copyprint" localSheetId="31" hidden="1">{#N/A,#N/A,FALSE,"Workpaper Tables 4-1 &amp; 4-2";#N/A,#N/A,FALSE,"Revenue Allocation Results";#N/A,#N/A,FALSE,"FERC Rev @ PR";#N/A,#N/A,FALSE,"Distribution Revenue Allocation";#N/A,#N/A,FALSE,"Nonallocated Revenues ";#N/A,#N/A,FALSE,"2000mixuse";#N/A,#N/A,FALSE,"MC Revenues- 00 sales, 96 MC's"}</definedName>
    <definedName name="copyprint" localSheetId="9"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19" hidden="1">{#N/A,#N/A,FALSE,"RRQ inputs ";#N/A,#N/A,FALSE,"FERC Rev @ PR";#N/A,#N/A,FALSE,"Distribution Revenue Allocation";#N/A,#N/A,FALSE,"Nonallocated Revenues";#N/A,#N/A,FALSE,"MC Revenues-03 sales, 96 MC's";#N/A,#N/A,FALSE,"FTA"}</definedName>
    <definedName name="copyrevalloc" localSheetId="21" hidden="1">{#N/A,#N/A,FALSE,"RRQ inputs ";#N/A,#N/A,FALSE,"FERC Rev @ PR";#N/A,#N/A,FALSE,"Distribution Revenue Allocation";#N/A,#N/A,FALSE,"Nonallocated Revenues";#N/A,#N/A,FALSE,"MC Revenues-03 sales, 96 MC's";#N/A,#N/A,FALSE,"FTA"}</definedName>
    <definedName name="copyrevalloc" localSheetId="22" hidden="1">{#N/A,#N/A,FALSE,"RRQ inputs ";#N/A,#N/A,FALSE,"FERC Rev @ PR";#N/A,#N/A,FALSE,"Distribution Revenue Allocation";#N/A,#N/A,FALSE,"Nonallocated Revenues";#N/A,#N/A,FALSE,"MC Revenues-03 sales, 96 MC's";#N/A,#N/A,FALSE,"FTA"}</definedName>
    <definedName name="copyrevalloc" localSheetId="31" hidden="1">{#N/A,#N/A,FALSE,"RRQ inputs ";#N/A,#N/A,FALSE,"FERC Rev @ PR";#N/A,#N/A,FALSE,"Distribution Revenue Allocation";#N/A,#N/A,FALSE,"Nonallocated Revenues";#N/A,#N/A,FALSE,"MC Revenues-03 sales, 96 MC's";#N/A,#N/A,FALSE,"FTA"}</definedName>
    <definedName name="copyrevalloc" localSheetId="9"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19" hidden="1">{#N/A,#N/A,FALSE,"ND Rev at Pres Rates";#N/A,#N/A,FALSE,"Res - Unadj";#N/A,#N/A,FALSE,"Small L&amp;P";#N/A,#N/A,FALSE,"Medium L&amp;P";#N/A,#N/A,FALSE,"E-19";#N/A,#N/A,FALSE,"E-20";#N/A,#N/A,FALSE,"A-RTP";#N/A,#N/A,FALSE,"Strtlts &amp; Standby";#N/A,#N/A,FALSE,"AG";#N/A,#N/A,FALSE,"2001mixeduse"}</definedName>
    <definedName name="copyschudel" localSheetId="21" hidden="1">{#N/A,#N/A,FALSE,"ND Rev at Pres Rates";#N/A,#N/A,FALSE,"Res - Unadj";#N/A,#N/A,FALSE,"Small L&amp;P";#N/A,#N/A,FALSE,"Medium L&amp;P";#N/A,#N/A,FALSE,"E-19";#N/A,#N/A,FALSE,"E-20";#N/A,#N/A,FALSE,"A-RTP";#N/A,#N/A,FALSE,"Strtlts &amp; Standby";#N/A,#N/A,FALSE,"AG";#N/A,#N/A,FALSE,"2001mixeduse"}</definedName>
    <definedName name="copyschudel" localSheetId="22" hidden="1">{#N/A,#N/A,FALSE,"ND Rev at Pres Rates";#N/A,#N/A,FALSE,"Res - Unadj";#N/A,#N/A,FALSE,"Small L&amp;P";#N/A,#N/A,FALSE,"Medium L&amp;P";#N/A,#N/A,FALSE,"E-19";#N/A,#N/A,FALSE,"E-20";#N/A,#N/A,FALSE,"A-RTP";#N/A,#N/A,FALSE,"Strtlts &amp; Standby";#N/A,#N/A,FALSE,"AG";#N/A,#N/A,FALSE,"2001mixeduse"}</definedName>
    <definedName name="copyschudel" localSheetId="31" hidden="1">{#N/A,#N/A,FALSE,"ND Rev at Pres Rates";#N/A,#N/A,FALSE,"Res - Unadj";#N/A,#N/A,FALSE,"Small L&amp;P";#N/A,#N/A,FALSE,"Medium L&amp;P";#N/A,#N/A,FALSE,"E-19";#N/A,#N/A,FALSE,"E-20";#N/A,#N/A,FALSE,"A-RTP";#N/A,#N/A,FALSE,"Strtlts &amp; Standby";#N/A,#N/A,FALSE,"AG";#N/A,#N/A,FALSE,"2001mixeduse"}</definedName>
    <definedName name="copyschudel" localSheetId="9"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ost_Center">#REF!</definedName>
    <definedName name="cost_of_good_sold">#REF!</definedName>
    <definedName name="cost2001">#REF!</definedName>
    <definedName name="COUNTER">#REF!</definedName>
    <definedName name="Cover" localSheetId="31">#REF!</definedName>
    <definedName name="Cover">#REF!</definedName>
    <definedName name="cp" localSheetId="31">#REF!</definedName>
    <definedName name="cp">#REF!</definedName>
    <definedName name="CPAlloc" localSheetId="31">#REF!</definedName>
    <definedName name="CPAlloc">#REF!</definedName>
    <definedName name="CPHeader">#REF!</definedName>
    <definedName name="CR">#REF!</definedName>
    <definedName name="credit_rate">#REF!</definedName>
    <definedName name="creditsummary">#REF!</definedName>
    <definedName name="_xlnm.Criteria" localSheetId="31">#REF!</definedName>
    <definedName name="_xlnm.Criteria">#REF!</definedName>
    <definedName name="CTF">#REF!</definedName>
    <definedName name="CTIT" localSheetId="19" hidden="1">{"PI_Data",#N/A,TRUE,"P&amp;I Data"}</definedName>
    <definedName name="CTIT" localSheetId="21" hidden="1">{"PI_Data",#N/A,TRUE,"P&amp;I Data"}</definedName>
    <definedName name="CTIT" localSheetId="22" hidden="1">{"PI_Data",#N/A,TRUE,"P&amp;I Data"}</definedName>
    <definedName name="CTIT" localSheetId="31" hidden="1">{"PI_Data",#N/A,TRUE,"P&amp;I Data"}</definedName>
    <definedName name="CTIT" localSheetId="9" hidden="1">{"PI_Data",#N/A,TRUE,"P&amp;I Data"}</definedName>
    <definedName name="CTIT" hidden="1">{"PI_Data",#N/A,TRUE,"P&amp;I Data"}</definedName>
    <definedName name="CUR_QRES">#REF!</definedName>
    <definedName name="CUR_QRES0.75">#REF!</definedName>
    <definedName name="CUR_QRES0.80">#REF!</definedName>
    <definedName name="CUR_QRES0.85">#REF!</definedName>
    <definedName name="CUR_QRES0.90">#REF!</definedName>
    <definedName name="CUR_QRES0.95">#REF!</definedName>
    <definedName name="CUR_QRES1.00">#REF!</definedName>
    <definedName name="CUR_QRES1.05">#REF!</definedName>
    <definedName name="CUR_QRES1.10">#REF!</definedName>
    <definedName name="CUR_QRES1.15">#REF!</definedName>
    <definedName name="CUR_QRES1.20">#REF!</definedName>
    <definedName name="CUR_QRES1.25">#REF!</definedName>
    <definedName name="Current_sum" localSheetId="31">#REF!</definedName>
    <definedName name="Current_sum">#REF!</definedName>
    <definedName name="Current_Year">#REF!</definedName>
    <definedName name="custgrowth" localSheetId="31">#REF!</definedName>
    <definedName name="custgrowth">#REF!</definedName>
    <definedName name="CUT">#REF!</definedName>
    <definedName name="CUTINS">#REF!</definedName>
    <definedName name="CYPRUSFAC" localSheetId="31">#REF!</definedName>
    <definedName name="CYPRUSFAC">#REF!</definedName>
    <definedName name="CYPRUSLF" localSheetId="31">#REF!</definedName>
    <definedName name="CYPRUSLF">#REF!</definedName>
    <definedName name="CYPRUSMW" localSheetId="31">#REF!</definedName>
    <definedName name="CYPRUSMW">#REF!</definedName>
    <definedName name="CYPRUSMWH">#REF!</definedName>
    <definedName name="d" localSheetId="19" hidden="1">{#N/A,#N/A,FALSE,"CTC Summary - EOY";#N/A,#N/A,FALSE,"CTC Summary - Wtavg"}</definedName>
    <definedName name="d" localSheetId="21" hidden="1">{#N/A,#N/A,FALSE,"CTC Summary - EOY";#N/A,#N/A,FALSE,"CTC Summary - Wtavg"}</definedName>
    <definedName name="d" localSheetId="22" hidden="1">{#N/A,#N/A,FALSE,"CTC Summary - EOY";#N/A,#N/A,FALSE,"CTC Summary - Wtavg"}</definedName>
    <definedName name="d" localSheetId="31" hidden="1">{#N/A,#N/A,FALSE,"CTC Summary - EOY";#N/A,#N/A,FALSE,"CTC Summary - Wtavg"}</definedName>
    <definedName name="d" localSheetId="9" hidden="1">{#N/A,#N/A,FALSE,"CTC Summary - EOY";#N/A,#N/A,FALSE,"CTC Summary - Wtavg"}</definedName>
    <definedName name="d" hidden="1">{#N/A,#N/A,FALSE,"CTC Summary - EOY";#N/A,#N/A,FALSE,"CTC Summary - Wtavg"}</definedName>
    <definedName name="D_EAI">#REF!</definedName>
    <definedName name="D_EGSI">#REF!</definedName>
    <definedName name="D_EMI">#REF!</definedName>
    <definedName name="D_ENOI">#REF!</definedName>
    <definedName name="DA">#REF!</definedName>
    <definedName name="dada" localSheetId="31" hidden="1">{#N/A,#N/A,FALSE,"O&amp;M by processes";#N/A,#N/A,FALSE,"Elec Act vs Bud";#N/A,#N/A,FALSE,"G&amp;A";#N/A,#N/A,FALSE,"BGS";#N/A,#N/A,FALSE,"Res Cost"}</definedName>
    <definedName name="dada" hidden="1">{#N/A,#N/A,FALSE,"O&amp;M by processes";#N/A,#N/A,FALSE,"Elec Act vs Bud";#N/A,#N/A,FALSE,"G&amp;A";#N/A,#N/A,FALSE,"BGS";#N/A,#N/A,FALSE,"Res Cost"}</definedName>
    <definedName name="dae">#REF!</definedName>
    <definedName name="DASDD" localSheetId="31"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ta">#REF!</definedName>
    <definedName name="data_3">#REF!</definedName>
    <definedName name="data_year">#REF!</definedName>
    <definedName name="_xlnm.Database" localSheetId="31">#REF!</definedName>
    <definedName name="_xlnm.Database">#REF!</definedName>
    <definedName name="DATABASE1" localSheetId="31">#REF!</definedName>
    <definedName name="DATABASE1">#REF!</definedName>
    <definedName name="Database2">#REF!</definedName>
    <definedName name="DATAFEEDER">#REF!</definedName>
    <definedName name="Date" hidden="1">"b1"</definedName>
    <definedName name="DAYs">#REF!</definedName>
    <definedName name="DD.">#REF!</definedName>
    <definedName name="ddd">#REF!</definedName>
    <definedName name="ddfsaf" localSheetId="31"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#REF!</definedName>
    <definedName name="DEC00" localSheetId="31" hidden="1">{#N/A,#N/A,FALSE,"ARREC"}</definedName>
    <definedName name="DEC00" hidden="1">{#N/A,#N/A,FALSE,"ARREC"}</definedName>
    <definedName name="DefaultCopy">#REF!</definedName>
    <definedName name="DefaultPaste" localSheetId="31">#REF!</definedName>
    <definedName name="DefaultPaste">#REF!</definedName>
    <definedName name="Deferral_Interest_Rate">#REF!</definedName>
    <definedName name="Deferral_Recovery">#REF!</definedName>
    <definedName name="DefTax">#REF!</definedName>
    <definedName name="delete" localSheetId="31" hidden="1">{#N/A,#N/A,FALSE,"CURRENT"}</definedName>
    <definedName name="delete" hidden="1">{#N/A,#N/A,FALSE,"CURRENT"}</definedName>
    <definedName name="DeleteMe" localSheetId="19" hidden="1">{#N/A,#N/A,FALSE,"Dist Rev at PR ";#N/A,#N/A,FALSE,"Spec";#N/A,#N/A,FALSE,"Res";#N/A,#N/A,FALSE,"Small L&amp;P";#N/A,#N/A,FALSE,"Medium L&amp;P";#N/A,#N/A,FALSE,"E-19";#N/A,#N/A,FALSE,"E-20";#N/A,#N/A,FALSE,"Strtlts &amp; Standby";#N/A,#N/A,FALSE,"A-RTP";#N/A,#N/A,FALSE,"2003mixeduse"}</definedName>
    <definedName name="DeleteMe" localSheetId="21" hidden="1">{#N/A,#N/A,FALSE,"Dist Rev at PR ";#N/A,#N/A,FALSE,"Spec";#N/A,#N/A,FALSE,"Res";#N/A,#N/A,FALSE,"Small L&amp;P";#N/A,#N/A,FALSE,"Medium L&amp;P";#N/A,#N/A,FALSE,"E-19";#N/A,#N/A,FALSE,"E-20";#N/A,#N/A,FALSE,"Strtlts &amp; Standby";#N/A,#N/A,FALSE,"A-RTP";#N/A,#N/A,FALSE,"2003mixeduse"}</definedName>
    <definedName name="DeleteMe" localSheetId="22" hidden="1">{#N/A,#N/A,FALSE,"Dist Rev at PR ";#N/A,#N/A,FALSE,"Spec";#N/A,#N/A,FALSE,"Res";#N/A,#N/A,FALSE,"Small L&amp;P";#N/A,#N/A,FALSE,"Medium L&amp;P";#N/A,#N/A,FALSE,"E-19";#N/A,#N/A,FALSE,"E-20";#N/A,#N/A,FALSE,"Strtlts &amp; Standby";#N/A,#N/A,FALSE,"A-RTP";#N/A,#N/A,FALSE,"2003mixeduse"}</definedName>
    <definedName name="DeleteMe" localSheetId="31" hidden="1">{#N/A,#N/A,FALSE,"Dist Rev at PR ";#N/A,#N/A,FALSE,"Spec";#N/A,#N/A,FALSE,"Res";#N/A,#N/A,FALSE,"Small L&amp;P";#N/A,#N/A,FALSE,"Medium L&amp;P";#N/A,#N/A,FALSE,"E-19";#N/A,#N/A,FALSE,"E-20";#N/A,#N/A,FALSE,"Strtlts &amp; Standby";#N/A,#N/A,FALSE,"A-RTP";#N/A,#N/A,FALSE,"2003mixeduse"}</definedName>
    <definedName name="DeleteMe" localSheetId="9"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demand">#REF!</definedName>
    <definedName name="Depr_Life">#REF!</definedName>
    <definedName name="detail" localSheetId="31">#REF!</definedName>
    <definedName name="detail">#REF!</definedName>
    <definedName name="dfasdfsdfZX" localSheetId="31"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36787.5547596065</definedName>
    <definedName name="dfdsfs" localSheetId="31"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sasdfasdfsdfasdfasdf" localSheetId="31"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TSR">#REF!</definedName>
    <definedName name="DMFAC" localSheetId="31">#REF!</definedName>
    <definedName name="DMFAC">#REF!</definedName>
    <definedName name="DMLF" localSheetId="31">#REF!</definedName>
    <definedName name="DMLF">#REF!</definedName>
    <definedName name="DMMW" localSheetId="31">#REF!</definedName>
    <definedName name="DMMW">#REF!</definedName>
    <definedName name="DMMWH">#REF!</definedName>
    <definedName name="DocumentName" hidden="1">"b1"</definedName>
    <definedName name="DocumentNum" hidden="1">"a1"</definedName>
    <definedName name="DOFTSR">#REF!</definedName>
    <definedName name="DOIT">#REF!</definedName>
    <definedName name="don" localSheetId="31" hidden="1">{"assumptions",#N/A,FALSE,"Scenario 1";"valuation",#N/A,FALSE,"Scenario 1"}</definedName>
    <definedName name="don" hidden="1">{"assumptions",#N/A,FALSE,"Scenario 1";"valuation",#N/A,FALSE,"Scenario 1"}</definedName>
    <definedName name="Don_1" localSheetId="31" hidden="1">{"assumptions",#N/A,FALSE,"Scenario 1";"valuation",#N/A,FALSE,"Scenario 1"}</definedName>
    <definedName name="Don_1" hidden="1">{"assumptions",#N/A,FALSE,"Scenario 1";"valuation",#N/A,FALSE,"Scenario 1"}</definedName>
    <definedName name="Don_10" hidden="1">#REF!</definedName>
    <definedName name="Don_11" hidden="1">255</definedName>
    <definedName name="Don_12" hidden="1">#REF!</definedName>
    <definedName name="Don_13" localSheetId="31" hidden="1">#REF!</definedName>
    <definedName name="Don_13" hidden="1">#REF!</definedName>
    <definedName name="Don_14" localSheetId="31" hidden="1">#REF!</definedName>
    <definedName name="Don_14" hidden="1">#REF!</definedName>
    <definedName name="don_2" hidden="1">#REF!</definedName>
    <definedName name="Don_3" hidden="1">#REF!</definedName>
    <definedName name="Don_4" hidden="1">#REF!</definedName>
    <definedName name="Don_5" hidden="1">#REF!</definedName>
    <definedName name="Don_6" hidden="1">#REF!</definedName>
    <definedName name="Don_7" hidden="1">#REF!</definedName>
    <definedName name="Don_8" hidden="1">#REF!</definedName>
    <definedName name="Don_9" hidden="1">#REF!</definedName>
    <definedName name="DPLT">#REF!</definedName>
    <definedName name="DPROD" localSheetId="31">#REF!</definedName>
    <definedName name="DPROD">#REF!</definedName>
    <definedName name="DR">(#REF!-#REF!)/#REF!</definedName>
    <definedName name="draft" localSheetId="31">#REF!</definedName>
    <definedName name="draft">#REF!</definedName>
    <definedName name="dskdlss" localSheetId="31"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UEDATE">#REF!</definedName>
    <definedName name="dy">#REF!</definedName>
    <definedName name="dyCR">#REF!</definedName>
    <definedName name="dyqre90">#REF!</definedName>
    <definedName name="dyqre91">#REF!</definedName>
    <definedName name="dyqre92">#REF!</definedName>
    <definedName name="dyqre93">#REF!</definedName>
    <definedName name="dyqre94">#REF!</definedName>
    <definedName name="dyqre95">#REF!</definedName>
    <definedName name="dyqre96">#REF!</definedName>
    <definedName name="dyqre97">#REF!</definedName>
    <definedName name="dyqre98">#REF!</definedName>
    <definedName name="dyQW">#REF!</definedName>
    <definedName name="dyS">#REF!</definedName>
    <definedName name="e" localSheetId="19" hidden="1">{#N/A,#N/A,FALSE,"CTC Summary - EOY";#N/A,#N/A,FALSE,"CTC Summary - Wtavg"}</definedName>
    <definedName name="e" localSheetId="21" hidden="1">{#N/A,#N/A,FALSE,"CTC Summary - EOY";#N/A,#N/A,FALSE,"CTC Summary - Wtavg"}</definedName>
    <definedName name="e" localSheetId="22" hidden="1">{#N/A,#N/A,FALSE,"CTC Summary - EOY";#N/A,#N/A,FALSE,"CTC Summary - Wtavg"}</definedName>
    <definedName name="e" localSheetId="31" hidden="1">{#N/A,#N/A,FALSE,"CTC Summary - EOY";#N/A,#N/A,FALSE,"CTC Summary - Wtavg"}</definedName>
    <definedName name="e" localSheetId="9" hidden="1">{#N/A,#N/A,FALSE,"CTC Summary - EOY";#N/A,#N/A,FALSE,"CTC Summary - Wtavg"}</definedName>
    <definedName name="e" hidden="1">{#N/A,#N/A,FALSE,"CTC Summary - EOY";#N/A,#N/A,FALSE,"CTC Summary - Wtavg"}</definedName>
    <definedName name="e1p1">#REF!</definedName>
    <definedName name="e1p2" localSheetId="31">#REF!</definedName>
    <definedName name="e1p2">#REF!</definedName>
    <definedName name="e2p1" localSheetId="31">#REF!</definedName>
    <definedName name="e2p1">#REF!</definedName>
    <definedName name="e3p1">#REF!</definedName>
    <definedName name="e3p2">#REF!</definedName>
    <definedName name="e4p1">#REF!</definedName>
    <definedName name="e5p1">#REF!</definedName>
    <definedName name="e5p2">#REF!</definedName>
    <definedName name="e5p3">#REF!</definedName>
    <definedName name="e5p4">#REF!</definedName>
    <definedName name="e7p1">#REF!</definedName>
    <definedName name="e8p1">#REF!</definedName>
    <definedName name="ED">"3W3Y8WU9D4KB8I8XZYLB5WWMT"</definedName>
    <definedName name="ED_NON_REGULATED">#REF!</definedName>
    <definedName name="edred" localSheetId="31"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localSheetId="13" hidden="1">{"PI_Data",#N/A,TRUE,"P&amp;I Data"}</definedName>
    <definedName name="ee" localSheetId="14" hidden="1">{"PI_Data",#N/A,TRUE,"P&amp;I Data"}</definedName>
    <definedName name="ee" localSheetId="15" hidden="1">{"PI_Data",#N/A,TRUE,"P&amp;I Data"}</definedName>
    <definedName name="ee" localSheetId="16" hidden="1">{"PI_Data",#N/A,TRUE,"P&amp;I Data"}</definedName>
    <definedName name="ee" localSheetId="17" hidden="1">{"PI_Data",#N/A,TRUE,"P&amp;I Data"}</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5" hidden="1">{"PI_Data",#N/A,TRUE,"P&amp;I Data"}</definedName>
    <definedName name="ee" localSheetId="27" hidden="1">{"PI_Data",#N/A,TRUE,"P&amp;I Data"}</definedName>
    <definedName name="ee" localSheetId="29" hidden="1">{"PI_Data",#N/A,TRUE,"P&amp;I Data"}</definedName>
    <definedName name="ee" localSheetId="30" hidden="1">{"PI_Data",#N/A,TRUE,"P&amp;I Data"}</definedName>
    <definedName name="ee" localSheetId="31" hidden="1">{"PI_Data",#N/A,TRUE,"P&amp;I Data"}</definedName>
    <definedName name="ee" localSheetId="7" hidden="1">{"PI_Data",#N/A,TRUE,"P&amp;I Data"}</definedName>
    <definedName name="ee" localSheetId="9" hidden="1">{"PI_Data",#N/A,TRUE,"P&amp;I Data"}</definedName>
    <definedName name="ee" localSheetId="10" hidden="1">{"PI_Data",#N/A,TRUE,"P&amp;I Data"}</definedName>
    <definedName name="ee" hidden="1">{"PI_Data",#N/A,TRUE,"P&amp;I Data"}</definedName>
    <definedName name="eee">"V2001-12-31"</definedName>
    <definedName name="eeee" localSheetId="31" hidden="1">{#N/A,#N/A,FALSE,"O&amp;M by processes";#N/A,#N/A,FALSE,"Elec Act vs Bud";#N/A,#N/A,FALSE,"G&amp;A";#N/A,#N/A,FALSE,"BGS";#N/A,#N/A,FALSE,"Res Cost"}</definedName>
    <definedName name="eeee" hidden="1">{#N/A,#N/A,FALSE,"O&amp;M by processes";#N/A,#N/A,FALSE,"Elec Act vs Bud";#N/A,#N/A,FALSE,"G&amp;A";#N/A,#N/A,FALSE,"BGS";#N/A,#N/A,FALSE,"Res Cost"}</definedName>
    <definedName name="EEI">#REF!</definedName>
    <definedName name="ef" localSheetId="13" hidden="1">{"PI_Data",#N/A,TRUE,"P&amp;I Data"}</definedName>
    <definedName name="ef" localSheetId="14"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3" hidden="1">{"PI_Data",#N/A,TRUE,"P&amp;I Data"}</definedName>
    <definedName name="ef" localSheetId="25" hidden="1">{"PI_Data",#N/A,TRUE,"P&amp;I Data"}</definedName>
    <definedName name="ef" localSheetId="27" hidden="1">{"PI_Data",#N/A,TRUE,"P&amp;I Data"}</definedName>
    <definedName name="ef" localSheetId="29" hidden="1">{"PI_Data",#N/A,TRUE,"P&amp;I Data"}</definedName>
    <definedName name="ef" localSheetId="30" hidden="1">{"PI_Data",#N/A,TRUE,"P&amp;I Data"}</definedName>
    <definedName name="ef" localSheetId="31" hidden="1">{"PI_Data",#N/A,TRUE,"P&amp;I Data"}</definedName>
    <definedName name="ef" localSheetId="7" hidden="1">{"PI_Data",#N/A,TRUE,"P&amp;I Data"}</definedName>
    <definedName name="ef" localSheetId="9" hidden="1">{"PI_Data",#N/A,TRUE,"P&amp;I Data"}</definedName>
    <definedName name="ef" localSheetId="10" hidden="1">{"PI_Data",#N/A,TRUE,"P&amp;I Data"}</definedName>
    <definedName name="ef" hidden="1">{"PI_Data",#N/A,TRUE,"P&amp;I Data"}</definedName>
    <definedName name="ENERGYSALES">#REF!</definedName>
    <definedName name="eng_design">#REF!</definedName>
    <definedName name="Entities">#REF!</definedName>
    <definedName name="ENTITY">#REF!</definedName>
    <definedName name="EPRI">#REF!</definedName>
    <definedName name="EROA">#REF!</definedName>
    <definedName name="EssOptions">"1100000000130100_11-          00"</definedName>
    <definedName name="EV__EVCOM_OPTIONS__" hidden="1">8</definedName>
    <definedName name="EV__EXPOPTIONS__" hidden="1">1</definedName>
    <definedName name="EV__LASTREFTIME__" localSheetId="21"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_xlnm.Extract">#REF!</definedName>
    <definedName name="f" localSheetId="31" hidden="1">{#N/A,#N/A,FALSE,"Monthly SAIFI";#N/A,#N/A,FALSE,"Yearly SAIFI";#N/A,#N/A,FALSE,"Monthly CAIDI";#N/A,#N/A,FALSE,"Yearly CAIDI";#N/A,#N/A,FALSE,"Monthly SAIDI";#N/A,#N/A,FALSE,"Yearly SAIDI";#N/A,#N/A,FALSE,"Monthly MAIFI";#N/A,#N/A,FALSE,"Yearly MAIFI";#N/A,#N/A,FALSE,"Monthly Cust &gt;=4 Int"}</definedName>
    <definedName name="f" hidden="1">{#N/A,#N/A,FALSE,"Monthly SAIFI";#N/A,#N/A,FALSE,"Yearly SAIFI";#N/A,#N/A,FALSE,"Monthly CAIDI";#N/A,#N/A,FALSE,"Yearly CAIDI";#N/A,#N/A,FALSE,"Monthly SAIDI";#N/A,#N/A,FALSE,"Yearly SAIDI";#N/A,#N/A,FALSE,"Monthly MAIFI";#N/A,#N/A,FALSE,"Yearly MAIFI";#N/A,#N/A,FALSE,"Monthly Cust &gt;=4 Int"}</definedName>
    <definedName name="f1p1">#REF!</definedName>
    <definedName name="f2p1">#REF!</definedName>
    <definedName name="f3p1">#REF!</definedName>
    <definedName name="Facilities">1700</definedName>
    <definedName name="FACTOR_.75">#REF!</definedName>
    <definedName name="FACTOR_.80">#REF!</definedName>
    <definedName name="FACTOR_.85">#REF!</definedName>
    <definedName name="FACTOR_.90">#REF!</definedName>
    <definedName name="FACTOR_.95">#REF!</definedName>
    <definedName name="FACTOR_1">#REF!</definedName>
    <definedName name="FACTOR_1.05">#REF!</definedName>
    <definedName name="FACTOR_1.1">#REF!</definedName>
    <definedName name="FACTOR_1.15">#REF!</definedName>
    <definedName name="FACTOR_1.2">#REF!</definedName>
    <definedName name="FACTOR_1.25">#REF!</definedName>
    <definedName name="FACTOR_NAME">#REF!</definedName>
    <definedName name="FACTOR_TABLE">#REF!</definedName>
    <definedName name="FACTOR_VALUE">#REF!</definedName>
    <definedName name="FDSDFSF" localSheetId="31"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B00" localSheetId="31" hidden="1">{#N/A,#N/A,FALSE,"ARREC"}</definedName>
    <definedName name="FEB00" hidden="1">{#N/A,#N/A,FALSE,"ARREC"}</definedName>
    <definedName name="fed_inc_tax">#REF!</definedName>
    <definedName name="FERC" localSheetId="19" hidden="1">{#N/A,#N/A,FALSE,"CTC Summary - EOY";#N/A,#N/A,FALSE,"CTC Summary - Wtavg"}</definedName>
    <definedName name="FERC" localSheetId="21" hidden="1">{#N/A,#N/A,FALSE,"CTC Summary - EOY";#N/A,#N/A,FALSE,"CTC Summary - Wtavg"}</definedName>
    <definedName name="FERC" localSheetId="22" hidden="1">{#N/A,#N/A,FALSE,"CTC Summary - EOY";#N/A,#N/A,FALSE,"CTC Summary - Wtavg"}</definedName>
    <definedName name="FERC" localSheetId="31" hidden="1">{#N/A,#N/A,FALSE,"CTC Summary - EOY";#N/A,#N/A,FALSE,"CTC Summary - Wtavg"}</definedName>
    <definedName name="FERC" localSheetId="9" hidden="1">{#N/A,#N/A,FALSE,"CTC Summary - EOY";#N/A,#N/A,FALSE,"CTC Summary - Wtavg"}</definedName>
    <definedName name="FERC" hidden="1">{#N/A,#N/A,FALSE,"CTC Summary - EOY";#N/A,#N/A,FALSE,"CTC Summary - Wtavg"}</definedName>
    <definedName name="ff" localSheetId="31" hidden="1">{#N/A,#N/A,FALSE,"Monthly SAIFI";#N/A,#N/A,FALSE,"Yearly SAIFI";#N/A,#N/A,FALSE,"Monthly CAIDI";#N/A,#N/A,FALSE,"Yearly CAIDI";#N/A,#N/A,FALSE,"Monthly SAIDI";#N/A,#N/A,FALSE,"Yearly SAIDI";#N/A,#N/A,FALSE,"Monthly MAIFI";#N/A,#N/A,FALSE,"Yearly MAIFI";#N/A,#N/A,FALSE,"Monthly Cust &gt;=4 Int"}</definedName>
    <definedName name="ff" hidden="1">{#N/A,#N/A,FALSE,"Monthly SAIFI";#N/A,#N/A,FALSE,"Yearly SAIFI";#N/A,#N/A,FALSE,"Monthly CAIDI";#N/A,#N/A,FALSE,"Yearly CAIDI";#N/A,#N/A,FALSE,"Monthly SAIDI";#N/A,#N/A,FALSE,"Yearly SAIDI";#N/A,#N/A,FALSE,"Monthly MAIFI";#N/A,#N/A,FALSE,"Yearly MAIFI";#N/A,#N/A,FALSE,"Monthly Cust &gt;=4 Int"}</definedName>
    <definedName name="FF1_INPUT">#REF!</definedName>
    <definedName name="FF1_INPUT_columns">#REF!</definedName>
    <definedName name="fff" localSheetId="31"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ghjghjfgjf" localSheetId="31"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ile">#REF!</definedName>
    <definedName name="firstcust" localSheetId="31">#REF!</definedName>
    <definedName name="firstcust">#REF!</definedName>
    <definedName name="firstkwh" localSheetId="31">#REF!</definedName>
    <definedName name="firstkwh">#REF!</definedName>
    <definedName name="FIT">#REF!</definedName>
    <definedName name="fleet_cap">#REF!</definedName>
    <definedName name="fleet_total">#REF!</definedName>
    <definedName name="foo"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rcastRev">#REF!</definedName>
    <definedName name="ForecastRev72" localSheetId="31">#REF!</definedName>
    <definedName name="ForecastRev72">#REF!</definedName>
    <definedName name="ForecastRev73" localSheetId="31">#REF!</definedName>
    <definedName name="ForecastRev73">#REF!</definedName>
    <definedName name="ForecastRevHeader">#REF!</definedName>
    <definedName name="ForecastRevHeader72">#REF!</definedName>
    <definedName name="ForecastYear">#REF!</definedName>
    <definedName name="Fossil_BGS">#REF!</definedName>
    <definedName name="Fossil_Secur_Date">#REF!</definedName>
    <definedName name="FRANM" localSheetId="31">#REF!</definedName>
    <definedName name="FRANM">#REF!</definedName>
    <definedName name="FRANT" localSheetId="31">#REF!</definedName>
    <definedName name="FRANT">#REF!</definedName>
    <definedName name="FREV">#REF!</definedName>
    <definedName name="fsdafasf" localSheetId="31"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31"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31"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31"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THUAFAC">#REF!</definedName>
    <definedName name="FTHUALF" localSheetId="31">#REF!</definedName>
    <definedName name="FTHUALF">#REF!</definedName>
    <definedName name="FTHUAMW" localSheetId="31">#REF!</definedName>
    <definedName name="FTHUAMW">#REF!</definedName>
    <definedName name="FTHUAMWH">#REF!</definedName>
    <definedName name="full_credit">#REF!</definedName>
    <definedName name="Function" localSheetId="31">#REF!</definedName>
    <definedName name="Function">#REF!</definedName>
    <definedName name="fwrwerwerwerwer" localSheetId="31"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FYE">#REF!</definedName>
    <definedName name="FYear1">#REF!</definedName>
    <definedName name="FYear2">#REF!</definedName>
    <definedName name="FYear3">#REF!</definedName>
    <definedName name="FYear4">#REF!</definedName>
    <definedName name="FYear5">#REF!</definedName>
    <definedName name="FYR">#REF!</definedName>
    <definedName name="GDR">#REF!</definedName>
    <definedName name="GDX">#REF!</definedName>
    <definedName name="GenLedger">#REF!</definedName>
    <definedName name="gggg"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hjgfj" localSheetId="31"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31"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31"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31"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sBlank" localSheetId="31" hidden="1">ISBLANK(gIsRef)</definedName>
    <definedName name="gIsBlank" hidden="1">ISBLANK(gIsRef)</definedName>
    <definedName name="gIsError" localSheetId="31" hidden="1">ISERROR(gIsRef)</definedName>
    <definedName name="gIsError" hidden="1">ISERROR(gIsRef)</definedName>
    <definedName name="gIsInPrintArea" localSheetId="31" hidden="1">NOT(ISERROR(gIsRef !Print_Area))</definedName>
    <definedName name="gIsInPrintArea" hidden="1">NOT(ISERROR(gIsRef !Print_Area))</definedName>
    <definedName name="gIsInPrintTitles" localSheetId="31" hidden="1">NOT(ISERROR(gIsRef !Print_Titles))</definedName>
    <definedName name="gIsInPrintTitles" hidden="1">NOT(ISERROR(gIsRef !Print_Titles))</definedName>
    <definedName name="gIsNumber" localSheetId="31" hidden="1">ISNUMBER(gIsRef)</definedName>
    <definedName name="gIsNumber" hidden="1">ISNUMBER(gIsRef)</definedName>
    <definedName name="gIsPreviousSheet" localSheetId="31" hidden="1">PrevShtCellValue(gIsRef)&lt;&gt;gIsRef</definedName>
    <definedName name="gIsPreviousSheet" hidden="1">PrevShtCellValue(gIsRef)&lt;&gt;gIsRef</definedName>
    <definedName name="gIsRef" hidden="1">INDIRECT("rc",FALSE)</definedName>
    <definedName name="gIsText" localSheetId="31" hidden="1">ISTEXT(gIsRef)</definedName>
    <definedName name="gIsText" hidden="1">ISTEXT(gIsRef)</definedName>
    <definedName name="gita" localSheetId="31"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31" hidden="1">{#N/A,#N/A,FALSE,"O&amp;M by processes";#N/A,#N/A,FALSE,"Elec Act vs Bud";#N/A,#N/A,FALSE,"G&amp;A";#N/A,#N/A,FALSE,"BGS";#N/A,#N/A,FALSE,"Res Cost"}</definedName>
    <definedName name="gitah" hidden="1">{#N/A,#N/A,FALSE,"O&amp;M by processes";#N/A,#N/A,FALSE,"Elec Act vs Bud";#N/A,#N/A,FALSE,"G&amp;A";#N/A,#N/A,FALSE,"BGS";#N/A,#N/A,FALSE,"Res Cost"}</definedName>
    <definedName name="GP">#REF!</definedName>
    <definedName name="GPLT">#REF!</definedName>
    <definedName name="GR_PRT_RANGE">#REF!</definedName>
    <definedName name="grec8490">#REF!</definedName>
    <definedName name="grec8491">#REF!</definedName>
    <definedName name="grec8492">#REF!</definedName>
    <definedName name="grec8493">#REF!</definedName>
    <definedName name="grec8494">#REF!</definedName>
    <definedName name="grec8495">#REF!</definedName>
    <definedName name="grec8496">#REF!</definedName>
    <definedName name="grec8497">#REF!</definedName>
    <definedName name="grec8498">#REF!</definedName>
    <definedName name="grec8590">#REF!</definedName>
    <definedName name="grec8591">#REF!</definedName>
    <definedName name="grec8592">#REF!</definedName>
    <definedName name="grec8593">#REF!</definedName>
    <definedName name="grec8594">#REF!</definedName>
    <definedName name="grec8595">#REF!</definedName>
    <definedName name="grec8596">#REF!</definedName>
    <definedName name="grec8597">#REF!</definedName>
    <definedName name="grec8598">#REF!</definedName>
    <definedName name="grec8690">#REF!</definedName>
    <definedName name="grec8691">#REF!</definedName>
    <definedName name="grec8692">#REF!</definedName>
    <definedName name="grec8693">#REF!</definedName>
    <definedName name="grec8694">#REF!</definedName>
    <definedName name="grec8695">#REF!</definedName>
    <definedName name="grec8696">#REF!</definedName>
    <definedName name="grec8697">#REF!</definedName>
    <definedName name="grec8698">#REF!</definedName>
    <definedName name="grec8790">#REF!</definedName>
    <definedName name="grec8791">#REF!</definedName>
    <definedName name="grec8792">#REF!</definedName>
    <definedName name="grec8793">#REF!</definedName>
    <definedName name="grec8794">#REF!</definedName>
    <definedName name="grec8795">#REF!</definedName>
    <definedName name="grec8796">#REF!</definedName>
    <definedName name="grec8797">#REF!</definedName>
    <definedName name="grec8798">#REF!</definedName>
    <definedName name="grec8890">#REF!</definedName>
    <definedName name="grec8891">#REF!</definedName>
    <definedName name="grec8892">#REF!</definedName>
    <definedName name="grec8893">#REF!</definedName>
    <definedName name="grec8894">#REF!</definedName>
    <definedName name="grec8895">#REF!</definedName>
    <definedName name="grec8896">#REF!</definedName>
    <definedName name="grec8897">#REF!</definedName>
    <definedName name="grec8898">#REF!</definedName>
    <definedName name="gross_rec_caution">#REF!</definedName>
    <definedName name="GROSS_REVENUE" localSheetId="31">#REF!</definedName>
    <definedName name="GROSS_REVENUE">#REF!</definedName>
    <definedName name="GRS">#REF!</definedName>
    <definedName name="grtm1">#REF!</definedName>
    <definedName name="grtm2">#REF!</definedName>
    <definedName name="grtm3">#REF!</definedName>
    <definedName name="grtm4">#REF!</definedName>
    <definedName name="h" localSheetId="31" hidden="1">{#N/A,#N/A,FALSE,"Monthly SAIFI";#N/A,#N/A,FALSE,"Yearly SAIFI";#N/A,#N/A,FALSE,"Monthly CAIDI";#N/A,#N/A,FALSE,"Yearly CAIDI";#N/A,#N/A,FALSE,"Monthly SAIDI";#N/A,#N/A,FALSE,"Yearly SAIDI";#N/A,#N/A,FALSE,"Monthly MAIFI";#N/A,#N/A,FALSE,"Yearly MAIFI";#N/A,#N/A,FALSE,"Monthly Cust &gt;=4 Int"}</definedName>
    <definedName name="h" hidden="1">{#N/A,#N/A,FALSE,"Monthly SAIFI";#N/A,#N/A,FALSE,"Yearly SAIFI";#N/A,#N/A,FALSE,"Monthly CAIDI";#N/A,#N/A,FALSE,"Yearly CAIDI";#N/A,#N/A,FALSE,"Monthly SAIDI";#N/A,#N/A,FALSE,"Yearly SAIDI";#N/A,#N/A,FALSE,"Monthly MAIFI";#N/A,#N/A,FALSE,"Yearly MAIFI";#N/A,#N/A,FALSE,"Monthly Cust &gt;=4 Int"}</definedName>
    <definedName name="Heading_BaseYear">#REF!</definedName>
    <definedName name="Heading_ForecastYear" localSheetId="31">#REF!</definedName>
    <definedName name="Heading_ForecastYear">#REF!</definedName>
    <definedName name="Heading_PriorYear" localSheetId="31">#REF!</definedName>
    <definedName name="Heading_PriorYear">#REF!</definedName>
    <definedName name="hh" localSheetId="31" hidden="1">{#N/A,#N/A,FALSE,"Monthly SAIFI";#N/A,#N/A,FALSE,"Yearly SAIFI";#N/A,#N/A,FALSE,"Monthly CAIDI";#N/A,#N/A,FALSE,"Yearly CAIDI";#N/A,#N/A,FALSE,"Monthly SAIDI";#N/A,#N/A,FALSE,"Yearly SAIDI";#N/A,#N/A,FALSE,"Monthly MAIFI";#N/A,#N/A,FALSE,"Yearly MAIFI";#N/A,#N/A,FALSE,"Monthly Cust &gt;=4 Int"}</definedName>
    <definedName name="hh" hidden="1">{#N/A,#N/A,FALSE,"Monthly SAIFI";#N/A,#N/A,FALSE,"Yearly SAIFI";#N/A,#N/A,FALSE,"Monthly CAIDI";#N/A,#N/A,FALSE,"Yearly CAIDI";#N/A,#N/A,FALSE,"Monthly SAIDI";#N/A,#N/A,FALSE,"Yearly SAIDI";#N/A,#N/A,FALSE,"Monthly MAIFI";#N/A,#N/A,FALSE,"Yearly MAIFI";#N/A,#N/A,FALSE,"Monthly Cust &gt;=4 Int"}</definedName>
    <definedName name="High_Level">#REF!</definedName>
    <definedName name="histdate" localSheetId="31">#REF!</definedName>
    <definedName name="histdate">#REF!</definedName>
    <definedName name="hjfjghjgfjgj" localSheetId="31"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31"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OME">#REF!</definedName>
    <definedName name="HONTSR">#REF!</definedName>
    <definedName name="Hours">#REF!</definedName>
    <definedName name="HPNTSR">#REF!</definedName>
    <definedName name="HTML_CodePage">1252</definedName>
    <definedName name="HTML_Control" localSheetId="31">{"'Metretek HTML'!$A$7:$W$42"}</definedName>
    <definedName name="HTML_Control">{"'Metretek HTML'!$A$7:$W$42"}</definedName>
    <definedName name="HTML_Description">"volumes shown are sendout = sales + line loss (KDths - wet)"</definedName>
    <definedName name="HTML_Email">""</definedName>
    <definedName name="HTML_Header">"Firm &amp; Interruptible Delivery Service &amp; Bundled Sales"</definedName>
    <definedName name="HTML_LastUpdate">"1/18/01"</definedName>
    <definedName name="HTML_LineAfter">FALSE</definedName>
    <definedName name="HTML_LineBefore">FALSE</definedName>
    <definedName name="HTML_Name">"Dispatch Operations  --  7-4371"</definedName>
    <definedName name="HTML_OBDlg2">TRUE</definedName>
    <definedName name="HTML_OBDlg4">TRUE</definedName>
    <definedName name="HTML_OS">0</definedName>
    <definedName name="HTML_PathFile">"I:\COMMON\DISPATCH\Daily Reports\HTML files FY 2000\metretekDec00.htm"</definedName>
    <definedName name="HTML_Title">"Metretek Readings - December 2000"</definedName>
    <definedName name="HUGHESFAC">#REF!</definedName>
    <definedName name="HUGHESLF" localSheetId="31">#REF!</definedName>
    <definedName name="HUGHESLF">#REF!</definedName>
    <definedName name="HUGHESMW" localSheetId="31">#REF!</definedName>
    <definedName name="HUGHESMW">#REF!</definedName>
    <definedName name="HUGHESMWH">#REF!</definedName>
    <definedName name="huh" localSheetId="19" hidden="1">{#N/A,#N/A,FALSE,"Dist Rev at PR ";#N/A,#N/A,FALSE,"Spec";#N/A,#N/A,FALSE,"Res";#N/A,#N/A,FALSE,"Small L&amp;P";#N/A,#N/A,FALSE,"Medium L&amp;P";#N/A,#N/A,FALSE,"E-19";#N/A,#N/A,FALSE,"E-20";#N/A,#N/A,FALSE,"Strtlts &amp; Standby";#N/A,#N/A,FALSE,"A-RTP";#N/A,#N/A,FALSE,"2003mixeduse"}</definedName>
    <definedName name="huh" localSheetId="21" hidden="1">{#N/A,#N/A,FALSE,"Dist Rev at PR ";#N/A,#N/A,FALSE,"Spec";#N/A,#N/A,FALSE,"Res";#N/A,#N/A,FALSE,"Small L&amp;P";#N/A,#N/A,FALSE,"Medium L&amp;P";#N/A,#N/A,FALSE,"E-19";#N/A,#N/A,FALSE,"E-20";#N/A,#N/A,FALSE,"Strtlts &amp; Standby";#N/A,#N/A,FALSE,"A-RTP";#N/A,#N/A,FALSE,"2003mixeduse"}</definedName>
    <definedName name="huh" localSheetId="22" hidden="1">{#N/A,#N/A,FALSE,"Dist Rev at PR ";#N/A,#N/A,FALSE,"Spec";#N/A,#N/A,FALSE,"Res";#N/A,#N/A,FALSE,"Small L&amp;P";#N/A,#N/A,FALSE,"Medium L&amp;P";#N/A,#N/A,FALSE,"E-19";#N/A,#N/A,FALSE,"E-20";#N/A,#N/A,FALSE,"Strtlts &amp; Standby";#N/A,#N/A,FALSE,"A-RTP";#N/A,#N/A,FALSE,"2003mixeduse"}</definedName>
    <definedName name="huh" localSheetId="31" hidden="1">{#N/A,#N/A,FALSE,"Dist Rev at PR ";#N/A,#N/A,FALSE,"Spec";#N/A,#N/A,FALSE,"Res";#N/A,#N/A,FALSE,"Small L&amp;P";#N/A,#N/A,FALSE,"Medium L&amp;P";#N/A,#N/A,FALSE,"E-19";#N/A,#N/A,FALSE,"E-20";#N/A,#N/A,FALSE,"Strtlts &amp; Standby";#N/A,#N/A,FALSE,"A-RTP";#N/A,#N/A,FALSE,"2003mixeduse"}</definedName>
    <definedName name="huh" localSheetId="9"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19" hidden="1">{#N/A,#N/A,FALSE,"ND Rev at Pres Rates";#N/A,#N/A,FALSE,"Res - Unadj sales";#N/A,#N/A,FALSE,"Small L&amp;P";#N/A,#N/A,FALSE,"Medium L&amp;P";#N/A,#N/A,FALSE,"E-19";#N/A,#N/A,FALSE,"E-20";#N/A,#N/A,FALSE,"Strtlts &amp; Standby";#N/A,#N/A,FALSE,"AG";#N/A,#N/A,FALSE,"A-RTP";#N/A,#N/A,FALSE,"Spec"}</definedName>
    <definedName name="huhnd" localSheetId="21" hidden="1">{#N/A,#N/A,FALSE,"ND Rev at Pres Rates";#N/A,#N/A,FALSE,"Res - Unadj sales";#N/A,#N/A,FALSE,"Small L&amp;P";#N/A,#N/A,FALSE,"Medium L&amp;P";#N/A,#N/A,FALSE,"E-19";#N/A,#N/A,FALSE,"E-20";#N/A,#N/A,FALSE,"Strtlts &amp; Standby";#N/A,#N/A,FALSE,"AG";#N/A,#N/A,FALSE,"A-RTP";#N/A,#N/A,FALSE,"Spec"}</definedName>
    <definedName name="huhnd" localSheetId="22" hidden="1">{#N/A,#N/A,FALSE,"ND Rev at Pres Rates";#N/A,#N/A,FALSE,"Res - Unadj sales";#N/A,#N/A,FALSE,"Small L&amp;P";#N/A,#N/A,FALSE,"Medium L&amp;P";#N/A,#N/A,FALSE,"E-19";#N/A,#N/A,FALSE,"E-20";#N/A,#N/A,FALSE,"Strtlts &amp; Standby";#N/A,#N/A,FALSE,"AG";#N/A,#N/A,FALSE,"A-RTP";#N/A,#N/A,FALSE,"Spec"}</definedName>
    <definedName name="huhnd" localSheetId="31" hidden="1">{#N/A,#N/A,FALSE,"ND Rev at Pres Rates";#N/A,#N/A,FALSE,"Res - Unadj sales";#N/A,#N/A,FALSE,"Small L&amp;P";#N/A,#N/A,FALSE,"Medium L&amp;P";#N/A,#N/A,FALSE,"E-19";#N/A,#N/A,FALSE,"E-20";#N/A,#N/A,FALSE,"Strtlts &amp; Standby";#N/A,#N/A,FALSE,"AG";#N/A,#N/A,FALSE,"A-RTP";#N/A,#N/A,FALSE,"Spec"}</definedName>
    <definedName name="huhnd" localSheetId="9"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19" hidden="1">{#N/A,#N/A,FALSE,"ND Rev at Pres Rates";#N/A,#N/A,FALSE,"Res - Unadj sales";#N/A,#N/A,FALSE,"Small L&amp;P";#N/A,#N/A,FALSE,"Medium L&amp;P";#N/A,#N/A,FALSE,"E-19";#N/A,#N/A,FALSE,"E-20";#N/A,#N/A,FALSE,"Strtlts &amp; Standby";#N/A,#N/A,FALSE,"AG";#N/A,#N/A,FALSE,"A-RTP";#N/A,#N/A,FALSE,"Spec"}</definedName>
    <definedName name="huhnd2" localSheetId="21" hidden="1">{#N/A,#N/A,FALSE,"ND Rev at Pres Rates";#N/A,#N/A,FALSE,"Res - Unadj sales";#N/A,#N/A,FALSE,"Small L&amp;P";#N/A,#N/A,FALSE,"Medium L&amp;P";#N/A,#N/A,FALSE,"E-19";#N/A,#N/A,FALSE,"E-20";#N/A,#N/A,FALSE,"Strtlts &amp; Standby";#N/A,#N/A,FALSE,"AG";#N/A,#N/A,FALSE,"A-RTP";#N/A,#N/A,FALSE,"Spec"}</definedName>
    <definedName name="huhnd2" localSheetId="22" hidden="1">{#N/A,#N/A,FALSE,"ND Rev at Pres Rates";#N/A,#N/A,FALSE,"Res - Unadj sales";#N/A,#N/A,FALSE,"Small L&amp;P";#N/A,#N/A,FALSE,"Medium L&amp;P";#N/A,#N/A,FALSE,"E-19";#N/A,#N/A,FALSE,"E-20";#N/A,#N/A,FALSE,"Strtlts &amp; Standby";#N/A,#N/A,FALSE,"AG";#N/A,#N/A,FALSE,"A-RTP";#N/A,#N/A,FALSE,"Spec"}</definedName>
    <definedName name="huhnd2" localSheetId="31" hidden="1">{#N/A,#N/A,FALSE,"ND Rev at Pres Rates";#N/A,#N/A,FALSE,"Res - Unadj sales";#N/A,#N/A,FALSE,"Small L&amp;P";#N/A,#N/A,FALSE,"Medium L&amp;P";#N/A,#N/A,FALSE,"E-19";#N/A,#N/A,FALSE,"E-20";#N/A,#N/A,FALSE,"Strtlts &amp; Standby";#N/A,#N/A,FALSE,"AG";#N/A,#N/A,FALSE,"A-RTP";#N/A,#N/A,FALSE,"Spec"}</definedName>
    <definedName name="huhnd2" localSheetId="9"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19" hidden="1">{#N/A,#N/A,FALSE,"Workpaper Tables 4-1 &amp; 4-2";#N/A,#N/A,FALSE,"Revenue Allocation Results";#N/A,#N/A,FALSE,"FERC Rev @ PR";#N/A,#N/A,FALSE,"Distribution Revenue Allocation";#N/A,#N/A,FALSE,"Nonallocated Revenues ";#N/A,#N/A,FALSE,"2000mixuse";#N/A,#N/A,FALSE,"MC Revenues- 00 sales, 96 MC's"}</definedName>
    <definedName name="huhprint" localSheetId="21" hidden="1">{#N/A,#N/A,FALSE,"Workpaper Tables 4-1 &amp; 4-2";#N/A,#N/A,FALSE,"Revenue Allocation Results";#N/A,#N/A,FALSE,"FERC Rev @ PR";#N/A,#N/A,FALSE,"Distribution Revenue Allocation";#N/A,#N/A,FALSE,"Nonallocated Revenues ";#N/A,#N/A,FALSE,"2000mixuse";#N/A,#N/A,FALSE,"MC Revenues- 00 sales, 96 MC's"}</definedName>
    <definedName name="huhprint" localSheetId="22" hidden="1">{#N/A,#N/A,FALSE,"Workpaper Tables 4-1 &amp; 4-2";#N/A,#N/A,FALSE,"Revenue Allocation Results";#N/A,#N/A,FALSE,"FERC Rev @ PR";#N/A,#N/A,FALSE,"Distribution Revenue Allocation";#N/A,#N/A,FALSE,"Nonallocated Revenues ";#N/A,#N/A,FALSE,"2000mixuse";#N/A,#N/A,FALSE,"MC Revenues- 00 sales, 96 MC's"}</definedName>
    <definedName name="huhprint" localSheetId="31" hidden="1">{#N/A,#N/A,FALSE,"Workpaper Tables 4-1 &amp; 4-2";#N/A,#N/A,FALSE,"Revenue Allocation Results";#N/A,#N/A,FALSE,"FERC Rev @ PR";#N/A,#N/A,FALSE,"Distribution Revenue Allocation";#N/A,#N/A,FALSE,"Nonallocated Revenues ";#N/A,#N/A,FALSE,"2000mixuse";#N/A,#N/A,FALSE,"MC Revenues- 00 sales, 96 MC's"}</definedName>
    <definedName name="huhprint" localSheetId="9"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19" hidden="1">{#N/A,#N/A,FALSE,"RRQ inputs ";#N/A,#N/A,FALSE,"FERC Rev @ PR";#N/A,#N/A,FALSE,"Distribution Revenue Allocation";#N/A,#N/A,FALSE,"Nonallocated Revenues";#N/A,#N/A,FALSE,"MC Revenues-03 sales, 96 MC's";#N/A,#N/A,FALSE,"FTA"}</definedName>
    <definedName name="huhrevalloc" localSheetId="21" hidden="1">{#N/A,#N/A,FALSE,"RRQ inputs ";#N/A,#N/A,FALSE,"FERC Rev @ PR";#N/A,#N/A,FALSE,"Distribution Revenue Allocation";#N/A,#N/A,FALSE,"Nonallocated Revenues";#N/A,#N/A,FALSE,"MC Revenues-03 sales, 96 MC's";#N/A,#N/A,FALSE,"FTA"}</definedName>
    <definedName name="huhrevalloc" localSheetId="22" hidden="1">{#N/A,#N/A,FALSE,"RRQ inputs ";#N/A,#N/A,FALSE,"FERC Rev @ PR";#N/A,#N/A,FALSE,"Distribution Revenue Allocation";#N/A,#N/A,FALSE,"Nonallocated Revenues";#N/A,#N/A,FALSE,"MC Revenues-03 sales, 96 MC's";#N/A,#N/A,FALSE,"FTA"}</definedName>
    <definedName name="huhrevalloc" localSheetId="31" hidden="1">{#N/A,#N/A,FALSE,"RRQ inputs ";#N/A,#N/A,FALSE,"FERC Rev @ PR";#N/A,#N/A,FALSE,"Distribution Revenue Allocation";#N/A,#N/A,FALSE,"Nonallocated Revenues";#N/A,#N/A,FALSE,"MC Revenues-03 sales, 96 MC's";#N/A,#N/A,FALSE,"FTA"}</definedName>
    <definedName name="huhrevalloc" localSheetId="9"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19" hidden="1">{#N/A,#N/A,FALSE,"ND Rev at Pres Rates";#N/A,#N/A,FALSE,"Res - Unadj";#N/A,#N/A,FALSE,"Small L&amp;P";#N/A,#N/A,FALSE,"Medium L&amp;P";#N/A,#N/A,FALSE,"E-19";#N/A,#N/A,FALSE,"E-20";#N/A,#N/A,FALSE,"A-RTP";#N/A,#N/A,FALSE,"Strtlts &amp; Standby";#N/A,#N/A,FALSE,"AG";#N/A,#N/A,FALSE,"2001mixeduse"}</definedName>
    <definedName name="huhschudel" localSheetId="21" hidden="1">{#N/A,#N/A,FALSE,"ND Rev at Pres Rates";#N/A,#N/A,FALSE,"Res - Unadj";#N/A,#N/A,FALSE,"Small L&amp;P";#N/A,#N/A,FALSE,"Medium L&amp;P";#N/A,#N/A,FALSE,"E-19";#N/A,#N/A,FALSE,"E-20";#N/A,#N/A,FALSE,"A-RTP";#N/A,#N/A,FALSE,"Strtlts &amp; Standby";#N/A,#N/A,FALSE,"AG";#N/A,#N/A,FALSE,"2001mixeduse"}</definedName>
    <definedName name="huhschudel" localSheetId="22" hidden="1">{#N/A,#N/A,FALSE,"ND Rev at Pres Rates";#N/A,#N/A,FALSE,"Res - Unadj";#N/A,#N/A,FALSE,"Small L&amp;P";#N/A,#N/A,FALSE,"Medium L&amp;P";#N/A,#N/A,FALSE,"E-19";#N/A,#N/A,FALSE,"E-20";#N/A,#N/A,FALSE,"A-RTP";#N/A,#N/A,FALSE,"Strtlts &amp; Standby";#N/A,#N/A,FALSE,"AG";#N/A,#N/A,FALSE,"2001mixeduse"}</definedName>
    <definedName name="huhschudel" localSheetId="31" hidden="1">{#N/A,#N/A,FALSE,"ND Rev at Pres Rates";#N/A,#N/A,FALSE,"Res - Unadj";#N/A,#N/A,FALSE,"Small L&amp;P";#N/A,#N/A,FALSE,"Medium L&amp;P";#N/A,#N/A,FALSE,"E-19";#N/A,#N/A,FALSE,"E-20";#N/A,#N/A,FALSE,"A-RTP";#N/A,#N/A,FALSE,"Strtlts &amp; Standby";#N/A,#N/A,FALSE,"AG";#N/A,#N/A,FALSE,"2001mixeduse"}</definedName>
    <definedName name="huhschudel" localSheetId="9"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BMFAC">#REF!</definedName>
    <definedName name="IBMLF" localSheetId="31">#REF!</definedName>
    <definedName name="IBMLF">#REF!</definedName>
    <definedName name="IBMMW" localSheetId="31">#REF!</definedName>
    <definedName name="IBMMW">#REF!</definedName>
    <definedName name="IBMMWH">#REF!</definedName>
    <definedName name="Inc_Stat">#REF!</definedName>
    <definedName name="Index">#REF!</definedName>
    <definedName name="IndexHeader">#REF!</definedName>
    <definedName name="Input_Range">#REF!,#REF!,#REF!,#REF!,#REF!,#REF!,#REF!,#REF!,#REF!,#REF!,#REF!,#REF!,#REF!,#REF!,#REF!,#REF!,#REF!,#REF!,#REF!,#REF!,#REF!,#REF!</definedName>
    <definedName name="Inputs_EndYrBal">#REF!</definedName>
    <definedName name="Inputs_EndYrBal_prior">#REF!</definedName>
    <definedName name="Inputs_FF1_Map">#REF!</definedName>
    <definedName name="INPUTS4">#REF!</definedName>
    <definedName name="INPUTS5">#REF!</definedName>
    <definedName name="INPUTS6">#REF!</definedName>
    <definedName name="intang_afudc910">#REF!</definedName>
    <definedName name="InterimYear" localSheetId="31">#REF!</definedName>
    <definedName name="InterimYear">#REF!</definedName>
    <definedName name="INTQ">#REF!</definedName>
    <definedName name="INTY">#REF!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tc">#REF!</definedName>
    <definedName name="ITCWO">#REF!</definedName>
    <definedName name="ITE">#REF!</definedName>
    <definedName name="itec">#REF!</definedName>
    <definedName name="jeff" localSheetId="31"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31"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ohn" localSheetId="31" hidden="1">{#N/A,#N/A,FALSE,"Monthly SAIFI";#N/A,#N/A,FALSE,"Yearly SAIFI";#N/A,#N/A,FALSE,"Monthly CAIDI";#N/A,#N/A,FALSE,"Yearly CAIDI";#N/A,#N/A,FALSE,"Monthly SAIDI";#N/A,#N/A,FALSE,"Yearly SAIDI";#N/A,#N/A,FALSE,"Monthly MAIFI";#N/A,#N/A,FALSE,"Yearly MAIFI";#N/A,#N/A,FALSE,"Monthly Cust &gt;=4 Int"}</definedName>
    <definedName name="John" hidden="1">{#N/A,#N/A,FALSE,"Monthly SAIFI";#N/A,#N/A,FALSE,"Yearly SAIFI";#N/A,#N/A,FALSE,"Monthly CAIDI";#N/A,#N/A,FALSE,"Yearly CAIDI";#N/A,#N/A,FALSE,"Monthly SAIDI";#N/A,#N/A,FALSE,"Yearly SAIDI";#N/A,#N/A,FALSE,"Monthly MAIFI";#N/A,#N/A,FALSE,"Yearly MAIFI";#N/A,#N/A,FALSE,"Monthly Cust &gt;=4 Int"}</definedName>
    <definedName name="July" localSheetId="19" hidden="1">{#N/A,#N/A,FALSE,"CTC Summary - EOY";#N/A,#N/A,FALSE,"CTC Summary - Wtavg"}</definedName>
    <definedName name="July" localSheetId="21" hidden="1">{#N/A,#N/A,FALSE,"CTC Summary - EOY";#N/A,#N/A,FALSE,"CTC Summary - Wtavg"}</definedName>
    <definedName name="July" localSheetId="22" hidden="1">{#N/A,#N/A,FALSE,"CTC Summary - EOY";#N/A,#N/A,FALSE,"CTC Summary - Wtavg"}</definedName>
    <definedName name="July" localSheetId="31" hidden="1">{#N/A,#N/A,FALSE,"CTC Summary - EOY";#N/A,#N/A,FALSE,"CTC Summary - Wtavg"}</definedName>
    <definedName name="July" localSheetId="9" hidden="1">{#N/A,#N/A,FALSE,"CTC Summary - EOY";#N/A,#N/A,FALSE,"CTC Summary - Wtavg"}</definedName>
    <definedName name="July" hidden="1">{#N/A,#N/A,FALSE,"CTC Summary - EOY";#N/A,#N/A,FALSE,"CTC Summary - Wtavg"}</definedName>
    <definedName name="June" localSheetId="19" hidden="1">{#N/A,#N/A,FALSE,"CTC Summary - EOY";#N/A,#N/A,FALSE,"CTC Summary - Wtavg"}</definedName>
    <definedName name="June" localSheetId="21" hidden="1">{#N/A,#N/A,FALSE,"CTC Summary - EOY";#N/A,#N/A,FALSE,"CTC Summary - Wtavg"}</definedName>
    <definedName name="June" localSheetId="22" hidden="1">{#N/A,#N/A,FALSE,"CTC Summary - EOY";#N/A,#N/A,FALSE,"CTC Summary - Wtavg"}</definedName>
    <definedName name="June" localSheetId="31" hidden="1">{#N/A,#N/A,FALSE,"CTC Summary - EOY";#N/A,#N/A,FALSE,"CTC Summary - Wtavg"}</definedName>
    <definedName name="June" localSheetId="9"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k" localSheetId="31" hidden="1">{#N/A,#N/A,FALSE,"Monthly SAIFI";#N/A,#N/A,FALSE,"Yearly SAIFI";#N/A,#N/A,FALSE,"Monthly CAIDI";#N/A,#N/A,FALSE,"Yearly CAIDI";#N/A,#N/A,FALSE,"Monthly SAIDI";#N/A,#N/A,FALSE,"Yearly SAIDI";#N/A,#N/A,FALSE,"Monthly MAIFI";#N/A,#N/A,FALSE,"Yearly MAIFI";#N/A,#N/A,FALSE,"Monthly Cust &gt;=4 Int"}</definedName>
    <definedName name="k" hidden="1">{#N/A,#N/A,FALSE,"Monthly SAIFI";#N/A,#N/A,FALSE,"Yearly SAIFI";#N/A,#N/A,FALSE,"Monthly CAIDI";#N/A,#N/A,FALSE,"Yearly CAIDI";#N/A,#N/A,FALSE,"Monthly SAIDI";#N/A,#N/A,FALSE,"Yearly SAIDI";#N/A,#N/A,FALSE,"Monthly MAIFI";#N/A,#N/A,FALSE,"Yearly MAIFI";#N/A,#N/A,FALSE,"Monthly Cust &gt;=4 Int"}</definedName>
    <definedName name="KCPLallocatorsP">#REF!</definedName>
    <definedName name="Keep" localSheetId="31" hidden="1">{"PRINT",#N/A,TRUE,"APPA";"PRINT",#N/A,TRUE,"APS";"PRINT",#N/A,TRUE,"BHPL";"PRINT",#N/A,TRUE,"BHPL2";"PRINT",#N/A,TRUE,"CDWR";"PRINT",#N/A,TRUE,"EWEB";"PRINT",#N/A,TRUE,"LADWP";"PRINT",#N/A,TRUE,"NEVBASE"}</definedName>
    <definedName name="Keep" hidden="1">{"PRINT",#N/A,TRUE,"APPA";"PRINT",#N/A,TRUE,"APS";"PRINT",#N/A,TRUE,"BHPL";"PRINT",#N/A,TRUE,"BHPL2";"PRINT",#N/A,TRUE,"CDWR";"PRINT",#N/A,TRUE,"EWEB";"PRINT",#N/A,TRUE,"LADWP";"PRINT",#N/A,TRUE,"NEVBASE"}</definedName>
    <definedName name="keep2" localSheetId="31" hidden="1">{"PRINT",#N/A,TRUE,"APPA";"PRINT",#N/A,TRUE,"APS";"PRINT",#N/A,TRUE,"BHPL";"PRINT",#N/A,TRUE,"BHPL2";"PRINT",#N/A,TRUE,"CDWR";"PRINT",#N/A,TRUE,"EWEB";"PRINT",#N/A,TRUE,"LADWP";"PRINT",#N/A,TRUE,"NEVBASE"}</definedName>
    <definedName name="keep2" hidden="1">{"PRINT",#N/A,TRUE,"APPA";"PRINT",#N/A,TRUE,"APS";"PRINT",#N/A,TRUE,"BHPL";"PRINT",#N/A,TRUE,"BHPL2";"PRINT",#N/A,TRUE,"CDWR";"PRINT",#N/A,TRUE,"EWEB";"PRINT",#N/A,TRUE,"LADWP";"PRINT",#N/A,TRUE,"NEVBASE"}</definedName>
    <definedName name="Key_Concept">#REF!</definedName>
    <definedName name="KeyCon_Close_Date">#REF!</definedName>
    <definedName name="kk" localSheetId="31">#REF!</definedName>
    <definedName name="kk">#REF!</definedName>
    <definedName name="kkk" localSheetId="31"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klio" localSheetId="31">{"'Metretek HTML'!$A$7:$W$42"}</definedName>
    <definedName name="klio">{"'Metretek HTML'!$A$7:$W$42"}</definedName>
    <definedName name="KWH">#REF!</definedName>
    <definedName name="L" localSheetId="13" hidden="1">{"PI_Data",#N/A,TRUE,"P&amp;I Data"}</definedName>
    <definedName name="L" localSheetId="14" hidden="1">{"PI_Data",#N/A,TRUE,"P&amp;I Data"}</definedName>
    <definedName name="L" localSheetId="15" hidden="1">{"PI_Data",#N/A,TRUE,"P&amp;I Data"}</definedName>
    <definedName name="L" localSheetId="16" hidden="1">{"PI_Data",#N/A,TRUE,"P&amp;I Data"}</definedName>
    <definedName name="L" localSheetId="17" hidden="1">{"PI_Data",#N/A,TRUE,"P&amp;I Data"}</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3" hidden="1">{"PI_Data",#N/A,TRUE,"P&amp;I Data"}</definedName>
    <definedName name="L" localSheetId="25" hidden="1">{"PI_Data",#N/A,TRUE,"P&amp;I Data"}</definedName>
    <definedName name="L" localSheetId="27" hidden="1">{"PI_Data",#N/A,TRUE,"P&amp;I Data"}</definedName>
    <definedName name="L" localSheetId="29" hidden="1">{"PI_Data",#N/A,TRUE,"P&amp;I Data"}</definedName>
    <definedName name="L" localSheetId="30" hidden="1">{"PI_Data",#N/A,TRUE,"P&amp;I Data"}</definedName>
    <definedName name="L" localSheetId="31" hidden="1">{"PI_Data",#N/A,TRUE,"P&amp;I Data"}</definedName>
    <definedName name="L" localSheetId="7" hidden="1">{"PI_Data",#N/A,TRUE,"P&amp;I Data"}</definedName>
    <definedName name="L" localSheetId="9" hidden="1">{"PI_Data",#N/A,TRUE,"P&amp;I Data"}</definedName>
    <definedName name="L" localSheetId="10" hidden="1">{"PI_Data",#N/A,TRUE,"P&amp;I Data"}</definedName>
    <definedName name="L" hidden="1">{"PI_Data",#N/A,TRUE,"P&amp;I Data"}</definedName>
    <definedName name="L2X" localSheetId="19" hidden="1">{"PI_Data",#N/A,TRUE,"P&amp;I Data"}</definedName>
    <definedName name="L2X" localSheetId="21" hidden="1">{"PI_Data",#N/A,TRUE,"P&amp;I Data"}</definedName>
    <definedName name="L2X" localSheetId="22" hidden="1">{"PI_Data",#N/A,TRUE,"P&amp;I Data"}</definedName>
    <definedName name="L2X" localSheetId="31" hidden="1">{"PI_Data",#N/A,TRUE,"P&amp;I Data"}</definedName>
    <definedName name="L2X" localSheetId="9" hidden="1">{"PI_Data",#N/A,TRUE,"P&amp;I Data"}</definedName>
    <definedName name="L2X" hidden="1">{"PI_Data",#N/A,TRUE,"P&amp;I Data"}</definedName>
    <definedName name="lastrow">#REF!</definedName>
    <definedName name="LD_Factor" localSheetId="31">#REF!</definedName>
    <definedName name="LD_Factor">#REF!</definedName>
    <definedName name="left" localSheetId="31">#REF!</definedName>
    <definedName name="left">#REF!</definedName>
    <definedName name="LFTSR">#REF!</definedName>
    <definedName name="Library" hidden="1">"a1"</definedName>
    <definedName name="LicenseCOS">0.01</definedName>
    <definedName name="limcount" hidden="1">1</definedName>
    <definedName name="LIQAIRFAC">#REF!</definedName>
    <definedName name="LIQAIRLF" localSheetId="31">#REF!</definedName>
    <definedName name="LIQAIRLF">#REF!</definedName>
    <definedName name="LIQAIRMW" localSheetId="31">#REF!</definedName>
    <definedName name="LIQAIRMW">#REF!</definedName>
    <definedName name="LIQAIRMWH">#REF!</definedName>
    <definedName name="LK" localSheetId="31">{"'Metretek HTML'!$A$7:$W$42"}</definedName>
    <definedName name="LK">{"'Metretek HTML'!$A$7:$W$42"}</definedName>
    <definedName name="LL" localSheetId="19" hidden="1">{"PI_Data",#N/A,TRUE,"P&amp;I Data"}</definedName>
    <definedName name="LL" localSheetId="21" hidden="1">{"PI_Data",#N/A,TRUE,"P&amp;I Data"}</definedName>
    <definedName name="LL" localSheetId="22" hidden="1">{"PI_Data",#N/A,TRUE,"P&amp;I Data"}</definedName>
    <definedName name="LL" localSheetId="31" hidden="1">{"PI_Data",#N/A,TRUE,"P&amp;I Data"}</definedName>
    <definedName name="LL" localSheetId="9" hidden="1">{"PI_Data",#N/A,TRUE,"P&amp;I Data"}</definedName>
    <definedName name="LL" hidden="1">{"PI_Data",#N/A,TRUE,"P&amp;I Data"}</definedName>
    <definedName name="LOAD_FACTOR">#REF!</definedName>
    <definedName name="LOAD_FACTOR_BASED_ON_BILLING_DEMAND" localSheetId="31">#REF!</definedName>
    <definedName name="LOAD_FACTOR_BASED_ON_BILLING_DEMAND">#REF!</definedName>
    <definedName name="Load81" localSheetId="31">#REF!</definedName>
    <definedName name="Load81">#REF!</definedName>
    <definedName name="Load81Header">#REF!</definedName>
    <definedName name="Load82">#REF!</definedName>
    <definedName name="Load82Header">#REF!</definedName>
    <definedName name="Load83">#REF!</definedName>
    <definedName name="Load83Header">#REF!</definedName>
    <definedName name="Load84">#REF!</definedName>
    <definedName name="Load84Header">#REF!</definedName>
    <definedName name="Load85">#REF!</definedName>
    <definedName name="Load85Header">#REF!</definedName>
    <definedName name="Load86">#REF!</definedName>
    <definedName name="Load86Header">#REF!</definedName>
    <definedName name="Load87">#REF!</definedName>
    <definedName name="LoadHeader">#REF!</definedName>
    <definedName name="LoadHeaderHistoric">#REF!</definedName>
    <definedName name="loilpuioopy" localSheetId="31"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LD">1</definedName>
    <definedName name="LOLD_Capital">11</definedName>
    <definedName name="LOLD_Expense">11</definedName>
    <definedName name="LOLD_Table">10</definedName>
    <definedName name="Lower_Level">#REF!</definedName>
    <definedName name="lsdfj" localSheetId="31"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31"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31"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31"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31"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31"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31"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m" localSheetId="13" hidden="1">{"PI_Data",#N/A,TRUE,"P&amp;I Data"}</definedName>
    <definedName name="m" localSheetId="14"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3" hidden="1">{"PI_Data",#N/A,TRUE,"P&amp;I Data"}</definedName>
    <definedName name="m" localSheetId="25" hidden="1">{"PI_Data",#N/A,TRUE,"P&amp;I Data"}</definedName>
    <definedName name="m" localSheetId="27" hidden="1">{"PI_Data",#N/A,TRUE,"P&amp;I Data"}</definedName>
    <definedName name="m" localSheetId="29" hidden="1">{"PI_Data",#N/A,TRUE,"P&amp;I Data"}</definedName>
    <definedName name="m" localSheetId="30" hidden="1">{"PI_Data",#N/A,TRUE,"P&amp;I Data"}</definedName>
    <definedName name="m" localSheetId="31" hidden="1">{"PI_Data",#N/A,TRUE,"P&amp;I Data"}</definedName>
    <definedName name="m" localSheetId="7" hidden="1">{"PI_Data",#N/A,TRUE,"P&amp;I Data"}</definedName>
    <definedName name="m" localSheetId="9" hidden="1">{"PI_Data",#N/A,TRUE,"P&amp;I Data"}</definedName>
    <definedName name="m" localSheetId="10" hidden="1">{"PI_Data",#N/A,TRUE,"P&amp;I Data"}</definedName>
    <definedName name="m" hidden="1">{"PI_Data",#N/A,TRUE,"P&amp;I Data"}</definedName>
    <definedName name="M21Laurie">#N/A</definedName>
    <definedName name="M2X" localSheetId="19" hidden="1">{"PI_Data",#N/A,TRUE,"P&amp;I Data"}</definedName>
    <definedName name="M2X" localSheetId="21" hidden="1">{"PI_Data",#N/A,TRUE,"P&amp;I Data"}</definedName>
    <definedName name="M2X" localSheetId="22" hidden="1">{"PI_Data",#N/A,TRUE,"P&amp;I Data"}</definedName>
    <definedName name="M2X" localSheetId="31" hidden="1">{"PI_Data",#N/A,TRUE,"P&amp;I Data"}</definedName>
    <definedName name="M2X" localSheetId="9" hidden="1">{"PI_Data",#N/A,TRUE,"P&amp;I Data"}</definedName>
    <definedName name="M2X" hidden="1">{"PI_Data",#N/A,TRUE,"P&amp;I Data"}</definedName>
    <definedName name="MACRO1">#REF!</definedName>
    <definedName name="Maintenance">0.15</definedName>
    <definedName name="Marty">#REF!</definedName>
    <definedName name="May" localSheetId="19" hidden="1">{#N/A,#N/A,FALSE,"CTC Summary - EOY";#N/A,#N/A,FALSE,"CTC Summary - Wtavg"}</definedName>
    <definedName name="May" localSheetId="21" hidden="1">{#N/A,#N/A,FALSE,"CTC Summary - EOY";#N/A,#N/A,FALSE,"CTC Summary - Wtavg"}</definedName>
    <definedName name="May" localSheetId="22" hidden="1">{#N/A,#N/A,FALSE,"CTC Summary - EOY";#N/A,#N/A,FALSE,"CTC Summary - Wtavg"}</definedName>
    <definedName name="May" localSheetId="31" hidden="1">{#N/A,#N/A,FALSE,"CTC Summary - EOY";#N/A,#N/A,FALSE,"CTC Summary - Wtavg"}</definedName>
    <definedName name="May" localSheetId="9" hidden="1">{#N/A,#N/A,FALSE,"CTC Summary - EOY";#N/A,#N/A,FALSE,"CTC Summary - Wtavg"}</definedName>
    <definedName name="May" hidden="1">{#N/A,#N/A,FALSE,"CTC Summary - EOY";#N/A,#N/A,FALSE,"CTC Summary - Wtavg"}</definedName>
    <definedName name="MEWarning" hidden="1">1</definedName>
    <definedName name="MFTSR">#REF!</definedName>
    <definedName name="Mgmt">#REF!</definedName>
    <definedName name="million">1000000</definedName>
    <definedName name="minsys">#REF!</definedName>
    <definedName name="minus_S_W_2001">#REF!</definedName>
    <definedName name="MISS1FAC" localSheetId="31">#REF!</definedName>
    <definedName name="MISS1FAC">#REF!</definedName>
    <definedName name="MISS1LF" localSheetId="31">#REF!</definedName>
    <definedName name="MISS1LF">#REF!</definedName>
    <definedName name="MISS1MW" localSheetId="31">#REF!</definedName>
    <definedName name="MISS1MW">#REF!</definedName>
    <definedName name="MISS1MWH">#REF!</definedName>
    <definedName name="MISS2FAC">#REF!</definedName>
    <definedName name="MISS2LF">#REF!</definedName>
    <definedName name="MISS2MW">#REF!</definedName>
    <definedName name="MISS2MWH">#REF!</definedName>
    <definedName name="MM" localSheetId="19" hidden="1">{"PI_Data",#N/A,TRUE,"P&amp;I Data"}</definedName>
    <definedName name="MM" localSheetId="21" hidden="1">{"PI_Data",#N/A,TRUE,"P&amp;I Data"}</definedName>
    <definedName name="MM" localSheetId="22" hidden="1">{"PI_Data",#N/A,TRUE,"P&amp;I Data"}</definedName>
    <definedName name="MM" localSheetId="31" hidden="1">{"PI_Data",#N/A,TRUE,"P&amp;I Data"}</definedName>
    <definedName name="MM" localSheetId="9" hidden="1">{"PI_Data",#N/A,TRUE,"P&amp;I Data"}</definedName>
    <definedName name="MM" hidden="1">{"PI_Data",#N/A,TRUE,"P&amp;I Data"}</definedName>
    <definedName name="modelgrheader">#REF!</definedName>
    <definedName name="modelqreheader">#REF!</definedName>
    <definedName name="MONTH" localSheetId="31">#REF!</definedName>
    <definedName name="MONTH">#REF!</definedName>
    <definedName name="MONTH12" localSheetId="31">#REF!</definedName>
    <definedName name="MONTH12">#REF!</definedName>
    <definedName name="MonthDate">#REF!</definedName>
    <definedName name="months">#REF!</definedName>
    <definedName name="MREV">#REF!</definedName>
    <definedName name="MS">#REF!</definedName>
    <definedName name="MTC_Amortization">#REF!</definedName>
    <definedName name="n" localSheetId="19" hidden="1">{#N/A,#N/A,FALSE,"CTC Summary - EOY";#N/A,#N/A,FALSE,"CTC Summary - Wtavg"}</definedName>
    <definedName name="n" localSheetId="21" hidden="1">{#N/A,#N/A,FALSE,"CTC Summary - EOY";#N/A,#N/A,FALSE,"CTC Summary - Wtavg"}</definedName>
    <definedName name="n" localSheetId="22" hidden="1">{#N/A,#N/A,FALSE,"CTC Summary - EOY";#N/A,#N/A,FALSE,"CTC Summary - Wtavg"}</definedName>
    <definedName name="n" localSheetId="31" hidden="1">{#N/A,#N/A,FALSE,"CTC Summary - EOY";#N/A,#N/A,FALSE,"CTC Summary - Wtavg"}</definedName>
    <definedName name="n" localSheetId="9" hidden="1">{#N/A,#N/A,FALSE,"CTC Summary - EOY";#N/A,#N/A,FALSE,"CTC Summary - Wtavg"}</definedName>
    <definedName name="n" hidden="1">{#N/A,#N/A,FALSE,"CTC Summary - EOY";#N/A,#N/A,FALSE,"CTC Summary - Wtavg"}</definedName>
    <definedName name="NET_REVENUE">#REF!</definedName>
    <definedName name="New" localSheetId="19" hidden="1">{#N/A,#N/A,FALSE,"CTC Summary - EOY";#N/A,#N/A,FALSE,"CTC Summary - Wtavg"}</definedName>
    <definedName name="New" localSheetId="21" hidden="1">{#N/A,#N/A,FALSE,"CTC Summary - EOY";#N/A,#N/A,FALSE,"CTC Summary - Wtavg"}</definedName>
    <definedName name="New" localSheetId="22" hidden="1">{#N/A,#N/A,FALSE,"CTC Summary - EOY";#N/A,#N/A,FALSE,"CTC Summary - Wtavg"}</definedName>
    <definedName name="New" localSheetId="31" hidden="1">{#N/A,#N/A,FALSE,"CTC Summary - EOY";#N/A,#N/A,FALSE,"CTC Summary - Wtavg"}</definedName>
    <definedName name="New" localSheetId="9" hidden="1">{#N/A,#N/A,FALSE,"CTC Summary - EOY";#N/A,#N/A,FALSE,"CTC Summary - Wtavg"}</definedName>
    <definedName name="New" hidden="1">{#N/A,#N/A,FALSE,"CTC Summary - EOY";#N/A,#N/A,FALSE,"CTC Summary - Wtavg"}</definedName>
    <definedName name="New_99_IS">#REF!,#REF!,#REF!</definedName>
    <definedName name="NewHire">8500</definedName>
    <definedName name="NEXT_STEP">#REF!</definedName>
    <definedName name="Node">#REF!</definedName>
    <definedName name="non_cap_int">#REF!</definedName>
    <definedName name="NOTE">#REF!</definedName>
    <definedName name="November09" localSheetId="31" hidden="1">{#N/A,#N/A,FALSE,"Monthly SAIFI";#N/A,#N/A,FALSE,"Yearly SAIFI";#N/A,#N/A,FALSE,"Monthly CAIDI";#N/A,#N/A,FALSE,"Yearly CAIDI";#N/A,#N/A,FALSE,"Monthly SAIDI";#N/A,#N/A,FALSE,"Yearly SAIDI";#N/A,#N/A,FALSE,"Monthly MAIFI";#N/A,#N/A,FALSE,"Yearly MAIFI";#N/A,#N/A,FALSE,"Monthly Cust &gt;=4 Int"}</definedName>
    <definedName name="November09" hidden="1">{#N/A,#N/A,FALSE,"Monthly SAIFI";#N/A,#N/A,FALSE,"Yearly SAIFI";#N/A,#N/A,FALSE,"Monthly CAIDI";#N/A,#N/A,FALSE,"Yearly CAIDI";#N/A,#N/A,FALSE,"Monthly SAIDI";#N/A,#N/A,FALSE,"Yearly SAIDI";#N/A,#N/A,FALSE,"Monthly MAIFI";#N/A,#N/A,FALSE,"Yearly MAIFI";#N/A,#N/A,FALSE,"Monthly Cust &gt;=4 Int"}</definedName>
    <definedName name="NOxpMB1">#REF!</definedName>
    <definedName name="NP">#REF!</definedName>
    <definedName name="NPA">#REF!</definedName>
    <definedName name="NSP_COS" localSheetId="31">#REF!</definedName>
    <definedName name="NSP_COS">#REF!</definedName>
    <definedName name="NTDR">#REF!</definedName>
    <definedName name="NTPLT">#REF!</definedName>
    <definedName name="NTSRR">#REF!</definedName>
    <definedName name="Nuclear_Secur_Date">#REF!</definedName>
    <definedName name="NvsASD">"V2000-12-31"</definedName>
    <definedName name="NvsAutoDrillOk">"VN"</definedName>
    <definedName name="NvsElapsedTime">0.0000140046249725856</definedName>
    <definedName name="NvsEndTime">37081.606168287</definedName>
    <definedName name="NvsInstLang">"VENG"</definedName>
    <definedName name="NvsInstSpec">"%,LACT_LEDGER,SYTD,FBUSINESS_UNIT,TCONSOLID,NDECO_BUNDL,FACCOUNT,TACCT_SUMMARY,NAMRT_DF_DPR_DEF_RT_P"</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"%,XZF.ACCOUNT.PSDetail"</definedName>
    <definedName name="NvsPanelBusUnit">"V"</definedName>
    <definedName name="NvsPanelEffdt">"V1992-12-10"</definedName>
    <definedName name="NvsPanelSetid">"VNEWGN"</definedName>
    <definedName name="NvsParentRef">#REF!</definedName>
    <definedName name="NvsReqBU">"VDECO"</definedName>
    <definedName name="NvsReqBUOnly">"VY"</definedName>
    <definedName name="NvsTransLed">"VN"</definedName>
    <definedName name="NvsTreeASD">"V1997-01-01"</definedName>
    <definedName name="NvsValTbl.ACCOUNT">"GL_ACCOUNT_TBL"</definedName>
    <definedName name="NvsValTbl.ACCOUNTING_PERIOD">"CAL_DETP_TBL"</definedName>
    <definedName name="NvsValTbl.BUSINESS_UNIT">"BUS_UNIT_TBL_GL"</definedName>
    <definedName name="NvsValTbl.CURRENCY_CD">"CURRENCY_CD_TBL"</definedName>
    <definedName name="NvsValTbl.DEPTID">"DEPARTMENT_TBL"</definedName>
    <definedName name="NvsValTbl.E_LEGAL_ENTITY">"E_LE_TBL"</definedName>
    <definedName name="NvsValTbl.PROJECT_ID">"PROJECT_FS"</definedName>
    <definedName name="OFF">#REF!</definedName>
    <definedName name="ok">"46A77S0J3A6DMSOD9MQSK0ZYO"</definedName>
    <definedName name="OMCustomer">#REF!</definedName>
    <definedName name="OMFunct" localSheetId="31">#REF!</definedName>
    <definedName name="OMFunct">#REF!</definedName>
    <definedName name="ON">#REF!</definedName>
    <definedName name="one">1</definedName>
    <definedName name="ORACLE_DEPRECIATION">#REF!</definedName>
    <definedName name="other_mix_cap">#REF!</definedName>
    <definedName name="other_mix_total">#REF!</definedName>
    <definedName name="OTR_TST">#REF!</definedName>
    <definedName name="p" localSheetId="13" hidden="1">{"PI_Data",#N/A,TRUE,"P&amp;I Data"}</definedName>
    <definedName name="p" localSheetId="14" hidden="1">{"PI_Data",#N/A,TRUE,"P&amp;I Data"}</definedName>
    <definedName name="p" localSheetId="15" hidden="1">{"PI_Data",#N/A,TRUE,"P&amp;I Data"}</definedName>
    <definedName name="p" localSheetId="16" hidden="1">{"PI_Data",#N/A,TRUE,"P&amp;I Data"}</definedName>
    <definedName name="p" localSheetId="17" hidden="1">{"PI_Data",#N/A,TRUE,"P&amp;I Data"}</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5" hidden="1">{"PI_Data",#N/A,TRUE,"P&amp;I Data"}</definedName>
    <definedName name="p" localSheetId="27" hidden="1">{"PI_Data",#N/A,TRUE,"P&amp;I Data"}</definedName>
    <definedName name="p" localSheetId="29" hidden="1">{"PI_Data",#N/A,TRUE,"P&amp;I Data"}</definedName>
    <definedName name="p" localSheetId="30" hidden="1">{"PI_Data",#N/A,TRUE,"P&amp;I Data"}</definedName>
    <definedName name="p" localSheetId="31" hidden="1">{"PI_Data",#N/A,TRUE,"P&amp;I Data"}</definedName>
    <definedName name="p" localSheetId="7" hidden="1">{"PI_Data",#N/A,TRUE,"P&amp;I Data"}</definedName>
    <definedName name="p" localSheetId="9" hidden="1">{"PI_Data",#N/A,TRUE,"P&amp;I Data"}</definedName>
    <definedName name="p" localSheetId="10" hidden="1">{"PI_Data",#N/A,TRUE,"P&amp;I Data"}</definedName>
    <definedName name="p" hidden="1">{"PI_Data",#N/A,TRUE,"P&amp;I Data"}</definedName>
    <definedName name="P2X" localSheetId="19" hidden="1">{"PI_Data",#N/A,TRUE,"P&amp;I Data"}</definedName>
    <definedName name="P2X" localSheetId="21" hidden="1">{"PI_Data",#N/A,TRUE,"P&amp;I Data"}</definedName>
    <definedName name="P2X" localSheetId="22" hidden="1">{"PI_Data",#N/A,TRUE,"P&amp;I Data"}</definedName>
    <definedName name="P2X" localSheetId="31" hidden="1">{"PI_Data",#N/A,TRUE,"P&amp;I Data"}</definedName>
    <definedName name="P2X" localSheetId="9" hidden="1">{"PI_Data",#N/A,TRUE,"P&amp;I Data"}</definedName>
    <definedName name="P2X" hidden="1">{"PI_Data",#N/A,TRUE,"P&amp;I Data"}</definedName>
    <definedName name="pctHW">#REF!</definedName>
    <definedName name="pctSWExp">#REF!</definedName>
    <definedName name="pctTraining">#REF!</definedName>
    <definedName name="pe">#REF!</definedName>
    <definedName name="PF">#REF!</definedName>
    <definedName name="PF_EAI">#REF!</definedName>
    <definedName name="PF_EGSI">#REF!</definedName>
    <definedName name="PF_ELI">#REF!</definedName>
    <definedName name="PF_EMI">#REF!</definedName>
    <definedName name="PF_ENOI">#REF!</definedName>
    <definedName name="Phase">#REF!</definedName>
    <definedName name="PIX" localSheetId="19" hidden="1">{"PI_Data",#N/A,TRUE,"P&amp;I Data"}</definedName>
    <definedName name="PIX" localSheetId="21" hidden="1">{"PI_Data",#N/A,TRUE,"P&amp;I Data"}</definedName>
    <definedName name="PIX" localSheetId="22" hidden="1">{"PI_Data",#N/A,TRUE,"P&amp;I Data"}</definedName>
    <definedName name="PIX" localSheetId="31" hidden="1">{"PI_Data",#N/A,TRUE,"P&amp;I Data"}</definedName>
    <definedName name="PIX" localSheetId="9" hidden="1">{"PI_Data",#N/A,TRUE,"P&amp;I Data"}</definedName>
    <definedName name="PIX" hidden="1">{"PI_Data",#N/A,TRUE,"P&amp;I Data"}</definedName>
    <definedName name="post_fossil">#REF!</definedName>
    <definedName name="POWER_FACTOR" localSheetId="31">#REF!</definedName>
    <definedName name="POWER_FACTOR">#REF!</definedName>
    <definedName name="Power51Header" localSheetId="31">#REF!</definedName>
    <definedName name="Power51Header">#REF!</definedName>
    <definedName name="Power52" localSheetId="31">#REF!</definedName>
    <definedName name="Power52">#REF!</definedName>
    <definedName name="Power52Header">#REF!</definedName>
    <definedName name="Power53">#REF!</definedName>
    <definedName name="Power53Header">#REF!</definedName>
    <definedName name="Power54">#REF!</definedName>
    <definedName name="Power54Header">#REF!</definedName>
    <definedName name="Power55">#REF!</definedName>
    <definedName name="Power55Header">#REF!</definedName>
    <definedName name="Power56">#REF!</definedName>
    <definedName name="Power56Header">#REF!</definedName>
    <definedName name="PowerHeader">#REF!</definedName>
    <definedName name="PowerSum">#REF!</definedName>
    <definedName name="PP" localSheetId="19" hidden="1">{"PI_Data",#N/A,TRUE,"P&amp;I Data"}</definedName>
    <definedName name="PP" localSheetId="21" hidden="1">{"PI_Data",#N/A,TRUE,"P&amp;I Data"}</definedName>
    <definedName name="PP" localSheetId="22" hidden="1">{"PI_Data",#N/A,TRUE,"P&amp;I Data"}</definedName>
    <definedName name="PP" localSheetId="31" hidden="1">{"PI_Data",#N/A,TRUE,"P&amp;I Data"}</definedName>
    <definedName name="PP" localSheetId="9" hidden="1">{"PI_Data",#N/A,TRUE,"P&amp;I Data"}</definedName>
    <definedName name="PP" hidden="1">{"PI_Data",#N/A,TRUE,"P&amp;I Data"}</definedName>
    <definedName name="PPA">#REF!</definedName>
    <definedName name="PPLT">#REF!</definedName>
    <definedName name="ppppppppppppppppppppppppppppppp" localSheetId="19" hidden="1">{"PI_Data",#N/A,TRUE,"P&amp;I Data"}</definedName>
    <definedName name="ppppppppppppppppppppppppppppppp" localSheetId="21" hidden="1">{"PI_Data",#N/A,TRUE,"P&amp;I Data"}</definedName>
    <definedName name="ppppppppppppppppppppppppppppppp" localSheetId="22" hidden="1">{"PI_Data",#N/A,TRUE,"P&amp;I Data"}</definedName>
    <definedName name="ppppppppppppppppppppppppppppppp" localSheetId="31" hidden="1">{"PI_Data",#N/A,TRUE,"P&amp;I Data"}</definedName>
    <definedName name="ppppppppppppppppppppppppppppppp" localSheetId="9" hidden="1">{"PI_Data",#N/A,TRUE,"P&amp;I Data"}</definedName>
    <definedName name="ppppppppppppppppppppppppppppppp" hidden="1">{"PI_Data",#N/A,TRUE,"P&amp;I Data"}</definedName>
    <definedName name="pPRINT">#REF!</definedName>
    <definedName name="PPT">#REF!</definedName>
    <definedName name="PR">#REF!</definedName>
    <definedName name="PRet">#REF!</definedName>
    <definedName name="PreTaxDebt">#REF!</definedName>
    <definedName name="Print" localSheetId="31">#REF!</definedName>
    <definedName name="Print">#REF!</definedName>
    <definedName name="Print_99_IS">#REF!,#REF!,#REF!</definedName>
    <definedName name="_xlnm.Print_Area" localSheetId="13">'10-AccDep'!$A$1:$AD$137</definedName>
    <definedName name="_xlnm.Print_Area" localSheetId="16">'13-WorkCap'!$A$1:$J$69</definedName>
    <definedName name="_xlnm.Print_Area" localSheetId="17">'14-ADIT'!$A$1:$N$126</definedName>
    <definedName name="_xlnm.Print_Area" localSheetId="18">'15-LossFactors'!$A$1:$H$29</definedName>
    <definedName name="_xlnm.Print_Area" localSheetId="19">'16-UnfundedReserves'!$A$1:$G$108</definedName>
    <definedName name="_xlnm.Print_Area" localSheetId="20">'17-RegAssets-1'!$A$1:$K$73</definedName>
    <definedName name="_xlnm.Print_Area" localSheetId="21">'17-RegAssets-2'!$A$1:$BI$135</definedName>
    <definedName name="_xlnm.Print_Area" localSheetId="22">'17-RegAssets-3'!$A$1:$BI$134</definedName>
    <definedName name="_xlnm.Print_Area" localSheetId="23">'18-OandM'!$A$1:$Q$39</definedName>
    <definedName name="_xlnm.Print_Area" localSheetId="24">'19-AandG'!$A$1:$N$80</definedName>
    <definedName name="_xlnm.Print_Area" localSheetId="3">'1-DRR'!$A$1:$M$122</definedName>
    <definedName name="_xlnm.Print_Area" localSheetId="25">'20-RevenueCredits'!$A$1:$I$70</definedName>
    <definedName name="_xlnm.Print_Area" localSheetId="27">'22-TaxRates'!$A$1:$F$16</definedName>
    <definedName name="_xlnm.Print_Area" localSheetId="28">'23-CustServCharge'!$A$1:$E$43</definedName>
    <definedName name="_xlnm.Print_Area" localSheetId="29">'24-Allocators'!$A$1:$F$54</definedName>
    <definedName name="_xlnm.Print_Area" localSheetId="30">'25-RevenueFeeFactors'!$A$1:$G$19</definedName>
    <definedName name="_xlnm.Print_Area" localSheetId="31">'26-NPandS'!$A$1:$G$45</definedName>
    <definedName name="_xlnm.Print_Area" localSheetId="4">'2-True-upDRR'!$A$1:$M$91</definedName>
    <definedName name="_xlnm.Print_Area" localSheetId="5">'3-ATA'!$A$1:$L$361</definedName>
    <definedName name="_xlnm.Print_Area" localSheetId="7">'5-CostofCap-3'!$A$1:$H$27</definedName>
    <definedName name="_xlnm.Print_Area" localSheetId="8">'5-CostofCap-4'!$A$1:$K$47</definedName>
    <definedName name="_xlnm.Print_Area" localSheetId="9">'6-PlantJurisdiction'!$A$1:$I$95</definedName>
    <definedName name="_xlnm.Print_Area" localSheetId="10">'7-PlantInService'!$A$1:$AD$137</definedName>
    <definedName name="_xlnm.Print_Area" localSheetId="11">'8-DemandForAllocation'!$A$1:$N$49</definedName>
    <definedName name="_xlnm.Print_Area" localSheetId="12">'9-WholesaleRevenues'!$A$1:$K$115</definedName>
    <definedName name="_xlnm.Print_Area" localSheetId="0">'Cover Page'!$A$1:$G$23</definedName>
    <definedName name="_xlnm.Print_Area">#REF!</definedName>
    <definedName name="Print_Area_MI" localSheetId="19">#REF!</definedName>
    <definedName name="Print_Area_MI" localSheetId="21">#REF!</definedName>
    <definedName name="Print_Area_MI" localSheetId="22">#REF!</definedName>
    <definedName name="Print_Area_MI">#REF!</definedName>
    <definedName name="Print_TFI_use">#REF!,#REF!,#REF!</definedName>
    <definedName name="_xlnm.Print_Titles" localSheetId="13">'10-AccDep'!$1:$2</definedName>
    <definedName name="_xlnm.Print_Titles" localSheetId="14">'11-Depreciation'!$1:$2</definedName>
    <definedName name="_xlnm.Print_Titles" localSheetId="16">'13-WorkCap'!$1:$2</definedName>
    <definedName name="_xlnm.Print_Titles" localSheetId="17">'14-ADIT'!$1:$2</definedName>
    <definedName name="_xlnm.Print_Titles" localSheetId="3">'1-DRR'!$1:$2</definedName>
    <definedName name="_xlnm.Print_Titles" localSheetId="4">'2-True-upDRR'!$1:$2</definedName>
    <definedName name="_xlnm.Print_Titles" localSheetId="10">'7-PlantInService'!$1:$2</definedName>
    <definedName name="Print_Titles_MI">#REF!,#REF!</definedName>
    <definedName name="Print1" localSheetId="31">#REF!</definedName>
    <definedName name="Print1">#REF!</definedName>
    <definedName name="Print3" localSheetId="31">#REF!</definedName>
    <definedName name="Print3">#REF!</definedName>
    <definedName name="Print4" localSheetId="31">#REF!</definedName>
    <definedName name="Print4">#REF!</definedName>
    <definedName name="Print5">#REF!</definedName>
    <definedName name="PrintArea">#REF!</definedName>
    <definedName name="PrintareaDec">#REF!,#REF!,#REF!</definedName>
    <definedName name="prior_year_fuel_adj">#REF!</definedName>
    <definedName name="PriorYear" localSheetId="31">#REF!</definedName>
    <definedName name="PriorYear">#REF!</definedName>
    <definedName name="prod_depr">#REF!</definedName>
    <definedName name="Proj_PIS">#REF!</definedName>
    <definedName name="Projection">"Projection"</definedName>
    <definedName name="ProjIDList">#REF!</definedName>
    <definedName name="ProposedRate91" localSheetId="31">#REF!</definedName>
    <definedName name="ProposedRate91">#REF!</definedName>
    <definedName name="PSClass" localSheetId="31">#REF!</definedName>
    <definedName name="PSClass">#REF!</definedName>
    <definedName name="PSCo_COS">#REF!</definedName>
    <definedName name="psrate">#REF!</definedName>
    <definedName name="PTitle">#REF!</definedName>
    <definedName name="PXAG">#REF!</definedName>
    <definedName name="PYTX">#REF!</definedName>
    <definedName name="q" localSheetId="19" hidden="1">#REF!</definedName>
    <definedName name="q" localSheetId="31" hidden="1">#REF!</definedName>
    <definedName name="q" hidden="1">#REF!</definedName>
    <definedName name="q_MTEP06_App_AB_Facility" localSheetId="31">#REF!</definedName>
    <definedName name="q_MTEP06_App_AB_Facility">#REF!</definedName>
    <definedName name="q_MTEP06_App_AB_Projects">#REF!</definedName>
    <definedName name="QES">#REF!</definedName>
    <definedName name="qmat" localSheetId="31">#REF!</definedName>
    <definedName name="qmat">#REF!</definedName>
    <definedName name="QRE_SUMMARY">#REF!</definedName>
    <definedName name="QTR" localSheetId="31">#REF!</definedName>
    <definedName name="QTR">#REF!</definedName>
    <definedName name="qtrinfo" localSheetId="31">#REF!</definedName>
    <definedName name="qtrinfo">#REF!</definedName>
    <definedName name="query">#REF!</definedName>
    <definedName name="qw" localSheetId="31">{"'Metretek HTML'!$A$7:$W$42"}</definedName>
    <definedName name="qw">{"'Metretek HTML'!$A$7:$W$42"}</definedName>
    <definedName name="qwer" localSheetId="13" hidden="1">{"PI_Data",#N/A,TRUE,"P&amp;I Data"}</definedName>
    <definedName name="qwer" localSheetId="14" hidden="1">{"PI_Data",#N/A,TRUE,"P&amp;I Data"}</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5" hidden="1">{"PI_Data",#N/A,TRUE,"P&amp;I Data"}</definedName>
    <definedName name="qwer" localSheetId="27" hidden="1">{"PI_Data",#N/A,TRUE,"P&amp;I Data"}</definedName>
    <definedName name="qwer" localSheetId="29" hidden="1">{"PI_Data",#N/A,TRUE,"P&amp;I Data"}</definedName>
    <definedName name="qwer" localSheetId="30" hidden="1">{"PI_Data",#N/A,TRUE,"P&amp;I Data"}</definedName>
    <definedName name="qwer" localSheetId="31" hidden="1">{"PI_Data",#N/A,TRUE,"P&amp;I Data"}</definedName>
    <definedName name="qwer" localSheetId="7" hidden="1">{"PI_Data",#N/A,TRUE,"P&amp;I Data"}</definedName>
    <definedName name="qwer" localSheetId="9" hidden="1">{"PI_Data",#N/A,TRUE,"P&amp;I Data"}</definedName>
    <definedName name="qwer" localSheetId="10" hidden="1">{"PI_Data",#N/A,TRUE,"P&amp;I Data"}</definedName>
    <definedName name="qwer" hidden="1">{"PI_Data",#N/A,TRUE,"P&amp;I Data"}</definedName>
    <definedName name="QWER1" localSheetId="19" hidden="1">{"PI_Data",#N/A,TRUE,"P&amp;I Data"}</definedName>
    <definedName name="QWER1" localSheetId="21" hidden="1">{"PI_Data",#N/A,TRUE,"P&amp;I Data"}</definedName>
    <definedName name="QWER1" localSheetId="22" hidden="1">{"PI_Data",#N/A,TRUE,"P&amp;I Data"}</definedName>
    <definedName name="QWER1" localSheetId="31" hidden="1">{"PI_Data",#N/A,TRUE,"P&amp;I Data"}</definedName>
    <definedName name="QWER1" localSheetId="9" hidden="1">{"PI_Data",#N/A,TRUE,"P&amp;I Data"}</definedName>
    <definedName name="QWER1" hidden="1">{"PI_Data",#N/A,TRUE,"P&amp;I Data"}</definedName>
    <definedName name="qwer2" localSheetId="19" hidden="1">{"PI_Data",#N/A,TRUE,"P&amp;I Data"}</definedName>
    <definedName name="qwer2" localSheetId="21" hidden="1">{"PI_Data",#N/A,TRUE,"P&amp;I Data"}</definedName>
    <definedName name="qwer2" localSheetId="22" hidden="1">{"PI_Data",#N/A,TRUE,"P&amp;I Data"}</definedName>
    <definedName name="qwer2" localSheetId="31" hidden="1">{"PI_Data",#N/A,TRUE,"P&amp;I Data"}</definedName>
    <definedName name="qwer2" localSheetId="9" hidden="1">{"PI_Data",#N/A,TRUE,"P&amp;I Data"}</definedName>
    <definedName name="qwer2" hidden="1">{"PI_Data",#N/A,TRUE,"P&amp;I Data"}</definedName>
    <definedName name="QWERX" localSheetId="19" hidden="1">{"PI_Data",#N/A,TRUE,"P&amp;I Data"}</definedName>
    <definedName name="QWERX" localSheetId="21" hidden="1">{"PI_Data",#N/A,TRUE,"P&amp;I Data"}</definedName>
    <definedName name="QWERX" localSheetId="22" hidden="1">{"PI_Data",#N/A,TRUE,"P&amp;I Data"}</definedName>
    <definedName name="QWERX" localSheetId="31" hidden="1">{"PI_Data",#N/A,TRUE,"P&amp;I Data"}</definedName>
    <definedName name="QWERX" localSheetId="9" hidden="1">{"PI_Data",#N/A,TRUE,"P&amp;I Data"}</definedName>
    <definedName name="QWERX" hidden="1">{"PI_Data",#N/A,TRUE,"P&amp;I Data"}</definedName>
    <definedName name="RA">#REF!</definedName>
    <definedName name="RACC" localSheetId="31">#REF!</definedName>
    <definedName name="RACC">#REF!</definedName>
    <definedName name="rate90">#REF!</definedName>
    <definedName name="rate91">#REF!</definedName>
    <definedName name="rate92">#REF!</definedName>
    <definedName name="rate93">#REF!</definedName>
    <definedName name="rate94">#REF!</definedName>
    <definedName name="rate95">#REF!</definedName>
    <definedName name="rate96">#REF!</definedName>
    <definedName name="rate97">#REF!</definedName>
    <definedName name="rate98">#REF!</definedName>
    <definedName name="RateClass" localSheetId="31">#REF!</definedName>
    <definedName name="RateClass">#REF!</definedName>
    <definedName name="ratios" localSheetId="31">#REF!</definedName>
    <definedName name="ratios">#REF!</definedName>
    <definedName name="RBCustomer" localSheetId="31">#REF!</definedName>
    <definedName name="RBCustomer">#REF!</definedName>
    <definedName name="RCITYM">#REF!</definedName>
    <definedName name="RCITYS">#REF!</definedName>
    <definedName name="RCITYST">#REF!</definedName>
    <definedName name="RCITYT">#REF!</definedName>
    <definedName name="reawreqw" localSheetId="31"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orded_Year_Hours_per_month">#REF!</definedName>
    <definedName name="Recover">#REF!</definedName>
    <definedName name="reduced_credit">#REF!</definedName>
    <definedName name="reduced_credit_caption">#REF!</definedName>
    <definedName name="ReportTitle1" localSheetId="31">#REF!</definedName>
    <definedName name="ReportTitle1">#REF!</definedName>
    <definedName name="Reserve2011" localSheetId="31">#REF!</definedName>
    <definedName name="Reserve2011">#REF!</definedName>
    <definedName name="respc">#REF!</definedName>
    <definedName name="retail" localSheetId="31" hidden="1">{#N/A,#N/A,FALSE,"Loans";#N/A,#N/A,FALSE,"Program Costs";#N/A,#N/A,FALSE,"Measures";#N/A,#N/A,FALSE,"Net Lost Rev";#N/A,#N/A,FALSE,"Incentive"}</definedName>
    <definedName name="retail" hidden="1">{#N/A,#N/A,FALSE,"Loans";#N/A,#N/A,FALSE,"Program Costs";#N/A,#N/A,FALSE,"Measures";#N/A,#N/A,FALSE,"Net Lost Rev";#N/A,#N/A,FALSE,"Incentive"}</definedName>
    <definedName name="retail_CC" localSheetId="31" hidden="1">{#N/A,#N/A,FALSE,"Loans";#N/A,#N/A,FALSE,"Program Costs";#N/A,#N/A,FALSE,"Measures";#N/A,#N/A,FALSE,"Net Lost Rev";#N/A,#N/A,FALSE,"Incentive"}</definedName>
    <definedName name="retail_CC" hidden="1">{#N/A,#N/A,FALSE,"Loans";#N/A,#N/A,FALSE,"Program Costs";#N/A,#N/A,FALSE,"Measures";#N/A,#N/A,FALSE,"Net Lost Rev";#N/A,#N/A,FALSE,"Incentive"}</definedName>
    <definedName name="retail_CC1" localSheetId="31" hidden="1">{#N/A,#N/A,FALSE,"Loans";#N/A,#N/A,FALSE,"Program Costs";#N/A,#N/A,FALSE,"Measures";#N/A,#N/A,FALSE,"Net Lost Rev";#N/A,#N/A,FALSE,"Incentive"}</definedName>
    <definedName name="retail_CC1" hidden="1">{#N/A,#N/A,FALSE,"Loans";#N/A,#N/A,FALSE,"Program Costs";#N/A,#N/A,FALSE,"Measures";#N/A,#N/A,FALSE,"Net Lost Rev";#N/A,#N/A,FALSE,"Incentive"}</definedName>
    <definedName name="revreq">#REF!</definedName>
    <definedName name="revvar" localSheetId="31">#REF!</definedName>
    <definedName name="revvar">#REF!</definedName>
    <definedName name="RF">#REF!</definedName>
    <definedName name="RFRANM" localSheetId="31">#REF!</definedName>
    <definedName name="RFRANM">#REF!</definedName>
    <definedName name="RFRANT" localSheetId="31">#REF!</definedName>
    <definedName name="RFRANT">#REF!</definedName>
    <definedName name="right" localSheetId="31">#REF!</definedName>
    <definedName name="right">#REF!</definedName>
    <definedName name="ROR">#REF!</definedName>
    <definedName name="RowDetails1" localSheetId="31">#REF!</definedName>
    <definedName name="RowDetails1">#REF!</definedName>
    <definedName name="RRBT" localSheetId="31">#REF!</definedName>
    <definedName name="RRBT">#REF!</definedName>
    <definedName name="RRE">#REF!</definedName>
    <definedName name="rrrr" localSheetId="31" hidden="1">{#N/A,#N/A,FALSE,"O&amp;M by processes";#N/A,#N/A,FALSE,"Elec Act vs Bud";#N/A,#N/A,FALSE,"G&amp;A";#N/A,#N/A,FALSE,"BGS";#N/A,#N/A,FALSE,"Res Cost"}</definedName>
    <definedName name="rrrr" hidden="1">{#N/A,#N/A,FALSE,"O&amp;M by processes";#N/A,#N/A,FALSE,"Elec Act vs Bud";#N/A,#N/A,FALSE,"G&amp;A";#N/A,#N/A,FALSE,"BGS";#N/A,#N/A,FALSE,"Res Cost"}</definedName>
    <definedName name="RRUCO">#REF!</definedName>
    <definedName name="RSTATE" localSheetId="31">#REF!</definedName>
    <definedName name="RSTATE">#REF!</definedName>
    <definedName name="RTX">#REF!</definedName>
    <definedName name="S">#REF!</definedName>
    <definedName name="SAPBEXdnldView">"49BGT7GXT9EX51LLJXMJKZ8Y6"</definedName>
    <definedName name="SAPBEXdnldView_1">"467GDHUY063FE1Q3S2Y9KSMQ8"</definedName>
    <definedName name="SAPBEXhrIndnt">1</definedName>
    <definedName name="SAPBEXrevision" localSheetId="21" hidden="1">23</definedName>
    <definedName name="SAPBEXrevision">9</definedName>
    <definedName name="SAPBEXsysID">"BPR"</definedName>
    <definedName name="SAPBEXwbID" localSheetId="21" hidden="1">"4HQ4VKTSPDVV7Z9R01RIJVVW7"</definedName>
    <definedName name="SAPBEXwbID">"3XY8MM4SHGBHT4B7F8XEIC63B"</definedName>
    <definedName name="SAPBEXwbID2" localSheetId="21" hidden="1">"43PJT8J5QINLSBNFYJLE3ZU45"</definedName>
    <definedName name="SAPBEXwbID2">"3W3Y8WU9D4KB8I8XZYLB5WWMT"</definedName>
    <definedName name="SAPCrosstab1" localSheetId="31">#REF!</definedName>
    <definedName name="SAPCrosstab1">#REF!</definedName>
    <definedName name="SAPEXwbID1">"471C2VSNPC28U9XYPMV2AOH11"</definedName>
    <definedName name="SAPsysID">"708C5W7SBKP804JT78WJ0JNKI"</definedName>
    <definedName name="SAPwbID">"ARS"</definedName>
    <definedName name="saSAsa" localSheetId="31"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chedule_CC1">#REF!</definedName>
    <definedName name="Schedule_CC2">#REF!</definedName>
    <definedName name="Schedule_CC3">#REF!</definedName>
    <definedName name="sdf" localSheetId="31"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31"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fasdfasdfsdf" localSheetId="31"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31"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31"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31"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s" localSheetId="19" hidden="1">{"Summary","1",FALSE,"Summary"}</definedName>
    <definedName name="sds" localSheetId="21" hidden="1">{"Summary","1",FALSE,"Summary"}</definedName>
    <definedName name="sds" localSheetId="22" hidden="1">{"Summary","1",FALSE,"Summary"}</definedName>
    <definedName name="sds" localSheetId="31" hidden="1">{"Summary","1",FALSE,"Summary"}</definedName>
    <definedName name="sds" localSheetId="9" hidden="1">{"Summary","1",FALSE,"Summary"}</definedName>
    <definedName name="sds" hidden="1">{"Summary","1",FALSE,"Summary"}</definedName>
    <definedName name="sdsb" localSheetId="19" hidden="1">{"Summary","1",FALSE,"Summary"}</definedName>
    <definedName name="sdsb" localSheetId="21" hidden="1">{"Summary","1",FALSE,"Summary"}</definedName>
    <definedName name="sdsb" localSheetId="22" hidden="1">{"Summary","1",FALSE,"Summary"}</definedName>
    <definedName name="sdsb" localSheetId="31" hidden="1">{"Summary","1",FALSE,"Summary"}</definedName>
    <definedName name="sdsb" localSheetId="9" hidden="1">{"Summary","1",FALSE,"Summary"}</definedName>
    <definedName name="sdsb" hidden="1">{"Summary","1",FALSE,"Summary"}</definedName>
    <definedName name="Seasons">#REF!</definedName>
    <definedName name="SECUR_GI">#REF!</definedName>
    <definedName name="SECUR_IS">#REF!</definedName>
    <definedName name="SECUR_KR">#REF!</definedName>
    <definedName name="sencount">1</definedName>
    <definedName name="SENS_NET_CREDIT">#REF!</definedName>
    <definedName name="September09Billed" localSheetId="31" hidden="1">{#N/A,#N/A,FALSE,"Monthly SAIFI";#N/A,#N/A,FALSE,"Yearly SAIFI";#N/A,#N/A,FALSE,"Monthly CAIDI";#N/A,#N/A,FALSE,"Yearly CAIDI";#N/A,#N/A,FALSE,"Monthly SAIDI";#N/A,#N/A,FALSE,"Yearly SAIDI";#N/A,#N/A,FALSE,"Monthly MAIFI";#N/A,#N/A,FALSE,"Yearly MAIFI";#N/A,#N/A,FALSE,"Monthly Cust &gt;=4 Int"}</definedName>
    <definedName name="September09Billed" hidden="1">{#N/A,#N/A,FALSE,"Monthly SAIFI";#N/A,#N/A,FALSE,"Yearly SAIFI";#N/A,#N/A,FALSE,"Monthly CAIDI";#N/A,#N/A,FALSE,"Yearly CAIDI";#N/A,#N/A,FALSE,"Monthly SAIDI";#N/A,#N/A,FALSE,"Yearly SAIDI";#N/A,#N/A,FALSE,"Monthly MAIFI";#N/A,#N/A,FALSE,"Yearly MAIFI";#N/A,#N/A,FALSE,"Monthly Cust &gt;=4 Int"}</definedName>
    <definedName name="sffsfa" localSheetId="31"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31"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hedulecc1">#REF!</definedName>
    <definedName name="Sheet1" localSheetId="31"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it" localSheetId="31" hidden="1">{"PRINT",#N/A,TRUE,"APPA";"PRINT",#N/A,TRUE,"APS";"PRINT",#N/A,TRUE,"BHPL";"PRINT",#N/A,TRUE,"BHPL2";"PRINT",#N/A,TRUE,"CDWR";"PRINT",#N/A,TRUE,"EWEB";"PRINT",#N/A,TRUE,"LADWP";"PRINT",#N/A,TRUE,"NEVBASE"}</definedName>
    <definedName name="shit" hidden="1">{"PRINT",#N/A,TRUE,"APPA";"PRINT",#N/A,TRUE,"APS";"PRINT",#N/A,TRUE,"BHPL";"PRINT",#N/A,TRUE,"BHPL2";"PRINT",#N/A,TRUE,"CDWR";"PRINT",#N/A,TRUE,"EWEB";"PRINT",#N/A,TRUE,"LADWP";"PRINT",#N/A,TRUE,"NEVBASE"}</definedName>
    <definedName name="shiva" localSheetId="31" hidden="1">{#N/A,#N/A,FALSE,"O&amp;M by processes";#N/A,#N/A,FALSE,"Elec Act vs Bud";#N/A,#N/A,FALSE,"G&amp;A";#N/A,#N/A,FALSE,"BGS";#N/A,#N/A,FALSE,"Res Cost"}</definedName>
    <definedName name="shiva" hidden="1">{#N/A,#N/A,FALSE,"O&amp;M by processes";#N/A,#N/A,FALSE,"Elec Act vs Bud";#N/A,#N/A,FALSE,"G&amp;A";#N/A,#N/A,FALSE,"BGS";#N/A,#N/A,FALSE,"Res Cost"}</definedName>
    <definedName name="SILVERFAC">#REF!</definedName>
    <definedName name="SILVERLF" localSheetId="31">#REF!</definedName>
    <definedName name="SILVERLF">#REF!</definedName>
    <definedName name="SILVERMW" localSheetId="31">#REF!</definedName>
    <definedName name="SILVERMW">#REF!</definedName>
    <definedName name="SILVERMWH">#REF!</definedName>
    <definedName name="SIT">#REF!</definedName>
    <definedName name="slldk" localSheetId="31"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olver_lin" hidden="1">0</definedName>
    <definedName name="solver_num" hidden="1">0</definedName>
    <definedName name="solver_opt" localSheetId="13" hidden="1">#REF!</definedName>
    <definedName name="solver_opt" localSheetId="14" hidden="1">#REF!</definedName>
    <definedName name="solver_opt" localSheetId="15" hidden="1">#REF!</definedName>
    <definedName name="solver_opt" localSheetId="16" hidden="1">#REF!</definedName>
    <definedName name="solver_opt" localSheetId="17" hidden="1">#REF!</definedName>
    <definedName name="solver_opt" localSheetId="19" hidden="1">#REF!</definedName>
    <definedName name="solver_opt" localSheetId="20" hidden="1">#REF!</definedName>
    <definedName name="solver_opt" localSheetId="23" hidden="1">#REF!</definedName>
    <definedName name="solver_opt" localSheetId="25" hidden="1">#REF!</definedName>
    <definedName name="solver_opt" localSheetId="27" hidden="1">#REF!</definedName>
    <definedName name="solver_opt" localSheetId="29" hidden="1">#REF!</definedName>
    <definedName name="solver_opt" localSheetId="30" hidden="1">#REF!</definedName>
    <definedName name="solver_opt" localSheetId="31" hidden="1">#REF!</definedName>
    <definedName name="solver_opt" localSheetId="4" hidden="1">#REF!</definedName>
    <definedName name="solver_opt" localSheetId="7" hidden="1">#REF!</definedName>
    <definedName name="solver_opt" localSheetId="9" hidden="1">#REF!</definedName>
    <definedName name="solver_opt" localSheetId="10" hidden="1">#REF!</definedName>
    <definedName name="solver_opt" hidden="1">#REF!</definedName>
    <definedName name="solver_typ" hidden="1">1</definedName>
    <definedName name="solver_val" hidden="1">0</definedName>
    <definedName name="SPS_COS">#REF!</definedName>
    <definedName name="ssd"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ssssssss" localSheetId="31">{"'Metretek HTML'!$A$7:$W$42"}</definedName>
    <definedName name="ssssssssss">{"'Metretek HTML'!$A$7:$W$42"}</definedName>
    <definedName name="start84">#REF!</definedName>
    <definedName name="start85">#REF!</definedName>
    <definedName name="start86">#REF!</definedName>
    <definedName name="start87">#REF!</definedName>
    <definedName name="start88">#REF!</definedName>
    <definedName name="start89">#REF!</definedName>
    <definedName name="start90">#REF!</definedName>
    <definedName name="start91">#REF!</definedName>
    <definedName name="start92">#REF!</definedName>
    <definedName name="start93">#REF!</definedName>
    <definedName name="start94">#REF!</definedName>
    <definedName name="start95">#REF!</definedName>
    <definedName name="start96">#REF!</definedName>
    <definedName name="start97">#REF!</definedName>
    <definedName name="start98">#REF!</definedName>
    <definedName name="stat" localSheetId="31">#REF!</definedName>
    <definedName name="stat">#REF!</definedName>
    <definedName name="STATE" localSheetId="31">#REF!</definedName>
    <definedName name="STATE">#REF!</definedName>
    <definedName name="statsrevised" localSheetId="31" hidden="1">{#N/A,#N/A,FALSE,"O&amp;M by processes";#N/A,#N/A,FALSE,"Elec Act vs Bud";#N/A,#N/A,FALSE,"G&amp;A";#N/A,#N/A,FALSE,"BGS";#N/A,#N/A,FALSE,"Res Cost"}</definedName>
    <definedName name="statsrevised" hidden="1">{#N/A,#N/A,FALSE,"O&amp;M by processes";#N/A,#N/A,FALSE,"Elec Act vs Bud";#N/A,#N/A,FALSE,"G&amp;A";#N/A,#N/A,FALSE,"BGS";#N/A,#N/A,FALSE,"Res Cost"}</definedName>
    <definedName name="step1">#REF!</definedName>
    <definedName name="Step2" localSheetId="19" hidden="1">{#N/A,#N/A,FALSE,"CTC Summary - EOY";#N/A,#N/A,FALSE,"CTC Summary - Wtavg"}</definedName>
    <definedName name="Step2" localSheetId="21" hidden="1">{#N/A,#N/A,FALSE,"CTC Summary - EOY";#N/A,#N/A,FALSE,"CTC Summary - Wtavg"}</definedName>
    <definedName name="Step2" localSheetId="22" hidden="1">{#N/A,#N/A,FALSE,"CTC Summary - EOY";#N/A,#N/A,FALSE,"CTC Summary - Wtavg"}</definedName>
    <definedName name="Step2" localSheetId="31" hidden="1">{#N/A,#N/A,FALSE,"CTC Summary - EOY";#N/A,#N/A,FALSE,"CTC Summary - Wtavg"}</definedName>
    <definedName name="Step2" localSheetId="9" hidden="1">{#N/A,#N/A,FALSE,"CTC Summary - EOY";#N/A,#N/A,FALSE,"CTC Summary - Wtavg"}</definedName>
    <definedName name="Step2" hidden="1">{#N/A,#N/A,FALSE,"CTC Summary - EOY";#N/A,#N/A,FALSE,"CTC Summary - Wtavg"}</definedName>
    <definedName name="STILL1040">#REF!</definedName>
    <definedName name="store_cap">#REF!</definedName>
    <definedName name="store_total">#REF!</definedName>
    <definedName name="SumForecast" localSheetId="31">#REF!</definedName>
    <definedName name="SumForecast">#REF!</definedName>
    <definedName name="SumHistoric" localSheetId="31">#REF!</definedName>
    <definedName name="SumHistoric">#REF!</definedName>
    <definedName name="summary_caution">#REF!</definedName>
    <definedName name="SumPower" localSheetId="31">#REF!</definedName>
    <definedName name="SumPower">#REF!</definedName>
    <definedName name="SumPresRate" localSheetId="31">#REF!</definedName>
    <definedName name="SumPresRate">#REF!</definedName>
    <definedName name="SumPropRate" localSheetId="31">#REF!</definedName>
    <definedName name="SumPropRate">#REF!</definedName>
    <definedName name="SumRateBase">#REF!</definedName>
    <definedName name="SumRevClass">#REF!</definedName>
    <definedName name="SumRevPresRate">#REF!</definedName>
    <definedName name="SumRevPropRate">#REF!</definedName>
    <definedName name="SumRevRate">#REF!</definedName>
    <definedName name="SumRevReq">#REF!</definedName>
    <definedName name="SUPP">#REF!</definedName>
    <definedName name="support" localSheetId="31"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31" hidden="1">{#N/A,#N/A,FALSE,"O&amp;M by processes";#N/A,#N/A,FALSE,"Elec Act vs Bud";#N/A,#N/A,FALSE,"G&amp;A";#N/A,#N/A,FALSE,"BGS";#N/A,#N/A,FALSE,"Res Cost"}</definedName>
    <definedName name="supporti" hidden="1">{#N/A,#N/A,FALSE,"O&amp;M by processes";#N/A,#N/A,FALSE,"Elec Act vs Bud";#N/A,#N/A,FALSE,"G&amp;A";#N/A,#N/A,FALSE,"BGS";#N/A,#N/A,FALSE,"Res Cost"}</definedName>
    <definedName name="Swap_Amort">#REF!</definedName>
    <definedName name="T" localSheetId="13" hidden="1">{"PI_Data",#N/A,TRUE,"P&amp;I Data"}</definedName>
    <definedName name="T" localSheetId="14" hidden="1">{"PI_Data",#N/A,TRUE,"P&amp;I Data"}</definedName>
    <definedName name="T" localSheetId="15" hidden="1">{"PI_Data",#N/A,TRUE,"P&amp;I Data"}</definedName>
    <definedName name="T" localSheetId="16" hidden="1">{"PI_Data",#N/A,TRUE,"P&amp;I Data"}</definedName>
    <definedName name="T" localSheetId="17" hidden="1">{"PI_Data",#N/A,TRUE,"P&amp;I Data"}</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5" hidden="1">{"PI_Data",#N/A,TRUE,"P&amp;I Data"}</definedName>
    <definedName name="T" localSheetId="27" hidden="1">{"PI_Data",#N/A,TRUE,"P&amp;I Data"}</definedName>
    <definedName name="T" localSheetId="29" hidden="1">{"PI_Data",#N/A,TRUE,"P&amp;I Data"}</definedName>
    <definedName name="T" localSheetId="30" hidden="1">{"PI_Data",#N/A,TRUE,"P&amp;I Data"}</definedName>
    <definedName name="T" localSheetId="31" hidden="1">{"PI_Data",#N/A,TRUE,"P&amp;I Data"}</definedName>
    <definedName name="T" localSheetId="7" hidden="1">{"PI_Data",#N/A,TRUE,"P&amp;I Data"}</definedName>
    <definedName name="T" localSheetId="9" hidden="1">{"PI_Data",#N/A,TRUE,"P&amp;I Data"}</definedName>
    <definedName name="T" localSheetId="10" hidden="1">{"PI_Data",#N/A,TRUE,"P&amp;I Data"}</definedName>
    <definedName name="T" hidden="1">{"PI_Data",#N/A,TRUE,"P&amp;I Data"}</definedName>
    <definedName name="T2X" localSheetId="19" hidden="1">{"PI_Data",#N/A,TRUE,"P&amp;I Data"}</definedName>
    <definedName name="T2X" localSheetId="21" hidden="1">{"PI_Data",#N/A,TRUE,"P&amp;I Data"}</definedName>
    <definedName name="T2X" localSheetId="22" hidden="1">{"PI_Data",#N/A,TRUE,"P&amp;I Data"}</definedName>
    <definedName name="T2X" localSheetId="31" hidden="1">{"PI_Data",#N/A,TRUE,"P&amp;I Data"}</definedName>
    <definedName name="T2X" localSheetId="9" hidden="1">{"PI_Data",#N/A,TRUE,"P&amp;I Data"}</definedName>
    <definedName name="T2X" hidden="1">{"PI_Data",#N/A,TRUE,"P&amp;I Data"}</definedName>
    <definedName name="TableName">"Dummy"</definedName>
    <definedName name="TableOfContents">#REF!</definedName>
    <definedName name="Tacx_Factor">#REF!</definedName>
    <definedName name="tax_base_on_inc">#REF!</definedName>
    <definedName name="tax_basis">#REF!</definedName>
    <definedName name="taxcalc" localSheetId="31">#REF!</definedName>
    <definedName name="taxcalc">#REF!</definedName>
    <definedName name="TAXES" localSheetId="31">#REF!</definedName>
    <definedName name="TAXES">#REF!</definedName>
    <definedName name="Taxrate">#REF!</definedName>
    <definedName name="tblCharts">#REF!</definedName>
    <definedName name="TBLHeader" localSheetId="31">#REF!</definedName>
    <definedName name="TBLHeader">#REF!</definedName>
    <definedName name="tblHelp">#REF!</definedName>
    <definedName name="tblReports">#REF!</definedName>
    <definedName name="tblWorksheets">#REF!</definedName>
    <definedName name="TDRXS">#REF!</definedName>
    <definedName name="TDX">#REF!</definedName>
    <definedName name="TE">#REF!</definedName>
    <definedName name="TEQ">#REF!</definedName>
    <definedName name="test" localSheetId="13" hidden="1">{"PI_Data",#N/A,TRUE,"P&amp;I Data"}</definedName>
    <definedName name="test" localSheetId="14"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3" hidden="1">{"PI_Data",#N/A,TRUE,"P&amp;I Data"}</definedName>
    <definedName name="test" localSheetId="25" hidden="1">{"PI_Data",#N/A,TRUE,"P&amp;I Data"}</definedName>
    <definedName name="test" localSheetId="27" hidden="1">{"PI_Data",#N/A,TRUE,"P&amp;I Data"}</definedName>
    <definedName name="test" localSheetId="29" hidden="1">{"PI_Data",#N/A,TRUE,"P&amp;I Data"}</definedName>
    <definedName name="test" localSheetId="30" hidden="1">{"PI_Data",#N/A,TRUE,"P&amp;I Data"}</definedName>
    <definedName name="test" localSheetId="31" hidden="1">{"PI_Data",#N/A,TRUE,"P&amp;I Data"}</definedName>
    <definedName name="test" localSheetId="7" hidden="1">{"PI_Data",#N/A,TRUE,"P&amp;I Data"}</definedName>
    <definedName name="test" localSheetId="9" hidden="1">{"PI_Data",#N/A,TRUE,"P&amp;I Data"}</definedName>
    <definedName name="test" localSheetId="10" hidden="1">{"PI_Data",#N/A,TRUE,"P&amp;I Data"}</definedName>
    <definedName name="test" hidden="1">{"PI_Data",#N/A,TRUE,"P&amp;I Data"}</definedName>
    <definedName name="test1" localSheetId="31" hidden="1">{"LBO Summary",#N/A,FALSE,"Summary";"Income Statement",#N/A,FALSE,"Model";"Cash Flow",#N/A,FALSE,"Model";"Balance Sheet",#N/A,FALSE,"Model";"Working Capital",#N/A,FALSE,"Model";"Pro Forma Balance Sheets",#N/A,FALSE,"PFBS";"Debt Balances",#N/A,FALSE,"Model";"Fee Schedules",#N/A,FALSE,"Model"}</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localSheetId="31"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localSheetId="31" hidden="1">{"LBO Summary",#N/A,FALSE,"Summary"}</definedName>
    <definedName name="test11" hidden="1">{"LBO Summary",#N/A,FALSE,"Summary"}</definedName>
    <definedName name="test12" localSheetId="31" hidden="1">{"assumptions",#N/A,FALSE,"Scenario 1";"valuation",#N/A,FALSE,"Scenario 1"}</definedName>
    <definedName name="test12" hidden="1">{"assumptions",#N/A,FALSE,"Scenario 1";"valuation",#N/A,FALSE,"Scenario 1"}</definedName>
    <definedName name="test13" localSheetId="31" hidden="1">{"LBO Summary",#N/A,FALSE,"Summary"}</definedName>
    <definedName name="test13" hidden="1">{"LBO Summary",#N/A,FALSE,"Summary"}</definedName>
    <definedName name="test14" localSheetId="31"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31"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31"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localSheetId="31" hidden="1">{"LBO Summary",#N/A,FALSE,"Summary"}</definedName>
    <definedName name="test2" hidden="1">{"LBO Summary",#N/A,FALSE,"Summary"}</definedName>
    <definedName name="test4" localSheetId="31" hidden="1">{"assumptions",#N/A,FALSE,"Scenario 1";"valuation",#N/A,FALSE,"Scenario 1"}</definedName>
    <definedName name="test4" hidden="1">{"assumptions",#N/A,FALSE,"Scenario 1";"valuation",#N/A,FALSE,"Scenario 1"}</definedName>
    <definedName name="test6" localSheetId="31" hidden="1">{"LBO Summary",#N/A,FALSE,"Summary"}</definedName>
    <definedName name="test6" hidden="1">{"LBO Summary",#N/A,FALSE,"Summary"}</definedName>
    <definedName name="testcust">#REF!</definedName>
    <definedName name="testdate" localSheetId="31">#REF!</definedName>
    <definedName name="testdate">#REF!</definedName>
    <definedName name="testkwh" localSheetId="31">#REF!</definedName>
    <definedName name="testkwh">#REF!</definedName>
    <definedName name="TestYear">#REF!</definedName>
    <definedName name="text">"($ in '000s)"</definedName>
    <definedName name="TextRefCopyRangeCount" hidden="1">1</definedName>
    <definedName name="TGUF">#REF!</definedName>
    <definedName name="thousand">1000</definedName>
    <definedName name="Time" hidden="1">"b1"</definedName>
    <definedName name="TKW">#REF!</definedName>
    <definedName name="TL">#REF!</definedName>
    <definedName name="TLR_TST">#REF!</definedName>
    <definedName name="TMCFAC" localSheetId="31">#REF!</definedName>
    <definedName name="TMCFAC">#REF!</definedName>
    <definedName name="TMCLF" localSheetId="31">#REF!</definedName>
    <definedName name="TMCLF">#REF!</definedName>
    <definedName name="TMCMW" localSheetId="31">#REF!</definedName>
    <definedName name="TMCMW">#REF!</definedName>
    <definedName name="TMCMWH">#REF!</definedName>
    <definedName name="Toggle" localSheetId="31">Projection</definedName>
    <definedName name="Toggle">Projection</definedName>
    <definedName name="Toggle.list">#REF!</definedName>
    <definedName name="TOM">#REF!</definedName>
    <definedName name="toma" localSheetId="31"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31"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31"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31"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31"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31"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31" hidden="1">{#N/A,#N/A,FALSE,"O&amp;M by processes";#N/A,#N/A,FALSE,"Elec Act vs Bud";#N/A,#N/A,FALSE,"G&amp;A";#N/A,#N/A,FALSE,"BGS";#N/A,#N/A,FALSE,"Res Cost"}</definedName>
    <definedName name="tomz" hidden="1">{#N/A,#N/A,FALSE,"O&amp;M by processes";#N/A,#N/A,FALSE,"Elec Act vs Bud";#N/A,#N/A,FALSE,"G&amp;A";#N/A,#N/A,FALSE,"BGS";#N/A,#N/A,FALSE,"Res Cost"}</definedName>
    <definedName name="tot_ded">#REF!</definedName>
    <definedName name="Tota_Deferred" localSheetId="31">#REF!</definedName>
    <definedName name="Tota_Deferred">#REF!</definedName>
    <definedName name="total84">#REF!</definedName>
    <definedName name="total85">#REF!</definedName>
    <definedName name="total86">#REF!</definedName>
    <definedName name="total87">#REF!</definedName>
    <definedName name="total88">#REF!</definedName>
    <definedName name="total89">#REF!</definedName>
    <definedName name="total90">#REF!</definedName>
    <definedName name="total91">#REF!</definedName>
    <definedName name="total92">#REF!</definedName>
    <definedName name="total93">#REF!</definedName>
    <definedName name="total94">#REF!</definedName>
    <definedName name="total95">#REF!</definedName>
    <definedName name="total96">#REF!</definedName>
    <definedName name="total97">#REF!</definedName>
    <definedName name="total98">#REF!</definedName>
    <definedName name="tp">#REF!</definedName>
    <definedName name="TP_Footer_Path" hidden="1">"S:\23150\05RET\exec calcs\Chinn\"</definedName>
    <definedName name="TP_Footer_Path1" hidden="1">"S:\74639\03RET\(852) Pension Val - OOS\Contribution Allocations\"</definedName>
    <definedName name="TP_Footer_User" hidden="1">"CORBINP"</definedName>
    <definedName name="TP_Footer_Version" hidden="1">"v3.00"</definedName>
    <definedName name="TPA">#REF!</definedName>
    <definedName name="TPLT">#REF!</definedName>
    <definedName name="TPLTXS">#REF!</definedName>
    <definedName name="TPR_TST">#REF!</definedName>
    <definedName name="TrackerCust" localSheetId="31">#REF!</definedName>
    <definedName name="TrackerCust">#REF!</definedName>
    <definedName name="TrackerPrice" localSheetId="31">#REF!</definedName>
    <definedName name="TrackerPrice">#REF!</definedName>
    <definedName name="transmission.fixed.charge.rate">0.1525</definedName>
    <definedName name="TRB">#REF!</definedName>
    <definedName name="TREV">#REF!</definedName>
    <definedName name="True_up">#REF!</definedName>
    <definedName name="tsgsf">"467GDHUY063FE1Q3S2Y9KSMQ8"</definedName>
    <definedName name="TT" localSheetId="19" hidden="1">{"PI_Data",#N/A,TRUE,"P&amp;I Data"}</definedName>
    <definedName name="TT" localSheetId="21" hidden="1">{"PI_Data",#N/A,TRUE,"P&amp;I Data"}</definedName>
    <definedName name="TT" localSheetId="22" hidden="1">{"PI_Data",#N/A,TRUE,"P&amp;I Data"}</definedName>
    <definedName name="TT" localSheetId="31" hidden="1">{"PI_Data",#N/A,TRUE,"P&amp;I Data"}</definedName>
    <definedName name="TT" localSheetId="9" hidden="1">{"PI_Data",#N/A,TRUE,"P&amp;I Data"}</definedName>
    <definedName name="TT" hidden="1">{"PI_Data",#N/A,TRUE,"P&amp;I Data"}</definedName>
    <definedName name="ttttttttttttttttttttttaaaaaaaaaaaa" localSheetId="19" hidden="1">{"PI_Data",#N/A,TRUE,"P&amp;I Data"}</definedName>
    <definedName name="ttttttttttttttttttttttaaaaaaaaaaaa" localSheetId="21" hidden="1">{"PI_Data",#N/A,TRUE,"P&amp;I Data"}</definedName>
    <definedName name="ttttttttttttttttttttttaaaaaaaaaaaa" localSheetId="22" hidden="1">{"PI_Data",#N/A,TRUE,"P&amp;I Data"}</definedName>
    <definedName name="ttttttttttttttttttttttaaaaaaaaaaaa" localSheetId="31" hidden="1">{"PI_Data",#N/A,TRUE,"P&amp;I Data"}</definedName>
    <definedName name="ttttttttttttttttttttttaaaaaaaaaaaa" localSheetId="9" hidden="1">{"PI_Data",#N/A,TRUE,"P&amp;I Data"}</definedName>
    <definedName name="ttttttttttttttttttttttaaaaaaaaaaaa" hidden="1">{"PI_Data",#N/A,TRUE,"P&amp;I Data"}</definedName>
    <definedName name="TU">#REF!</definedName>
    <definedName name="TX">#REF!</definedName>
    <definedName name="TXO">#REF!</definedName>
    <definedName name="TXP_TST">#REF!</definedName>
    <definedName name="Typist" hidden="1">"b1"</definedName>
    <definedName name="tyty" localSheetId="31"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ACHRPFAC">#REF!</definedName>
    <definedName name="UACHRPLF" localSheetId="31">#REF!</definedName>
    <definedName name="UACHRPLF">#REF!</definedName>
    <definedName name="UACHRPMW" localSheetId="31">#REF!</definedName>
    <definedName name="UACHRPMW">#REF!</definedName>
    <definedName name="UACHRPMWH">#REF!</definedName>
    <definedName name="UAMAINFAC">#REF!</definedName>
    <definedName name="UAMAINLF">#REF!</definedName>
    <definedName name="UAMAINMW">#REF!</definedName>
    <definedName name="UAMAINMWH">#REF!</definedName>
    <definedName name="UAMEDFAC">#REF!</definedName>
    <definedName name="UAMEDLF">#REF!</definedName>
    <definedName name="UAMEDMW">#REF!</definedName>
    <definedName name="UAMEDMWH">#REF!</definedName>
    <definedName name="UCC_500" localSheetId="19" hidden="1">#REF!</definedName>
    <definedName name="UCC_500" localSheetId="21" hidden="1">#REF!</definedName>
    <definedName name="UCC_500" localSheetId="22" hidden="1">#REF!</definedName>
    <definedName name="UCC_500" localSheetId="31" hidden="1">#REF!</definedName>
    <definedName name="UCC_500" hidden="1">#REF!</definedName>
    <definedName name="UCC_510" localSheetId="19" hidden="1">#REF!</definedName>
    <definedName name="UCC_510" localSheetId="21" hidden="1">#REF!</definedName>
    <definedName name="UCC_510" localSheetId="22" hidden="1">#REF!</definedName>
    <definedName name="UCC_510" localSheetId="31" hidden="1">#REF!</definedName>
    <definedName name="UCC_510" hidden="1">#REF!</definedName>
    <definedName name="UCC_800" localSheetId="19" hidden="1">#REF!</definedName>
    <definedName name="UCC_800" localSheetId="21" hidden="1">#REF!</definedName>
    <definedName name="UCC_800" localSheetId="22" hidden="1">#REF!</definedName>
    <definedName name="UCC_800" localSheetId="31" hidden="1">#REF!</definedName>
    <definedName name="UCC_800" hidden="1">#REF!</definedName>
    <definedName name="UCC_801" localSheetId="19" hidden="1">#REF!</definedName>
    <definedName name="UCC_801" localSheetId="21" hidden="1">#REF!</definedName>
    <definedName name="UCC_801" localSheetId="22" hidden="1">#REF!</definedName>
    <definedName name="UCC_801" localSheetId="31" hidden="1">#REF!</definedName>
    <definedName name="UCC_801" hidden="1">#REF!</definedName>
    <definedName name="UCC_802" localSheetId="19" hidden="1">#REF!</definedName>
    <definedName name="UCC_802" localSheetId="21" hidden="1">#REF!</definedName>
    <definedName name="UCC_802" localSheetId="22" hidden="1">#REF!</definedName>
    <definedName name="UCC_802" localSheetId="31" hidden="1">#REF!</definedName>
    <definedName name="UCC_802" hidden="1">#REF!</definedName>
    <definedName name="Unbundle_Rate_Base" localSheetId="31">#REF!</definedName>
    <definedName name="Unbundle_Rate_Base">#REF!</definedName>
    <definedName name="Unbundle_Rev_Req" localSheetId="31">#REF!</definedName>
    <definedName name="Unbundle_Rev_Req">#REF!</definedName>
    <definedName name="Unbundling_Unit_Cost" localSheetId="31">#REF!</definedName>
    <definedName name="Unbundling_Unit_Cost">#REF!</definedName>
    <definedName name="Unbundling_Unit_Title">#REF!</definedName>
    <definedName name="unitcost">#REF!</definedName>
    <definedName name="UnitCost21">#REF!</definedName>
    <definedName name="UnitCost22">#REF!</definedName>
    <definedName name="UP">#REF!</definedName>
    <definedName name="URA">#REF!</definedName>
    <definedName name="utility" localSheetId="31">#REF!</definedName>
    <definedName name="utility">#REF!</definedName>
    <definedName name="utilstt" localSheetId="31">#REF!</definedName>
    <definedName name="utilstt">#REF!</definedName>
    <definedName name="v">#REF!</definedName>
    <definedName name="valDate">#REF!</definedName>
    <definedName name="Value" localSheetId="31" hidden="1">{"assumptions",#N/A,FALSE,"Scenario 1";"valuation",#N/A,FALSE,"Scenario 1"}</definedName>
    <definedName name="Value" hidden="1">{"assumptions",#N/A,FALSE,"Scenario 1";"valuation",#N/A,FALSE,"Scenario 1"}</definedName>
    <definedName name="vcbcvbcv" localSheetId="31"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ersion" hidden="1">"a1"</definedName>
    <definedName name="WCCGCR2">#REF!</definedName>
    <definedName name="WCLTD">#REF!</definedName>
    <definedName name="we" localSheetId="31">{"'Metretek HTML'!$A$7:$W$42"}</definedName>
    <definedName name="we">{"'Metretek HTML'!$A$7:$W$42"}</definedName>
    <definedName name="WEEK">#REF!</definedName>
    <definedName name="wer" localSheetId="31"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FTSR">#REF!</definedName>
    <definedName name="wh" localSheetId="31" hidden="1">{#N/A,#N/A,FALSE,"O&amp;M by processes";#N/A,#N/A,FALSE,"Elec Act vs Bud";#N/A,#N/A,FALSE,"G&amp;A";#N/A,#N/A,FALSE,"BGS";#N/A,#N/A,FALSE,"Res Cost"}</definedName>
    <definedName name="wh" hidden="1">{#N/A,#N/A,FALSE,"O&amp;M by processes";#N/A,#N/A,FALSE,"Elec Act vs Bud";#N/A,#N/A,FALSE,"G&amp;A";#N/A,#N/A,FALSE,"BGS";#N/A,#N/A,FALSE,"Res Cost"}</definedName>
    <definedName name="what" localSheetId="31" hidden="1">{#N/A,#N/A,FALSE,"O&amp;M by processes";#N/A,#N/A,FALSE,"Elec Act vs Bud";#N/A,#N/A,FALSE,"G&amp;A";#N/A,#N/A,FALSE,"BGS";#N/A,#N/A,FALSE,"Res Cost"}</definedName>
    <definedName name="what" hidden="1">{#N/A,#N/A,FALSE,"O&amp;M by processes";#N/A,#N/A,FALSE,"Elec Act vs Bud";#N/A,#N/A,FALSE,"G&amp;A";#N/A,#N/A,FALSE,"BGS";#N/A,#N/A,FALSE,"Res Cost"}</definedName>
    <definedName name="whatever">#REF!</definedName>
    <definedName name="Whatwhat" localSheetId="31"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31"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31"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31"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31" hidden="1">{#N/A,#N/A,FALSE,"O&amp;M by processes";#N/A,#N/A,FALSE,"Elec Act vs Bud";#N/A,#N/A,FALSE,"G&amp;A";#N/A,#N/A,FALSE,"BGS";#N/A,#N/A,FALSE,"Res Cost"}</definedName>
    <definedName name="why" hidden="1">{#N/A,#N/A,FALSE,"O&amp;M by processes";#N/A,#N/A,FALSE,"Elec Act vs Bud";#N/A,#N/A,FALSE,"G&amp;A";#N/A,#N/A,FALSE,"BGS";#N/A,#N/A,FALSE,"Res Cost"}</definedName>
    <definedName name="WO_Description">#REF!</definedName>
    <definedName name="wrn" localSheetId="31"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31" hidden="1">{#N/A,#N/A,FALSE,"CURRENT"}</definedName>
    <definedName name="wrn.722." hidden="1">{#N/A,#N/A,FALSE,"CURRENT"}</definedName>
    <definedName name="wrn.Accelerated." localSheetId="13" hidden="1">{#N/A,#N/A,FALSE,"CTC Summary - EOY";#N/A,#N/A,FALSE,"CTC Summary - Wtavg"}</definedName>
    <definedName name="wrn.Accelerated." localSheetId="14" hidden="1">{#N/A,#N/A,FALSE,"CTC Summary - EOY";#N/A,#N/A,FALSE,"CTC Summary - Wtavg"}</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5" hidden="1">{#N/A,#N/A,FALSE,"CTC Summary - EOY";#N/A,#N/A,FALSE,"CTC Summary - Wtavg"}</definedName>
    <definedName name="wrn.Accelerated." localSheetId="27"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7" hidden="1">{#N/A,#N/A,FALSE,"CTC Summary - EOY";#N/A,#N/A,FALSE,"CTC Summary - Wtavg"}</definedName>
    <definedName name="wrn.Accelerated." localSheetId="9" hidden="1">{#N/A,#N/A,FALSE,"CTC Summary - EOY";#N/A,#N/A,FALSE,"CTC Summary - Wtavg"}</definedName>
    <definedName name="wrn.Accelerated." localSheetId="10" hidden="1">{#N/A,#N/A,FALSE,"CTC Summary - EOY";#N/A,#N/A,FALSE,"CTC Summary - Wtavg"}</definedName>
    <definedName name="wrn.Accelerated." hidden="1">{#N/A,#N/A,FALSE,"CTC Summary - EOY";#N/A,#N/A,FALSE,"CTC Summary - Wtavg"}</definedName>
    <definedName name="wrn.accellerated1" localSheetId="13" hidden="1">{#N/A,#N/A,FALSE,"CTC Summary - EOY";#N/A,#N/A,FALSE,"CTC Summary - Wtavg"}</definedName>
    <definedName name="wrn.accellerated1" localSheetId="14"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5" hidden="1">{#N/A,#N/A,FALSE,"CTC Summary - EOY";#N/A,#N/A,FALSE,"CTC Summary - Wtavg"}</definedName>
    <definedName name="wrn.accellerated1" localSheetId="27"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7" hidden="1">{#N/A,#N/A,FALSE,"CTC Summary - EOY";#N/A,#N/A,FALSE,"CTC Summary - Wtavg"}</definedName>
    <definedName name="wrn.accellerated1" localSheetId="9" hidden="1">{#N/A,#N/A,FALSE,"CTC Summary - EOY";#N/A,#N/A,FALSE,"CTC Summary - Wtavg"}</definedName>
    <definedName name="wrn.accellerated1" localSheetId="10" hidden="1">{#N/A,#N/A,FALSE,"CTC Summary - EOY";#N/A,#N/A,FALSE,"CTC Summary - Wtavg"}</definedName>
    <definedName name="wrn.accellerated1" hidden="1">{#N/A,#N/A,FALSE,"CTC Summary - EOY";#N/A,#N/A,FALSE,"CTC Summary - Wtavg"}</definedName>
    <definedName name="wrn.AG." localSheetId="19" hidden="1">{#N/A,#N/A,FALSE,"AG-1";#N/A,#N/A,FALSE,"AG-R";#N/A,#N/A,FALSE,"AG-V";#N/A,#N/A,FALSE,"AG-4";#N/A,#N/A,FALSE,"AG-5";#N/A,#N/A,FALSE,"AG-6";#N/A,#N/A,FALSE,"AG-7"}</definedName>
    <definedName name="wrn.AG." localSheetId="21" hidden="1">{#N/A,#N/A,FALSE,"AG-1";#N/A,#N/A,FALSE,"AG-R";#N/A,#N/A,FALSE,"AG-V";#N/A,#N/A,FALSE,"AG-4";#N/A,#N/A,FALSE,"AG-5";#N/A,#N/A,FALSE,"AG-6";#N/A,#N/A,FALSE,"AG-7"}</definedName>
    <definedName name="wrn.AG." localSheetId="22" hidden="1">{#N/A,#N/A,FALSE,"AG-1";#N/A,#N/A,FALSE,"AG-R";#N/A,#N/A,FALSE,"AG-V";#N/A,#N/A,FALSE,"AG-4";#N/A,#N/A,FALSE,"AG-5";#N/A,#N/A,FALSE,"AG-6";#N/A,#N/A,FALSE,"AG-7"}</definedName>
    <definedName name="wrn.AG." localSheetId="31" hidden="1">{#N/A,#N/A,FALSE,"AG-1";#N/A,#N/A,FALSE,"AG-R";#N/A,#N/A,FALSE,"AG-V";#N/A,#N/A,FALSE,"AG-4";#N/A,#N/A,FALSE,"AG-5";#N/A,#N/A,FALSE,"AG-6";#N/A,#N/A,FALSE,"AG-7"}</definedName>
    <definedName name="wrn.AG." localSheetId="9" hidden="1">{#N/A,#N/A,FALSE,"AG-1";#N/A,#N/A,FALSE,"AG-R";#N/A,#N/A,FALSE,"AG-V";#N/A,#N/A,FALSE,"AG-4";#N/A,#N/A,FALSE,"AG-5";#N/A,#N/A,FALSE,"AG-6";#N/A,#N/A,FALSE,"AG-7"}</definedName>
    <definedName name="wrn.AG." hidden="1">{#N/A,#N/A,FALSE,"AG-1";#N/A,#N/A,FALSE,"AG-R";#N/A,#N/A,FALSE,"AG-V";#N/A,#N/A,FALSE,"AG-4";#N/A,#N/A,FALSE,"AG-5";#N/A,#N/A,FALSE,"AG-6";#N/A,#N/A,FALSE,"AG-7"}</definedName>
    <definedName name="wrn.AGa." localSheetId="19" hidden="1">{#N/A,#N/A,FALSE,"UN-AGRA";#N/A,#N/A,FALSE,"UN-AG1A";#N/A,#N/A,FALSE,"UN-AGVA";#N/A,#N/A,FALSE,"UN-AG4A ";#N/A,#N/A,FALSE,"UN-AG5A";#N/A,#N/A,FALSE,"UN-AG6A";#N/A,#N/A,FALSE,"Dist Calcs";#N/A,#N/A,FALSE,"7A-Avg.";#N/A,#N/A,FALSE,"7A Tier1-avg";#N/A,#N/A,FALSE,"7A Tier2-avg";#N/A,#N/A,FALSE,"Ag-7A Dist Calc"}</definedName>
    <definedName name="wrn.AGa." localSheetId="21" hidden="1">{#N/A,#N/A,FALSE,"UN-AGRA";#N/A,#N/A,FALSE,"UN-AG1A";#N/A,#N/A,FALSE,"UN-AGVA";#N/A,#N/A,FALSE,"UN-AG4A ";#N/A,#N/A,FALSE,"UN-AG5A";#N/A,#N/A,FALSE,"UN-AG6A";#N/A,#N/A,FALSE,"Dist Calcs";#N/A,#N/A,FALSE,"7A-Avg.";#N/A,#N/A,FALSE,"7A Tier1-avg";#N/A,#N/A,FALSE,"7A Tier2-avg";#N/A,#N/A,FALSE,"Ag-7A Dist Calc"}</definedName>
    <definedName name="wrn.AGa." localSheetId="22" hidden="1">{#N/A,#N/A,FALSE,"UN-AGRA";#N/A,#N/A,FALSE,"UN-AG1A";#N/A,#N/A,FALSE,"UN-AGVA";#N/A,#N/A,FALSE,"UN-AG4A ";#N/A,#N/A,FALSE,"UN-AG5A";#N/A,#N/A,FALSE,"UN-AG6A";#N/A,#N/A,FALSE,"Dist Calcs";#N/A,#N/A,FALSE,"7A-Avg.";#N/A,#N/A,FALSE,"7A Tier1-avg";#N/A,#N/A,FALSE,"7A Tier2-avg";#N/A,#N/A,FALSE,"Ag-7A Dist Calc"}</definedName>
    <definedName name="wrn.AGa." localSheetId="31" hidden="1">{#N/A,#N/A,FALSE,"UN-AGRA";#N/A,#N/A,FALSE,"UN-AG1A";#N/A,#N/A,FALSE,"UN-AGVA";#N/A,#N/A,FALSE,"UN-AG4A ";#N/A,#N/A,FALSE,"UN-AG5A";#N/A,#N/A,FALSE,"UN-AG6A";#N/A,#N/A,FALSE,"Dist Calcs";#N/A,#N/A,FALSE,"7A-Avg.";#N/A,#N/A,FALSE,"7A Tier1-avg";#N/A,#N/A,FALSE,"7A Tier2-avg";#N/A,#N/A,FALSE,"Ag-7A Dist Calc"}</definedName>
    <definedName name="wrn.AGa." localSheetId="9"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19"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31"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9"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T." localSheetId="31" hidden="1">{"AGT",#N/A,FALSE,"Revenue"}</definedName>
    <definedName name="wrn.AGT." hidden="1">{"AGT",#N/A,FALSE,"Revenue"}</definedName>
    <definedName name="wrn.All._.Pages." localSheetId="31" hidden="1">{#N/A,#N/A,FALSE,"Cover";#N/A,#N/A,FALSE,"Lead Sheet";#N/A,#N/A,FALSE,"T-Accounts";#N/A,#N/A,FALSE,"Ins &amp; Prem ActualEstimates"}</definedName>
    <definedName name="wrn.All._.Pages." hidden="1">{#N/A,#N/A,FALSE,"Cover";#N/A,#N/A,FALSE,"Lead Sheet";#N/A,#N/A,FALSE,"T-Accounts";#N/A,#N/A,FALSE,"Ins &amp; Prem ActualEstimates"}</definedName>
    <definedName name="wrn.All._.Sheets._.Engrs._.PMs."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RKANSAS." localSheetId="31" hidden="1">{#N/A,#N/A,FALSE,"LOCAL.XLS"}</definedName>
    <definedName name="wrn.ARKANSAS." hidden="1">{#N/A,#N/A,FALSE,"LOCAL.XLS"}</definedName>
    <definedName name="wrn.ARREC." localSheetId="31" hidden="1">{#N/A,#N/A,FALSE,"ARREC"}</definedName>
    <definedName name="wrn.ARREC." hidden="1">{#N/A,#N/A,FALSE,"ARREC"}</definedName>
    <definedName name="wrn.August._.1._.2003._.Rate._.Change." localSheetId="31"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31"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31"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mind." localSheetId="19" hidden="1">{#N/A,#N/A,FALSE,"A-1, A-6, A-10, A-15";#N/A,#N/A,FALSE,"E-19 Firm";#N/A,#N/A,FALSE,"E-19 Nonfirm";#N/A,#N/A,FALSE,"E-20 Firm ";#N/A,#N/A,FALSE,"E-20 Nonfirm ";#N/A,#N/A,FALSE,"E-25";#N/A,#N/A,FALSE,"E-36, E-37";#N/A,#N/A,FALSE,"LS-1,-2,-3, TC-1, OL-1";#N/A,#N/A,FALSE,"Standby"}</definedName>
    <definedName name="wrn.comind." localSheetId="21" hidden="1">{#N/A,#N/A,FALSE,"A-1, A-6, A-10, A-15";#N/A,#N/A,FALSE,"E-19 Firm";#N/A,#N/A,FALSE,"E-19 Nonfirm";#N/A,#N/A,FALSE,"E-20 Firm ";#N/A,#N/A,FALSE,"E-20 Nonfirm ";#N/A,#N/A,FALSE,"E-25";#N/A,#N/A,FALSE,"E-36, E-37";#N/A,#N/A,FALSE,"LS-1,-2,-3, TC-1, OL-1";#N/A,#N/A,FALSE,"Standby"}</definedName>
    <definedName name="wrn.comind." localSheetId="22" hidden="1">{#N/A,#N/A,FALSE,"A-1, A-6, A-10, A-15";#N/A,#N/A,FALSE,"E-19 Firm";#N/A,#N/A,FALSE,"E-19 Nonfirm";#N/A,#N/A,FALSE,"E-20 Firm ";#N/A,#N/A,FALSE,"E-20 Nonfirm ";#N/A,#N/A,FALSE,"E-25";#N/A,#N/A,FALSE,"E-36, E-37";#N/A,#N/A,FALSE,"LS-1,-2,-3, TC-1, OL-1";#N/A,#N/A,FALSE,"Standby"}</definedName>
    <definedName name="wrn.comind." localSheetId="31" hidden="1">{#N/A,#N/A,FALSE,"A-1, A-6, A-10, A-15";#N/A,#N/A,FALSE,"E-19 Firm";#N/A,#N/A,FALSE,"E-19 Nonfirm";#N/A,#N/A,FALSE,"E-20 Firm ";#N/A,#N/A,FALSE,"E-20 Nonfirm ";#N/A,#N/A,FALSE,"E-25";#N/A,#N/A,FALSE,"E-36, E-37";#N/A,#N/A,FALSE,"LS-1,-2,-3, TC-1, OL-1";#N/A,#N/A,FALSE,"Standby"}</definedName>
    <definedName name="wrn.comind." localSheetId="9"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CP._.Demand." localSheetId="31" hidden="1">{"Retail CP pg1",#N/A,FALSE,"FACTOR3";"Retail CP pg2",#N/A,FALSE,"FACTOR3";"Retail CP pg3",#N/A,FALSE,"FACTOR3"}</definedName>
    <definedName name="wrn.CP._.Demand." hidden="1">{"Retail CP pg1",#N/A,FALSE,"FACTOR3";"Retail CP pg2",#N/A,FALSE,"FACTOR3";"Retail CP pg3",#N/A,FALSE,"FACTOR3"}</definedName>
    <definedName name="wrn.CP._.Demand2." localSheetId="31" hidden="1">{"Retail CP pg1",#N/A,FALSE,"FACTOR3";"Retail CP pg2",#N/A,FALSE,"FACTOR3";"Retail CP pg3",#N/A,FALSE,"FACTOR3"}</definedName>
    <definedName name="wrn.CP._.Demand2." hidden="1">{"Retail CP pg1",#N/A,FALSE,"FACTOR3";"Retail CP pg2",#N/A,FALSE,"FACTOR3";"Retail CP pg3",#N/A,FALSE,"FACTOR3"}</definedName>
    <definedName name="wrn.Data._.dump." localSheetId="31" hidden="1">{"Input Data",#N/A,FALSE,"Input";"Income and Cash Flow",#N/A,FALSE,"Calculations"}</definedName>
    <definedName name="wrn.Data._.dump." hidden="1">{"Input Data",#N/A,FALSE,"Input";"Income and Cash Flow",#N/A,FALSE,"Calculations"}</definedName>
    <definedName name="wrn.Deferral._.Forecast." localSheetId="31"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istr." localSheetId="19" hidden="1">{#N/A,#N/A,FALSE,"Dist Rev at PR ";#N/A,#N/A,FALSE,"Spec";#N/A,#N/A,FALSE,"Res";#N/A,#N/A,FALSE,"Small L&amp;P";#N/A,#N/A,FALSE,"Medium L&amp;P";#N/A,#N/A,FALSE,"E-19";#N/A,#N/A,FALSE,"E-20";#N/A,#N/A,FALSE,"Strtlts &amp; Standby";#N/A,#N/A,FALSE,"A-RTP";#N/A,#N/A,FALSE,"2003mixeduse"}</definedName>
    <definedName name="wrn.Distr." localSheetId="21" hidden="1">{#N/A,#N/A,FALSE,"Dist Rev at PR ";#N/A,#N/A,FALSE,"Spec";#N/A,#N/A,FALSE,"Res";#N/A,#N/A,FALSE,"Small L&amp;P";#N/A,#N/A,FALSE,"Medium L&amp;P";#N/A,#N/A,FALSE,"E-19";#N/A,#N/A,FALSE,"E-20";#N/A,#N/A,FALSE,"Strtlts &amp; Standby";#N/A,#N/A,FALSE,"A-RTP";#N/A,#N/A,FALSE,"2003mixeduse"}</definedName>
    <definedName name="wrn.Distr." localSheetId="22" hidden="1">{#N/A,#N/A,FALSE,"Dist Rev at PR ";#N/A,#N/A,FALSE,"Spec";#N/A,#N/A,FALSE,"Res";#N/A,#N/A,FALSE,"Small L&amp;P";#N/A,#N/A,FALSE,"Medium L&amp;P";#N/A,#N/A,FALSE,"E-19";#N/A,#N/A,FALSE,"E-20";#N/A,#N/A,FALSE,"Strtlts &amp; Standby";#N/A,#N/A,FALSE,"A-RTP";#N/A,#N/A,FALSE,"2003mixeduse"}</definedName>
    <definedName name="wrn.Distr." localSheetId="31" hidden="1">{#N/A,#N/A,FALSE,"Dist Rev at PR ";#N/A,#N/A,FALSE,"Spec";#N/A,#N/A,FALSE,"Res";#N/A,#N/A,FALSE,"Small L&amp;P";#N/A,#N/A,FALSE,"Medium L&amp;P";#N/A,#N/A,FALSE,"E-19";#N/A,#N/A,FALSE,"E-20";#N/A,#N/A,FALSE,"Strtlts &amp; Standby";#N/A,#N/A,FALSE,"A-RTP";#N/A,#N/A,FALSE,"2003mixeduse"}</definedName>
    <definedName name="wrn.Distr." localSheetId="9"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EMPPAY." localSheetId="31" hidden="1">{#N/A,#N/A,FALSE,"EMPPAY"}</definedName>
    <definedName name="wrn.EMPPAY." hidden="1">{#N/A,#N/A,FALSE,"EMPPAY"}</definedName>
    <definedName name="wrn.Factors._.Tab._.10." localSheetId="31" hidden="1">{"Factors Pages 1-2",#N/A,FALSE,"Factors";"Factors Page 3",#N/A,FALSE,"Factors";"Factors Page 4",#N/A,FALSE,"Factors";"Factors Page 5",#N/A,FALSE,"Factors";"Factors Pages 8-27",#N/A,FALSE,"Factors"}</definedName>
    <definedName name="wrn.Factors._.Tab._.10." hidden="1">{"Factors Pages 1-2",#N/A,FALSE,"Factors";"Factors Page 3",#N/A,FALSE,"Factors";"Factors Page 4",#N/A,FALSE,"Factors";"Factors Page 5",#N/A,FALSE,"Factors";"Factors Pages 8-27",#N/A,FALSE,"Factors"}</definedName>
    <definedName name="wrn.Filing." localSheetId="31"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31" hidden="1">{"Print Empty Template",#N/A,FALSE,"Input"}</definedName>
    <definedName name="wrn.For._.filling._.out._.assessments." hidden="1">{"Print Empty Template",#N/A,FALSE,"Input"}</definedName>
    <definedName name="wrn.GS._.Estimators." localSheetId="1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3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1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3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HLP._.Detail." localSheetId="31"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nventory." localSheetId="31"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IPO._.Valuation." localSheetId="31" hidden="1">{"assumptions",#N/A,FALSE,"Scenario 1";"valuation",#N/A,FALSE,"Scenario 1"}</definedName>
    <definedName name="wrn.IPO._.Valuation." hidden="1">{"assumptions",#N/A,FALSE,"Scenario 1";"valuation",#N/A,FALSE,"Scenario 1"}</definedName>
    <definedName name="wrn.JE9DOLLARS." localSheetId="19" hidden="1">{"JE9DOLLARS",#N/A,FALSE,"JE9"}</definedName>
    <definedName name="wrn.JE9DOLLARS." localSheetId="21" hidden="1">{"JE9DOLLARS",#N/A,FALSE,"JE9"}</definedName>
    <definedName name="wrn.JE9DOLLARS." localSheetId="22" hidden="1">{"JE9DOLLARS",#N/A,FALSE,"JE9"}</definedName>
    <definedName name="wrn.JE9DOLLARS." localSheetId="31" hidden="1">{"JE9DOLLARS",#N/A,FALSE,"JE9"}</definedName>
    <definedName name="wrn.JE9DOLLARS." localSheetId="9" hidden="1">{"JE9DOLLARS",#N/A,FALSE,"JE9"}</definedName>
    <definedName name="wrn.JE9DOLLARS." hidden="1">{"JE9DOLLARS",#N/A,FALSE,"JE9"}</definedName>
    <definedName name="wrn.JE9DTHS." localSheetId="19" hidden="1">{"JE9DTHS",#N/A,FALSE,"JE9"}</definedName>
    <definedName name="wrn.JE9DTHS." localSheetId="21" hidden="1">{"JE9DTHS",#N/A,FALSE,"JE9"}</definedName>
    <definedName name="wrn.JE9DTHS." localSheetId="22" hidden="1">{"JE9DTHS",#N/A,FALSE,"JE9"}</definedName>
    <definedName name="wrn.JE9DTHS." localSheetId="31" hidden="1">{"JE9DTHS",#N/A,FALSE,"JE9"}</definedName>
    <definedName name="wrn.JE9DTHS." localSheetId="9" hidden="1">{"JE9DTHS",#N/A,FALSE,"JE9"}</definedName>
    <definedName name="wrn.JE9DTHS." hidden="1">{"JE9DTHS",#N/A,FALSE,"JE9"}</definedName>
    <definedName name="wrn.JE9MCF." localSheetId="19" hidden="1">{"JE9MCF",#N/A,FALSE,"JE9"}</definedName>
    <definedName name="wrn.JE9MCF." localSheetId="21" hidden="1">{"JE9MCF",#N/A,FALSE,"JE9"}</definedName>
    <definedName name="wrn.JE9MCF." localSheetId="22" hidden="1">{"JE9MCF",#N/A,FALSE,"JE9"}</definedName>
    <definedName name="wrn.JE9MCF." localSheetId="31" hidden="1">{"JE9MCF",#N/A,FALSE,"JE9"}</definedName>
    <definedName name="wrn.JE9MCF." localSheetId="9" hidden="1">{"JE9MCF",#N/A,FALSE,"JE9"}</definedName>
    <definedName name="wrn.JE9MCF." hidden="1">{"JE9MCF",#N/A,FALSE,"JE9"}</definedName>
    <definedName name="wrn.LBO._.Summary." localSheetId="31" hidden="1">{"LBO Summary",#N/A,FALSE,"Summary"}</definedName>
    <definedName name="wrn.LBO._.Summary." hidden="1">{"LBO Summary",#N/A,FALSE,"Summary"}</definedName>
    <definedName name="wrn.LOUISIANA." localSheetId="31" hidden="1">{#N/A,#N/A,FALSE,"LOCAL.XLS"}</definedName>
    <definedName name="wrn.LOUISIANA." hidden="1">{#N/A,#N/A,FALSE,"LOCAL.XLS"}</definedName>
    <definedName name="wrn.ND." localSheetId="19" hidden="1">{#N/A,#N/A,FALSE,"ND Rev at Pres Rates";#N/A,#N/A,FALSE,"Res - Unadj sales";#N/A,#N/A,FALSE,"Small L&amp;P";#N/A,#N/A,FALSE,"Medium L&amp;P";#N/A,#N/A,FALSE,"E-19";#N/A,#N/A,FALSE,"E-20";#N/A,#N/A,FALSE,"Strtlts &amp; Standby";#N/A,#N/A,FALSE,"AG";#N/A,#N/A,FALSE,"A-RTP";#N/A,#N/A,FALSE,"Spec"}</definedName>
    <definedName name="wrn.ND." localSheetId="21" hidden="1">{#N/A,#N/A,FALSE,"ND Rev at Pres Rates";#N/A,#N/A,FALSE,"Res - Unadj sales";#N/A,#N/A,FALSE,"Small L&amp;P";#N/A,#N/A,FALSE,"Medium L&amp;P";#N/A,#N/A,FALSE,"E-19";#N/A,#N/A,FALSE,"E-20";#N/A,#N/A,FALSE,"Strtlts &amp; Standby";#N/A,#N/A,FALSE,"AG";#N/A,#N/A,FALSE,"A-RTP";#N/A,#N/A,FALSE,"Spec"}</definedName>
    <definedName name="wrn.ND." localSheetId="22" hidden="1">{#N/A,#N/A,FALSE,"ND Rev at Pres Rates";#N/A,#N/A,FALSE,"Res - Unadj sales";#N/A,#N/A,FALSE,"Small L&amp;P";#N/A,#N/A,FALSE,"Medium L&amp;P";#N/A,#N/A,FALSE,"E-19";#N/A,#N/A,FALSE,"E-20";#N/A,#N/A,FALSE,"Strtlts &amp; Standby";#N/A,#N/A,FALSE,"AG";#N/A,#N/A,FALSE,"A-RTP";#N/A,#N/A,FALSE,"Spec"}</definedName>
    <definedName name="wrn.ND." localSheetId="31" hidden="1">{#N/A,#N/A,FALSE,"ND Rev at Pres Rates";#N/A,#N/A,FALSE,"Res - Unadj sales";#N/A,#N/A,FALSE,"Small L&amp;P";#N/A,#N/A,FALSE,"Medium L&amp;P";#N/A,#N/A,FALSE,"E-19";#N/A,#N/A,FALSE,"E-20";#N/A,#N/A,FALSE,"Strtlts &amp; Standby";#N/A,#N/A,FALSE,"AG";#N/A,#N/A,FALSE,"A-RTP";#N/A,#N/A,FALSE,"Spec"}</definedName>
    <definedName name="wrn.ND." localSheetId="9"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OR._.Carrying._.Charge._.JV." localSheetId="31" hidden="1">{#N/A,#N/A,FALSE,"Loans";#N/A,#N/A,FALSE,"Program Costs";#N/A,#N/A,FALSE,"Measures";#N/A,#N/A,FALSE,"Net Lost Rev";#N/A,#N/A,FALSE,"Incentive"}</definedName>
    <definedName name="wrn.OR._.Carrying._.Charge._.JV." hidden="1">{#N/A,#N/A,FALSE,"Loans";#N/A,#N/A,FALSE,"Program Costs";#N/A,#N/A,FALSE,"Measures";#N/A,#N/A,FALSE,"Net Lost Rev";#N/A,#N/A,FALSE,"Incentive"}</definedName>
    <definedName name="wrn.OR._.Carrying._.Charge._.JV.1" localSheetId="31" hidden="1">{#N/A,#N/A,FALSE,"Loans";#N/A,#N/A,FALSE,"Program Costs";#N/A,#N/A,FALSE,"Measures";#N/A,#N/A,FALSE,"Net Lost Rev";#N/A,#N/A,FALSE,"Incentive"}</definedName>
    <definedName name="wrn.OR._.Carrying._.Charge._.JV.1" hidden="1">{#N/A,#N/A,FALSE,"Loans";#N/A,#N/A,FALSE,"Program Costs";#N/A,#N/A,FALSE,"Measures";#N/A,#N/A,FALSE,"Net Lost Rev";#N/A,#N/A,FALSE,"Incentive"}</definedName>
    <definedName name="wrn.PI_Report." localSheetId="13" hidden="1">{"PI_Data",#N/A,TRUE,"P&amp;I Data"}</definedName>
    <definedName name="wrn.PI_Report." localSheetId="14" hidden="1">{"PI_Data",#N/A,TRUE,"P&amp;I Data"}</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5" hidden="1">{"PI_Data",#N/A,TRUE,"P&amp;I Data"}</definedName>
    <definedName name="wrn.PI_Report." localSheetId="27" hidden="1">{"PI_Data",#N/A,TRUE,"P&amp;I Data"}</definedName>
    <definedName name="wrn.PI_Report." localSheetId="29" hidden="1">{"PI_Data",#N/A,TRUE,"P&amp;I Data"}</definedName>
    <definedName name="wrn.PI_Report." localSheetId="30" hidden="1">{"PI_Data",#N/A,TRUE,"P&amp;I Data"}</definedName>
    <definedName name="wrn.PI_Report." localSheetId="31" hidden="1">{"PI_Data",#N/A,TRUE,"P&amp;I Data"}</definedName>
    <definedName name="wrn.PI_Report." localSheetId="7" hidden="1">{"PI_Data",#N/A,TRUE,"P&amp;I Data"}</definedName>
    <definedName name="wrn.PI_Report." localSheetId="9" hidden="1">{"PI_Data",#N/A,TRUE,"P&amp;I Data"}</definedName>
    <definedName name="wrn.PI_Report." localSheetId="10" hidden="1">{"PI_Data",#N/A,TRUE,"P&amp;I Data"}</definedName>
    <definedName name="wrn.PI_Report." hidden="1">{"PI_Data",#N/A,TRUE,"P&amp;I Data"}</definedName>
    <definedName name="wrn.Print._.1_8."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All._.Pages." localSheetId="31"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All." localSheetId="31"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printout." localSheetId="13" hidden="1">{#N/A,#N/A,FALSE,"Transmission Revenue Allocation";"Marginal Cost Revenues",#N/A,FALSE,"MC Revenues- 01 sales, 96 MC's";#N/A,#N/A,FALSE,"1996 marginal costs -ECAC Adopt"}</definedName>
    <definedName name="wrn.printout." localSheetId="14" hidden="1">{#N/A,#N/A,FALSE,"Transmission Revenue Allocation";"Marginal Cost Revenues",#N/A,FALSE,"MC Revenues- 01 sales, 96 MC's";#N/A,#N/A,FALSE,"1996 marginal costs -ECAC Adopt"}</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3"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9" hidden="1">{#N/A,#N/A,FALSE,"Transmission Revenue Allocation";"Marginal Cost Revenues",#N/A,FALSE,"MC Revenues- 01 sales, 96 MC's";#N/A,#N/A,FALSE,"1996 marginal costs -ECAC Adopt"}</definedName>
    <definedName name="wrn.printout." localSheetId="10"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privatelecform." localSheetId="31" hidden="1">{#N/A,#N/A,FALSE,"TD 1";#N/A,#N/A,FALSE,"TD 2";#N/A,#N/A,FALSE,"TD 3";#N/A,#N/A,FALSE,"TD 4";#N/A,#N/A,FALSE,"TD 5A";#N/A,#N/A,FALSE,"TD 5B";#N/A,#N/A,FALSE,"TD 6A";#N/A,#N/A,FALSE,"TD 6B";#N/A,#N/A,FALSE,"TD 7";#N/A,#N/A,FALSE,"TD 8";#N/A,#N/A,FALSE,"TD 9A";#N/A,#N/A,FALSE,"TD 9B";#N/A,#N/A,FALSE,"TD 10";#N/A,#N/A,FALSE,"TD 11";#N/A,#N/A,FALSE,"TD 12";#N/A,#N/A,FALSE,"TD DEC"}</definedName>
    <definedName name="wrn.privatelecform." hidden="1">{#N/A,#N/A,FALSE,"TD 1";#N/A,#N/A,FALSE,"TD 2";#N/A,#N/A,FALSE,"TD 3";#N/A,#N/A,FALSE,"TD 4";#N/A,#N/A,FALSE,"TD 5A";#N/A,#N/A,FALSE,"TD 5B";#N/A,#N/A,FALSE,"TD 6A";#N/A,#N/A,FALSE,"TD 6B";#N/A,#N/A,FALSE,"TD 7";#N/A,#N/A,FALSE,"TD 8";#N/A,#N/A,FALSE,"TD 9A";#N/A,#N/A,FALSE,"TD 9B";#N/A,#N/A,FALSE,"TD 10";#N/A,#N/A,FALSE,"TD 11";#N/A,#N/A,FALSE,"TD 12";#N/A,#N/A,FALSE,"TD DEC"}</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ceipt._.Stats." localSheetId="31"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port." localSheetId="31" hidden="1">{#N/A,#N/A,FALSE,"Work performed";#N/A,#N/A,FALSE,"Resources"}</definedName>
    <definedName name="wrn.Report." hidden="1">{#N/A,#N/A,FALSE,"Work performed";#N/A,#N/A,FALSE,"Resources"}</definedName>
    <definedName name="wrn.Res." localSheetId="19" hidden="1">{#N/A,#N/A,FALSE,"E-1, EM, ES";#N/A,#N/A,FALSE,"ESR, ET";#N/A,#N/A,FALSE,"E-7, E-A7";#N/A,#N/A,FALSE,"E-8";#N/A,#N/A,FALSE,"E-9 A, B, C, D";#N/A,#N/A,FALSE,"EL-1, EML";#N/A,#N/A,FALSE,"ESL, ESRL";#N/A,#N/A,FALSE,"ETL, EL-7";#N/A,#N/A,FALSE,"EL-A7, EL-8"}</definedName>
    <definedName name="wrn.Res." localSheetId="21" hidden="1">{#N/A,#N/A,FALSE,"E-1, EM, ES";#N/A,#N/A,FALSE,"ESR, ET";#N/A,#N/A,FALSE,"E-7, E-A7";#N/A,#N/A,FALSE,"E-8";#N/A,#N/A,FALSE,"E-9 A, B, C, D";#N/A,#N/A,FALSE,"EL-1, EML";#N/A,#N/A,FALSE,"ESL, ESRL";#N/A,#N/A,FALSE,"ETL, EL-7";#N/A,#N/A,FALSE,"EL-A7, EL-8"}</definedName>
    <definedName name="wrn.Res." localSheetId="22" hidden="1">{#N/A,#N/A,FALSE,"E-1, EM, ES";#N/A,#N/A,FALSE,"ESR, ET";#N/A,#N/A,FALSE,"E-7, E-A7";#N/A,#N/A,FALSE,"E-8";#N/A,#N/A,FALSE,"E-9 A, B, C, D";#N/A,#N/A,FALSE,"EL-1, EML";#N/A,#N/A,FALSE,"ESL, ESRL";#N/A,#N/A,FALSE,"ETL, EL-7";#N/A,#N/A,FALSE,"EL-A7, EL-8"}</definedName>
    <definedName name="wrn.Res." localSheetId="31" hidden="1">{#N/A,#N/A,FALSE,"E-1, EM, ES";#N/A,#N/A,FALSE,"ESR, ET";#N/A,#N/A,FALSE,"E-7, E-A7";#N/A,#N/A,FALSE,"E-8";#N/A,#N/A,FALSE,"E-9 A, B, C, D";#N/A,#N/A,FALSE,"EL-1, EML";#N/A,#N/A,FALSE,"ESL, ESRL";#N/A,#N/A,FALSE,"ETL, EL-7";#N/A,#N/A,FALSE,"EL-A7, EL-8"}</definedName>
    <definedName name="wrn.Res." localSheetId="9"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19"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_.Analysis." localSheetId="31"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ALES._.VAR._.95._.BUDGET." localSheetId="31" hidden="1">{"PRINT",#N/A,TRUE,"APPA";"PRINT",#N/A,TRUE,"APS";"PRINT",#N/A,TRUE,"BHPL";"PRINT",#N/A,TRUE,"BHPL2";"PRINT",#N/A,TRUE,"CDWR";"PRINT",#N/A,TRUE,"EWEB";"PRINT",#N/A,TRUE,"LADWP";"PRINT",#N/A,TRUE,"NEVBASE"}</definedName>
    <definedName name="wrn.SALES._.VAR._.95._.BUDGET." hidden="1">{"PRINT",#N/A,TRUE,"APPA";"PRINT",#N/A,TRUE,"APS";"PRINT",#N/A,TRUE,"BHPL";"PRINT",#N/A,TRUE,"BHPL2";"PRINT",#N/A,TRUE,"CDWR";"PRINT",#N/A,TRUE,"EWEB";"PRINT",#N/A,TRUE,"LADWP";"PRINT",#N/A,TRUE,"NEVBASE"}</definedName>
    <definedName name="wrn.schedules." localSheetId="19" hidden="1">{#N/A,#N/A,FALSE,"Res - Unadj";#N/A,#N/A,FALSE,"Small L&amp;P";#N/A,#N/A,FALSE,"Medium L&amp;P";#N/A,#N/A,FALSE,"E-19";#N/A,#N/A,FALSE,"E-20";#N/A,#N/A,FALSE,"A-RTP";#N/A,#N/A,FALSE,"Strtlts &amp; Standby";#N/A,#N/A,FALSE,"AG";#N/A,#N/A,FALSE,"2001mixeduse"}</definedName>
    <definedName name="wrn.schedules." localSheetId="21" hidden="1">{#N/A,#N/A,FALSE,"ND Rev at Pres Rates";#N/A,#N/A,FALSE,"Res - Unadj";#N/A,#N/A,FALSE,"Small L&amp;P";#N/A,#N/A,FALSE,"Medium L&amp;P";#N/A,#N/A,FALSE,"E-19";#N/A,#N/A,FALSE,"E-20";#N/A,#N/A,FALSE,"A-RTP";#N/A,#N/A,FALSE,"Strtlts &amp; Standby";#N/A,#N/A,FALSE,"AG";#N/A,#N/A,FALSE,"2001mixeduse"}</definedName>
    <definedName name="wrn.schedules." localSheetId="22" hidden="1">{#N/A,#N/A,FALSE,"Res - Unadj";#N/A,#N/A,FALSE,"Small L&amp;P";#N/A,#N/A,FALSE,"Medium L&amp;P";#N/A,#N/A,FALSE,"E-19";#N/A,#N/A,FALSE,"E-20";#N/A,#N/A,FALSE,"A-RTP";#N/A,#N/A,FALSE,"Strtlts &amp; Standby";#N/A,#N/A,FALSE,"AG";#N/A,#N/A,FALSE,"2001mixeduse"}</definedName>
    <definedName name="wrn.schedules." localSheetId="31" hidden="1">{#N/A,#N/A,FALSE,"Res - Unadj";#N/A,#N/A,FALSE,"Small L&amp;P";#N/A,#N/A,FALSE,"Medium L&amp;P";#N/A,#N/A,FALSE,"E-19";#N/A,#N/A,FALSE,"E-20";#N/A,#N/A,FALSE,"A-RTP";#N/A,#N/A,FALSE,"Strtlts &amp; Standby";#N/A,#N/A,FALSE,"AG";#N/A,#N/A,FALSE,"2001mixeduse"}</definedName>
    <definedName name="wrn.schedules." localSheetId="9"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19" hidden="1">{"Summary","1",FALSE,"Summary"}</definedName>
    <definedName name="wrn.sum1." localSheetId="21" hidden="1">{"Summary","1",FALSE,"Summary"}</definedName>
    <definedName name="wrn.sum1." localSheetId="22" hidden="1">{"Summary","1",FALSE,"Summary"}</definedName>
    <definedName name="wrn.sum1." localSheetId="31" hidden="1">{"Summary","1",FALSE,"Summary"}</definedName>
    <definedName name="wrn.sum1." localSheetId="9" hidden="1">{"Summary","1",FALSE,"Summary"}</definedName>
    <definedName name="wrn.sum1." hidden="1">{"Summary","1",FALSE,"Summary"}</definedName>
    <definedName name="wrn.summary." localSheetId="31" hidden="1">{#N/A,#N/A,FALSE,"AP&amp;L"}</definedName>
    <definedName name="wrn.summary." hidden="1">{#N/A,#N/A,FALSE,"AP&amp;L"}</definedName>
    <definedName name="wrn.Supporting._.Calculations." localSheetId="31" hidden="1">{#N/A,#N/A,FALSE,"Work performed";#N/A,#N/A,FALSE,"Resources"}</definedName>
    <definedName name="wrn.Supporting._.Calculations." hidden="1">{#N/A,#N/A,FALSE,"Work performed";#N/A,#N/A,FALSE,"Resources"}</definedName>
    <definedName name="wrn.Tax._.Accrual." localSheetId="31" hidden="1">{#N/A,#N/A,TRUE,"TAXPROV";#N/A,#N/A,TRUE,"FLOWTHRU";#N/A,#N/A,TRUE,"SCHEDULE M'S";#N/A,#N/A,TRUE,"PLANT M'S";#N/A,#N/A,TRUE,"TAXJE"}</definedName>
    <definedName name="wrn.Tax._.Accrual." hidden="1">{#N/A,#N/A,TRUE,"TAXPROV";#N/A,#N/A,TRUE,"FLOWTHRU";#N/A,#N/A,TRUE,"SCHEDULE M'S";#N/A,#N/A,TRUE,"PLANT M'S";#N/A,#N/A,TRUE,"TAXJE"}</definedName>
    <definedName name="wrn.YearEnd." localSheetId="31" hidden="1">{"Factors Pages 1-2",#N/A,FALSE,"Variables";"Factors Page 3",#N/A,FALSE,"Variables";"Factors Page 4",#N/A,FALSE,"Variables";"Factors Page 5",#N/A,FALSE,"Variables";"YE Pages 7-26",#N/A,FALSE,"Variables"}</definedName>
    <definedName name="wrn.YearEnd." hidden="1">{"Factors Pages 1-2",#N/A,FALSE,"Variables";"Factors Page 3",#N/A,FALSE,"Variables";"Factors Page 4",#N/A,FALSE,"Variables";"Factors Page 5",#N/A,FALSE,"Variables";"YE Pages 7-26",#N/A,FALSE,"Variables"}</definedName>
    <definedName name="WS">#REF!</definedName>
    <definedName name="WSA">#REF!</definedName>
    <definedName name="x" localSheetId="19" hidden="1">{#N/A,#N/A,FALSE,"CTC Summary - EOY";#N/A,#N/A,FALSE,"CTC Summary - Wtavg"}</definedName>
    <definedName name="x" localSheetId="21" hidden="1">{#N/A,#N/A,FALSE,"CTC Summary - EOY";#N/A,#N/A,FALSE,"CTC Summary - Wtavg"}</definedName>
    <definedName name="x" localSheetId="22" hidden="1">{#N/A,#N/A,FALSE,"CTC Summary - EOY";#N/A,#N/A,FALSE,"CTC Summary - Wtavg"}</definedName>
    <definedName name="x" localSheetId="31" hidden="1">{#N/A,#N/A,FALSE,"CTC Summary - EOY";#N/A,#N/A,FALSE,"CTC Summary - Wtavg"}</definedName>
    <definedName name="x" localSheetId="9" hidden="1">{#N/A,#N/A,FALSE,"CTC Summary - EOY";#N/A,#N/A,FALSE,"CTC Summary - Wtavg"}</definedName>
    <definedName name="x" hidden="1">{#N/A,#N/A,FALSE,"CTC Summary - EOY";#N/A,#N/A,FALSE,"CTC Summary - Wtavg"}</definedName>
    <definedName name="xa" localSheetId="31">{"'Metretek HTML'!$A$7:$W$42"}</definedName>
    <definedName name="xa">{"'Metretek HTML'!$A$7:$W$42"}</definedName>
    <definedName name="xb"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el">#REF!</definedName>
    <definedName name="Xcel_COS" localSheetId="31">#REF!</definedName>
    <definedName name="Xcel_COS">#REF!</definedName>
    <definedName name="xd"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1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31"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9"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1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31"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9"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1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31"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9"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1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9"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1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9"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1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9"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19" hidden="1">{#N/A,#N/A,FALSE,"Res - Unadj";#N/A,#N/A,FALSE,"Small L&amp;P";#N/A,#N/A,FALSE,"Medium L&amp;P";#N/A,#N/A,FALSE,"E-19";#N/A,#N/A,FALSE,"E-20";#N/A,#N/A,FALSE,"A-RTP";#N/A,#N/A,FALSE,"Strtlts &amp; Standby";#N/A,#N/A,FALSE,"AG";#N/A,#N/A,FALSE,"2001mixeduse"}</definedName>
    <definedName name="xk" localSheetId="21" hidden="1">{#N/A,#N/A,FALSE,"Res - Unadj";#N/A,#N/A,FALSE,"Small L&amp;P";#N/A,#N/A,FALSE,"Medium L&amp;P";#N/A,#N/A,FALSE,"E-19";#N/A,#N/A,FALSE,"E-20";#N/A,#N/A,FALSE,"A-RTP";#N/A,#N/A,FALSE,"Strtlts &amp; Standby";#N/A,#N/A,FALSE,"AG";#N/A,#N/A,FALSE,"2001mixeduse"}</definedName>
    <definedName name="xk" localSheetId="22" hidden="1">{#N/A,#N/A,FALSE,"Res - Unadj";#N/A,#N/A,FALSE,"Small L&amp;P";#N/A,#N/A,FALSE,"Medium L&amp;P";#N/A,#N/A,FALSE,"E-19";#N/A,#N/A,FALSE,"E-20";#N/A,#N/A,FALSE,"A-RTP";#N/A,#N/A,FALSE,"Strtlts &amp; Standby";#N/A,#N/A,FALSE,"AG";#N/A,#N/A,FALSE,"2001mixeduse"}</definedName>
    <definedName name="xk" localSheetId="31" hidden="1">{#N/A,#N/A,FALSE,"Res - Unadj";#N/A,#N/A,FALSE,"Small L&amp;P";#N/A,#N/A,FALSE,"Medium L&amp;P";#N/A,#N/A,FALSE,"E-19";#N/A,#N/A,FALSE,"E-20";#N/A,#N/A,FALSE,"A-RTP";#N/A,#N/A,FALSE,"Strtlts &amp; Standby";#N/A,#N/A,FALSE,"AG";#N/A,#N/A,FALSE,"2001mixeduse"}</definedName>
    <definedName name="xk" localSheetId="9"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19" hidden="1">{"Summary","1",FALSE,"Summary"}</definedName>
    <definedName name="xl" localSheetId="21" hidden="1">{"Summary","1",FALSE,"Summary"}</definedName>
    <definedName name="xl" localSheetId="22" hidden="1">{"Summary","1",FALSE,"Summary"}</definedName>
    <definedName name="xl" localSheetId="31" hidden="1">{"Summary","1",FALSE,"Summary"}</definedName>
    <definedName name="xl" localSheetId="9" hidden="1">{"Summary","1",FALSE,"Summary"}</definedName>
    <definedName name="xl" hidden="1">{"Summary","1",FALSE,"Summary"}</definedName>
    <definedName name="xls" localSheetId="31">{"'Metretek HTML'!$A$7:$W$42"}</definedName>
    <definedName name="xls">{"'Metretek HTML'!$A$7:$W$42"}</definedName>
    <definedName name="xm"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O" localSheetId="31">{"'Metretek HTML'!$A$7:$W$42"}</definedName>
    <definedName name="XO">{"'Metretek HTML'!$A$7:$W$42"}</definedName>
    <definedName name="xs" localSheetId="31">{"'Metretek HTML'!$A$7:$W$42"}</definedName>
    <definedName name="xs">{"'Metretek HTML'!$A$7:$W$42"}</definedName>
    <definedName name="xx" localSheetId="31" hidden="1">{#N/A,#N/A,FALSE,"EMPPAY"}</definedName>
    <definedName name="xx" hidden="1">{#N/A,#N/A,FALSE,"EMPPAY"}</definedName>
    <definedName name="xxx" localSheetId="1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31"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9"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x" localSheetId="31" hidden="1">{#N/A,#N/A,FALSE,"O&amp;M by processes";#N/A,#N/A,FALSE,"Elec Act vs Bud";#N/A,#N/A,FALSE,"G&amp;A";#N/A,#N/A,FALSE,"BGS";#N/A,#N/A,FALSE,"Res Cost"}</definedName>
    <definedName name="xxxx" hidden="1">{#N/A,#N/A,FALSE,"O&amp;M by processes";#N/A,#N/A,FALSE,"Elec Act vs Bud";#N/A,#N/A,FALSE,"G&amp;A";#N/A,#N/A,FALSE,"BGS";#N/A,#N/A,FALSE,"Res Cost"}</definedName>
    <definedName name="xxxxxxx" localSheetId="31">{"'Metretek HTML'!$A$7:$W$42"}</definedName>
    <definedName name="xxxxxxx">{"'Metretek HTML'!$A$7:$W$42"}</definedName>
    <definedName name="XXXXXXXXXXXXXX" localSheetId="31">{"'Metretek HTML'!$A$7:$W$42"}</definedName>
    <definedName name="XXXXXXXXXXXXXX">{"'Metretek HTML'!$A$7:$W$42"}</definedName>
    <definedName name="xy" localSheetId="31">{"'Metretek HTML'!$A$7:$W$42"}</definedName>
    <definedName name="xy">{"'Metretek HTML'!$A$7:$W$42"}</definedName>
    <definedName name="XZ" localSheetId="31">{"'Metretek HTML'!$A$7:$W$42"}</definedName>
    <definedName name="XZ">{"'Metretek HTML'!$A$7:$W$42"}</definedName>
    <definedName name="y" localSheetId="31" hidden="1">{#N/A,#N/A,FALSE,"Monthly SAIFI";#N/A,#N/A,FALSE,"Yearly SAIFI";#N/A,#N/A,FALSE,"Monthly CAIDI";#N/A,#N/A,FALSE,"Yearly CAIDI";#N/A,#N/A,FALSE,"Monthly SAIDI";#N/A,#N/A,FALSE,"Yearly SAIDI";#N/A,#N/A,FALSE,"Monthly MAIFI";#N/A,#N/A,FALSE,"Yearly MAIFI";#N/A,#N/A,FALSE,"Monthly Cust &gt;=4 Int"}</definedName>
    <definedName name="y" hidden="1">{#N/A,#N/A,FALSE,"Monthly SAIFI";#N/A,#N/A,FALSE,"Yearly SAIFI";#N/A,#N/A,FALSE,"Monthly CAIDI";#N/A,#N/A,FALSE,"Yearly CAIDI";#N/A,#N/A,FALSE,"Monthly SAIDI";#N/A,#N/A,FALSE,"Yearly SAIDI";#N/A,#N/A,FALSE,"Monthly MAIFI";#N/A,#N/A,FALSE,"Yearly MAIFI";#N/A,#N/A,FALSE,"Monthly Cust &gt;=4 Int"}</definedName>
    <definedName name="YEAR1">#REF!</definedName>
    <definedName name="yeartodate">#REF!</definedName>
    <definedName name="yrtm1">#REF!</definedName>
    <definedName name="yrtm2">#REF!</definedName>
    <definedName name="yrtm3">#REF!</definedName>
    <definedName name="yrtm4">#REF!</definedName>
    <definedName name="yryryrr" localSheetId="31"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#REF!</definedName>
    <definedName name="yy" localSheetId="31">{"'Metretek HTML'!$A$7:$W$42"}</definedName>
    <definedName name="yy">{"'Metretek HTML'!$A$7:$W$42"}</definedName>
    <definedName name="z" localSheetId="31" hidden="1">{#N/A,#N/A,FALSE,"Monthly SAIFI";#N/A,#N/A,FALSE,"Yearly SAIFI";#N/A,#N/A,FALSE,"Monthly CAIDI";#N/A,#N/A,FALSE,"Yearly CAIDI";#N/A,#N/A,FALSE,"Monthly SAIDI";#N/A,#N/A,FALSE,"Yearly SAIDI";#N/A,#N/A,FALSE,"Monthly MAIFI";#N/A,#N/A,FALSE,"Yearly MAIFI";#N/A,#N/A,FALSE,"Monthly Cust &gt;=4 Int"}</definedName>
    <definedName name="z" hidden="1">{#N/A,#N/A,FALSE,"Monthly SAIFI";#N/A,#N/A,FALSE,"Yearly SAIFI";#N/A,#N/A,FALSE,"Monthly CAIDI";#N/A,#N/A,FALSE,"Yearly CAIDI";#N/A,#N/A,FALSE,"Monthly SAIDI";#N/A,#N/A,FALSE,"Yearly SAIDI";#N/A,#N/A,FALSE,"Monthly MAIFI";#N/A,#N/A,FALSE,"Yearly MAIFI";#N/A,#N/A,FALSE,"Monthly Cust &gt;=4 Int"}</definedName>
    <definedName name="zero">0</definedName>
    <definedName name="Zone_Inputs">#REF!,#REF!,#REF!,#REF!,#REF!,#REF!,#REF!,#REF!,#REF!,#REF!,#REF!,#REF!,#REF!,#REF!,#REF!,#REF!,#REF!,#REF!,#REF!,#REF!,#REF!,#REF!,#REF!,#REF!,#REF!,#REF!,#REF!,#REF!,#REF!</definedName>
    <definedName name="zzzzzzzzzzzzzzzzzzzzzzzzzzzzz" localSheetId="19" hidden="1">{"PI_Data",#N/A,TRUE,"P&amp;I Data"}</definedName>
    <definedName name="zzzzzzzzzzzzzzzzzzzzzzzzzzzzz" localSheetId="21" hidden="1">{"PI_Data",#N/A,TRUE,"P&amp;I Data"}</definedName>
    <definedName name="zzzzzzzzzzzzzzzzzzzzzzzzzzzzz" localSheetId="22" hidden="1">{"PI_Data",#N/A,TRUE,"P&amp;I Data"}</definedName>
    <definedName name="zzzzzzzzzzzzzzzzzzzzzzzzzzzzz" localSheetId="31" hidden="1">{"PI_Data",#N/A,TRUE,"P&amp;I Data"}</definedName>
    <definedName name="zzzzzzzzzzzzzzzzzzzzzzzzzzzzz" localSheetId="9" hidden="1">{"PI_Data",#N/A,TRUE,"P&amp;I Data"}</definedName>
    <definedName name="zzzzzzzzzzzzzzzzzzzzzzzzzzzzz" hidden="1">{"PI_Data",#N/A,TRUE,"P&amp;I Data"}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8" i="85" l="1"/>
  <c r="M49" i="85"/>
  <c r="M50" i="85"/>
  <c r="M51" i="85"/>
  <c r="M52" i="85"/>
  <c r="M53" i="85"/>
  <c r="M54" i="85"/>
  <c r="M55" i="85"/>
  <c r="M56" i="85"/>
  <c r="M57" i="85"/>
  <c r="M58" i="85"/>
  <c r="M59" i="85"/>
  <c r="M60" i="85"/>
  <c r="M61" i="85"/>
  <c r="M62" i="85"/>
  <c r="M63" i="85"/>
  <c r="M64" i="85"/>
  <c r="F34" i="80"/>
  <c r="AD47" i="139" l="1"/>
  <c r="AB27" i="139"/>
  <c r="AB28" i="139"/>
  <c r="F92" i="141" l="1"/>
  <c r="E92" i="141" l="1"/>
  <c r="D92" i="141"/>
  <c r="E40" i="141"/>
  <c r="E65" i="141"/>
  <c r="E13" i="141"/>
  <c r="E88" i="141" l="1"/>
  <c r="AT50" i="139" l="1"/>
  <c r="D54" i="141"/>
  <c r="D53" i="141"/>
  <c r="D52" i="141"/>
  <c r="D51" i="141"/>
  <c r="D50" i="141"/>
  <c r="J22" i="71" l="1"/>
  <c r="E37" i="141" l="1"/>
  <c r="E35" i="141"/>
  <c r="E36" i="80"/>
  <c r="E34" i="80"/>
  <c r="E33" i="80"/>
  <c r="E30" i="80"/>
  <c r="C29" i="90" l="1"/>
  <c r="D17" i="142" l="1"/>
  <c r="F17" i="142"/>
  <c r="E17" i="142"/>
  <c r="E24" i="142"/>
  <c r="F24" i="142" s="1"/>
  <c r="C17" i="142"/>
  <c r="F26" i="135" l="1"/>
  <c r="D26" i="136"/>
  <c r="G87" i="136" l="1"/>
  <c r="I115" i="137"/>
  <c r="I101" i="137"/>
  <c r="G87" i="137"/>
  <c r="I115" i="136"/>
  <c r="I101" i="136"/>
  <c r="L51" i="85"/>
  <c r="L52" i="85"/>
  <c r="L64" i="85" s="1"/>
  <c r="L53" i="85"/>
  <c r="L54" i="85"/>
  <c r="L55" i="85"/>
  <c r="L56" i="85"/>
  <c r="L57" i="85"/>
  <c r="L58" i="85"/>
  <c r="L59" i="85"/>
  <c r="L60" i="85"/>
  <c r="L61" i="85"/>
  <c r="L62" i="85"/>
  <c r="L63" i="85"/>
  <c r="L50" i="85"/>
  <c r="K64" i="85"/>
  <c r="AC25" i="136"/>
  <c r="F15" i="86"/>
  <c r="E62" i="108"/>
  <c r="E44" i="108"/>
  <c r="E31" i="108"/>
  <c r="A82" i="47"/>
  <c r="A83" i="47"/>
  <c r="A84" i="47"/>
  <c r="G44" i="86"/>
  <c r="G36" i="86"/>
  <c r="G30" i="86"/>
  <c r="G20" i="86"/>
  <c r="G14" i="86"/>
  <c r="D39" i="142"/>
  <c r="A39" i="142"/>
  <c r="G39" i="142"/>
  <c r="G38" i="142"/>
  <c r="A38" i="142"/>
  <c r="G37" i="142"/>
  <c r="G36" i="142"/>
  <c r="A30" i="142"/>
  <c r="D38" i="142"/>
  <c r="G29" i="142"/>
  <c r="G28" i="142"/>
  <c r="G23" i="142"/>
  <c r="E23" i="142"/>
  <c r="F23" i="142" s="1"/>
  <c r="E22" i="142"/>
  <c r="F22" i="142"/>
  <c r="E21" i="142"/>
  <c r="F21" i="142" s="1"/>
  <c r="A21" i="142"/>
  <c r="A22" i="142"/>
  <c r="G22" i="142"/>
  <c r="G20" i="142"/>
  <c r="E20" i="142"/>
  <c r="F20" i="142" s="1"/>
  <c r="A20" i="142"/>
  <c r="G19" i="142"/>
  <c r="E19" i="142"/>
  <c r="F19" i="142" s="1"/>
  <c r="A19" i="142"/>
  <c r="G18" i="142"/>
  <c r="E18" i="142"/>
  <c r="A18" i="142"/>
  <c r="G17" i="142"/>
  <c r="C10" i="142"/>
  <c r="A8" i="142"/>
  <c r="G6" i="142"/>
  <c r="G5" i="142"/>
  <c r="G8" i="142"/>
  <c r="A40" i="142"/>
  <c r="G40" i="142"/>
  <c r="A9" i="142"/>
  <c r="G21" i="142"/>
  <c r="G30" i="142"/>
  <c r="A31" i="142"/>
  <c r="G9" i="142"/>
  <c r="A10" i="142"/>
  <c r="G10" i="142"/>
  <c r="G31" i="142"/>
  <c r="D32" i="142"/>
  <c r="A32" i="142"/>
  <c r="D10" i="142"/>
  <c r="D33" i="142"/>
  <c r="G32" i="142"/>
  <c r="A33" i="142"/>
  <c r="D37" i="142"/>
  <c r="G33" i="142"/>
  <c r="D40" i="142"/>
  <c r="E36" i="47"/>
  <c r="H36" i="47" s="1"/>
  <c r="A115" i="140"/>
  <c r="A107" i="140"/>
  <c r="A25" i="140"/>
  <c r="A33" i="140"/>
  <c r="A93" i="140"/>
  <c r="A13" i="140"/>
  <c r="A13" i="139"/>
  <c r="D38" i="141"/>
  <c r="H25" i="139"/>
  <c r="C12" i="105"/>
  <c r="D12" i="105"/>
  <c r="E12" i="105"/>
  <c r="F12" i="105"/>
  <c r="G12" i="105"/>
  <c r="H12" i="105"/>
  <c r="I12" i="105"/>
  <c r="J12" i="105"/>
  <c r="K12" i="105"/>
  <c r="L12" i="105"/>
  <c r="L24" i="105" s="1"/>
  <c r="D81" i="104"/>
  <c r="E81" i="104"/>
  <c r="C81" i="104"/>
  <c r="D29" i="104"/>
  <c r="E29" i="104"/>
  <c r="F29" i="104"/>
  <c r="G29" i="104"/>
  <c r="H29" i="104"/>
  <c r="I29" i="104"/>
  <c r="J29" i="104"/>
  <c r="C29" i="104"/>
  <c r="D98" i="104"/>
  <c r="E98" i="104"/>
  <c r="C98" i="104"/>
  <c r="J60" i="104"/>
  <c r="D47" i="104"/>
  <c r="E47" i="104"/>
  <c r="F47" i="104"/>
  <c r="G47" i="104"/>
  <c r="H47" i="104"/>
  <c r="I47" i="104"/>
  <c r="J47" i="104"/>
  <c r="C47" i="104"/>
  <c r="E56" i="79"/>
  <c r="G56" i="79"/>
  <c r="H56" i="79"/>
  <c r="I56" i="79"/>
  <c r="D56" i="79"/>
  <c r="F24" i="70"/>
  <c r="F16" i="70"/>
  <c r="H93" i="140"/>
  <c r="H94" i="139"/>
  <c r="H14" i="139" s="1"/>
  <c r="E34" i="83"/>
  <c r="D34" i="83"/>
  <c r="C34" i="83"/>
  <c r="L20" i="108"/>
  <c r="L4" i="47"/>
  <c r="M37" i="85"/>
  <c r="L24" i="108"/>
  <c r="G97" i="141"/>
  <c r="G96" i="141"/>
  <c r="A75" i="141"/>
  <c r="A76" i="141"/>
  <c r="A77" i="141"/>
  <c r="G74" i="141"/>
  <c r="G72" i="141"/>
  <c r="G75" i="141"/>
  <c r="A78" i="141"/>
  <c r="G77" i="141"/>
  <c r="G76" i="141"/>
  <c r="A79" i="141"/>
  <c r="G78" i="141"/>
  <c r="A50" i="141"/>
  <c r="A51" i="141"/>
  <c r="A52" i="141"/>
  <c r="A53" i="141"/>
  <c r="A54" i="141"/>
  <c r="A55" i="141"/>
  <c r="A56" i="141"/>
  <c r="A57" i="141"/>
  <c r="A58" i="141"/>
  <c r="A59" i="141"/>
  <c r="A60" i="141"/>
  <c r="A61" i="141"/>
  <c r="A62" i="141"/>
  <c r="A22" i="141"/>
  <c r="A23" i="141"/>
  <c r="A24" i="141"/>
  <c r="A25" i="141"/>
  <c r="A26" i="141"/>
  <c r="A27" i="141"/>
  <c r="A28" i="141"/>
  <c r="A29" i="141"/>
  <c r="A30" i="141"/>
  <c r="A31" i="141"/>
  <c r="A32" i="141"/>
  <c r="A33" i="141"/>
  <c r="D64" i="141"/>
  <c r="D65" i="141"/>
  <c r="E63" i="141"/>
  <c r="E47" i="141" s="1"/>
  <c r="G49" i="141"/>
  <c r="G21" i="141"/>
  <c r="A13" i="141"/>
  <c r="G13" i="141"/>
  <c r="G12" i="141"/>
  <c r="G11" i="141"/>
  <c r="G79" i="141"/>
  <c r="A80" i="141"/>
  <c r="D47" i="141"/>
  <c r="G62" i="141"/>
  <c r="A63" i="141"/>
  <c r="A34" i="141"/>
  <c r="G33" i="141"/>
  <c r="G60" i="141"/>
  <c r="G31" i="141"/>
  <c r="G61" i="141"/>
  <c r="G47" i="141"/>
  <c r="G32" i="141"/>
  <c r="A81" i="141"/>
  <c r="G80" i="141"/>
  <c r="A64" i="141"/>
  <c r="F65" i="141"/>
  <c r="G63" i="141"/>
  <c r="G34" i="141"/>
  <c r="A35" i="141"/>
  <c r="G30" i="141"/>
  <c r="G59" i="141"/>
  <c r="A82" i="141"/>
  <c r="G81" i="141"/>
  <c r="A65" i="141"/>
  <c r="G64" i="141"/>
  <c r="A36" i="141"/>
  <c r="F38" i="141"/>
  <c r="G35" i="141"/>
  <c r="G19" i="141"/>
  <c r="G58" i="141"/>
  <c r="G29" i="141"/>
  <c r="F37" i="141"/>
  <c r="A37" i="141"/>
  <c r="A38" i="141"/>
  <c r="A39" i="141"/>
  <c r="A40" i="141"/>
  <c r="A83" i="141"/>
  <c r="G82" i="141"/>
  <c r="G65" i="141"/>
  <c r="F47" i="141"/>
  <c r="G36" i="141"/>
  <c r="G57" i="141"/>
  <c r="G28" i="141"/>
  <c r="A84" i="141"/>
  <c r="G83" i="141"/>
  <c r="F40" i="141"/>
  <c r="G37" i="141"/>
  <c r="G56" i="141"/>
  <c r="G27" i="141"/>
  <c r="A85" i="141"/>
  <c r="G84" i="141"/>
  <c r="G39" i="141"/>
  <c r="G26" i="141"/>
  <c r="G55" i="141"/>
  <c r="A86" i="141"/>
  <c r="G85" i="141"/>
  <c r="F19" i="141"/>
  <c r="G40" i="141"/>
  <c r="G54" i="141"/>
  <c r="G25" i="141"/>
  <c r="A87" i="141"/>
  <c r="G86" i="141"/>
  <c r="G24" i="141"/>
  <c r="G53" i="141"/>
  <c r="A88" i="141"/>
  <c r="A89" i="141"/>
  <c r="G87" i="141"/>
  <c r="G52" i="141"/>
  <c r="G23" i="141"/>
  <c r="G22" i="141"/>
  <c r="A90" i="141"/>
  <c r="G89" i="141"/>
  <c r="G88" i="141"/>
  <c r="G50" i="141"/>
  <c r="G51" i="141"/>
  <c r="A92" i="141"/>
  <c r="G90" i="141"/>
  <c r="C52" i="90"/>
  <c r="F37" i="85" s="1"/>
  <c r="F50" i="90"/>
  <c r="F48" i="90"/>
  <c r="F47" i="90"/>
  <c r="F46" i="90"/>
  <c r="A51" i="90"/>
  <c r="F51" i="90"/>
  <c r="A50" i="90"/>
  <c r="C47" i="90"/>
  <c r="C46" i="90"/>
  <c r="A52" i="90"/>
  <c r="F52" i="90"/>
  <c r="G92" i="141"/>
  <c r="F72" i="141"/>
  <c r="A47" i="90"/>
  <c r="A48" i="90"/>
  <c r="A46" i="90"/>
  <c r="AN120" i="140"/>
  <c r="BB120" i="140"/>
  <c r="AL120" i="140"/>
  <c r="AZ120" i="140"/>
  <c r="AJ120" i="140"/>
  <c r="AX120" i="140"/>
  <c r="X120" i="140"/>
  <c r="AN119" i="140"/>
  <c r="BB119" i="140"/>
  <c r="AL119" i="140"/>
  <c r="AZ119" i="140"/>
  <c r="R119" i="140"/>
  <c r="AN118" i="140"/>
  <c r="BB118" i="140"/>
  <c r="AL118" i="140"/>
  <c r="AZ118" i="140"/>
  <c r="X118" i="140"/>
  <c r="R118" i="140"/>
  <c r="AJ118" i="140"/>
  <c r="AX118" i="140"/>
  <c r="AN117" i="140"/>
  <c r="BB117" i="140"/>
  <c r="AJ117" i="140"/>
  <c r="T117" i="140"/>
  <c r="X117" i="140"/>
  <c r="AN116" i="140"/>
  <c r="BB116" i="140"/>
  <c r="AJ116" i="140"/>
  <c r="AX116" i="140"/>
  <c r="T116" i="140"/>
  <c r="AL116" i="140"/>
  <c r="A116" i="140"/>
  <c r="A117" i="140"/>
  <c r="BI115" i="140"/>
  <c r="AV115" i="140"/>
  <c r="AV19" i="140"/>
  <c r="AT115" i="140"/>
  <c r="AR115" i="140"/>
  <c r="AF115" i="140"/>
  <c r="AF19" i="140"/>
  <c r="AD115" i="140"/>
  <c r="AD19" i="140"/>
  <c r="AB115" i="140"/>
  <c r="V115" i="140"/>
  <c r="R115" i="140"/>
  <c r="R19" i="140"/>
  <c r="N115" i="140"/>
  <c r="L115" i="140"/>
  <c r="J115" i="140"/>
  <c r="H115" i="140"/>
  <c r="H19" i="140"/>
  <c r="AN113" i="140"/>
  <c r="BB113" i="140"/>
  <c r="AL113" i="140"/>
  <c r="AZ113" i="140"/>
  <c r="AJ113" i="140"/>
  <c r="AX113" i="140"/>
  <c r="AN112" i="140"/>
  <c r="BB112" i="140"/>
  <c r="AL112" i="140"/>
  <c r="AJ112" i="140"/>
  <c r="AX112" i="140"/>
  <c r="X112" i="140"/>
  <c r="AN111" i="140"/>
  <c r="BB111" i="140"/>
  <c r="AL111" i="140"/>
  <c r="AJ111" i="140"/>
  <c r="AX111" i="140"/>
  <c r="X111" i="140"/>
  <c r="AN110" i="140"/>
  <c r="BB110" i="140"/>
  <c r="AL110" i="140"/>
  <c r="AJ110" i="140"/>
  <c r="AX110" i="140"/>
  <c r="X110" i="140"/>
  <c r="AN109" i="140"/>
  <c r="BB109" i="140"/>
  <c r="AL109" i="140"/>
  <c r="AJ109" i="140"/>
  <c r="AX109" i="140"/>
  <c r="X109" i="140"/>
  <c r="AN108" i="140"/>
  <c r="BB108" i="140"/>
  <c r="BB107" i="140"/>
  <c r="AL108" i="140"/>
  <c r="X108" i="140"/>
  <c r="R108" i="140"/>
  <c r="AJ108" i="140"/>
  <c r="A108" i="140"/>
  <c r="BI107" i="140"/>
  <c r="AV107" i="140"/>
  <c r="AT107" i="140"/>
  <c r="AR107" i="140"/>
  <c r="AN107" i="140"/>
  <c r="AN15" i="140"/>
  <c r="AF107" i="140"/>
  <c r="AD107" i="140"/>
  <c r="AB107" i="140"/>
  <c r="V107" i="140"/>
  <c r="V15" i="140"/>
  <c r="T107" i="140"/>
  <c r="R107" i="140"/>
  <c r="N107" i="140"/>
  <c r="L107" i="140"/>
  <c r="L15" i="140"/>
  <c r="J107" i="140"/>
  <c r="H107" i="140"/>
  <c r="AL104" i="140"/>
  <c r="AZ104" i="140"/>
  <c r="AJ104" i="140"/>
  <c r="AX104" i="140"/>
  <c r="V104" i="140"/>
  <c r="X104" i="140"/>
  <c r="AL103" i="140"/>
  <c r="AZ103" i="140"/>
  <c r="AJ103" i="140"/>
  <c r="AX103" i="140"/>
  <c r="X103" i="140"/>
  <c r="V103" i="140"/>
  <c r="AN103" i="140"/>
  <c r="BB103" i="140"/>
  <c r="AL102" i="140"/>
  <c r="AZ102" i="140"/>
  <c r="AJ102" i="140"/>
  <c r="V102" i="140"/>
  <c r="X102" i="140"/>
  <c r="AL101" i="140"/>
  <c r="AJ101" i="140"/>
  <c r="AX101" i="140"/>
  <c r="V101" i="140"/>
  <c r="AN101" i="140"/>
  <c r="BB101" i="140"/>
  <c r="AL100" i="140"/>
  <c r="AZ100" i="140"/>
  <c r="AJ100" i="140"/>
  <c r="AX100" i="140"/>
  <c r="V100" i="140"/>
  <c r="AL99" i="140"/>
  <c r="AZ99" i="140"/>
  <c r="AJ99" i="140"/>
  <c r="AX99" i="140"/>
  <c r="V99" i="140"/>
  <c r="AN99" i="140"/>
  <c r="BB99" i="140"/>
  <c r="AL98" i="140"/>
  <c r="AZ98" i="140"/>
  <c r="AJ98" i="140"/>
  <c r="AX98" i="140"/>
  <c r="V98" i="140"/>
  <c r="X98" i="140"/>
  <c r="AL97" i="140"/>
  <c r="AZ97" i="140"/>
  <c r="AJ97" i="140"/>
  <c r="AX97" i="140"/>
  <c r="V97" i="140"/>
  <c r="AN97" i="140"/>
  <c r="BB97" i="140"/>
  <c r="BI96" i="140"/>
  <c r="AL96" i="140"/>
  <c r="AZ96" i="140"/>
  <c r="AJ96" i="140"/>
  <c r="AX96" i="140"/>
  <c r="V96" i="140"/>
  <c r="AL95" i="140"/>
  <c r="AZ95" i="140"/>
  <c r="AJ95" i="140"/>
  <c r="AX95" i="140"/>
  <c r="V95" i="140"/>
  <c r="X95" i="140"/>
  <c r="AL94" i="140"/>
  <c r="AZ94" i="140"/>
  <c r="AJ94" i="140"/>
  <c r="AX94" i="140"/>
  <c r="V94" i="140"/>
  <c r="AN94" i="140"/>
  <c r="A94" i="140"/>
  <c r="A95" i="140"/>
  <c r="BI93" i="140"/>
  <c r="AV93" i="140"/>
  <c r="AT93" i="140"/>
  <c r="AR93" i="140"/>
  <c r="AR14" i="140"/>
  <c r="AF93" i="140"/>
  <c r="AD93" i="140"/>
  <c r="AB93" i="140"/>
  <c r="T93" i="140"/>
  <c r="R93" i="140"/>
  <c r="N93" i="140"/>
  <c r="L93" i="140"/>
  <c r="L14" i="140"/>
  <c r="J93" i="140"/>
  <c r="AN90" i="140"/>
  <c r="BB90" i="140"/>
  <c r="AJ90" i="140"/>
  <c r="AX90" i="140"/>
  <c r="T90" i="140"/>
  <c r="X90" i="140"/>
  <c r="AN89" i="140"/>
  <c r="BB89" i="140"/>
  <c r="AJ89" i="140"/>
  <c r="AX89" i="140"/>
  <c r="T89" i="140"/>
  <c r="X89" i="140"/>
  <c r="AN88" i="140"/>
  <c r="BB88" i="140"/>
  <c r="AJ88" i="140"/>
  <c r="AX88" i="140"/>
  <c r="T88" i="140"/>
  <c r="AN87" i="140"/>
  <c r="BB87" i="140"/>
  <c r="AJ87" i="140"/>
  <c r="AX87" i="140"/>
  <c r="T87" i="140"/>
  <c r="AL87" i="140"/>
  <c r="AN86" i="140"/>
  <c r="BB86" i="140"/>
  <c r="AJ86" i="140"/>
  <c r="AX86" i="140"/>
  <c r="T86" i="140"/>
  <c r="X86" i="140"/>
  <c r="AN85" i="140"/>
  <c r="BB85" i="140"/>
  <c r="AJ85" i="140"/>
  <c r="AX85" i="140"/>
  <c r="T85" i="140"/>
  <c r="X85" i="140"/>
  <c r="AN84" i="140"/>
  <c r="BB84" i="140"/>
  <c r="AJ84" i="140"/>
  <c r="T84" i="140"/>
  <c r="AN83" i="140"/>
  <c r="BB83" i="140"/>
  <c r="AJ83" i="140"/>
  <c r="AX83" i="140"/>
  <c r="T83" i="140"/>
  <c r="AL83" i="140"/>
  <c r="AN82" i="140"/>
  <c r="BB82" i="140"/>
  <c r="AJ82" i="140"/>
  <c r="T82" i="140"/>
  <c r="AN81" i="140"/>
  <c r="BB81" i="140"/>
  <c r="AJ81" i="140"/>
  <c r="AX81" i="140"/>
  <c r="T81" i="140"/>
  <c r="AL81" i="140"/>
  <c r="AN80" i="140"/>
  <c r="BB80" i="140"/>
  <c r="AJ80" i="140"/>
  <c r="AX80" i="140"/>
  <c r="T80" i="140"/>
  <c r="X80" i="140"/>
  <c r="AN79" i="140"/>
  <c r="BB79" i="140"/>
  <c r="AJ79" i="140"/>
  <c r="AX79" i="140"/>
  <c r="T79" i="140"/>
  <c r="AL79" i="140"/>
  <c r="AZ79" i="140"/>
  <c r="AN78" i="140"/>
  <c r="BB78" i="140"/>
  <c r="AJ78" i="140"/>
  <c r="AX78" i="140"/>
  <c r="T78" i="140"/>
  <c r="AL78" i="140"/>
  <c r="AZ78" i="140"/>
  <c r="AN77" i="140"/>
  <c r="BB77" i="140"/>
  <c r="AJ77" i="140"/>
  <c r="AX77" i="140"/>
  <c r="T77" i="140"/>
  <c r="X77" i="140"/>
  <c r="AN76" i="140"/>
  <c r="BB76" i="140"/>
  <c r="AJ76" i="140"/>
  <c r="AX76" i="140"/>
  <c r="T76" i="140"/>
  <c r="X76" i="140"/>
  <c r="AN75" i="140"/>
  <c r="BB75" i="140"/>
  <c r="AJ75" i="140"/>
  <c r="AX75" i="140"/>
  <c r="T75" i="140"/>
  <c r="AL75" i="140"/>
  <c r="AZ75" i="140"/>
  <c r="AN74" i="140"/>
  <c r="BB74" i="140"/>
  <c r="AJ74" i="140"/>
  <c r="AX74" i="140"/>
  <c r="T74" i="140"/>
  <c r="AL74" i="140"/>
  <c r="AN73" i="140"/>
  <c r="BB73" i="140"/>
  <c r="AJ73" i="140"/>
  <c r="AX73" i="140"/>
  <c r="T73" i="140"/>
  <c r="X73" i="140"/>
  <c r="AN72" i="140"/>
  <c r="BB72" i="140"/>
  <c r="AJ72" i="140"/>
  <c r="AX72" i="140"/>
  <c r="T72" i="140"/>
  <c r="AN71" i="140"/>
  <c r="BB71" i="140"/>
  <c r="AJ71" i="140"/>
  <c r="AX71" i="140"/>
  <c r="T71" i="140"/>
  <c r="AN70" i="140"/>
  <c r="BB70" i="140"/>
  <c r="AJ70" i="140"/>
  <c r="AX70" i="140"/>
  <c r="T70" i="140"/>
  <c r="AL70" i="140"/>
  <c r="AZ70" i="140"/>
  <c r="AN69" i="140"/>
  <c r="BB69" i="140"/>
  <c r="AJ69" i="140"/>
  <c r="T69" i="140"/>
  <c r="X69" i="140"/>
  <c r="BB68" i="140"/>
  <c r="AN68" i="140"/>
  <c r="AJ68" i="140"/>
  <c r="AX68" i="140"/>
  <c r="T68" i="140"/>
  <c r="BB67" i="140"/>
  <c r="AN67" i="140"/>
  <c r="AJ67" i="140"/>
  <c r="AX67" i="140"/>
  <c r="T67" i="140"/>
  <c r="AL67" i="140"/>
  <c r="AZ67" i="140"/>
  <c r="AN66" i="140"/>
  <c r="BB66" i="140"/>
  <c r="AL66" i="140"/>
  <c r="AZ66" i="140"/>
  <c r="R66" i="140"/>
  <c r="AJ66" i="140"/>
  <c r="AN65" i="140"/>
  <c r="BB65" i="140"/>
  <c r="AJ65" i="140"/>
  <c r="T65" i="140"/>
  <c r="X65" i="140"/>
  <c r="AN64" i="140"/>
  <c r="BB64" i="140"/>
  <c r="AJ64" i="140"/>
  <c r="AX64" i="140"/>
  <c r="T64" i="140"/>
  <c r="X64" i="140"/>
  <c r="AN63" i="140"/>
  <c r="BB63" i="140"/>
  <c r="AJ63" i="140"/>
  <c r="AX63" i="140"/>
  <c r="T63" i="140"/>
  <c r="AL63" i="140"/>
  <c r="AZ63" i="140"/>
  <c r="AN62" i="140"/>
  <c r="BB62" i="140"/>
  <c r="AJ62" i="140"/>
  <c r="T62" i="140"/>
  <c r="AL62" i="140"/>
  <c r="AZ62" i="140"/>
  <c r="AN61" i="140"/>
  <c r="BB61" i="140"/>
  <c r="AJ61" i="140"/>
  <c r="T61" i="140"/>
  <c r="X61" i="140"/>
  <c r="AN60" i="140"/>
  <c r="BB60" i="140"/>
  <c r="AJ60" i="140"/>
  <c r="AX60" i="140"/>
  <c r="T60" i="140"/>
  <c r="X60" i="140"/>
  <c r="AN59" i="140"/>
  <c r="BB59" i="140"/>
  <c r="BD59" i="140"/>
  <c r="AJ59" i="140"/>
  <c r="AX59" i="140"/>
  <c r="T59" i="140"/>
  <c r="AL59" i="140"/>
  <c r="AZ59" i="140"/>
  <c r="AN58" i="140"/>
  <c r="BB58" i="140"/>
  <c r="AJ58" i="140"/>
  <c r="T58" i="140"/>
  <c r="AL58" i="140"/>
  <c r="AZ58" i="140"/>
  <c r="AN57" i="140"/>
  <c r="BB57" i="140"/>
  <c r="AJ57" i="140"/>
  <c r="T57" i="140"/>
  <c r="X57" i="140"/>
  <c r="AN56" i="140"/>
  <c r="BB56" i="140"/>
  <c r="AJ56" i="140"/>
  <c r="T56" i="140"/>
  <c r="X56" i="140"/>
  <c r="AN55" i="140"/>
  <c r="BB55" i="140"/>
  <c r="AJ55" i="140"/>
  <c r="AX55" i="140"/>
  <c r="T55" i="140"/>
  <c r="X55" i="140"/>
  <c r="AN54" i="140"/>
  <c r="BB54" i="140"/>
  <c r="AJ54" i="140"/>
  <c r="AX54" i="140"/>
  <c r="T54" i="140"/>
  <c r="AL54" i="140"/>
  <c r="AZ54" i="140"/>
  <c r="AN53" i="140"/>
  <c r="BB53" i="140"/>
  <c r="AJ53" i="140"/>
  <c r="AX53" i="140"/>
  <c r="T53" i="140"/>
  <c r="AL53" i="140"/>
  <c r="AZ53" i="140"/>
  <c r="AN52" i="140"/>
  <c r="BB52" i="140"/>
  <c r="AJ52" i="140"/>
  <c r="AX52" i="140"/>
  <c r="T52" i="140"/>
  <c r="X52" i="140"/>
  <c r="AN51" i="140"/>
  <c r="BB51" i="140"/>
  <c r="AJ51" i="140"/>
  <c r="AX51" i="140"/>
  <c r="T51" i="140"/>
  <c r="X51" i="140"/>
  <c r="AN50" i="140"/>
  <c r="BB50" i="140"/>
  <c r="AJ50" i="140"/>
  <c r="AX50" i="140"/>
  <c r="T50" i="140"/>
  <c r="AL50" i="140"/>
  <c r="AZ50" i="140"/>
  <c r="AN49" i="140"/>
  <c r="BB49" i="140"/>
  <c r="AJ49" i="140"/>
  <c r="AX49" i="140"/>
  <c r="X49" i="140"/>
  <c r="T49" i="140"/>
  <c r="AL49" i="140"/>
  <c r="AN48" i="140"/>
  <c r="BB48" i="140"/>
  <c r="AL48" i="140"/>
  <c r="AZ48" i="140"/>
  <c r="AJ48" i="140"/>
  <c r="T48" i="140"/>
  <c r="X48" i="140"/>
  <c r="AN47" i="140"/>
  <c r="BB47" i="140"/>
  <c r="AJ47" i="140"/>
  <c r="AX47" i="140"/>
  <c r="T47" i="140"/>
  <c r="X47" i="140"/>
  <c r="AN46" i="140"/>
  <c r="BB46" i="140"/>
  <c r="AJ46" i="140"/>
  <c r="AX46" i="140"/>
  <c r="T46" i="140"/>
  <c r="AL46" i="140"/>
  <c r="AZ46" i="140"/>
  <c r="AN45" i="140"/>
  <c r="BB45" i="140"/>
  <c r="AJ45" i="140"/>
  <c r="T45" i="140"/>
  <c r="AL45" i="140"/>
  <c r="AZ45" i="140"/>
  <c r="AN44" i="140"/>
  <c r="BB44" i="140"/>
  <c r="AJ44" i="140"/>
  <c r="AX44" i="140"/>
  <c r="T44" i="140"/>
  <c r="X44" i="140"/>
  <c r="AN43" i="140"/>
  <c r="BB43" i="140"/>
  <c r="AJ43" i="140"/>
  <c r="AX43" i="140"/>
  <c r="T43" i="140"/>
  <c r="X43" i="140"/>
  <c r="AN42" i="140"/>
  <c r="BB42" i="140"/>
  <c r="AJ42" i="140"/>
  <c r="AX42" i="140"/>
  <c r="T42" i="140"/>
  <c r="AL42" i="140"/>
  <c r="AZ42" i="140"/>
  <c r="AN41" i="140"/>
  <c r="BB41" i="140"/>
  <c r="AL41" i="140"/>
  <c r="AZ41" i="140"/>
  <c r="R41" i="140"/>
  <c r="R33" i="140"/>
  <c r="R13" i="140"/>
  <c r="AN40" i="140"/>
  <c r="BB40" i="140"/>
  <c r="AJ40" i="140"/>
  <c r="T40" i="140"/>
  <c r="X40" i="140"/>
  <c r="AN39" i="140"/>
  <c r="BB39" i="140"/>
  <c r="AJ39" i="140"/>
  <c r="AX39" i="140"/>
  <c r="T39" i="140"/>
  <c r="X39" i="140"/>
  <c r="AN38" i="140"/>
  <c r="BB38" i="140"/>
  <c r="AJ38" i="140"/>
  <c r="AX38" i="140"/>
  <c r="T38" i="140"/>
  <c r="AL38" i="140"/>
  <c r="AZ38" i="140"/>
  <c r="AN37" i="140"/>
  <c r="BB37" i="140"/>
  <c r="AJ37" i="140"/>
  <c r="AX37" i="140"/>
  <c r="T37" i="140"/>
  <c r="X37" i="140"/>
  <c r="AN36" i="140"/>
  <c r="BB36" i="140"/>
  <c r="AJ36" i="140"/>
  <c r="T36" i="140"/>
  <c r="X36" i="140"/>
  <c r="AN35" i="140"/>
  <c r="BB35" i="140"/>
  <c r="AJ35" i="140"/>
  <c r="AX35" i="140"/>
  <c r="T35" i="140"/>
  <c r="AL35" i="140"/>
  <c r="AN34" i="140"/>
  <c r="BB34" i="140"/>
  <c r="AJ34" i="140"/>
  <c r="AX34" i="140"/>
  <c r="T34" i="140"/>
  <c r="AL34" i="140"/>
  <c r="A34" i="140"/>
  <c r="BI34" i="140"/>
  <c r="BI33" i="140"/>
  <c r="AV33" i="140"/>
  <c r="AV13" i="140"/>
  <c r="AT33" i="140"/>
  <c r="AR33" i="140"/>
  <c r="AF33" i="140"/>
  <c r="AF13" i="140"/>
  <c r="AD33" i="140"/>
  <c r="AB33" i="140"/>
  <c r="V33" i="140"/>
  <c r="T33" i="140"/>
  <c r="T13" i="140"/>
  <c r="N33" i="140"/>
  <c r="L33" i="140"/>
  <c r="J33" i="140"/>
  <c r="H33" i="140"/>
  <c r="H13" i="140"/>
  <c r="AN30" i="140"/>
  <c r="BB30" i="140"/>
  <c r="AL30" i="140"/>
  <c r="AZ30" i="140"/>
  <c r="AJ30" i="140"/>
  <c r="X30" i="140"/>
  <c r="AN29" i="140"/>
  <c r="BB29" i="140"/>
  <c r="AL29" i="140"/>
  <c r="AZ29" i="140"/>
  <c r="AJ29" i="140"/>
  <c r="X29" i="140"/>
  <c r="AN28" i="140"/>
  <c r="BB28" i="140"/>
  <c r="AL28" i="140"/>
  <c r="AZ28" i="140"/>
  <c r="R28" i="140"/>
  <c r="X28" i="140"/>
  <c r="AN27" i="140"/>
  <c r="BB27" i="140"/>
  <c r="AL27" i="140"/>
  <c r="R27" i="140"/>
  <c r="AJ27" i="140"/>
  <c r="AN26" i="140"/>
  <c r="BB26" i="140"/>
  <c r="BB25" i="140"/>
  <c r="BB12" i="140"/>
  <c r="AL26" i="140"/>
  <c r="AZ26" i="140"/>
  <c r="R26" i="140"/>
  <c r="A26" i="140"/>
  <c r="BI26" i="140"/>
  <c r="BI25" i="140"/>
  <c r="AV25" i="140"/>
  <c r="AV12" i="140"/>
  <c r="AT25" i="140"/>
  <c r="AR25" i="140"/>
  <c r="AR12" i="140"/>
  <c r="AN25" i="140"/>
  <c r="AN12" i="140"/>
  <c r="AF25" i="140"/>
  <c r="AD25" i="140"/>
  <c r="AD12" i="140"/>
  <c r="AB25" i="140"/>
  <c r="AB12" i="140"/>
  <c r="V25" i="140"/>
  <c r="V12" i="140"/>
  <c r="T25" i="140"/>
  <c r="T12" i="140"/>
  <c r="N25" i="140"/>
  <c r="N12" i="140"/>
  <c r="L25" i="140"/>
  <c r="L12" i="140"/>
  <c r="J25" i="140"/>
  <c r="J12" i="140"/>
  <c r="H25" i="140"/>
  <c r="BD21" i="140"/>
  <c r="AP21" i="140"/>
  <c r="X21" i="140"/>
  <c r="BD20" i="140"/>
  <c r="AP20" i="140"/>
  <c r="X20" i="140"/>
  <c r="AT19" i="140"/>
  <c r="AR19" i="140"/>
  <c r="AB19" i="140"/>
  <c r="V19" i="140"/>
  <c r="N19" i="140"/>
  <c r="L19" i="140"/>
  <c r="J19" i="140"/>
  <c r="BB15" i="140"/>
  <c r="AV15" i="140"/>
  <c r="AT15" i="140"/>
  <c r="AR15" i="140"/>
  <c r="AF15" i="140"/>
  <c r="AD15" i="140"/>
  <c r="AB15" i="140"/>
  <c r="T15" i="140"/>
  <c r="R15" i="140"/>
  <c r="N15" i="140"/>
  <c r="J15" i="140"/>
  <c r="H15" i="140"/>
  <c r="AV14" i="140"/>
  <c r="AT14" i="140"/>
  <c r="AF14" i="140"/>
  <c r="AD14" i="140"/>
  <c r="AB14" i="140"/>
  <c r="T14" i="140"/>
  <c r="R14" i="140"/>
  <c r="N14" i="140"/>
  <c r="J14" i="140"/>
  <c r="H14" i="140"/>
  <c r="AT13" i="140"/>
  <c r="AR13" i="140"/>
  <c r="AD13" i="140"/>
  <c r="AB13" i="140"/>
  <c r="V13" i="140"/>
  <c r="N13" i="140"/>
  <c r="L13" i="140"/>
  <c r="J13" i="140"/>
  <c r="BI12" i="140"/>
  <c r="AT12" i="140"/>
  <c r="AF12" i="140"/>
  <c r="H12" i="140"/>
  <c r="BF10" i="140"/>
  <c r="AN121" i="139"/>
  <c r="BB121" i="139"/>
  <c r="AL121" i="139"/>
  <c r="AZ121" i="139" s="1"/>
  <c r="BD121" i="139" s="1"/>
  <c r="AJ121" i="139"/>
  <c r="X121" i="139"/>
  <c r="AN120" i="139"/>
  <c r="BB120" i="139"/>
  <c r="AL120" i="139"/>
  <c r="AZ120" i="139" s="1"/>
  <c r="R120" i="139"/>
  <c r="AJ120" i="139" s="1"/>
  <c r="AN119" i="139"/>
  <c r="BB119" i="139"/>
  <c r="AL119" i="139"/>
  <c r="AZ119" i="139" s="1"/>
  <c r="R119" i="139"/>
  <c r="X119" i="139"/>
  <c r="X116" i="139" s="1"/>
  <c r="AN118" i="139"/>
  <c r="BB118" i="139"/>
  <c r="AJ118" i="139"/>
  <c r="AX118" i="139"/>
  <c r="T118" i="139"/>
  <c r="AN117" i="139"/>
  <c r="BB117" i="139"/>
  <c r="AJ117" i="139"/>
  <c r="AX117" i="139"/>
  <c r="T117" i="139"/>
  <c r="AL117" i="139" s="1"/>
  <c r="A117" i="139"/>
  <c r="BI117" i="139"/>
  <c r="BI116" i="139"/>
  <c r="AV116" i="139"/>
  <c r="AT116" i="139"/>
  <c r="AT19" i="139" s="1"/>
  <c r="AR116" i="139"/>
  <c r="AF116" i="139"/>
  <c r="AF19" i="139"/>
  <c r="AD116" i="139"/>
  <c r="AD19" i="139" s="1"/>
  <c r="AB116" i="139"/>
  <c r="AB19" i="139"/>
  <c r="V116" i="139"/>
  <c r="N116" i="139"/>
  <c r="N19" i="139" s="1"/>
  <c r="L116" i="139"/>
  <c r="L19" i="139"/>
  <c r="J116" i="139"/>
  <c r="H116" i="139"/>
  <c r="AN114" i="139"/>
  <c r="BB114" i="139"/>
  <c r="AL114" i="139"/>
  <c r="AZ114" i="139"/>
  <c r="AJ114" i="139"/>
  <c r="AX114" i="139"/>
  <c r="AN113" i="139"/>
  <c r="BB113" i="139"/>
  <c r="AL113" i="139"/>
  <c r="AZ113" i="139"/>
  <c r="AJ113" i="139"/>
  <c r="AX113" i="139"/>
  <c r="X113" i="139"/>
  <c r="AN112" i="139"/>
  <c r="BB112" i="139"/>
  <c r="AL112" i="139"/>
  <c r="AZ112" i="139"/>
  <c r="AJ112" i="139"/>
  <c r="AX112" i="139"/>
  <c r="X112" i="139"/>
  <c r="AN111" i="139"/>
  <c r="BB111" i="139"/>
  <c r="AL111" i="139"/>
  <c r="AZ111" i="139"/>
  <c r="AJ111" i="139"/>
  <c r="AX111" i="139"/>
  <c r="X111" i="139"/>
  <c r="AN110" i="139"/>
  <c r="BB110" i="139"/>
  <c r="AL110" i="139"/>
  <c r="AZ110" i="139"/>
  <c r="AJ110" i="139"/>
  <c r="AX110" i="139"/>
  <c r="X110" i="139"/>
  <c r="AN109" i="139"/>
  <c r="BB109" i="139"/>
  <c r="AL109" i="139"/>
  <c r="AZ109" i="139"/>
  <c r="AZ108" i="139"/>
  <c r="AZ15" i="139"/>
  <c r="R109" i="139"/>
  <c r="X109" i="139" s="1"/>
  <c r="X108" i="139" s="1"/>
  <c r="A109" i="139"/>
  <c r="BI109" i="139"/>
  <c r="BI108" i="139"/>
  <c r="AV108" i="139"/>
  <c r="AT108" i="139"/>
  <c r="AT15" i="139"/>
  <c r="AR108" i="139"/>
  <c r="AR15" i="139" s="1"/>
  <c r="AN108" i="139"/>
  <c r="AF108" i="139"/>
  <c r="AF15" i="139"/>
  <c r="AD108" i="139"/>
  <c r="AD15" i="139"/>
  <c r="AB108" i="139"/>
  <c r="V108" i="139"/>
  <c r="T108" i="139"/>
  <c r="N108" i="139"/>
  <c r="N15" i="139" s="1"/>
  <c r="L108" i="139"/>
  <c r="J108" i="139"/>
  <c r="H108" i="139"/>
  <c r="H15" i="139" s="1"/>
  <c r="AL105" i="139"/>
  <c r="AZ105" i="139"/>
  <c r="AJ105" i="139"/>
  <c r="AX105" i="139"/>
  <c r="V105" i="139"/>
  <c r="AN105" i="139" s="1"/>
  <c r="AL104" i="139"/>
  <c r="AZ104" i="139"/>
  <c r="AJ104" i="139"/>
  <c r="AX104" i="139"/>
  <c r="V104" i="139"/>
  <c r="AN104" i="139" s="1"/>
  <c r="AL103" i="139"/>
  <c r="AZ103" i="139"/>
  <c r="AJ103" i="139"/>
  <c r="V103" i="139"/>
  <c r="AN103" i="139" s="1"/>
  <c r="AL102" i="139"/>
  <c r="AZ102" i="139"/>
  <c r="AJ102" i="139"/>
  <c r="AX102" i="139"/>
  <c r="V102" i="139"/>
  <c r="AN102" i="139" s="1"/>
  <c r="AL101" i="139"/>
  <c r="AZ101" i="139"/>
  <c r="AJ101" i="139"/>
  <c r="AX101" i="139"/>
  <c r="V101" i="139"/>
  <c r="AN101" i="139" s="1"/>
  <c r="AL100" i="139"/>
  <c r="AZ100" i="139"/>
  <c r="AJ100" i="139"/>
  <c r="V100" i="139"/>
  <c r="AN100" i="139" s="1"/>
  <c r="AL99" i="139"/>
  <c r="AZ99" i="139"/>
  <c r="AJ99" i="139"/>
  <c r="V99" i="139"/>
  <c r="V94" i="139" s="1"/>
  <c r="V14" i="139" s="1"/>
  <c r="AL98" i="139"/>
  <c r="AZ98" i="139"/>
  <c r="AJ98" i="139"/>
  <c r="AX98" i="139"/>
  <c r="V98" i="139"/>
  <c r="X98" i="139"/>
  <c r="BI97" i="139"/>
  <c r="AL97" i="139"/>
  <c r="AZ97" i="139"/>
  <c r="AJ97" i="139"/>
  <c r="AX97" i="139"/>
  <c r="V97" i="139"/>
  <c r="AN97" i="139" s="1"/>
  <c r="AL96" i="139"/>
  <c r="AZ96" i="139"/>
  <c r="AJ96" i="139"/>
  <c r="AX96" i="139"/>
  <c r="V96" i="139"/>
  <c r="AN96" i="139" s="1"/>
  <c r="AL95" i="139"/>
  <c r="AZ95" i="139"/>
  <c r="AJ95" i="139"/>
  <c r="AX95" i="139"/>
  <c r="V95" i="139"/>
  <c r="AN95" i="139"/>
  <c r="A95" i="139"/>
  <c r="A96" i="139"/>
  <c r="BI94" i="139"/>
  <c r="AV94" i="139"/>
  <c r="AV14" i="139"/>
  <c r="AV16" i="139" s="1"/>
  <c r="AV22" i="139" s="1"/>
  <c r="AT94" i="139"/>
  <c r="AR94" i="139"/>
  <c r="AR14" i="139"/>
  <c r="AF94" i="139"/>
  <c r="AF14" i="139" s="1"/>
  <c r="AF16" i="139" s="1"/>
  <c r="AF22" i="139" s="1"/>
  <c r="AD94" i="139"/>
  <c r="AD14" i="139"/>
  <c r="AB94" i="139"/>
  <c r="T94" i="139"/>
  <c r="T14" i="139"/>
  <c r="R94" i="139"/>
  <c r="N94" i="139"/>
  <c r="N14" i="139" s="1"/>
  <c r="L94" i="139"/>
  <c r="J94" i="139"/>
  <c r="J14" i="139" s="1"/>
  <c r="AN91" i="139"/>
  <c r="BB91" i="139"/>
  <c r="AJ91" i="139"/>
  <c r="AX91" i="139"/>
  <c r="T91" i="139"/>
  <c r="AL91" i="139" s="1"/>
  <c r="AN90" i="139"/>
  <c r="BB90" i="139"/>
  <c r="AJ90" i="139"/>
  <c r="AX90" i="139"/>
  <c r="T90" i="139"/>
  <c r="AL90" i="139"/>
  <c r="AZ90" i="139" s="1"/>
  <c r="BD90" i="139" s="1"/>
  <c r="BF90" i="139" s="1"/>
  <c r="AN89" i="139"/>
  <c r="BB89" i="139"/>
  <c r="AJ89" i="139"/>
  <c r="AX89" i="139"/>
  <c r="T89" i="139"/>
  <c r="X89" i="139"/>
  <c r="AN88" i="139"/>
  <c r="BB88" i="139"/>
  <c r="AJ88" i="139"/>
  <c r="AX88" i="139"/>
  <c r="T88" i="139"/>
  <c r="X88" i="139" s="1"/>
  <c r="AN87" i="139"/>
  <c r="BB87" i="139"/>
  <c r="AJ87" i="139"/>
  <c r="AX87" i="139"/>
  <c r="T87" i="139"/>
  <c r="X87" i="139" s="1"/>
  <c r="AN86" i="139"/>
  <c r="BB86" i="139"/>
  <c r="AJ86" i="139"/>
  <c r="AX86" i="139"/>
  <c r="T86" i="139"/>
  <c r="AL86" i="139" s="1"/>
  <c r="AN85" i="139"/>
  <c r="BB85" i="139"/>
  <c r="AJ85" i="139"/>
  <c r="AX85" i="139"/>
  <c r="T85" i="139"/>
  <c r="AL85" i="139"/>
  <c r="AZ85" i="139" s="1"/>
  <c r="BD85" i="139" s="1"/>
  <c r="BF85" i="139" s="1"/>
  <c r="AN84" i="139"/>
  <c r="BB84" i="139"/>
  <c r="AJ84" i="139"/>
  <c r="AX84" i="139"/>
  <c r="T84" i="139"/>
  <c r="X84" i="139"/>
  <c r="AN83" i="139"/>
  <c r="BB83" i="139"/>
  <c r="AJ83" i="139"/>
  <c r="AX83" i="139"/>
  <c r="T83" i="139"/>
  <c r="X83" i="139" s="1"/>
  <c r="AN82" i="139"/>
  <c r="BB82" i="139"/>
  <c r="AJ82" i="139"/>
  <c r="AX82" i="139"/>
  <c r="T82" i="139"/>
  <c r="AL82" i="139" s="1"/>
  <c r="AN81" i="139"/>
  <c r="BB81" i="139"/>
  <c r="AJ81" i="139"/>
  <c r="AX81" i="139"/>
  <c r="T81" i="139"/>
  <c r="AL81" i="139" s="1"/>
  <c r="AN80" i="139"/>
  <c r="BB80" i="139"/>
  <c r="AJ80" i="139"/>
  <c r="AX80" i="139"/>
  <c r="T80" i="139"/>
  <c r="X80" i="139"/>
  <c r="AN79" i="139"/>
  <c r="BB79" i="139"/>
  <c r="AJ79" i="139"/>
  <c r="AX79" i="139"/>
  <c r="T79" i="139"/>
  <c r="X79" i="139"/>
  <c r="AN78" i="139"/>
  <c r="BB78" i="139"/>
  <c r="AJ78" i="139"/>
  <c r="AX78" i="139"/>
  <c r="T78" i="139"/>
  <c r="AL78" i="139" s="1"/>
  <c r="AN77" i="139"/>
  <c r="BB77" i="139"/>
  <c r="AJ77" i="139"/>
  <c r="AX77" i="139"/>
  <c r="T77" i="139"/>
  <c r="X77" i="139"/>
  <c r="AN76" i="139"/>
  <c r="BB76" i="139"/>
  <c r="AJ76" i="139"/>
  <c r="AX76" i="139"/>
  <c r="T76" i="139"/>
  <c r="X76" i="139" s="1"/>
  <c r="AN75" i="139"/>
  <c r="BB75" i="139"/>
  <c r="AJ75" i="139"/>
  <c r="AX75" i="139"/>
  <c r="T75" i="139"/>
  <c r="AL75" i="139"/>
  <c r="AZ75" i="139" s="1"/>
  <c r="BD75" i="139" s="1"/>
  <c r="BF75" i="139" s="1"/>
  <c r="AN74" i="139"/>
  <c r="BB74" i="139"/>
  <c r="AJ74" i="139"/>
  <c r="AX74" i="139"/>
  <c r="T74" i="139"/>
  <c r="AL74" i="139"/>
  <c r="AZ74" i="139" s="1"/>
  <c r="BD74" i="139" s="1"/>
  <c r="BF74" i="139" s="1"/>
  <c r="AN73" i="139"/>
  <c r="BB73" i="139"/>
  <c r="AJ73" i="139"/>
  <c r="AX73" i="139"/>
  <c r="T73" i="139"/>
  <c r="AL73" i="139" s="1"/>
  <c r="AN72" i="139"/>
  <c r="BB72" i="139"/>
  <c r="AJ72" i="139"/>
  <c r="AX72" i="139"/>
  <c r="T72" i="139"/>
  <c r="X72" i="139"/>
  <c r="AN71" i="139"/>
  <c r="BB71" i="139"/>
  <c r="AJ71" i="139"/>
  <c r="AX71" i="139"/>
  <c r="T71" i="139"/>
  <c r="X71" i="139" s="1"/>
  <c r="AN70" i="139"/>
  <c r="BB70" i="139"/>
  <c r="AJ70" i="139"/>
  <c r="AX70" i="139"/>
  <c r="T70" i="139"/>
  <c r="AN69" i="139"/>
  <c r="BB69" i="139"/>
  <c r="AJ69" i="139"/>
  <c r="AX69" i="139"/>
  <c r="T69" i="139"/>
  <c r="X69" i="139" s="1"/>
  <c r="AN68" i="139"/>
  <c r="BB68" i="139"/>
  <c r="AJ68" i="139"/>
  <c r="AX68" i="139"/>
  <c r="T68" i="139"/>
  <c r="AN67" i="139"/>
  <c r="BB67" i="139"/>
  <c r="AL67" i="139"/>
  <c r="AZ67" i="139"/>
  <c r="R67" i="139"/>
  <c r="AJ67" i="139" s="1"/>
  <c r="AN66" i="139"/>
  <c r="BB66" i="139"/>
  <c r="AJ66" i="139"/>
  <c r="AX66" i="139"/>
  <c r="T66" i="139"/>
  <c r="AL66" i="139"/>
  <c r="AZ66" i="139" s="1"/>
  <c r="BD66" i="139" s="1"/>
  <c r="BF66" i="139" s="1"/>
  <c r="AN65" i="139"/>
  <c r="BB65" i="139"/>
  <c r="AJ65" i="139"/>
  <c r="AX65" i="139"/>
  <c r="T65" i="139"/>
  <c r="AL65" i="139" s="1"/>
  <c r="AN64" i="139"/>
  <c r="BB64" i="139"/>
  <c r="AJ64" i="139"/>
  <c r="AX64" i="139"/>
  <c r="T64" i="139"/>
  <c r="X64" i="139" s="1"/>
  <c r="AN63" i="139"/>
  <c r="BB63" i="139"/>
  <c r="AJ63" i="139"/>
  <c r="T63" i="139"/>
  <c r="X63" i="139" s="1"/>
  <c r="AN62" i="139"/>
  <c r="BB62" i="139"/>
  <c r="AJ62" i="139"/>
  <c r="AX62" i="139"/>
  <c r="T62" i="139"/>
  <c r="X62" i="139" s="1"/>
  <c r="AN61" i="139"/>
  <c r="BB61" i="139"/>
  <c r="AJ61" i="139"/>
  <c r="AX61" i="139"/>
  <c r="T61" i="139"/>
  <c r="AL61" i="139" s="1"/>
  <c r="AN60" i="139"/>
  <c r="BB60" i="139"/>
  <c r="AJ60" i="139"/>
  <c r="AX60" i="139"/>
  <c r="T60" i="139"/>
  <c r="X60" i="139" s="1"/>
  <c r="AN59" i="139"/>
  <c r="BB59" i="139"/>
  <c r="AJ59" i="139"/>
  <c r="T59" i="139"/>
  <c r="X59" i="139" s="1"/>
  <c r="AN58" i="139"/>
  <c r="BB58" i="139"/>
  <c r="AJ58" i="139"/>
  <c r="AX58" i="139"/>
  <c r="T58" i="139"/>
  <c r="X58" i="139" s="1"/>
  <c r="AN57" i="139"/>
  <c r="BB57" i="139"/>
  <c r="AJ57" i="139"/>
  <c r="AX57" i="139"/>
  <c r="T57" i="139"/>
  <c r="AL57" i="139" s="1"/>
  <c r="AN56" i="139"/>
  <c r="BB56" i="139"/>
  <c r="AJ56" i="139"/>
  <c r="AX56" i="139"/>
  <c r="T56" i="139"/>
  <c r="AL56" i="139" s="1"/>
  <c r="AN55" i="139"/>
  <c r="BB55" i="139"/>
  <c r="AJ55" i="139"/>
  <c r="T55" i="139"/>
  <c r="X55" i="139" s="1"/>
  <c r="AN54" i="139"/>
  <c r="BB54" i="139"/>
  <c r="AJ54" i="139"/>
  <c r="AX54" i="139"/>
  <c r="T54" i="139"/>
  <c r="AL54" i="139"/>
  <c r="AP54" i="139" s="1"/>
  <c r="AN53" i="139"/>
  <c r="BB53" i="139"/>
  <c r="AJ53" i="139"/>
  <c r="AX53" i="139"/>
  <c r="T53" i="139"/>
  <c r="AL53" i="139" s="1"/>
  <c r="AN52" i="139"/>
  <c r="BB52" i="139"/>
  <c r="AJ52" i="139"/>
  <c r="AX52" i="139"/>
  <c r="T52" i="139"/>
  <c r="AL52" i="139"/>
  <c r="AZ52" i="139" s="1"/>
  <c r="BD52" i="139" s="1"/>
  <c r="BF52" i="139" s="1"/>
  <c r="AN51" i="139"/>
  <c r="BB51" i="139"/>
  <c r="AJ51" i="139"/>
  <c r="T51" i="139"/>
  <c r="X51" i="139" s="1"/>
  <c r="AN50" i="139"/>
  <c r="BB50" i="139"/>
  <c r="AJ50" i="139"/>
  <c r="AX50" i="139"/>
  <c r="T50" i="139"/>
  <c r="AL50" i="139" s="1"/>
  <c r="AN49" i="139"/>
  <c r="BB49" i="139"/>
  <c r="AJ49" i="139"/>
  <c r="AX49" i="139"/>
  <c r="T49" i="139"/>
  <c r="AL49" i="139"/>
  <c r="AZ49" i="139" s="1"/>
  <c r="BD49" i="139" s="1"/>
  <c r="BF49" i="139" s="1"/>
  <c r="AN48" i="139"/>
  <c r="BB48" i="139"/>
  <c r="AJ48" i="139"/>
  <c r="AX48" i="139"/>
  <c r="T48" i="139"/>
  <c r="AL48" i="139" s="1"/>
  <c r="AN47" i="139"/>
  <c r="BB47" i="139"/>
  <c r="AJ47" i="139"/>
  <c r="T47" i="139"/>
  <c r="X47" i="139" s="1"/>
  <c r="AN46" i="139"/>
  <c r="BB46" i="139"/>
  <c r="AJ46" i="139"/>
  <c r="AX46" i="139"/>
  <c r="T46" i="139"/>
  <c r="AL46" i="139"/>
  <c r="AP46" i="139" s="1"/>
  <c r="AN45" i="139"/>
  <c r="BB45" i="139"/>
  <c r="AJ45" i="139"/>
  <c r="AX45" i="139"/>
  <c r="T45" i="139"/>
  <c r="AL45" i="139" s="1"/>
  <c r="AN44" i="139"/>
  <c r="BB44" i="139"/>
  <c r="AJ44" i="139"/>
  <c r="AX44" i="139"/>
  <c r="T44" i="139"/>
  <c r="X44" i="139"/>
  <c r="AN43" i="139"/>
  <c r="BB43" i="139"/>
  <c r="AJ43" i="139"/>
  <c r="T43" i="139"/>
  <c r="X43" i="139" s="1"/>
  <c r="AN42" i="139"/>
  <c r="BB42" i="139"/>
  <c r="AL42" i="139"/>
  <c r="AZ42" i="139"/>
  <c r="R42" i="139"/>
  <c r="AJ42" i="139"/>
  <c r="AX42" i="139" s="1"/>
  <c r="AN41" i="139"/>
  <c r="BB41" i="139"/>
  <c r="AJ41" i="139"/>
  <c r="AX41" i="139"/>
  <c r="T41" i="139"/>
  <c r="AN40" i="139"/>
  <c r="BB40" i="139"/>
  <c r="AJ40" i="139"/>
  <c r="AX40" i="139"/>
  <c r="T40" i="139"/>
  <c r="AL40" i="139" s="1"/>
  <c r="AN39" i="139"/>
  <c r="BB39" i="139"/>
  <c r="AJ39" i="139"/>
  <c r="AX39" i="139"/>
  <c r="T39" i="139"/>
  <c r="AN38" i="139"/>
  <c r="BB38" i="139"/>
  <c r="AJ38" i="139"/>
  <c r="AX38" i="139"/>
  <c r="T38" i="139"/>
  <c r="AL38" i="139"/>
  <c r="AZ38" i="139" s="1"/>
  <c r="BD38" i="139" s="1"/>
  <c r="BF38" i="139" s="1"/>
  <c r="AN37" i="139"/>
  <c r="BB37" i="139"/>
  <c r="AJ37" i="139"/>
  <c r="AX37" i="139"/>
  <c r="T37" i="139"/>
  <c r="AL37" i="139" s="1"/>
  <c r="AN36" i="139"/>
  <c r="BB36" i="139"/>
  <c r="AJ36" i="139"/>
  <c r="AX36" i="139"/>
  <c r="T36" i="139"/>
  <c r="AL36" i="139" s="1"/>
  <c r="AN35" i="139"/>
  <c r="BB35" i="139"/>
  <c r="AJ35" i="139"/>
  <c r="T35" i="139"/>
  <c r="X35" i="139" s="1"/>
  <c r="A35" i="139"/>
  <c r="BI35" i="139"/>
  <c r="BI34" i="139"/>
  <c r="AV34" i="139"/>
  <c r="AV13" i="139"/>
  <c r="AT34" i="139"/>
  <c r="AT13" i="139" s="1"/>
  <c r="AT16" i="139" s="1"/>
  <c r="AR34" i="139"/>
  <c r="AR13" i="139" s="1"/>
  <c r="AF34" i="139"/>
  <c r="AD34" i="139"/>
  <c r="AD13" i="139" s="1"/>
  <c r="AD16" i="139" s="1"/>
  <c r="AB34" i="139"/>
  <c r="AB13" i="139" s="1"/>
  <c r="V34" i="139"/>
  <c r="V13" i="139"/>
  <c r="N34" i="139"/>
  <c r="N13" i="139" s="1"/>
  <c r="L34" i="139"/>
  <c r="L13" i="139"/>
  <c r="J34" i="139"/>
  <c r="J13" i="139" s="1"/>
  <c r="H34" i="139"/>
  <c r="H13" i="139" s="1"/>
  <c r="AN30" i="139"/>
  <c r="BB30" i="139"/>
  <c r="AL30" i="139"/>
  <c r="AZ30" i="139"/>
  <c r="AJ30" i="139"/>
  <c r="AX30" i="139" s="1"/>
  <c r="BD30" i="139" s="1"/>
  <c r="BF30" i="139" s="1"/>
  <c r="X30" i="139"/>
  <c r="AN29" i="139"/>
  <c r="BB29" i="139"/>
  <c r="AL29" i="139"/>
  <c r="AZ29" i="139"/>
  <c r="AJ29" i="139"/>
  <c r="AP29" i="139" s="1"/>
  <c r="X29" i="139"/>
  <c r="AN28" i="139"/>
  <c r="BB28" i="139"/>
  <c r="AL28" i="139"/>
  <c r="AZ28" i="139"/>
  <c r="R28" i="139"/>
  <c r="X28" i="139" s="1"/>
  <c r="AN27" i="139"/>
  <c r="BB27" i="139"/>
  <c r="AL27" i="139"/>
  <c r="AZ27" i="139"/>
  <c r="R27" i="139"/>
  <c r="AJ27" i="139"/>
  <c r="AX27" i="139" s="1"/>
  <c r="AN26" i="139"/>
  <c r="BB26" i="139"/>
  <c r="AL26" i="139"/>
  <c r="AZ26" i="139"/>
  <c r="R26" i="139"/>
  <c r="X26" i="139"/>
  <c r="A26" i="139"/>
  <c r="BI26" i="139"/>
  <c r="BI25" i="139"/>
  <c r="AV25" i="139"/>
  <c r="AV12" i="139"/>
  <c r="AT25" i="139"/>
  <c r="AT12" i="139"/>
  <c r="AR25" i="139"/>
  <c r="AR12" i="139" s="1"/>
  <c r="AF25" i="139"/>
  <c r="AF12" i="139"/>
  <c r="AD25" i="139"/>
  <c r="AD12" i="139"/>
  <c r="AB25" i="139"/>
  <c r="AB12" i="139" s="1"/>
  <c r="V25" i="139"/>
  <c r="V12" i="139"/>
  <c r="T25" i="139"/>
  <c r="T12" i="139"/>
  <c r="N25" i="139"/>
  <c r="N12" i="139" s="1"/>
  <c r="L25" i="139"/>
  <c r="L12" i="139" s="1"/>
  <c r="J25" i="139"/>
  <c r="J12" i="139" s="1"/>
  <c r="H12" i="139"/>
  <c r="BD21" i="139"/>
  <c r="AP21" i="139"/>
  <c r="X21" i="139"/>
  <c r="BD20" i="139"/>
  <c r="AP20" i="139"/>
  <c r="X20" i="139"/>
  <c r="AV19" i="139"/>
  <c r="AR19" i="139"/>
  <c r="V19" i="139"/>
  <c r="J19" i="139"/>
  <c r="H19" i="139"/>
  <c r="AV15" i="139"/>
  <c r="AN15" i="139"/>
  <c r="AB15" i="139"/>
  <c r="V15" i="139"/>
  <c r="T15" i="139"/>
  <c r="L15" i="139"/>
  <c r="J15" i="139"/>
  <c r="AT14" i="139"/>
  <c r="AB14" i="139"/>
  <c r="R14" i="139"/>
  <c r="L14" i="139"/>
  <c r="AF13" i="139"/>
  <c r="BI12" i="139"/>
  <c r="BF10" i="139"/>
  <c r="R116" i="139"/>
  <c r="R19" i="139" s="1"/>
  <c r="AL37" i="140"/>
  <c r="AZ37" i="140"/>
  <c r="BD63" i="140"/>
  <c r="AP109" i="140"/>
  <c r="X116" i="140"/>
  <c r="AP62" i="140"/>
  <c r="BD75" i="140"/>
  <c r="X78" i="140"/>
  <c r="X83" i="140"/>
  <c r="R25" i="140"/>
  <c r="R12" i="140"/>
  <c r="X27" i="140"/>
  <c r="AJ28" i="140"/>
  <c r="AP28" i="140"/>
  <c r="AL43" i="140"/>
  <c r="AP43" i="140"/>
  <c r="AL44" i="140"/>
  <c r="AZ44" i="140"/>
  <c r="X58" i="140"/>
  <c r="X59" i="140"/>
  <c r="AL61" i="140"/>
  <c r="AZ61" i="140"/>
  <c r="X66" i="140"/>
  <c r="V93" i="140"/>
  <c r="V14" i="140"/>
  <c r="AX66" i="140"/>
  <c r="BD66" i="140"/>
  <c r="BF66" i="140"/>
  <c r="AP66" i="140"/>
  <c r="X15" i="140"/>
  <c r="L16" i="140"/>
  <c r="L22" i="140"/>
  <c r="AT16" i="140"/>
  <c r="AT22" i="140"/>
  <c r="T16" i="140"/>
  <c r="AL25" i="140"/>
  <c r="AL12" i="140"/>
  <c r="BD37" i="140"/>
  <c r="BF37" i="140"/>
  <c r="X38" i="140"/>
  <c r="AL65" i="140"/>
  <c r="AZ65" i="140"/>
  <c r="X70" i="140"/>
  <c r="AL73" i="140"/>
  <c r="AZ73" i="140"/>
  <c r="AL85" i="140"/>
  <c r="AP85" i="140"/>
  <c r="J16" i="140"/>
  <c r="J22" i="140"/>
  <c r="BD38" i="140"/>
  <c r="BF38" i="140"/>
  <c r="AL39" i="140"/>
  <c r="AZ39" i="140"/>
  <c r="AL40" i="140"/>
  <c r="AZ40" i="140"/>
  <c r="BD70" i="140"/>
  <c r="BF70" i="140"/>
  <c r="AL89" i="140"/>
  <c r="AP89" i="140"/>
  <c r="BD73" i="140"/>
  <c r="AR16" i="140"/>
  <c r="AR22" i="140"/>
  <c r="AL52" i="140"/>
  <c r="AZ52" i="140"/>
  <c r="BD52" i="140"/>
  <c r="BF52" i="140"/>
  <c r="AL57" i="140"/>
  <c r="AZ57" i="140"/>
  <c r="AP58" i="140"/>
  <c r="X62" i="140"/>
  <c r="X63" i="140"/>
  <c r="AL76" i="140"/>
  <c r="AP76" i="140"/>
  <c r="AL77" i="140"/>
  <c r="AZ77" i="140"/>
  <c r="AL80" i="140"/>
  <c r="AZ80" i="140"/>
  <c r="BD80" i="140"/>
  <c r="BF80" i="140"/>
  <c r="AZ81" i="140"/>
  <c r="AP81" i="140"/>
  <c r="AZ87" i="140"/>
  <c r="AP87" i="140"/>
  <c r="AZ49" i="140"/>
  <c r="BD49" i="140"/>
  <c r="BF49" i="140"/>
  <c r="AP49" i="140"/>
  <c r="AZ74" i="140"/>
  <c r="BD74" i="140"/>
  <c r="BF74" i="140"/>
  <c r="AP74" i="140"/>
  <c r="AP83" i="140"/>
  <c r="AZ83" i="140"/>
  <c r="AB16" i="140"/>
  <c r="AB22" i="140"/>
  <c r="X13" i="140"/>
  <c r="BD78" i="140"/>
  <c r="BF78" i="140"/>
  <c r="A27" i="140"/>
  <c r="A28" i="140"/>
  <c r="A29" i="140"/>
  <c r="X41" i="140"/>
  <c r="X45" i="140"/>
  <c r="X53" i="140"/>
  <c r="X74" i="140"/>
  <c r="AP78" i="140"/>
  <c r="X81" i="140"/>
  <c r="BD83" i="140"/>
  <c r="BF83" i="140"/>
  <c r="X87" i="140"/>
  <c r="X97" i="140"/>
  <c r="X101" i="140"/>
  <c r="AP111" i="140"/>
  <c r="AP116" i="140"/>
  <c r="X14" i="140"/>
  <c r="N16" i="140"/>
  <c r="N22" i="140"/>
  <c r="AF16" i="140"/>
  <c r="AF22" i="140"/>
  <c r="A14" i="140"/>
  <c r="BI14" i="140"/>
  <c r="AD16" i="140"/>
  <c r="AD22" i="140"/>
  <c r="A35" i="140"/>
  <c r="AJ41" i="140"/>
  <c r="AP45" i="140"/>
  <c r="X46" i="140"/>
  <c r="BD53" i="140"/>
  <c r="BF53" i="140"/>
  <c r="X54" i="140"/>
  <c r="X79" i="140"/>
  <c r="BD81" i="140"/>
  <c r="BF81" i="140"/>
  <c r="BD87" i="140"/>
  <c r="BF87" i="140"/>
  <c r="X94" i="140"/>
  <c r="BD97" i="140"/>
  <c r="BF97" i="140"/>
  <c r="X99" i="140"/>
  <c r="AZ109" i="140"/>
  <c r="BB115" i="140"/>
  <c r="BB19" i="140"/>
  <c r="V16" i="140"/>
  <c r="V22" i="140"/>
  <c r="AV16" i="140"/>
  <c r="AV22" i="140"/>
  <c r="AP29" i="140"/>
  <c r="AP30" i="140"/>
  <c r="BD42" i="140"/>
  <c r="BF42" i="140"/>
  <c r="BD46" i="140"/>
  <c r="BF46" i="140"/>
  <c r="AP48" i="140"/>
  <c r="BD54" i="140"/>
  <c r="BF54" i="140"/>
  <c r="AL55" i="140"/>
  <c r="AZ55" i="140"/>
  <c r="BD55" i="140"/>
  <c r="BF55" i="140"/>
  <c r="AL56" i="140"/>
  <c r="AZ56" i="140"/>
  <c r="AL60" i="140"/>
  <c r="AZ60" i="140"/>
  <c r="BD60" i="140"/>
  <c r="BF60" i="140"/>
  <c r="AL64" i="140"/>
  <c r="AZ64" i="140"/>
  <c r="BD64" i="140"/>
  <c r="BF64" i="140"/>
  <c r="AL69" i="140"/>
  <c r="AZ69" i="140"/>
  <c r="AP70" i="140"/>
  <c r="AP73" i="140"/>
  <c r="BD79" i="140"/>
  <c r="BF79" i="140"/>
  <c r="AZ85" i="140"/>
  <c r="BD85" i="140"/>
  <c r="BF85" i="140"/>
  <c r="BD99" i="140"/>
  <c r="X107" i="140"/>
  <c r="AZ111" i="140"/>
  <c r="BD111" i="140"/>
  <c r="BF112" i="140"/>
  <c r="AP113" i="140"/>
  <c r="AZ116" i="140"/>
  <c r="BD118" i="140"/>
  <c r="BD120" i="140"/>
  <c r="AL71" i="139"/>
  <c r="AZ71" i="139" s="1"/>
  <c r="BD71" i="139" s="1"/>
  <c r="BF71" i="139" s="1"/>
  <c r="AL77" i="139"/>
  <c r="AP77" i="139" s="1"/>
  <c r="AL79" i="139"/>
  <c r="AZ79" i="139" s="1"/>
  <c r="BD79" i="139" s="1"/>
  <c r="BF79" i="139" s="1"/>
  <c r="X85" i="139"/>
  <c r="AJ28" i="139"/>
  <c r="AX28" i="139" s="1"/>
  <c r="BD28" i="139" s="1"/>
  <c r="BF28" i="139" s="1"/>
  <c r="X46" i="139"/>
  <c r="X48" i="139"/>
  <c r="X54" i="139"/>
  <c r="X40" i="139"/>
  <c r="X67" i="139"/>
  <c r="AL94" i="139"/>
  <c r="AL14" i="139"/>
  <c r="AN34" i="139"/>
  <c r="AN13" i="139"/>
  <c r="X90" i="139"/>
  <c r="AL62" i="139"/>
  <c r="AP62" i="139" s="1"/>
  <c r="AL87" i="139"/>
  <c r="AP87" i="139" s="1"/>
  <c r="X96" i="139"/>
  <c r="X101" i="139"/>
  <c r="AP111" i="139"/>
  <c r="BD110" i="139"/>
  <c r="BF111" i="139"/>
  <c r="A118" i="139"/>
  <c r="BI118" i="139"/>
  <c r="A14" i="139"/>
  <c r="A15" i="139"/>
  <c r="X82" i="139"/>
  <c r="BI95" i="139"/>
  <c r="X120" i="139"/>
  <c r="A110" i="139"/>
  <c r="A111" i="139"/>
  <c r="A112" i="139"/>
  <c r="H16" i="140"/>
  <c r="H22" i="140"/>
  <c r="BB34" i="139"/>
  <c r="BB13" i="139"/>
  <c r="A27" i="139"/>
  <c r="A28" i="139"/>
  <c r="A29" i="139"/>
  <c r="X36" i="139"/>
  <c r="X38" i="139"/>
  <c r="AL44" i="139"/>
  <c r="AZ44" i="139" s="1"/>
  <c r="BD44" i="139" s="1"/>
  <c r="BF44" i="139" s="1"/>
  <c r="X50" i="139"/>
  <c r="X52" i="139"/>
  <c r="AP52" i="139"/>
  <c r="AL58" i="139"/>
  <c r="AP58" i="139" s="1"/>
  <c r="X66" i="139"/>
  <c r="X73" i="139"/>
  <c r="X75" i="139"/>
  <c r="AP75" i="139"/>
  <c r="X81" i="139"/>
  <c r="AL83" i="139"/>
  <c r="AZ83" i="139" s="1"/>
  <c r="BD83" i="139" s="1"/>
  <c r="BF83" i="139" s="1"/>
  <c r="AL89" i="139"/>
  <c r="AZ89" i="139" s="1"/>
  <c r="BD89" i="139" s="1"/>
  <c r="BF89" i="139" s="1"/>
  <c r="X91" i="139"/>
  <c r="X105" i="139"/>
  <c r="AL108" i="139"/>
  <c r="AL15" i="139"/>
  <c r="AP110" i="139"/>
  <c r="BD113" i="139"/>
  <c r="BB116" i="139"/>
  <c r="BB19" i="139"/>
  <c r="AN116" i="139"/>
  <c r="AN19" i="139"/>
  <c r="AJ119" i="139"/>
  <c r="AP119" i="139"/>
  <c r="AZ94" i="139"/>
  <c r="AZ14" i="139"/>
  <c r="X27" i="139"/>
  <c r="R34" i="139"/>
  <c r="R13" i="139" s="1"/>
  <c r="A36" i="139"/>
  <c r="A37" i="139"/>
  <c r="BI37" i="139"/>
  <c r="X42" i="139"/>
  <c r="X86" i="139"/>
  <c r="X97" i="139"/>
  <c r="X102" i="139"/>
  <c r="X104" i="139"/>
  <c r="BD111" i="139"/>
  <c r="BF112" i="139"/>
  <c r="AP112" i="139"/>
  <c r="X117" i="139"/>
  <c r="AN25" i="139"/>
  <c r="AN12" i="139"/>
  <c r="BB25" i="139"/>
  <c r="BB12" i="139"/>
  <c r="BD112" i="139"/>
  <c r="BF113" i="139"/>
  <c r="AP113" i="139"/>
  <c r="AX27" i="140"/>
  <c r="AP27" i="140"/>
  <c r="AZ35" i="140"/>
  <c r="BD35" i="140"/>
  <c r="BF35" i="140"/>
  <c r="AP35" i="140"/>
  <c r="X12" i="140"/>
  <c r="BD50" i="140"/>
  <c r="BF50" i="140"/>
  <c r="AX30" i="140"/>
  <c r="BD30" i="140"/>
  <c r="BF30" i="140"/>
  <c r="AP50" i="140"/>
  <c r="BF59" i="140"/>
  <c r="BF63" i="140"/>
  <c r="AP65" i="140"/>
  <c r="AX65" i="140"/>
  <c r="AP67" i="140"/>
  <c r="AL71" i="140"/>
  <c r="X71" i="140"/>
  <c r="BF75" i="140"/>
  <c r="X26" i="140"/>
  <c r="X25" i="140"/>
  <c r="X35" i="140"/>
  <c r="AL36" i="140"/>
  <c r="AZ36" i="140"/>
  <c r="AP37" i="140"/>
  <c r="AP38" i="140"/>
  <c r="AX40" i="140"/>
  <c r="BD40" i="140"/>
  <c r="BF40" i="140"/>
  <c r="AL47" i="140"/>
  <c r="X50" i="140"/>
  <c r="AP53" i="140"/>
  <c r="AP54" i="140"/>
  <c r="AX58" i="140"/>
  <c r="BD58" i="140"/>
  <c r="BF58" i="140"/>
  <c r="AX62" i="140"/>
  <c r="BD62" i="140"/>
  <c r="BF62" i="140"/>
  <c r="X67" i="140"/>
  <c r="X72" i="140"/>
  <c r="AL72" i="140"/>
  <c r="AZ27" i="140"/>
  <c r="AZ25" i="140"/>
  <c r="AZ12" i="140"/>
  <c r="AX28" i="140"/>
  <c r="BD28" i="140"/>
  <c r="BF28" i="140"/>
  <c r="AJ26" i="140"/>
  <c r="AJ33" i="140"/>
  <c r="AJ13" i="140"/>
  <c r="AZ34" i="140"/>
  <c r="AP34" i="140"/>
  <c r="BD39" i="140"/>
  <c r="BF39" i="140"/>
  <c r="AP42" i="140"/>
  <c r="BD44" i="140"/>
  <c r="BF44" i="140"/>
  <c r="AL51" i="140"/>
  <c r="AX56" i="140"/>
  <c r="BD56" i="140"/>
  <c r="BF56" i="140"/>
  <c r="AP56" i="140"/>
  <c r="BD67" i="140"/>
  <c r="BF67" i="140"/>
  <c r="X68" i="140"/>
  <c r="AL68" i="140"/>
  <c r="AZ68" i="140"/>
  <c r="BD68" i="140"/>
  <c r="BF68" i="140"/>
  <c r="BF73" i="140"/>
  <c r="X82" i="140"/>
  <c r="AL82" i="140"/>
  <c r="AZ82" i="140"/>
  <c r="AL84" i="140"/>
  <c r="AZ84" i="140"/>
  <c r="X84" i="140"/>
  <c r="BB94" i="140"/>
  <c r="BD94" i="140"/>
  <c r="AP94" i="140"/>
  <c r="X96" i="140"/>
  <c r="AN96" i="140"/>
  <c r="BB96" i="140"/>
  <c r="AP101" i="140"/>
  <c r="AZ101" i="140"/>
  <c r="AZ93" i="140"/>
  <c r="AZ14" i="140"/>
  <c r="A109" i="140"/>
  <c r="BI108" i="140"/>
  <c r="AP110" i="140"/>
  <c r="AZ110" i="140"/>
  <c r="BD110" i="140"/>
  <c r="BF111" i="140"/>
  <c r="BF120" i="140"/>
  <c r="BF119" i="140"/>
  <c r="BF118" i="140"/>
  <c r="AX29" i="140"/>
  <c r="BD29" i="140"/>
  <c r="BF29" i="140"/>
  <c r="BB33" i="140"/>
  <c r="BB13" i="140"/>
  <c r="AX45" i="140"/>
  <c r="BD45" i="140"/>
  <c r="BF45" i="140"/>
  <c r="AX57" i="140"/>
  <c r="AX61" i="140"/>
  <c r="BD61" i="140"/>
  <c r="BF61" i="140"/>
  <c r="AN33" i="140"/>
  <c r="AN13" i="140"/>
  <c r="X34" i="140"/>
  <c r="AX36" i="140"/>
  <c r="AP39" i="140"/>
  <c r="X42" i="140"/>
  <c r="AP44" i="140"/>
  <c r="AP46" i="140"/>
  <c r="AX48" i="140"/>
  <c r="BD48" i="140"/>
  <c r="BF48" i="140"/>
  <c r="AX69" i="140"/>
  <c r="BD96" i="140"/>
  <c r="BF96" i="140"/>
  <c r="X100" i="140"/>
  <c r="AN100" i="140"/>
  <c r="BB100" i="140"/>
  <c r="BD100" i="140"/>
  <c r="BF100" i="140"/>
  <c r="AP103" i="140"/>
  <c r="AX117" i="140"/>
  <c r="AP75" i="140"/>
  <c r="BD77" i="140"/>
  <c r="BF77" i="140"/>
  <c r="AP82" i="140"/>
  <c r="AX82" i="140"/>
  <c r="AX84" i="140"/>
  <c r="BF99" i="140"/>
  <c r="AX102" i="140"/>
  <c r="BD109" i="140"/>
  <c r="AP118" i="140"/>
  <c r="AP59" i="140"/>
  <c r="AP63" i="140"/>
  <c r="X75" i="140"/>
  <c r="AP77" i="140"/>
  <c r="AP79" i="140"/>
  <c r="BI95" i="140"/>
  <c r="A97" i="140"/>
  <c r="BD103" i="140"/>
  <c r="BF103" i="140"/>
  <c r="AZ108" i="140"/>
  <c r="AL107" i="140"/>
  <c r="AL15" i="140"/>
  <c r="AP112" i="140"/>
  <c r="AZ112" i="140"/>
  <c r="BD112" i="140"/>
  <c r="AP60" i="140"/>
  <c r="AP64" i="140"/>
  <c r="AL88" i="140"/>
  <c r="AZ88" i="140"/>
  <c r="BD88" i="140"/>
  <c r="BF88" i="140"/>
  <c r="X88" i="140"/>
  <c r="AN95" i="140"/>
  <c r="BB95" i="140"/>
  <c r="BD95" i="140"/>
  <c r="BF95" i="140"/>
  <c r="AP97" i="140"/>
  <c r="AL93" i="140"/>
  <c r="AL14" i="140"/>
  <c r="AP99" i="140"/>
  <c r="AN104" i="140"/>
  <c r="BB104" i="140"/>
  <c r="BD104" i="140"/>
  <c r="BF104" i="140"/>
  <c r="AX108" i="140"/>
  <c r="AJ107" i="140"/>
  <c r="AJ15" i="140"/>
  <c r="AP108" i="140"/>
  <c r="BD116" i="140"/>
  <c r="BI116" i="140"/>
  <c r="AJ119" i="140"/>
  <c r="AJ115" i="140"/>
  <c r="AJ19" i="140"/>
  <c r="X119" i="140"/>
  <c r="X115" i="140"/>
  <c r="AP80" i="140"/>
  <c r="A118" i="140"/>
  <c r="BI117" i="140"/>
  <c r="AL86" i="140"/>
  <c r="AZ86" i="140"/>
  <c r="BD86" i="140"/>
  <c r="BF86" i="140"/>
  <c r="AL90" i="140"/>
  <c r="AZ90" i="140"/>
  <c r="BD90" i="140"/>
  <c r="BF90" i="140"/>
  <c r="AJ93" i="140"/>
  <c r="AJ14" i="140"/>
  <c r="AP100" i="140"/>
  <c r="T115" i="140"/>
  <c r="T19" i="140"/>
  <c r="X19" i="140"/>
  <c r="AN115" i="140"/>
  <c r="AN19" i="140"/>
  <c r="AL117" i="140"/>
  <c r="AP117" i="140"/>
  <c r="AP120" i="140"/>
  <c r="BI94" i="140"/>
  <c r="AN98" i="140"/>
  <c r="BB98" i="140"/>
  <c r="BD98" i="140"/>
  <c r="BF98" i="140"/>
  <c r="AN102" i="140"/>
  <c r="BB102" i="140"/>
  <c r="AZ25" i="139"/>
  <c r="AZ12" i="139"/>
  <c r="BI14" i="139"/>
  <c r="BI28" i="139"/>
  <c r="BI13" i="139"/>
  <c r="AJ26" i="139"/>
  <c r="AP26" i="139" s="1"/>
  <c r="AX35" i="139"/>
  <c r="AL25" i="139"/>
  <c r="AL12" i="139"/>
  <c r="AP30" i="139"/>
  <c r="AL35" i="139"/>
  <c r="AZ35" i="139" s="1"/>
  <c r="X37" i="139"/>
  <c r="X39" i="139"/>
  <c r="AL39" i="139"/>
  <c r="AZ39" i="139" s="1"/>
  <c r="BD39" i="139" s="1"/>
  <c r="BF39" i="139" s="1"/>
  <c r="AL41" i="139"/>
  <c r="AZ41" i="139" s="1"/>
  <c r="BD41" i="139" s="1"/>
  <c r="BF41" i="139" s="1"/>
  <c r="X41" i="139"/>
  <c r="BF121" i="139"/>
  <c r="BF119" i="139"/>
  <c r="BF120" i="139"/>
  <c r="AX43" i="139"/>
  <c r="AX47" i="139"/>
  <c r="AX51" i="139"/>
  <c r="AZ54" i="139"/>
  <c r="BD54" i="139" s="1"/>
  <c r="BF54" i="139" s="1"/>
  <c r="AX55" i="139"/>
  <c r="AX59" i="139"/>
  <c r="AX63" i="139"/>
  <c r="AL43" i="139"/>
  <c r="AZ43" i="139" s="1"/>
  <c r="BD43" i="139" s="1"/>
  <c r="BF43" i="139" s="1"/>
  <c r="X45" i="139"/>
  <c r="AL47" i="139"/>
  <c r="AZ47" i="139" s="1"/>
  <c r="BD47" i="139" s="1"/>
  <c r="BF47" i="139" s="1"/>
  <c r="X49" i="139"/>
  <c r="AL51" i="139"/>
  <c r="AZ51" i="139" s="1"/>
  <c r="BD51" i="139" s="1"/>
  <c r="BF51" i="139" s="1"/>
  <c r="X53" i="139"/>
  <c r="AL55" i="139"/>
  <c r="AZ55" i="139" s="1"/>
  <c r="BD55" i="139" s="1"/>
  <c r="BF55" i="139" s="1"/>
  <c r="X57" i="139"/>
  <c r="AL59" i="139"/>
  <c r="AZ59" i="139" s="1"/>
  <c r="BD59" i="139" s="1"/>
  <c r="BF59" i="139" s="1"/>
  <c r="X61" i="139"/>
  <c r="AL63" i="139"/>
  <c r="AZ63" i="139" s="1"/>
  <c r="BD63" i="139" s="1"/>
  <c r="BF63" i="139" s="1"/>
  <c r="X65" i="139"/>
  <c r="X68" i="139"/>
  <c r="AL68" i="139"/>
  <c r="AZ68" i="139" s="1"/>
  <c r="BD68" i="139" s="1"/>
  <c r="BF68" i="139" s="1"/>
  <c r="AL70" i="139"/>
  <c r="AZ70" i="139" s="1"/>
  <c r="BD70" i="139" s="1"/>
  <c r="BF70" i="139" s="1"/>
  <c r="X70" i="139"/>
  <c r="A98" i="139"/>
  <c r="BI96" i="139"/>
  <c r="BB95" i="139"/>
  <c r="AL72" i="139"/>
  <c r="AP72" i="139" s="1"/>
  <c r="AZ72" i="139"/>
  <c r="BD72" i="139" s="1"/>
  <c r="BF72" i="139" s="1"/>
  <c r="X74" i="139"/>
  <c r="AL76" i="139"/>
  <c r="AZ76" i="139" s="1"/>
  <c r="BD76" i="139" s="1"/>
  <c r="BF76" i="139" s="1"/>
  <c r="X78" i="139"/>
  <c r="AJ94" i="139"/>
  <c r="AJ14" i="139"/>
  <c r="AP95" i="139"/>
  <c r="BI111" i="139"/>
  <c r="AL84" i="139"/>
  <c r="AZ84" i="139" s="1"/>
  <c r="BD84" i="139" s="1"/>
  <c r="BF84" i="139" s="1"/>
  <c r="AN98" i="139"/>
  <c r="BB98" i="139" s="1"/>
  <c r="BD98" i="139" s="1"/>
  <c r="BF98" i="139" s="1"/>
  <c r="BB108" i="139"/>
  <c r="BB15" i="139"/>
  <c r="X118" i="139"/>
  <c r="AL118" i="139"/>
  <c r="AP118" i="139" s="1"/>
  <c r="T116" i="139"/>
  <c r="T19" i="139" s="1"/>
  <c r="AP85" i="139"/>
  <c r="AP90" i="139"/>
  <c r="AX100" i="139"/>
  <c r="AL80" i="139"/>
  <c r="AP80" i="139" s="1"/>
  <c r="AL88" i="139"/>
  <c r="AZ88" i="139" s="1"/>
  <c r="BD88" i="139" s="1"/>
  <c r="BF88" i="139" s="1"/>
  <c r="X95" i="139"/>
  <c r="AX121" i="139"/>
  <c r="AX99" i="139"/>
  <c r="AX103" i="139"/>
  <c r="AP114" i="139"/>
  <c r="BF110" i="139"/>
  <c r="AP89" i="139"/>
  <c r="AP61" i="140"/>
  <c r="BI13" i="140"/>
  <c r="AP52" i="140"/>
  <c r="A15" i="140"/>
  <c r="BI15" i="140"/>
  <c r="AP95" i="140"/>
  <c r="AP104" i="140"/>
  <c r="AZ43" i="140"/>
  <c r="BD43" i="140"/>
  <c r="BF43" i="140"/>
  <c r="BD65" i="140"/>
  <c r="BF65" i="140"/>
  <c r="AP102" i="140"/>
  <c r="AP55" i="140"/>
  <c r="BD57" i="140"/>
  <c r="BF57" i="140"/>
  <c r="AP96" i="140"/>
  <c r="AP93" i="140"/>
  <c r="AP57" i="140"/>
  <c r="AZ76" i="140"/>
  <c r="BD76" i="140"/>
  <c r="BF76" i="140"/>
  <c r="X93" i="140"/>
  <c r="AP40" i="140"/>
  <c r="BI27" i="140"/>
  <c r="AZ89" i="140"/>
  <c r="BD89" i="140"/>
  <c r="BF89" i="140"/>
  <c r="AP69" i="140"/>
  <c r="BI35" i="140"/>
  <c r="A36" i="140"/>
  <c r="BD84" i="140"/>
  <c r="BF84" i="140"/>
  <c r="AP84" i="140"/>
  <c r="BD69" i="140"/>
  <c r="BF69" i="140"/>
  <c r="BI28" i="140"/>
  <c r="AP88" i="140"/>
  <c r="AP15" i="140"/>
  <c r="AP98" i="140"/>
  <c r="AP68" i="140"/>
  <c r="BD101" i="140"/>
  <c r="BF101" i="140"/>
  <c r="BD102" i="140"/>
  <c r="BF102" i="140"/>
  <c r="BD82" i="140"/>
  <c r="BF82" i="140"/>
  <c r="AX41" i="140"/>
  <c r="BD41" i="140"/>
  <c r="BF41" i="140"/>
  <c r="AP41" i="140"/>
  <c r="BI27" i="139"/>
  <c r="AP39" i="139"/>
  <c r="A38" i="139"/>
  <c r="BI38" i="139"/>
  <c r="BI36" i="139"/>
  <c r="BI110" i="139"/>
  <c r="A119" i="139"/>
  <c r="AX119" i="139"/>
  <c r="AP83" i="139"/>
  <c r="A110" i="140"/>
  <c r="BI109" i="140"/>
  <c r="AP47" i="140"/>
  <c r="AZ47" i="140"/>
  <c r="BD47" i="140"/>
  <c r="BF47" i="140"/>
  <c r="AP51" i="140"/>
  <c r="AZ51" i="140"/>
  <c r="BD51" i="140"/>
  <c r="BF51" i="140"/>
  <c r="T22" i="140"/>
  <c r="AZ117" i="140"/>
  <c r="AZ115" i="140"/>
  <c r="AZ19" i="140"/>
  <c r="AL115" i="140"/>
  <c r="AL19" i="140"/>
  <c r="AP19" i="140"/>
  <c r="AP90" i="140"/>
  <c r="BF116" i="140"/>
  <c r="AZ107" i="140"/>
  <c r="AZ15" i="140"/>
  <c r="AX93" i="140"/>
  <c r="AX14" i="140"/>
  <c r="X33" i="140"/>
  <c r="AN93" i="140"/>
  <c r="AN14" i="140"/>
  <c r="AN16" i="140"/>
  <c r="AN22" i="140"/>
  <c r="A30" i="140"/>
  <c r="BI30" i="140"/>
  <c r="BI29" i="140"/>
  <c r="BD34" i="140"/>
  <c r="X16" i="140"/>
  <c r="X22" i="140"/>
  <c r="AP86" i="140"/>
  <c r="A98" i="140"/>
  <c r="BI97" i="140"/>
  <c r="BD108" i="140"/>
  <c r="AX107" i="140"/>
  <c r="AX15" i="140"/>
  <c r="BD15" i="140"/>
  <c r="BF94" i="140"/>
  <c r="BD36" i="140"/>
  <c r="BF36" i="140"/>
  <c r="AL33" i="140"/>
  <c r="AL13" i="140"/>
  <c r="AL16" i="140"/>
  <c r="AL22" i="140"/>
  <c r="AP72" i="140"/>
  <c r="AZ72" i="140"/>
  <c r="BD72" i="140"/>
  <c r="BF72" i="140"/>
  <c r="AX33" i="140"/>
  <c r="AX13" i="140"/>
  <c r="A119" i="140"/>
  <c r="BI118" i="140"/>
  <c r="AX119" i="140"/>
  <c r="AP119" i="140"/>
  <c r="AP115" i="140"/>
  <c r="AP107" i="140"/>
  <c r="BF110" i="140"/>
  <c r="BF109" i="140"/>
  <c r="AP36" i="140"/>
  <c r="BB93" i="140"/>
  <c r="BB14" i="140"/>
  <c r="BB16" i="140"/>
  <c r="BB22" i="140"/>
  <c r="AX26" i="140"/>
  <c r="AJ25" i="140"/>
  <c r="AJ12" i="140"/>
  <c r="AP26" i="140"/>
  <c r="AP25" i="140"/>
  <c r="AZ71" i="140"/>
  <c r="BD71" i="140"/>
  <c r="BF71" i="140"/>
  <c r="AP71" i="140"/>
  <c r="R16" i="140"/>
  <c r="R22" i="140"/>
  <c r="BD27" i="140"/>
  <c r="BF27" i="140"/>
  <c r="BI29" i="139"/>
  <c r="A30" i="139"/>
  <c r="BI30" i="139"/>
  <c r="BI98" i="139"/>
  <c r="A99" i="139"/>
  <c r="A39" i="139"/>
  <c r="AX94" i="139"/>
  <c r="AX14" i="139"/>
  <c r="A113" i="139"/>
  <c r="BI113" i="139"/>
  <c r="BI112" i="139"/>
  <c r="AP55" i="139"/>
  <c r="A16" i="139"/>
  <c r="BI15" i="139"/>
  <c r="AP33" i="140"/>
  <c r="A16" i="140"/>
  <c r="A18" i="140"/>
  <c r="BD117" i="140"/>
  <c r="BF117" i="140"/>
  <c r="BF115" i="140"/>
  <c r="BF19" i="140"/>
  <c r="AP13" i="140"/>
  <c r="A37" i="140"/>
  <c r="BI36" i="140"/>
  <c r="BF93" i="140"/>
  <c r="BF14" i="140"/>
  <c r="BD93" i="140"/>
  <c r="A120" i="139"/>
  <c r="BI119" i="139"/>
  <c r="BF108" i="140"/>
  <c r="BF107" i="140"/>
  <c r="BF15" i="140"/>
  <c r="BD107" i="140"/>
  <c r="AP12" i="140"/>
  <c r="AJ16" i="140"/>
  <c r="AJ22" i="140"/>
  <c r="BD119" i="140"/>
  <c r="BD115" i="140"/>
  <c r="AX115" i="140"/>
  <c r="AX19" i="140"/>
  <c r="BD19" i="140"/>
  <c r="AP14" i="140"/>
  <c r="A111" i="140"/>
  <c r="BI110" i="140"/>
  <c r="BD26" i="140"/>
  <c r="AX25" i="140"/>
  <c r="AX12" i="140"/>
  <c r="BD14" i="140"/>
  <c r="BF34" i="140"/>
  <c r="BF33" i="140"/>
  <c r="BF13" i="140"/>
  <c r="BD33" i="140"/>
  <c r="BI119" i="140"/>
  <c r="A120" i="140"/>
  <c r="BI120" i="140"/>
  <c r="A99" i="140"/>
  <c r="BI98" i="140"/>
  <c r="AZ33" i="140"/>
  <c r="AZ13" i="140"/>
  <c r="AZ16" i="140"/>
  <c r="AZ22" i="140"/>
  <c r="BI16" i="139"/>
  <c r="A18" i="139"/>
  <c r="BI39" i="139"/>
  <c r="A40" i="139"/>
  <c r="A100" i="139"/>
  <c r="BI99" i="139"/>
  <c r="BI16" i="140"/>
  <c r="A38" i="140"/>
  <c r="BI37" i="140"/>
  <c r="A121" i="139"/>
  <c r="BI121" i="139"/>
  <c r="BI120" i="139"/>
  <c r="A100" i="140"/>
  <c r="BI99" i="140"/>
  <c r="BD12" i="140"/>
  <c r="BD16" i="140"/>
  <c r="BD22" i="140"/>
  <c r="AX16" i="140"/>
  <c r="AX22" i="140"/>
  <c r="A112" i="140"/>
  <c r="BI112" i="140"/>
  <c r="BI111" i="140"/>
  <c r="BD25" i="140"/>
  <c r="BF26" i="140"/>
  <c r="BF25" i="140"/>
  <c r="BF12" i="140"/>
  <c r="BD13" i="140"/>
  <c r="AP16" i="140"/>
  <c r="AP22" i="140"/>
  <c r="BI18" i="140"/>
  <c r="A19" i="140"/>
  <c r="A19" i="139"/>
  <c r="BI18" i="139"/>
  <c r="A101" i="139"/>
  <c r="BI100" i="139"/>
  <c r="A41" i="139"/>
  <c r="BI40" i="139"/>
  <c r="BI38" i="140"/>
  <c r="A39" i="140"/>
  <c r="BF16" i="140"/>
  <c r="BF22" i="140"/>
  <c r="A20" i="140"/>
  <c r="BI19" i="140"/>
  <c r="BI100" i="140"/>
  <c r="A101" i="140"/>
  <c r="A20" i="139"/>
  <c r="BI19" i="139"/>
  <c r="BI41" i="139"/>
  <c r="A42" i="139"/>
  <c r="BI101" i="139"/>
  <c r="A102" i="139"/>
  <c r="A40" i="140"/>
  <c r="BI39" i="140"/>
  <c r="A104" i="140"/>
  <c r="BI104" i="140"/>
  <c r="A102" i="140"/>
  <c r="BI101" i="140"/>
  <c r="A21" i="140"/>
  <c r="BI20" i="140"/>
  <c r="A43" i="139"/>
  <c r="BI42" i="139"/>
  <c r="A105" i="139"/>
  <c r="BI105" i="139"/>
  <c r="BI102" i="139"/>
  <c r="A103" i="139"/>
  <c r="A21" i="139"/>
  <c r="BI20" i="139"/>
  <c r="A41" i="140"/>
  <c r="BI40" i="140"/>
  <c r="A22" i="140"/>
  <c r="BI22" i="140"/>
  <c r="BI21" i="140"/>
  <c r="A103" i="140"/>
  <c r="BI103" i="140"/>
  <c r="BI102" i="140"/>
  <c r="BI21" i="139"/>
  <c r="A22" i="139"/>
  <c r="BI22" i="139"/>
  <c r="A104" i="139"/>
  <c r="BI104" i="139"/>
  <c r="BI103" i="139"/>
  <c r="A44" i="139"/>
  <c r="BI43" i="139"/>
  <c r="A42" i="140"/>
  <c r="BI41" i="140"/>
  <c r="A45" i="139"/>
  <c r="BI44" i="139"/>
  <c r="A43" i="140"/>
  <c r="BI42" i="140"/>
  <c r="BI45" i="139"/>
  <c r="A46" i="139"/>
  <c r="A44" i="140"/>
  <c r="BI43" i="140"/>
  <c r="A47" i="139"/>
  <c r="BI46" i="139"/>
  <c r="A45" i="140"/>
  <c r="BI44" i="140"/>
  <c r="A48" i="139"/>
  <c r="BI47" i="139"/>
  <c r="A46" i="140"/>
  <c r="BI45" i="140"/>
  <c r="A49" i="139"/>
  <c r="BI48" i="139"/>
  <c r="BI46" i="140"/>
  <c r="A47" i="140"/>
  <c r="BI49" i="139"/>
  <c r="A50" i="139"/>
  <c r="A48" i="140"/>
  <c r="BI47" i="140"/>
  <c r="A51" i="139"/>
  <c r="BI50" i="139"/>
  <c r="A49" i="140"/>
  <c r="BI48" i="140"/>
  <c r="A52" i="139"/>
  <c r="BI51" i="139"/>
  <c r="A50" i="140"/>
  <c r="BI49" i="140"/>
  <c r="A53" i="139"/>
  <c r="BI52" i="139"/>
  <c r="BI50" i="140"/>
  <c r="A51" i="140"/>
  <c r="BI53" i="139"/>
  <c r="A54" i="139"/>
  <c r="A52" i="140"/>
  <c r="BI51" i="140"/>
  <c r="A55" i="139"/>
  <c r="BI54" i="139"/>
  <c r="A53" i="140"/>
  <c r="BI52" i="140"/>
  <c r="A56" i="139"/>
  <c r="BI55" i="139"/>
  <c r="A54" i="140"/>
  <c r="BI53" i="140"/>
  <c r="A57" i="139"/>
  <c r="BI56" i="139"/>
  <c r="BI54" i="140"/>
  <c r="A55" i="140"/>
  <c r="BI57" i="139"/>
  <c r="A58" i="139"/>
  <c r="BI55" i="140"/>
  <c r="A56" i="140"/>
  <c r="A59" i="139"/>
  <c r="BI58" i="139"/>
  <c r="A57" i="140"/>
  <c r="BI56" i="140"/>
  <c r="A60" i="139"/>
  <c r="BI59" i="139"/>
  <c r="A58" i="140"/>
  <c r="BI57" i="140"/>
  <c r="A61" i="139"/>
  <c r="BI60" i="139"/>
  <c r="A59" i="140"/>
  <c r="BI58" i="140"/>
  <c r="BI61" i="139"/>
  <c r="A62" i="139"/>
  <c r="BI59" i="140"/>
  <c r="A60" i="140"/>
  <c r="A63" i="139"/>
  <c r="BI62" i="139"/>
  <c r="A61" i="140"/>
  <c r="BI60" i="140"/>
  <c r="A64" i="139"/>
  <c r="BI63" i="139"/>
  <c r="A62" i="140"/>
  <c r="BI61" i="140"/>
  <c r="A65" i="139"/>
  <c r="BI64" i="139"/>
  <c r="A63" i="140"/>
  <c r="BI62" i="140"/>
  <c r="BI65" i="139"/>
  <c r="A66" i="139"/>
  <c r="BI63" i="140"/>
  <c r="A64" i="140"/>
  <c r="BI66" i="139"/>
  <c r="A67" i="139"/>
  <c r="A65" i="140"/>
  <c r="BI64" i="140"/>
  <c r="A68" i="139"/>
  <c r="BI67" i="139"/>
  <c r="A66" i="140"/>
  <c r="BI65" i="140"/>
  <c r="BI68" i="139"/>
  <c r="A69" i="139"/>
  <c r="A67" i="140"/>
  <c r="BI66" i="140"/>
  <c r="A70" i="139"/>
  <c r="BI69" i="139"/>
  <c r="A68" i="140"/>
  <c r="BI67" i="140"/>
  <c r="BI70" i="139"/>
  <c r="A71" i="139"/>
  <c r="A69" i="140"/>
  <c r="BI68" i="140"/>
  <c r="BI71" i="139"/>
  <c r="A72" i="139"/>
  <c r="A70" i="140"/>
  <c r="BI69" i="140"/>
  <c r="A73" i="139"/>
  <c r="BI72" i="139"/>
  <c r="A71" i="140"/>
  <c r="BI70" i="140"/>
  <c r="A74" i="139"/>
  <c r="BI73" i="139"/>
  <c r="BI71" i="140"/>
  <c r="A72" i="140"/>
  <c r="A75" i="139"/>
  <c r="BI74" i="139"/>
  <c r="BI72" i="140"/>
  <c r="A73" i="140"/>
  <c r="BI75" i="139"/>
  <c r="A76" i="139"/>
  <c r="A74" i="140"/>
  <c r="BI73" i="140"/>
  <c r="A77" i="139"/>
  <c r="BI76" i="139"/>
  <c r="A75" i="140"/>
  <c r="BI74" i="140"/>
  <c r="A78" i="139"/>
  <c r="BI77" i="139"/>
  <c r="BI75" i="140"/>
  <c r="A76" i="140"/>
  <c r="A79" i="139"/>
  <c r="BI78" i="139"/>
  <c r="A77" i="140"/>
  <c r="BI76" i="140"/>
  <c r="BI79" i="139"/>
  <c r="A80" i="139"/>
  <c r="A78" i="140"/>
  <c r="BI77" i="140"/>
  <c r="A81" i="139"/>
  <c r="BI80" i="139"/>
  <c r="A79" i="140"/>
  <c r="BI78" i="140"/>
  <c r="A82" i="139"/>
  <c r="BI81" i="139"/>
  <c r="BI79" i="140"/>
  <c r="A80" i="140"/>
  <c r="BI82" i="139"/>
  <c r="A83" i="139"/>
  <c r="BI80" i="140"/>
  <c r="A81" i="140"/>
  <c r="A84" i="139"/>
  <c r="BI83" i="139"/>
  <c r="A82" i="140"/>
  <c r="BI81" i="140"/>
  <c r="BI84" i="139"/>
  <c r="A85" i="139"/>
  <c r="BI82" i="140"/>
  <c r="A83" i="140"/>
  <c r="A86" i="139"/>
  <c r="BI85" i="139"/>
  <c r="A84" i="140"/>
  <c r="BI83" i="140"/>
  <c r="BI86" i="139"/>
  <c r="A87" i="139"/>
  <c r="BI84" i="140"/>
  <c r="A85" i="140"/>
  <c r="BI87" i="139"/>
  <c r="A88" i="139"/>
  <c r="A86" i="140"/>
  <c r="BI85" i="140"/>
  <c r="A89" i="139"/>
  <c r="BI88" i="139"/>
  <c r="BI86" i="140"/>
  <c r="A87" i="140"/>
  <c r="A90" i="139"/>
  <c r="BI89" i="139"/>
  <c r="A88" i="140"/>
  <c r="BI87" i="140"/>
  <c r="BI90" i="139"/>
  <c r="A91" i="139"/>
  <c r="BI91" i="139"/>
  <c r="A89" i="140"/>
  <c r="BI88" i="140"/>
  <c r="J23" i="105"/>
  <c r="J22" i="105"/>
  <c r="J21" i="105"/>
  <c r="J20" i="105"/>
  <c r="J19" i="105"/>
  <c r="J18" i="105"/>
  <c r="J17" i="105"/>
  <c r="J16" i="105"/>
  <c r="J15" i="105"/>
  <c r="J14" i="105"/>
  <c r="J13" i="105"/>
  <c r="L23" i="105"/>
  <c r="L22" i="105"/>
  <c r="L21" i="105"/>
  <c r="L20" i="105"/>
  <c r="L19" i="105"/>
  <c r="L18" i="105"/>
  <c r="L17" i="105"/>
  <c r="L16" i="105"/>
  <c r="L15" i="105"/>
  <c r="L14" i="105"/>
  <c r="L13" i="105"/>
  <c r="I23" i="105"/>
  <c r="I22" i="105"/>
  <c r="I21" i="105"/>
  <c r="I20" i="105"/>
  <c r="I19" i="105"/>
  <c r="I18" i="105"/>
  <c r="I17" i="105"/>
  <c r="I16" i="105"/>
  <c r="I15" i="105"/>
  <c r="I14" i="105"/>
  <c r="I26" i="105" s="1"/>
  <c r="I13" i="105"/>
  <c r="H23" i="105"/>
  <c r="H22" i="105"/>
  <c r="H21" i="105"/>
  <c r="H20" i="105"/>
  <c r="H19" i="105"/>
  <c r="H18" i="105"/>
  <c r="H17" i="105"/>
  <c r="H24" i="105" s="1"/>
  <c r="H16" i="105"/>
  <c r="H15" i="105"/>
  <c r="H14" i="105"/>
  <c r="H13" i="105"/>
  <c r="F23" i="105"/>
  <c r="F22" i="105"/>
  <c r="F21" i="105"/>
  <c r="F20" i="105"/>
  <c r="F19" i="105"/>
  <c r="F24" i="105" s="1"/>
  <c r="F18" i="105"/>
  <c r="F17" i="105"/>
  <c r="F16" i="105"/>
  <c r="F15" i="105"/>
  <c r="F14" i="105"/>
  <c r="F13" i="105"/>
  <c r="E23" i="105"/>
  <c r="E22" i="105"/>
  <c r="E21" i="105"/>
  <c r="E20" i="105"/>
  <c r="E19" i="105"/>
  <c r="E18" i="105"/>
  <c r="E17" i="105"/>
  <c r="E16" i="105"/>
  <c r="E15" i="105"/>
  <c r="E14" i="105"/>
  <c r="E13" i="105"/>
  <c r="C23" i="105"/>
  <c r="C22" i="105"/>
  <c r="C21" i="105"/>
  <c r="C20" i="105"/>
  <c r="C19" i="105"/>
  <c r="C18" i="105"/>
  <c r="C17" i="105"/>
  <c r="C16" i="105"/>
  <c r="C15" i="105"/>
  <c r="C14" i="105"/>
  <c r="C13" i="105"/>
  <c r="A90" i="140"/>
  <c r="BI90" i="140"/>
  <c r="BI89" i="140"/>
  <c r="E94" i="104"/>
  <c r="D94" i="104"/>
  <c r="C94" i="104"/>
  <c r="J42" i="104"/>
  <c r="I42" i="104"/>
  <c r="H42" i="104"/>
  <c r="G42" i="104"/>
  <c r="F42" i="104"/>
  <c r="E42" i="104"/>
  <c r="D42" i="104"/>
  <c r="C42" i="104"/>
  <c r="J64" i="85"/>
  <c r="I64" i="85"/>
  <c r="H64" i="85"/>
  <c r="G64" i="85"/>
  <c r="F64" i="85"/>
  <c r="E64" i="85"/>
  <c r="A48" i="85"/>
  <c r="M47" i="85"/>
  <c r="F41" i="85"/>
  <c r="A26" i="85"/>
  <c r="A27" i="85"/>
  <c r="M25" i="85"/>
  <c r="J23" i="85"/>
  <c r="G23" i="85"/>
  <c r="E23" i="85"/>
  <c r="I22" i="85"/>
  <c r="K22" i="85" s="1"/>
  <c r="I21" i="85"/>
  <c r="K21" i="85" s="1"/>
  <c r="I20" i="85"/>
  <c r="K20" i="85" s="1"/>
  <c r="I19" i="85"/>
  <c r="K19" i="85" s="1"/>
  <c r="I18" i="85"/>
  <c r="K18" i="85" s="1"/>
  <c r="I17" i="85"/>
  <c r="K17" i="85" s="1"/>
  <c r="I16" i="85"/>
  <c r="K16" i="85" s="1"/>
  <c r="I15" i="85"/>
  <c r="K15" i="85" s="1"/>
  <c r="I14" i="85"/>
  <c r="K14" i="85" s="1"/>
  <c r="I13" i="85"/>
  <c r="K13" i="85"/>
  <c r="F28" i="85" s="1"/>
  <c r="F38" i="85" s="1"/>
  <c r="I12" i="85"/>
  <c r="K12" i="85" s="1"/>
  <c r="I11" i="85"/>
  <c r="K11" i="85" s="1"/>
  <c r="I10" i="85"/>
  <c r="K10" i="85" s="1"/>
  <c r="I9" i="85"/>
  <c r="K9" i="85" s="1"/>
  <c r="A6" i="85"/>
  <c r="A7" i="85"/>
  <c r="A8" i="85"/>
  <c r="M5" i="85"/>
  <c r="M6" i="85"/>
  <c r="A49" i="85"/>
  <c r="A50" i="85"/>
  <c r="A51" i="85"/>
  <c r="A28" i="85"/>
  <c r="M27" i="85"/>
  <c r="A9" i="85"/>
  <c r="M8" i="85"/>
  <c r="M26" i="85"/>
  <c r="M7" i="85"/>
  <c r="A10" i="85"/>
  <c r="M9" i="85"/>
  <c r="A29" i="85"/>
  <c r="M28" i="85"/>
  <c r="A52" i="85"/>
  <c r="A53" i="85"/>
  <c r="A30" i="85"/>
  <c r="M29" i="85"/>
  <c r="A11" i="85"/>
  <c r="M10" i="85"/>
  <c r="M11" i="85"/>
  <c r="A12" i="85"/>
  <c r="A31" i="85"/>
  <c r="M30" i="85"/>
  <c r="A54" i="85"/>
  <c r="A55" i="85"/>
  <c r="M31" i="85"/>
  <c r="A32" i="85"/>
  <c r="A13" i="85"/>
  <c r="M12" i="85"/>
  <c r="A14" i="85"/>
  <c r="M13" i="85"/>
  <c r="A33" i="85"/>
  <c r="M32" i="85"/>
  <c r="A56" i="85"/>
  <c r="A57" i="85"/>
  <c r="M33" i="85"/>
  <c r="A34" i="85"/>
  <c r="A15" i="85"/>
  <c r="M14" i="85"/>
  <c r="A16" i="85"/>
  <c r="M15" i="85"/>
  <c r="M34" i="85"/>
  <c r="A35" i="85"/>
  <c r="A58" i="85"/>
  <c r="A59" i="85"/>
  <c r="A36" i="85"/>
  <c r="M35" i="85"/>
  <c r="A17" i="85"/>
  <c r="M16" i="85"/>
  <c r="A18" i="85"/>
  <c r="M17" i="85"/>
  <c r="M36" i="85"/>
  <c r="A38" i="85"/>
  <c r="A60" i="85"/>
  <c r="A61" i="85"/>
  <c r="A39" i="85"/>
  <c r="M38" i="85"/>
  <c r="A19" i="85"/>
  <c r="M18" i="85"/>
  <c r="A20" i="85"/>
  <c r="M19" i="85"/>
  <c r="M39" i="85"/>
  <c r="A40" i="85"/>
  <c r="A62" i="85"/>
  <c r="A63" i="85"/>
  <c r="A41" i="85"/>
  <c r="M40" i="85"/>
  <c r="A21" i="85"/>
  <c r="M20" i="85"/>
  <c r="A22" i="85"/>
  <c r="M21" i="85"/>
  <c r="A42" i="85"/>
  <c r="M41" i="85"/>
  <c r="A43" i="85"/>
  <c r="M42" i="85"/>
  <c r="A23" i="85"/>
  <c r="M23" i="85"/>
  <c r="M22" i="85"/>
  <c r="M43" i="85"/>
  <c r="A44" i="85"/>
  <c r="A45" i="85"/>
  <c r="M45" i="85"/>
  <c r="M44" i="85"/>
  <c r="D92" i="80"/>
  <c r="F93" i="80"/>
  <c r="G93" i="80"/>
  <c r="H93" i="80"/>
  <c r="A92" i="80"/>
  <c r="A93" i="80"/>
  <c r="A94" i="80"/>
  <c r="A95" i="80"/>
  <c r="E65" i="80"/>
  <c r="D65" i="80"/>
  <c r="A64" i="80"/>
  <c r="A65" i="80"/>
  <c r="G116" i="80"/>
  <c r="G115" i="80"/>
  <c r="G114" i="80"/>
  <c r="G113" i="80"/>
  <c r="G112" i="80"/>
  <c r="G111" i="80"/>
  <c r="G110" i="80"/>
  <c r="G109" i="80"/>
  <c r="G108" i="80"/>
  <c r="G117" i="80"/>
  <c r="G66" i="83"/>
  <c r="G65" i="83"/>
  <c r="G64" i="83"/>
  <c r="G63" i="83"/>
  <c r="G62" i="83"/>
  <c r="G61" i="83"/>
  <c r="G60" i="83"/>
  <c r="G59" i="83"/>
  <c r="G58" i="83"/>
  <c r="G57" i="83"/>
  <c r="G80" i="78"/>
  <c r="G81" i="78"/>
  <c r="A80" i="78"/>
  <c r="A81" i="78"/>
  <c r="E16" i="91"/>
  <c r="F317" i="108"/>
  <c r="F255" i="108"/>
  <c r="F223" i="108"/>
  <c r="F191" i="108"/>
  <c r="F129" i="108"/>
  <c r="L58" i="108"/>
  <c r="A59" i="108"/>
  <c r="L59" i="108"/>
  <c r="A60" i="108"/>
  <c r="A62" i="108"/>
  <c r="L62" i="108"/>
  <c r="A63" i="108"/>
  <c r="L60" i="108"/>
  <c r="A64" i="108"/>
  <c r="L64" i="108"/>
  <c r="L63" i="108"/>
  <c r="C11" i="125"/>
  <c r="K14" i="104"/>
  <c r="AB50" i="137"/>
  <c r="AA50" i="137"/>
  <c r="Z50" i="137"/>
  <c r="Y50" i="137"/>
  <c r="X50" i="137"/>
  <c r="W50" i="137"/>
  <c r="V50" i="137"/>
  <c r="U50" i="137"/>
  <c r="T50" i="137"/>
  <c r="S50" i="137"/>
  <c r="AB49" i="137"/>
  <c r="AA49" i="137"/>
  <c r="Z49" i="137"/>
  <c r="Y49" i="137"/>
  <c r="X49" i="137"/>
  <c r="W49" i="137"/>
  <c r="V49" i="137"/>
  <c r="U49" i="137"/>
  <c r="T49" i="137"/>
  <c r="S49" i="137"/>
  <c r="AB48" i="137"/>
  <c r="AA48" i="137"/>
  <c r="Z48" i="137"/>
  <c r="Y48" i="137"/>
  <c r="X48" i="137"/>
  <c r="W48" i="137"/>
  <c r="V48" i="137"/>
  <c r="U48" i="137"/>
  <c r="T48" i="137"/>
  <c r="S48" i="137"/>
  <c r="AB47" i="137"/>
  <c r="AA47" i="137"/>
  <c r="Z47" i="137"/>
  <c r="Y47" i="137"/>
  <c r="X47" i="137"/>
  <c r="W47" i="137"/>
  <c r="V47" i="137"/>
  <c r="U47" i="137"/>
  <c r="T47" i="137"/>
  <c r="S47" i="137"/>
  <c r="AB46" i="137"/>
  <c r="AA46" i="137"/>
  <c r="Z46" i="137"/>
  <c r="Y46" i="137"/>
  <c r="X46" i="137"/>
  <c r="W46" i="137"/>
  <c r="V46" i="137"/>
  <c r="U46" i="137"/>
  <c r="T46" i="137"/>
  <c r="S46" i="137"/>
  <c r="AB45" i="137"/>
  <c r="AA45" i="137"/>
  <c r="Z45" i="137"/>
  <c r="Y45" i="137"/>
  <c r="X45" i="137"/>
  <c r="W45" i="137"/>
  <c r="V45" i="137"/>
  <c r="U45" i="137"/>
  <c r="T45" i="137"/>
  <c r="S45" i="137"/>
  <c r="AB44" i="137"/>
  <c r="AA44" i="137"/>
  <c r="Z44" i="137"/>
  <c r="Y44" i="137"/>
  <c r="X44" i="137"/>
  <c r="W44" i="137"/>
  <c r="V44" i="137"/>
  <c r="U44" i="137"/>
  <c r="T44" i="137"/>
  <c r="S44" i="137"/>
  <c r="AB43" i="137"/>
  <c r="AA43" i="137"/>
  <c r="Z43" i="137"/>
  <c r="Y43" i="137"/>
  <c r="X43" i="137"/>
  <c r="W43" i="137"/>
  <c r="V43" i="137"/>
  <c r="U43" i="137"/>
  <c r="T43" i="137"/>
  <c r="S43" i="137"/>
  <c r="AB42" i="137"/>
  <c r="AA42" i="137"/>
  <c r="Z42" i="137"/>
  <c r="Y42" i="137"/>
  <c r="X42" i="137"/>
  <c r="W42" i="137"/>
  <c r="V42" i="137"/>
  <c r="U42" i="137"/>
  <c r="T42" i="137"/>
  <c r="S42" i="137"/>
  <c r="AB41" i="137"/>
  <c r="AA41" i="137"/>
  <c r="Z41" i="137"/>
  <c r="Y41" i="137"/>
  <c r="X41" i="137"/>
  <c r="W41" i="137"/>
  <c r="V41" i="137"/>
  <c r="U41" i="137"/>
  <c r="T41" i="137"/>
  <c r="S41" i="137"/>
  <c r="AB40" i="137"/>
  <c r="AA40" i="137"/>
  <c r="Z40" i="137"/>
  <c r="Y40" i="137"/>
  <c r="X40" i="137"/>
  <c r="W40" i="137"/>
  <c r="V40" i="137"/>
  <c r="U40" i="137"/>
  <c r="T40" i="137"/>
  <c r="S40" i="137"/>
  <c r="AB39" i="137"/>
  <c r="AB51" i="137" s="1"/>
  <c r="AA39" i="137"/>
  <c r="Z39" i="137"/>
  <c r="Y39" i="137"/>
  <c r="X39" i="137"/>
  <c r="W39" i="137"/>
  <c r="V39" i="137"/>
  <c r="U39" i="137"/>
  <c r="T39" i="137"/>
  <c r="T51" i="137" s="1"/>
  <c r="S39" i="137"/>
  <c r="AB38" i="137"/>
  <c r="AA38" i="137"/>
  <c r="Z38" i="137"/>
  <c r="Y38" i="137"/>
  <c r="X38" i="137"/>
  <c r="W38" i="137"/>
  <c r="V38" i="137"/>
  <c r="V51" i="137" s="1"/>
  <c r="U38" i="137"/>
  <c r="T38" i="137"/>
  <c r="S38" i="137"/>
  <c r="AB75" i="137"/>
  <c r="AA75" i="137"/>
  <c r="Z75" i="137"/>
  <c r="Y75" i="137"/>
  <c r="X75" i="137"/>
  <c r="W75" i="137"/>
  <c r="V75" i="137"/>
  <c r="U75" i="137"/>
  <c r="T75" i="137"/>
  <c r="S75" i="137"/>
  <c r="AB74" i="137"/>
  <c r="AA74" i="137"/>
  <c r="Z74" i="137"/>
  <c r="Y74" i="137"/>
  <c r="X74" i="137"/>
  <c r="W74" i="137"/>
  <c r="V74" i="137"/>
  <c r="U74" i="137"/>
  <c r="T74" i="137"/>
  <c r="S74" i="137"/>
  <c r="AB73" i="137"/>
  <c r="AA73" i="137"/>
  <c r="Z73" i="137"/>
  <c r="Y73" i="137"/>
  <c r="X73" i="137"/>
  <c r="W73" i="137"/>
  <c r="V73" i="137"/>
  <c r="U73" i="137"/>
  <c r="T73" i="137"/>
  <c r="S73" i="137"/>
  <c r="AB72" i="137"/>
  <c r="AA72" i="137"/>
  <c r="Z72" i="137"/>
  <c r="Y72" i="137"/>
  <c r="X72" i="137"/>
  <c r="W72" i="137"/>
  <c r="V72" i="137"/>
  <c r="U72" i="137"/>
  <c r="T72" i="137"/>
  <c r="S72" i="137"/>
  <c r="AB71" i="137"/>
  <c r="AA71" i="137"/>
  <c r="Z71" i="137"/>
  <c r="Y71" i="137"/>
  <c r="X71" i="137"/>
  <c r="W71" i="137"/>
  <c r="V71" i="137"/>
  <c r="U71" i="137"/>
  <c r="T71" i="137"/>
  <c r="S71" i="137"/>
  <c r="AB70" i="137"/>
  <c r="AA70" i="137"/>
  <c r="Z70" i="137"/>
  <c r="Y70" i="137"/>
  <c r="X70" i="137"/>
  <c r="W70" i="137"/>
  <c r="V70" i="137"/>
  <c r="U70" i="137"/>
  <c r="T70" i="137"/>
  <c r="S70" i="137"/>
  <c r="AB69" i="137"/>
  <c r="AA69" i="137"/>
  <c r="Z69" i="137"/>
  <c r="Y69" i="137"/>
  <c r="X69" i="137"/>
  <c r="W69" i="137"/>
  <c r="V69" i="137"/>
  <c r="U69" i="137"/>
  <c r="T69" i="137"/>
  <c r="S69" i="137"/>
  <c r="AB68" i="137"/>
  <c r="AA68" i="137"/>
  <c r="Z68" i="137"/>
  <c r="Y68" i="137"/>
  <c r="X68" i="137"/>
  <c r="W68" i="137"/>
  <c r="V68" i="137"/>
  <c r="U68" i="137"/>
  <c r="T68" i="137"/>
  <c r="S68" i="137"/>
  <c r="AB67" i="137"/>
  <c r="AA67" i="137"/>
  <c r="Z67" i="137"/>
  <c r="Y67" i="137"/>
  <c r="X67" i="137"/>
  <c r="W67" i="137"/>
  <c r="V67" i="137"/>
  <c r="U67" i="137"/>
  <c r="T67" i="137"/>
  <c r="S67" i="137"/>
  <c r="AB66" i="137"/>
  <c r="AA66" i="137"/>
  <c r="Z66" i="137"/>
  <c r="Y66" i="137"/>
  <c r="X66" i="137"/>
  <c r="W66" i="137"/>
  <c r="V66" i="137"/>
  <c r="U66" i="137"/>
  <c r="T66" i="137"/>
  <c r="S66" i="137"/>
  <c r="AB65" i="137"/>
  <c r="AA65" i="137"/>
  <c r="Z65" i="137"/>
  <c r="Y65" i="137"/>
  <c r="X65" i="137"/>
  <c r="W65" i="137"/>
  <c r="V65" i="137"/>
  <c r="U65" i="137"/>
  <c r="T65" i="137"/>
  <c r="S65" i="137"/>
  <c r="AB64" i="137"/>
  <c r="AA64" i="137"/>
  <c r="Z64" i="137"/>
  <c r="Y64" i="137"/>
  <c r="X64" i="137"/>
  <c r="W64" i="137"/>
  <c r="V64" i="137"/>
  <c r="V76" i="137" s="1"/>
  <c r="U64" i="137"/>
  <c r="T64" i="137"/>
  <c r="S64" i="137"/>
  <c r="AB63" i="137"/>
  <c r="AA63" i="137"/>
  <c r="Z63" i="137"/>
  <c r="Y63" i="137"/>
  <c r="X63" i="137"/>
  <c r="X76" i="137" s="1"/>
  <c r="W63" i="137"/>
  <c r="V63" i="137"/>
  <c r="U63" i="137"/>
  <c r="T63" i="137"/>
  <c r="S63" i="137"/>
  <c r="F74" i="47"/>
  <c r="D1" i="125"/>
  <c r="D1" i="126"/>
  <c r="E25" i="126"/>
  <c r="E31" i="126"/>
  <c r="E24" i="126"/>
  <c r="A26" i="126"/>
  <c r="A27" i="126" s="1"/>
  <c r="E8" i="126"/>
  <c r="E7" i="126"/>
  <c r="A11" i="126"/>
  <c r="A12" i="126" s="1"/>
  <c r="E11" i="126"/>
  <c r="E26" i="126"/>
  <c r="C18" i="126"/>
  <c r="C20" i="126"/>
  <c r="D27" i="126" s="1"/>
  <c r="D28" i="126"/>
  <c r="D29" i="126"/>
  <c r="D26" i="126"/>
  <c r="D30" i="126"/>
  <c r="H42" i="1"/>
  <c r="I13" i="84"/>
  <c r="I14" i="84"/>
  <c r="I15" i="84"/>
  <c r="I16" i="84"/>
  <c r="I17" i="84"/>
  <c r="I18" i="84"/>
  <c r="I11" i="84" s="1"/>
  <c r="I19" i="84"/>
  <c r="I20" i="84"/>
  <c r="I21" i="84"/>
  <c r="I22" i="84"/>
  <c r="I23" i="84"/>
  <c r="I24" i="84"/>
  <c r="I25" i="84"/>
  <c r="I26" i="84"/>
  <c r="I27" i="84"/>
  <c r="I28" i="84"/>
  <c r="I29" i="84"/>
  <c r="I30" i="84"/>
  <c r="I31" i="84"/>
  <c r="A10" i="108"/>
  <c r="A11" i="108"/>
  <c r="E44" i="86"/>
  <c r="E36" i="86"/>
  <c r="E30" i="86"/>
  <c r="E20" i="86"/>
  <c r="E14" i="86"/>
  <c r="E10" i="86"/>
  <c r="C69" i="47"/>
  <c r="E5" i="125"/>
  <c r="C10" i="90"/>
  <c r="F44" i="86"/>
  <c r="F36" i="86"/>
  <c r="F30" i="86"/>
  <c r="F20" i="86"/>
  <c r="F14" i="86"/>
  <c r="J42" i="1"/>
  <c r="I42" i="1"/>
  <c r="J77" i="1"/>
  <c r="I77" i="1"/>
  <c r="J76" i="1"/>
  <c r="I76" i="1"/>
  <c r="E77" i="1"/>
  <c r="E76" i="1"/>
  <c r="E9" i="125"/>
  <c r="E8" i="125"/>
  <c r="A10" i="125"/>
  <c r="A11" i="125"/>
  <c r="H76" i="1"/>
  <c r="H77" i="1"/>
  <c r="I78" i="1"/>
  <c r="J78" i="1"/>
  <c r="A12" i="125"/>
  <c r="E11" i="125"/>
  <c r="E10" i="125"/>
  <c r="H16" i="106"/>
  <c r="J96" i="1"/>
  <c r="I96" i="1"/>
  <c r="A13" i="125"/>
  <c r="E12" i="125"/>
  <c r="A14" i="125"/>
  <c r="E13" i="125"/>
  <c r="Q4" i="84"/>
  <c r="Q5" i="84"/>
  <c r="A11" i="84"/>
  <c r="H11" i="84"/>
  <c r="G11" i="84"/>
  <c r="E11" i="84"/>
  <c r="D11" i="84"/>
  <c r="A15" i="125"/>
  <c r="E14" i="125"/>
  <c r="A16" i="125"/>
  <c r="E15" i="125"/>
  <c r="AD61" i="138"/>
  <c r="AD60" i="138"/>
  <c r="AD50" i="138"/>
  <c r="AD49" i="138"/>
  <c r="AD38" i="138"/>
  <c r="AD37" i="138"/>
  <c r="AD26" i="138"/>
  <c r="AD25" i="138"/>
  <c r="AB15" i="138"/>
  <c r="AA15" i="138"/>
  <c r="Z15" i="138"/>
  <c r="Y15" i="138"/>
  <c r="X15" i="138"/>
  <c r="W15" i="138"/>
  <c r="V15" i="138"/>
  <c r="U15" i="138"/>
  <c r="T15" i="138"/>
  <c r="S15" i="138"/>
  <c r="R15" i="138"/>
  <c r="Q15" i="138"/>
  <c r="P15" i="138"/>
  <c r="O15" i="138"/>
  <c r="N15" i="138"/>
  <c r="M15" i="138"/>
  <c r="L15" i="138"/>
  <c r="K15" i="138"/>
  <c r="J15" i="138"/>
  <c r="I15" i="138"/>
  <c r="H15" i="138"/>
  <c r="G15" i="138"/>
  <c r="F15" i="138"/>
  <c r="AB14" i="138"/>
  <c r="AA14" i="138"/>
  <c r="Z14" i="138"/>
  <c r="Y14" i="138"/>
  <c r="X14" i="138"/>
  <c r="W14" i="138"/>
  <c r="V14" i="138"/>
  <c r="U14" i="138"/>
  <c r="T14" i="138"/>
  <c r="S14" i="138"/>
  <c r="R14" i="138"/>
  <c r="Q14" i="138"/>
  <c r="P14" i="138"/>
  <c r="O14" i="138"/>
  <c r="N14" i="138"/>
  <c r="M14" i="138"/>
  <c r="L14" i="138"/>
  <c r="K14" i="138"/>
  <c r="J14" i="138"/>
  <c r="I14" i="138"/>
  <c r="H14" i="138"/>
  <c r="G14" i="138"/>
  <c r="F14" i="138"/>
  <c r="A14" i="138"/>
  <c r="AD14" i="138" s="1"/>
  <c r="A15" i="138"/>
  <c r="AD15" i="138" s="1"/>
  <c r="AD13" i="138"/>
  <c r="AC13" i="138"/>
  <c r="E106" i="1" s="1"/>
  <c r="AD12" i="138"/>
  <c r="A129" i="137"/>
  <c r="F130" i="137"/>
  <c r="AD128" i="137"/>
  <c r="AD127" i="137"/>
  <c r="D117" i="137"/>
  <c r="A116" i="137"/>
  <c r="AD115" i="137"/>
  <c r="AD114" i="137"/>
  <c r="D103" i="137"/>
  <c r="A102" i="137"/>
  <c r="I103" i="137"/>
  <c r="AD101" i="137"/>
  <c r="AD100" i="137"/>
  <c r="D89" i="137"/>
  <c r="A88" i="137"/>
  <c r="A89" i="137"/>
  <c r="AD89" i="137"/>
  <c r="AD87" i="137"/>
  <c r="AD86" i="137"/>
  <c r="R75" i="137"/>
  <c r="Q75" i="137"/>
  <c r="P75" i="137"/>
  <c r="O75" i="137"/>
  <c r="N75" i="137"/>
  <c r="M75" i="137"/>
  <c r="L75" i="137"/>
  <c r="K75" i="137"/>
  <c r="J75" i="137"/>
  <c r="I75" i="137"/>
  <c r="H75" i="137"/>
  <c r="G75" i="137"/>
  <c r="F75" i="137"/>
  <c r="R74" i="137"/>
  <c r="Q74" i="137"/>
  <c r="P74" i="137"/>
  <c r="O74" i="137"/>
  <c r="N74" i="137"/>
  <c r="M74" i="137"/>
  <c r="L74" i="137"/>
  <c r="K74" i="137"/>
  <c r="J74" i="137"/>
  <c r="I74" i="137"/>
  <c r="H74" i="137"/>
  <c r="G74" i="137"/>
  <c r="F74" i="137"/>
  <c r="R73" i="137"/>
  <c r="Q73" i="137"/>
  <c r="P73" i="137"/>
  <c r="O73" i="137"/>
  <c r="N73" i="137"/>
  <c r="M73" i="137"/>
  <c r="L73" i="137"/>
  <c r="K73" i="137"/>
  <c r="J73" i="137"/>
  <c r="I73" i="137"/>
  <c r="H73" i="137"/>
  <c r="G73" i="137"/>
  <c r="F73" i="137"/>
  <c r="R72" i="137"/>
  <c r="Q72" i="137"/>
  <c r="P72" i="137"/>
  <c r="O72" i="137"/>
  <c r="N72" i="137"/>
  <c r="M72" i="137"/>
  <c r="L72" i="137"/>
  <c r="K72" i="137"/>
  <c r="J72" i="137"/>
  <c r="I72" i="137"/>
  <c r="H72" i="137"/>
  <c r="G72" i="137"/>
  <c r="F72" i="137"/>
  <c r="R71" i="137"/>
  <c r="Q71" i="137"/>
  <c r="P71" i="137"/>
  <c r="O71" i="137"/>
  <c r="N71" i="137"/>
  <c r="M71" i="137"/>
  <c r="L71" i="137"/>
  <c r="K71" i="137"/>
  <c r="J71" i="137"/>
  <c r="I71" i="137"/>
  <c r="H71" i="137"/>
  <c r="G71" i="137"/>
  <c r="F71" i="137"/>
  <c r="R70" i="137"/>
  <c r="Q70" i="137"/>
  <c r="P70" i="137"/>
  <c r="O70" i="137"/>
  <c r="N70" i="137"/>
  <c r="M70" i="137"/>
  <c r="L70" i="137"/>
  <c r="K70" i="137"/>
  <c r="J70" i="137"/>
  <c r="I70" i="137"/>
  <c r="H70" i="137"/>
  <c r="G70" i="137"/>
  <c r="F70" i="137"/>
  <c r="R69" i="137"/>
  <c r="Q69" i="137"/>
  <c r="P69" i="137"/>
  <c r="O69" i="137"/>
  <c r="N69" i="137"/>
  <c r="M69" i="137"/>
  <c r="L69" i="137"/>
  <c r="K69" i="137"/>
  <c r="J69" i="137"/>
  <c r="I69" i="137"/>
  <c r="H69" i="137"/>
  <c r="G69" i="137"/>
  <c r="F69" i="137"/>
  <c r="R68" i="137"/>
  <c r="Q68" i="137"/>
  <c r="P68" i="137"/>
  <c r="O68" i="137"/>
  <c r="N68" i="137"/>
  <c r="M68" i="137"/>
  <c r="L68" i="137"/>
  <c r="K68" i="137"/>
  <c r="J68" i="137"/>
  <c r="I68" i="137"/>
  <c r="H68" i="137"/>
  <c r="G68" i="137"/>
  <c r="F68" i="137"/>
  <c r="R67" i="137"/>
  <c r="Q67" i="137"/>
  <c r="P67" i="137"/>
  <c r="O67" i="137"/>
  <c r="N67" i="137"/>
  <c r="M67" i="137"/>
  <c r="L67" i="137"/>
  <c r="K67" i="137"/>
  <c r="J67" i="137"/>
  <c r="I67" i="137"/>
  <c r="H67" i="137"/>
  <c r="G67" i="137"/>
  <c r="F67" i="137"/>
  <c r="R66" i="137"/>
  <c r="Q66" i="137"/>
  <c r="P66" i="137"/>
  <c r="O66" i="137"/>
  <c r="N66" i="137"/>
  <c r="M66" i="137"/>
  <c r="L66" i="137"/>
  <c r="K66" i="137"/>
  <c r="J66" i="137"/>
  <c r="I66" i="137"/>
  <c r="H66" i="137"/>
  <c r="G66" i="137"/>
  <c r="F66" i="137"/>
  <c r="R65" i="137"/>
  <c r="Q65" i="137"/>
  <c r="P65" i="137"/>
  <c r="O65" i="137"/>
  <c r="N65" i="137"/>
  <c r="M65" i="137"/>
  <c r="L65" i="137"/>
  <c r="K65" i="137"/>
  <c r="J65" i="137"/>
  <c r="I65" i="137"/>
  <c r="H65" i="137"/>
  <c r="G65" i="137"/>
  <c r="F65" i="137"/>
  <c r="R64" i="137"/>
  <c r="Q64" i="137"/>
  <c r="P64" i="137"/>
  <c r="O64" i="137"/>
  <c r="N64" i="137"/>
  <c r="M64" i="137"/>
  <c r="L64" i="137"/>
  <c r="K64" i="137"/>
  <c r="J64" i="137"/>
  <c r="I64" i="137"/>
  <c r="H64" i="137"/>
  <c r="G64" i="137"/>
  <c r="F64" i="137"/>
  <c r="A64" i="137"/>
  <c r="A65" i="137"/>
  <c r="AD63" i="137"/>
  <c r="R63" i="137"/>
  <c r="Q63" i="137"/>
  <c r="P63" i="137"/>
  <c r="O63" i="137"/>
  <c r="N63" i="137"/>
  <c r="M63" i="137"/>
  <c r="L63" i="137"/>
  <c r="K63" i="137"/>
  <c r="J63" i="137"/>
  <c r="I63" i="137"/>
  <c r="H63" i="137"/>
  <c r="G63" i="137"/>
  <c r="F63" i="137"/>
  <c r="AD62" i="137"/>
  <c r="R50" i="137"/>
  <c r="Q50" i="137"/>
  <c r="P50" i="137"/>
  <c r="O50" i="137"/>
  <c r="N50" i="137"/>
  <c r="M50" i="137"/>
  <c r="L50" i="137"/>
  <c r="K50" i="137"/>
  <c r="J50" i="137"/>
  <c r="I50" i="137"/>
  <c r="H50" i="137"/>
  <c r="G50" i="137"/>
  <c r="F50" i="137"/>
  <c r="R49" i="137"/>
  <c r="Q49" i="137"/>
  <c r="P49" i="137"/>
  <c r="O49" i="137"/>
  <c r="N49" i="137"/>
  <c r="M49" i="137"/>
  <c r="L49" i="137"/>
  <c r="K49" i="137"/>
  <c r="J49" i="137"/>
  <c r="I49" i="137"/>
  <c r="H49" i="137"/>
  <c r="G49" i="137"/>
  <c r="F49" i="137"/>
  <c r="R48" i="137"/>
  <c r="Q48" i="137"/>
  <c r="P48" i="137"/>
  <c r="O48" i="137"/>
  <c r="N48" i="137"/>
  <c r="M48" i="137"/>
  <c r="L48" i="137"/>
  <c r="K48" i="137"/>
  <c r="J48" i="137"/>
  <c r="I48" i="137"/>
  <c r="H48" i="137"/>
  <c r="G48" i="137"/>
  <c r="F48" i="137"/>
  <c r="R47" i="137"/>
  <c r="Q47" i="137"/>
  <c r="P47" i="137"/>
  <c r="O47" i="137"/>
  <c r="N47" i="137"/>
  <c r="M47" i="137"/>
  <c r="L47" i="137"/>
  <c r="K47" i="137"/>
  <c r="J47" i="137"/>
  <c r="I47" i="137"/>
  <c r="H47" i="137"/>
  <c r="G47" i="137"/>
  <c r="F47" i="137"/>
  <c r="R46" i="137"/>
  <c r="Q46" i="137"/>
  <c r="P46" i="137"/>
  <c r="O46" i="137"/>
  <c r="N46" i="137"/>
  <c r="M46" i="137"/>
  <c r="L46" i="137"/>
  <c r="K46" i="137"/>
  <c r="J46" i="137"/>
  <c r="I46" i="137"/>
  <c r="H46" i="137"/>
  <c r="G46" i="137"/>
  <c r="F46" i="137"/>
  <c r="R45" i="137"/>
  <c r="Q45" i="137"/>
  <c r="P45" i="137"/>
  <c r="O45" i="137"/>
  <c r="N45" i="137"/>
  <c r="M45" i="137"/>
  <c r="L45" i="137"/>
  <c r="K45" i="137"/>
  <c r="J45" i="137"/>
  <c r="I45" i="137"/>
  <c r="H45" i="137"/>
  <c r="G45" i="137"/>
  <c r="F45" i="137"/>
  <c r="R44" i="137"/>
  <c r="Q44" i="137"/>
  <c r="P44" i="137"/>
  <c r="O44" i="137"/>
  <c r="N44" i="137"/>
  <c r="M44" i="137"/>
  <c r="L44" i="137"/>
  <c r="K44" i="137"/>
  <c r="J44" i="137"/>
  <c r="I44" i="137"/>
  <c r="H44" i="137"/>
  <c r="G44" i="137"/>
  <c r="F44" i="137"/>
  <c r="R43" i="137"/>
  <c r="Q43" i="137"/>
  <c r="P43" i="137"/>
  <c r="O43" i="137"/>
  <c r="N43" i="137"/>
  <c r="M43" i="137"/>
  <c r="L43" i="137"/>
  <c r="K43" i="137"/>
  <c r="J43" i="137"/>
  <c r="I43" i="137"/>
  <c r="H43" i="137"/>
  <c r="G43" i="137"/>
  <c r="F43" i="137"/>
  <c r="R42" i="137"/>
  <c r="Q42" i="137"/>
  <c r="P42" i="137"/>
  <c r="O42" i="137"/>
  <c r="N42" i="137"/>
  <c r="M42" i="137"/>
  <c r="L42" i="137"/>
  <c r="K42" i="137"/>
  <c r="J42" i="137"/>
  <c r="I42" i="137"/>
  <c r="H42" i="137"/>
  <c r="G42" i="137"/>
  <c r="F42" i="137"/>
  <c r="R41" i="137"/>
  <c r="Q41" i="137"/>
  <c r="P41" i="137"/>
  <c r="O41" i="137"/>
  <c r="N41" i="137"/>
  <c r="M41" i="137"/>
  <c r="L41" i="137"/>
  <c r="K41" i="137"/>
  <c r="J41" i="137"/>
  <c r="I41" i="137"/>
  <c r="H41" i="137"/>
  <c r="G41" i="137"/>
  <c r="F41" i="137"/>
  <c r="R40" i="137"/>
  <c r="Q40" i="137"/>
  <c r="P40" i="137"/>
  <c r="O40" i="137"/>
  <c r="N40" i="137"/>
  <c r="M40" i="137"/>
  <c r="L40" i="137"/>
  <c r="K40" i="137"/>
  <c r="J40" i="137"/>
  <c r="I40" i="137"/>
  <c r="H40" i="137"/>
  <c r="G40" i="137"/>
  <c r="F40" i="137"/>
  <c r="R39" i="137"/>
  <c r="Q39" i="137"/>
  <c r="P39" i="137"/>
  <c r="O39" i="137"/>
  <c r="N39" i="137"/>
  <c r="M39" i="137"/>
  <c r="L39" i="137"/>
  <c r="K39" i="137"/>
  <c r="J39" i="137"/>
  <c r="I39" i="137"/>
  <c r="H39" i="137"/>
  <c r="G39" i="137"/>
  <c r="F39" i="137"/>
  <c r="A39" i="137"/>
  <c r="AD39" i="137"/>
  <c r="AD38" i="137"/>
  <c r="R38" i="137"/>
  <c r="Q38" i="137"/>
  <c r="P38" i="137"/>
  <c r="O38" i="137"/>
  <c r="N38" i="137"/>
  <c r="M38" i="137"/>
  <c r="L38" i="137"/>
  <c r="K38" i="137"/>
  <c r="J38" i="137"/>
  <c r="I38" i="137"/>
  <c r="H38" i="137"/>
  <c r="G38" i="137"/>
  <c r="F38" i="137"/>
  <c r="AD37" i="137"/>
  <c r="AB26" i="137"/>
  <c r="AA26" i="137"/>
  <c r="Z26" i="137"/>
  <c r="Y26" i="137"/>
  <c r="X26" i="137"/>
  <c r="W26" i="137"/>
  <c r="V26" i="137"/>
  <c r="U26" i="137"/>
  <c r="T26" i="137"/>
  <c r="S26" i="137"/>
  <c r="R26" i="137"/>
  <c r="Q26" i="137"/>
  <c r="P26" i="137"/>
  <c r="O26" i="137"/>
  <c r="N26" i="137"/>
  <c r="M26" i="137"/>
  <c r="L26" i="137"/>
  <c r="K26" i="137"/>
  <c r="J26" i="137"/>
  <c r="I26" i="137"/>
  <c r="H26" i="137"/>
  <c r="G26" i="137"/>
  <c r="F26" i="137"/>
  <c r="E26" i="137"/>
  <c r="D26" i="137"/>
  <c r="AC25" i="137"/>
  <c r="E19" i="1" s="1"/>
  <c r="E21" i="1" s="1"/>
  <c r="AC24" i="137"/>
  <c r="AC23" i="137"/>
  <c r="AC22" i="137"/>
  <c r="AC21" i="137"/>
  <c r="AC20" i="137"/>
  <c r="AC19" i="137"/>
  <c r="AC18" i="137"/>
  <c r="AC17" i="137"/>
  <c r="AC16" i="137"/>
  <c r="AC15" i="137"/>
  <c r="AC14" i="137"/>
  <c r="A14" i="137"/>
  <c r="A15" i="137"/>
  <c r="AD13" i="137"/>
  <c r="AC13" i="137"/>
  <c r="AD12" i="137"/>
  <c r="A129" i="136"/>
  <c r="AD129" i="136"/>
  <c r="AD128" i="136"/>
  <c r="AD127" i="136"/>
  <c r="D117" i="136"/>
  <c r="A116" i="136"/>
  <c r="A117" i="136"/>
  <c r="AD117" i="136"/>
  <c r="AD115" i="136"/>
  <c r="AD114" i="136"/>
  <c r="D103" i="136"/>
  <c r="A102" i="136"/>
  <c r="A103" i="136"/>
  <c r="AD103" i="136"/>
  <c r="AD101" i="136"/>
  <c r="AD100" i="136"/>
  <c r="D89" i="136"/>
  <c r="A88" i="136"/>
  <c r="G89" i="136"/>
  <c r="AD87" i="136"/>
  <c r="AD86" i="136"/>
  <c r="AB75" i="136"/>
  <c r="AA75" i="136"/>
  <c r="Z75" i="136"/>
  <c r="Y75" i="136"/>
  <c r="X75" i="136"/>
  <c r="W75" i="136"/>
  <c r="V75" i="136"/>
  <c r="U75" i="136"/>
  <c r="T75" i="136"/>
  <c r="S75" i="136"/>
  <c r="R75" i="136"/>
  <c r="Q75" i="136"/>
  <c r="P75" i="136"/>
  <c r="O75" i="136"/>
  <c r="N75" i="136"/>
  <c r="M75" i="136"/>
  <c r="L75" i="136"/>
  <c r="K75" i="136"/>
  <c r="J75" i="136"/>
  <c r="I75" i="136"/>
  <c r="H75" i="136"/>
  <c r="G75" i="136"/>
  <c r="F75" i="136"/>
  <c r="AB74" i="136"/>
  <c r="AA74" i="136"/>
  <c r="Z74" i="136"/>
  <c r="Y74" i="136"/>
  <c r="X74" i="136"/>
  <c r="W74" i="136"/>
  <c r="V74" i="136"/>
  <c r="U74" i="136"/>
  <c r="T74" i="136"/>
  <c r="S74" i="136"/>
  <c r="R74" i="136"/>
  <c r="Q74" i="136"/>
  <c r="P74" i="136"/>
  <c r="O74" i="136"/>
  <c r="N74" i="136"/>
  <c r="M74" i="136"/>
  <c r="L74" i="136"/>
  <c r="K74" i="136"/>
  <c r="J74" i="136"/>
  <c r="I74" i="136"/>
  <c r="H74" i="136"/>
  <c r="G74" i="136"/>
  <c r="F74" i="136"/>
  <c r="AB73" i="136"/>
  <c r="AA73" i="136"/>
  <c r="Z73" i="136"/>
  <c r="Y73" i="136"/>
  <c r="X73" i="136"/>
  <c r="W73" i="136"/>
  <c r="V73" i="136"/>
  <c r="U73" i="136"/>
  <c r="T73" i="136"/>
  <c r="S73" i="136"/>
  <c r="R73" i="136"/>
  <c r="Q73" i="136"/>
  <c r="P73" i="136"/>
  <c r="O73" i="136"/>
  <c r="N73" i="136"/>
  <c r="M73" i="136"/>
  <c r="L73" i="136"/>
  <c r="K73" i="136"/>
  <c r="J73" i="136"/>
  <c r="I73" i="136"/>
  <c r="H73" i="136"/>
  <c r="G73" i="136"/>
  <c r="F73" i="136"/>
  <c r="AB72" i="136"/>
  <c r="AA72" i="136"/>
  <c r="Z72" i="136"/>
  <c r="Y72" i="136"/>
  <c r="X72" i="136"/>
  <c r="W72" i="136"/>
  <c r="V72" i="136"/>
  <c r="U72" i="136"/>
  <c r="T72" i="136"/>
  <c r="S72" i="136"/>
  <c r="R72" i="136"/>
  <c r="Q72" i="136"/>
  <c r="P72" i="136"/>
  <c r="O72" i="136"/>
  <c r="N72" i="136"/>
  <c r="M72" i="136"/>
  <c r="L72" i="136"/>
  <c r="K72" i="136"/>
  <c r="J72" i="136"/>
  <c r="I72" i="136"/>
  <c r="H72" i="136"/>
  <c r="G72" i="136"/>
  <c r="F72" i="136"/>
  <c r="AB71" i="136"/>
  <c r="AA71" i="136"/>
  <c r="Z71" i="136"/>
  <c r="Y71" i="136"/>
  <c r="X71" i="136"/>
  <c r="W71" i="136"/>
  <c r="V71" i="136"/>
  <c r="U71" i="136"/>
  <c r="T71" i="136"/>
  <c r="S71" i="136"/>
  <c r="R71" i="136"/>
  <c r="Q71" i="136"/>
  <c r="P71" i="136"/>
  <c r="O71" i="136"/>
  <c r="N71" i="136"/>
  <c r="M71" i="136"/>
  <c r="L71" i="136"/>
  <c r="K71" i="136"/>
  <c r="J71" i="136"/>
  <c r="I71" i="136"/>
  <c r="H71" i="136"/>
  <c r="G71" i="136"/>
  <c r="F71" i="136"/>
  <c r="AB70" i="136"/>
  <c r="AA70" i="136"/>
  <c r="Z70" i="136"/>
  <c r="Y70" i="136"/>
  <c r="X70" i="136"/>
  <c r="W70" i="136"/>
  <c r="V70" i="136"/>
  <c r="U70" i="136"/>
  <c r="T70" i="136"/>
  <c r="S70" i="136"/>
  <c r="R70" i="136"/>
  <c r="Q70" i="136"/>
  <c r="P70" i="136"/>
  <c r="O70" i="136"/>
  <c r="N70" i="136"/>
  <c r="M70" i="136"/>
  <c r="L70" i="136"/>
  <c r="K70" i="136"/>
  <c r="J70" i="136"/>
  <c r="I70" i="136"/>
  <c r="H70" i="136"/>
  <c r="G70" i="136"/>
  <c r="F70" i="136"/>
  <c r="AB69" i="136"/>
  <c r="AA69" i="136"/>
  <c r="Z69" i="136"/>
  <c r="Y69" i="136"/>
  <c r="X69" i="136"/>
  <c r="W69" i="136"/>
  <c r="V69" i="136"/>
  <c r="U69" i="136"/>
  <c r="T69" i="136"/>
  <c r="S69" i="136"/>
  <c r="R69" i="136"/>
  <c r="Q69" i="136"/>
  <c r="P69" i="136"/>
  <c r="O69" i="136"/>
  <c r="N69" i="136"/>
  <c r="M69" i="136"/>
  <c r="L69" i="136"/>
  <c r="K69" i="136"/>
  <c r="J69" i="136"/>
  <c r="I69" i="136"/>
  <c r="H69" i="136"/>
  <c r="G69" i="136"/>
  <c r="F69" i="136"/>
  <c r="AB68" i="136"/>
  <c r="AA68" i="136"/>
  <c r="Z68" i="136"/>
  <c r="Y68" i="136"/>
  <c r="X68" i="136"/>
  <c r="W68" i="136"/>
  <c r="V68" i="136"/>
  <c r="U68" i="136"/>
  <c r="T68" i="136"/>
  <c r="S68" i="136"/>
  <c r="R68" i="136"/>
  <c r="Q68" i="136"/>
  <c r="P68" i="136"/>
  <c r="O68" i="136"/>
  <c r="N68" i="136"/>
  <c r="M68" i="136"/>
  <c r="L68" i="136"/>
  <c r="K68" i="136"/>
  <c r="J68" i="136"/>
  <c r="I68" i="136"/>
  <c r="H68" i="136"/>
  <c r="G68" i="136"/>
  <c r="F68" i="136"/>
  <c r="AB67" i="136"/>
  <c r="AA67" i="136"/>
  <c r="Z67" i="136"/>
  <c r="Y67" i="136"/>
  <c r="X67" i="136"/>
  <c r="W67" i="136"/>
  <c r="V67" i="136"/>
  <c r="U67" i="136"/>
  <c r="T67" i="136"/>
  <c r="S67" i="136"/>
  <c r="R67" i="136"/>
  <c r="Q67" i="136"/>
  <c r="P67" i="136"/>
  <c r="O67" i="136"/>
  <c r="N67" i="136"/>
  <c r="M67" i="136"/>
  <c r="L67" i="136"/>
  <c r="K67" i="136"/>
  <c r="J67" i="136"/>
  <c r="I67" i="136"/>
  <c r="H67" i="136"/>
  <c r="G67" i="136"/>
  <c r="F67" i="136"/>
  <c r="AB66" i="136"/>
  <c r="AA66" i="136"/>
  <c r="Z66" i="136"/>
  <c r="Y66" i="136"/>
  <c r="X66" i="136"/>
  <c r="W66" i="136"/>
  <c r="V66" i="136"/>
  <c r="U66" i="136"/>
  <c r="T66" i="136"/>
  <c r="S66" i="136"/>
  <c r="R66" i="136"/>
  <c r="Q66" i="136"/>
  <c r="P66" i="136"/>
  <c r="O66" i="136"/>
  <c r="N66" i="136"/>
  <c r="M66" i="136"/>
  <c r="L66" i="136"/>
  <c r="K66" i="136"/>
  <c r="J66" i="136"/>
  <c r="I66" i="136"/>
  <c r="H66" i="136"/>
  <c r="G66" i="136"/>
  <c r="F66" i="136"/>
  <c r="AB65" i="136"/>
  <c r="AA65" i="136"/>
  <c r="Z65" i="136"/>
  <c r="Y65" i="136"/>
  <c r="X65" i="136"/>
  <c r="W65" i="136"/>
  <c r="V65" i="136"/>
  <c r="U65" i="136"/>
  <c r="T65" i="136"/>
  <c r="S65" i="136"/>
  <c r="R65" i="136"/>
  <c r="Q65" i="136"/>
  <c r="P65" i="136"/>
  <c r="O65" i="136"/>
  <c r="N65" i="136"/>
  <c r="M65" i="136"/>
  <c r="L65" i="136"/>
  <c r="K65" i="136"/>
  <c r="J65" i="136"/>
  <c r="I65" i="136"/>
  <c r="H65" i="136"/>
  <c r="G65" i="136"/>
  <c r="F65" i="136"/>
  <c r="AB64" i="136"/>
  <c r="AA64" i="136"/>
  <c r="Z64" i="136"/>
  <c r="Y64" i="136"/>
  <c r="X64" i="136"/>
  <c r="W64" i="136"/>
  <c r="V64" i="136"/>
  <c r="U64" i="136"/>
  <c r="T64" i="136"/>
  <c r="S64" i="136"/>
  <c r="R64" i="136"/>
  <c r="Q64" i="136"/>
  <c r="P64" i="136"/>
  <c r="O64" i="136"/>
  <c r="N64" i="136"/>
  <c r="M64" i="136"/>
  <c r="L64" i="136"/>
  <c r="K64" i="136"/>
  <c r="J64" i="136"/>
  <c r="I64" i="136"/>
  <c r="H64" i="136"/>
  <c r="G64" i="136"/>
  <c r="F64" i="136"/>
  <c r="A64" i="136"/>
  <c r="AD64" i="136"/>
  <c r="AD63" i="136"/>
  <c r="AB63" i="136"/>
  <c r="AA63" i="136"/>
  <c r="Z63" i="136"/>
  <c r="Y63" i="136"/>
  <c r="X63" i="136"/>
  <c r="W63" i="136"/>
  <c r="V63" i="136"/>
  <c r="V76" i="136" s="1"/>
  <c r="U63" i="136"/>
  <c r="T63" i="136"/>
  <c r="S63" i="136"/>
  <c r="R63" i="136"/>
  <c r="Q63" i="136"/>
  <c r="P63" i="136"/>
  <c r="O63" i="136"/>
  <c r="N63" i="136"/>
  <c r="M63" i="136"/>
  <c r="L63" i="136"/>
  <c r="K63" i="136"/>
  <c r="J63" i="136"/>
  <c r="I63" i="136"/>
  <c r="H63" i="136"/>
  <c r="G63" i="136"/>
  <c r="F63" i="136"/>
  <c r="AD62" i="136"/>
  <c r="AB50" i="136"/>
  <c r="AA50" i="136"/>
  <c r="Z50" i="136"/>
  <c r="Y50" i="136"/>
  <c r="X50" i="136"/>
  <c r="W50" i="136"/>
  <c r="V50" i="136"/>
  <c r="U50" i="136"/>
  <c r="T50" i="136"/>
  <c r="S50" i="136"/>
  <c r="R50" i="136"/>
  <c r="Q50" i="136"/>
  <c r="P50" i="136"/>
  <c r="O50" i="136"/>
  <c r="N50" i="136"/>
  <c r="M50" i="136"/>
  <c r="L50" i="136"/>
  <c r="K50" i="136"/>
  <c r="J50" i="136"/>
  <c r="I50" i="136"/>
  <c r="H50" i="136"/>
  <c r="G50" i="136"/>
  <c r="F50" i="136"/>
  <c r="AB49" i="136"/>
  <c r="AA49" i="136"/>
  <c r="Z49" i="136"/>
  <c r="Y49" i="136"/>
  <c r="X49" i="136"/>
  <c r="W49" i="136"/>
  <c r="V49" i="136"/>
  <c r="U49" i="136"/>
  <c r="T49" i="136"/>
  <c r="S49" i="136"/>
  <c r="R49" i="136"/>
  <c r="Q49" i="136"/>
  <c r="P49" i="136"/>
  <c r="O49" i="136"/>
  <c r="N49" i="136"/>
  <c r="M49" i="136"/>
  <c r="L49" i="136"/>
  <c r="K49" i="136"/>
  <c r="J49" i="136"/>
  <c r="I49" i="136"/>
  <c r="H49" i="136"/>
  <c r="G49" i="136"/>
  <c r="F49" i="136"/>
  <c r="AB48" i="136"/>
  <c r="AA48" i="136"/>
  <c r="Z48" i="136"/>
  <c r="Y48" i="136"/>
  <c r="X48" i="136"/>
  <c r="W48" i="136"/>
  <c r="V48" i="136"/>
  <c r="U48" i="136"/>
  <c r="T48" i="136"/>
  <c r="S48" i="136"/>
  <c r="R48" i="136"/>
  <c r="Q48" i="136"/>
  <c r="P48" i="136"/>
  <c r="O48" i="136"/>
  <c r="N48" i="136"/>
  <c r="M48" i="136"/>
  <c r="L48" i="136"/>
  <c r="K48" i="136"/>
  <c r="J48" i="136"/>
  <c r="I48" i="136"/>
  <c r="H48" i="136"/>
  <c r="G48" i="136"/>
  <c r="F48" i="136"/>
  <c r="AB47" i="136"/>
  <c r="AA47" i="136"/>
  <c r="Z47" i="136"/>
  <c r="Y47" i="136"/>
  <c r="X47" i="136"/>
  <c r="W47" i="136"/>
  <c r="V47" i="136"/>
  <c r="U47" i="136"/>
  <c r="T47" i="136"/>
  <c r="S47" i="136"/>
  <c r="R47" i="136"/>
  <c r="Q47" i="136"/>
  <c r="P47" i="136"/>
  <c r="O47" i="136"/>
  <c r="N47" i="136"/>
  <c r="M47" i="136"/>
  <c r="L47" i="136"/>
  <c r="K47" i="136"/>
  <c r="J47" i="136"/>
  <c r="I47" i="136"/>
  <c r="H47" i="136"/>
  <c r="G47" i="136"/>
  <c r="F47" i="136"/>
  <c r="AB46" i="136"/>
  <c r="AA46" i="136"/>
  <c r="Z46" i="136"/>
  <c r="Y46" i="136"/>
  <c r="X46" i="136"/>
  <c r="W46" i="136"/>
  <c r="V46" i="136"/>
  <c r="U46" i="136"/>
  <c r="T46" i="136"/>
  <c r="S46" i="136"/>
  <c r="R46" i="136"/>
  <c r="Q46" i="136"/>
  <c r="P46" i="136"/>
  <c r="O46" i="136"/>
  <c r="N46" i="136"/>
  <c r="M46" i="136"/>
  <c r="L46" i="136"/>
  <c r="K46" i="136"/>
  <c r="J46" i="136"/>
  <c r="I46" i="136"/>
  <c r="H46" i="136"/>
  <c r="G46" i="136"/>
  <c r="F46" i="136"/>
  <c r="AB45" i="136"/>
  <c r="AA45" i="136"/>
  <c r="Z45" i="136"/>
  <c r="Y45" i="136"/>
  <c r="X45" i="136"/>
  <c r="W45" i="136"/>
  <c r="V45" i="136"/>
  <c r="U45" i="136"/>
  <c r="T45" i="136"/>
  <c r="S45" i="136"/>
  <c r="R45" i="136"/>
  <c r="Q45" i="136"/>
  <c r="P45" i="136"/>
  <c r="O45" i="136"/>
  <c r="N45" i="136"/>
  <c r="M45" i="136"/>
  <c r="L45" i="136"/>
  <c r="K45" i="136"/>
  <c r="J45" i="136"/>
  <c r="I45" i="136"/>
  <c r="H45" i="136"/>
  <c r="G45" i="136"/>
  <c r="F45" i="136"/>
  <c r="AB44" i="136"/>
  <c r="AA44" i="136"/>
  <c r="Z44" i="136"/>
  <c r="Y44" i="136"/>
  <c r="X44" i="136"/>
  <c r="W44" i="136"/>
  <c r="V44" i="136"/>
  <c r="U44" i="136"/>
  <c r="T44" i="136"/>
  <c r="S44" i="136"/>
  <c r="R44" i="136"/>
  <c r="Q44" i="136"/>
  <c r="P44" i="136"/>
  <c r="O44" i="136"/>
  <c r="N44" i="136"/>
  <c r="M44" i="136"/>
  <c r="L44" i="136"/>
  <c r="K44" i="136"/>
  <c r="J44" i="136"/>
  <c r="I44" i="136"/>
  <c r="H44" i="136"/>
  <c r="G44" i="136"/>
  <c r="F44" i="136"/>
  <c r="AB43" i="136"/>
  <c r="AA43" i="136"/>
  <c r="Z43" i="136"/>
  <c r="Y43" i="136"/>
  <c r="X43" i="136"/>
  <c r="W43" i="136"/>
  <c r="V43" i="136"/>
  <c r="U43" i="136"/>
  <c r="T43" i="136"/>
  <c r="S43" i="136"/>
  <c r="R43" i="136"/>
  <c r="Q43" i="136"/>
  <c r="P43" i="136"/>
  <c r="O43" i="136"/>
  <c r="N43" i="136"/>
  <c r="M43" i="136"/>
  <c r="L43" i="136"/>
  <c r="K43" i="136"/>
  <c r="J43" i="136"/>
  <c r="I43" i="136"/>
  <c r="H43" i="136"/>
  <c r="G43" i="136"/>
  <c r="F43" i="136"/>
  <c r="AB42" i="136"/>
  <c r="AA42" i="136"/>
  <c r="Z42" i="136"/>
  <c r="Y42" i="136"/>
  <c r="X42" i="136"/>
  <c r="W42" i="136"/>
  <c r="V42" i="136"/>
  <c r="U42" i="136"/>
  <c r="T42" i="136"/>
  <c r="S42" i="136"/>
  <c r="R42" i="136"/>
  <c r="Q42" i="136"/>
  <c r="P42" i="136"/>
  <c r="O42" i="136"/>
  <c r="N42" i="136"/>
  <c r="M42" i="136"/>
  <c r="L42" i="136"/>
  <c r="K42" i="136"/>
  <c r="J42" i="136"/>
  <c r="I42" i="136"/>
  <c r="H42" i="136"/>
  <c r="G42" i="136"/>
  <c r="F42" i="136"/>
  <c r="AB41" i="136"/>
  <c r="AA41" i="136"/>
  <c r="Z41" i="136"/>
  <c r="Y41" i="136"/>
  <c r="X41" i="136"/>
  <c r="W41" i="136"/>
  <c r="V41" i="136"/>
  <c r="U41" i="136"/>
  <c r="T41" i="136"/>
  <c r="S41" i="136"/>
  <c r="R41" i="136"/>
  <c r="Q41" i="136"/>
  <c r="P41" i="136"/>
  <c r="O41" i="136"/>
  <c r="N41" i="136"/>
  <c r="M41" i="136"/>
  <c r="L41" i="136"/>
  <c r="K41" i="136"/>
  <c r="J41" i="136"/>
  <c r="I41" i="136"/>
  <c r="H41" i="136"/>
  <c r="G41" i="136"/>
  <c r="F41" i="136"/>
  <c r="AB40" i="136"/>
  <c r="AA40" i="136"/>
  <c r="Z40" i="136"/>
  <c r="Y40" i="136"/>
  <c r="X40" i="136"/>
  <c r="W40" i="136"/>
  <c r="V40" i="136"/>
  <c r="U40" i="136"/>
  <c r="T40" i="136"/>
  <c r="S40" i="136"/>
  <c r="R40" i="136"/>
  <c r="Q40" i="136"/>
  <c r="P40" i="136"/>
  <c r="O40" i="136"/>
  <c r="N40" i="136"/>
  <c r="M40" i="136"/>
  <c r="L40" i="136"/>
  <c r="K40" i="136"/>
  <c r="J40" i="136"/>
  <c r="I40" i="136"/>
  <c r="H40" i="136"/>
  <c r="G40" i="136"/>
  <c r="F40" i="136"/>
  <c r="AB39" i="136"/>
  <c r="AA39" i="136"/>
  <c r="Z39" i="136"/>
  <c r="Y39" i="136"/>
  <c r="X39" i="136"/>
  <c r="W39" i="136"/>
  <c r="V39" i="136"/>
  <c r="U39" i="136"/>
  <c r="T39" i="136"/>
  <c r="S39" i="136"/>
  <c r="R39" i="136"/>
  <c r="Q39" i="136"/>
  <c r="P39" i="136"/>
  <c r="O39" i="136"/>
  <c r="N39" i="136"/>
  <c r="M39" i="136"/>
  <c r="L39" i="136"/>
  <c r="K39" i="136"/>
  <c r="J39" i="136"/>
  <c r="I39" i="136"/>
  <c r="H39" i="136"/>
  <c r="G39" i="136"/>
  <c r="F39" i="136"/>
  <c r="A39" i="136"/>
  <c r="AD39" i="136"/>
  <c r="AD38" i="136"/>
  <c r="AB38" i="136"/>
  <c r="AA38" i="136"/>
  <c r="Z38" i="136"/>
  <c r="Y38" i="136"/>
  <c r="X38" i="136"/>
  <c r="W38" i="136"/>
  <c r="V38" i="136"/>
  <c r="U38" i="136"/>
  <c r="T38" i="136"/>
  <c r="S38" i="136"/>
  <c r="R38" i="136"/>
  <c r="Q38" i="136"/>
  <c r="P38" i="136"/>
  <c r="O38" i="136"/>
  <c r="N38" i="136"/>
  <c r="M38" i="136"/>
  <c r="L38" i="136"/>
  <c r="K38" i="136"/>
  <c r="J38" i="136"/>
  <c r="I38" i="136"/>
  <c r="H38" i="136"/>
  <c r="G38" i="136"/>
  <c r="F38" i="136"/>
  <c r="AD37" i="136"/>
  <c r="AB26" i="136"/>
  <c r="AA26" i="136"/>
  <c r="Z26" i="136"/>
  <c r="Y26" i="136"/>
  <c r="X26" i="136"/>
  <c r="W26" i="136"/>
  <c r="V26" i="136"/>
  <c r="U26" i="136"/>
  <c r="T26" i="136"/>
  <c r="S26" i="136"/>
  <c r="R26" i="136"/>
  <c r="Q26" i="136"/>
  <c r="P26" i="136"/>
  <c r="O26" i="136"/>
  <c r="N26" i="136"/>
  <c r="M26" i="136"/>
  <c r="L26" i="136"/>
  <c r="K26" i="136"/>
  <c r="J26" i="136"/>
  <c r="I26" i="136"/>
  <c r="H26" i="136"/>
  <c r="G26" i="136"/>
  <c r="F26" i="136"/>
  <c r="E26" i="136"/>
  <c r="E8" i="1"/>
  <c r="AC24" i="136"/>
  <c r="AC23" i="136"/>
  <c r="AC22" i="136"/>
  <c r="AC21" i="136"/>
  <c r="AC20" i="136"/>
  <c r="AC19" i="136"/>
  <c r="AC18" i="136"/>
  <c r="AC17" i="136"/>
  <c r="AC16" i="136"/>
  <c r="AC15" i="136"/>
  <c r="AC14" i="136"/>
  <c r="A14" i="136"/>
  <c r="A15" i="136"/>
  <c r="A16" i="136"/>
  <c r="A17" i="136"/>
  <c r="A18" i="136"/>
  <c r="A19" i="136"/>
  <c r="A20" i="136"/>
  <c r="A21" i="136"/>
  <c r="A22" i="136"/>
  <c r="A23" i="136"/>
  <c r="A24" i="136"/>
  <c r="A25" i="136"/>
  <c r="A26" i="136"/>
  <c r="AD26" i="136"/>
  <c r="AD13" i="136"/>
  <c r="AC13" i="136"/>
  <c r="AD12" i="136"/>
  <c r="I85" i="135"/>
  <c r="I84" i="135"/>
  <c r="A62" i="135"/>
  <c r="A63" i="135" s="1"/>
  <c r="I61" i="135"/>
  <c r="I60" i="135"/>
  <c r="A38" i="135"/>
  <c r="A39" i="135" s="1"/>
  <c r="I37" i="135"/>
  <c r="I36" i="135"/>
  <c r="D27" i="135"/>
  <c r="F27" i="135"/>
  <c r="G25" i="135"/>
  <c r="D50" i="135" s="1"/>
  <c r="G24" i="135"/>
  <c r="D73" i="135" s="1"/>
  <c r="G23" i="135"/>
  <c r="D72" i="135" s="1"/>
  <c r="G22" i="135"/>
  <c r="D47" i="135" s="1"/>
  <c r="G21" i="135"/>
  <c r="D46" i="135" s="1"/>
  <c r="G20" i="135"/>
  <c r="D69" i="135" s="1"/>
  <c r="G19" i="135"/>
  <c r="D68" i="135" s="1"/>
  <c r="G18" i="135"/>
  <c r="D43" i="135" s="1"/>
  <c r="G17" i="135"/>
  <c r="D42" i="135" s="1"/>
  <c r="G16" i="135"/>
  <c r="D65" i="135" s="1"/>
  <c r="G15" i="135"/>
  <c r="D40" i="135" s="1"/>
  <c r="G14" i="135"/>
  <c r="D63" i="135" s="1"/>
  <c r="G13" i="135"/>
  <c r="D62" i="135" s="1"/>
  <c r="A13" i="135"/>
  <c r="A14" i="135"/>
  <c r="I14" i="135" s="1"/>
  <c r="I12" i="135"/>
  <c r="G12" i="135"/>
  <c r="D37" i="135" s="1"/>
  <c r="I11" i="135"/>
  <c r="A34" i="78"/>
  <c r="A35" i="78"/>
  <c r="G33" i="78"/>
  <c r="G26" i="135"/>
  <c r="D48" i="135"/>
  <c r="I62" i="135"/>
  <c r="I13" i="135"/>
  <c r="A117" i="137"/>
  <c r="AD117" i="137"/>
  <c r="I117" i="137"/>
  <c r="I117" i="136"/>
  <c r="I103" i="136"/>
  <c r="AD116" i="136"/>
  <c r="AD19" i="136"/>
  <c r="H51" i="137"/>
  <c r="A40" i="137"/>
  <c r="A41" i="137"/>
  <c r="A42" i="137"/>
  <c r="AD64" i="137"/>
  <c r="AD14" i="137"/>
  <c r="AD129" i="137"/>
  <c r="G89" i="137"/>
  <c r="AD15" i="136"/>
  <c r="AD22" i="136"/>
  <c r="AD24" i="136"/>
  <c r="AD18" i="136"/>
  <c r="AD20" i="136"/>
  <c r="AD102" i="136"/>
  <c r="AD14" i="136"/>
  <c r="AD16" i="136"/>
  <c r="AD23" i="136"/>
  <c r="A89" i="136"/>
  <c r="AD89" i="136"/>
  <c r="A17" i="125"/>
  <c r="E16" i="125"/>
  <c r="A15" i="135"/>
  <c r="A16" i="137"/>
  <c r="AD15" i="137"/>
  <c r="AD17" i="136"/>
  <c r="AD21" i="136"/>
  <c r="AD25" i="136"/>
  <c r="A40" i="136"/>
  <c r="A66" i="137"/>
  <c r="AD65" i="137"/>
  <c r="K76" i="136"/>
  <c r="AD116" i="137"/>
  <c r="A65" i="136"/>
  <c r="AD88" i="136"/>
  <c r="A130" i="136"/>
  <c r="AD130" i="136"/>
  <c r="F130" i="136"/>
  <c r="A103" i="137"/>
  <c r="AD103" i="137"/>
  <c r="AD88" i="137"/>
  <c r="A130" i="137"/>
  <c r="AD130" i="137"/>
  <c r="AD102" i="137"/>
  <c r="G34" i="78"/>
  <c r="G35" i="78"/>
  <c r="A36" i="78"/>
  <c r="AD40" i="137"/>
  <c r="AD41" i="137"/>
  <c r="E17" i="125"/>
  <c r="AD66" i="137"/>
  <c r="A67" i="137"/>
  <c r="AD42" i="137"/>
  <c r="A43" i="137"/>
  <c r="A16" i="135"/>
  <c r="I16" i="135" s="1"/>
  <c r="I15" i="135"/>
  <c r="AD65" i="136"/>
  <c r="A66" i="136"/>
  <c r="AD40" i="136"/>
  <c r="A41" i="136"/>
  <c r="A17" i="137"/>
  <c r="AD16" i="137"/>
  <c r="A37" i="78"/>
  <c r="G36" i="78"/>
  <c r="AD67" i="137"/>
  <c r="A68" i="137"/>
  <c r="A42" i="136"/>
  <c r="AD41" i="136"/>
  <c r="A18" i="137"/>
  <c r="AD17" i="137"/>
  <c r="A67" i="136"/>
  <c r="AD66" i="136"/>
  <c r="AD43" i="137"/>
  <c r="A44" i="137"/>
  <c r="A38" i="78"/>
  <c r="G37" i="78"/>
  <c r="A19" i="137"/>
  <c r="AD18" i="137"/>
  <c r="A69" i="137"/>
  <c r="AD68" i="137"/>
  <c r="A43" i="136"/>
  <c r="AD42" i="136"/>
  <c r="A45" i="137"/>
  <c r="AD44" i="137"/>
  <c r="A68" i="136"/>
  <c r="AD67" i="136"/>
  <c r="A39" i="78"/>
  <c r="G38" i="78"/>
  <c r="A46" i="137"/>
  <c r="AD45" i="137"/>
  <c r="AD68" i="136"/>
  <c r="A69" i="136"/>
  <c r="AD43" i="136"/>
  <c r="A44" i="136"/>
  <c r="A70" i="137"/>
  <c r="AD69" i="137"/>
  <c r="A20" i="137"/>
  <c r="AD19" i="137"/>
  <c r="A40" i="78"/>
  <c r="G39" i="78"/>
  <c r="AD44" i="136"/>
  <c r="A45" i="136"/>
  <c r="AD69" i="136"/>
  <c r="A70" i="136"/>
  <c r="A21" i="137"/>
  <c r="AD20" i="137"/>
  <c r="AD70" i="137"/>
  <c r="A71" i="137"/>
  <c r="AD46" i="137"/>
  <c r="A47" i="137"/>
  <c r="A41" i="78"/>
  <c r="G40" i="78"/>
  <c r="AD47" i="137"/>
  <c r="A48" i="137"/>
  <c r="A71" i="136"/>
  <c r="AD70" i="136"/>
  <c r="AD71" i="137"/>
  <c r="A72" i="137"/>
  <c r="A46" i="136"/>
  <c r="AD45" i="136"/>
  <c r="A22" i="137"/>
  <c r="AD21" i="137"/>
  <c r="A42" i="78"/>
  <c r="G41" i="78"/>
  <c r="H346" i="108"/>
  <c r="H345" i="108"/>
  <c r="H344" i="108"/>
  <c r="H343" i="108"/>
  <c r="H342" i="108"/>
  <c r="H341" i="108"/>
  <c r="H340" i="108"/>
  <c r="H339" i="108"/>
  <c r="H338" i="108"/>
  <c r="H337" i="108"/>
  <c r="H336" i="108"/>
  <c r="H335" i="108"/>
  <c r="H334" i="108"/>
  <c r="H333" i="108"/>
  <c r="H332" i="108"/>
  <c r="H331" i="108"/>
  <c r="H330" i="108"/>
  <c r="H329" i="108"/>
  <c r="H328" i="108"/>
  <c r="H327" i="108"/>
  <c r="H326" i="108"/>
  <c r="H325" i="108"/>
  <c r="H324" i="108"/>
  <c r="H323" i="108"/>
  <c r="H314" i="108"/>
  <c r="H313" i="108"/>
  <c r="H312" i="108"/>
  <c r="H311" i="108"/>
  <c r="H310" i="108"/>
  <c r="H309" i="108"/>
  <c r="H308" i="108"/>
  <c r="H307" i="108"/>
  <c r="H306" i="108"/>
  <c r="H305" i="108"/>
  <c r="H304" i="108"/>
  <c r="H303" i="108"/>
  <c r="H302" i="108"/>
  <c r="H301" i="108"/>
  <c r="H300" i="108"/>
  <c r="H299" i="108"/>
  <c r="H298" i="108"/>
  <c r="H297" i="108"/>
  <c r="H296" i="108"/>
  <c r="H295" i="108"/>
  <c r="H294" i="108"/>
  <c r="H293" i="108"/>
  <c r="H292" i="108"/>
  <c r="H291" i="108"/>
  <c r="H284" i="108"/>
  <c r="H283" i="108"/>
  <c r="H282" i="108"/>
  <c r="H281" i="108"/>
  <c r="H280" i="108"/>
  <c r="H279" i="108"/>
  <c r="H278" i="108"/>
  <c r="H277" i="108"/>
  <c r="H276" i="108"/>
  <c r="H275" i="108"/>
  <c r="H274" i="108"/>
  <c r="H273" i="108"/>
  <c r="H272" i="108"/>
  <c r="H271" i="108"/>
  <c r="H270" i="108"/>
  <c r="H269" i="108"/>
  <c r="H268" i="108"/>
  <c r="H267" i="108"/>
  <c r="H266" i="108"/>
  <c r="H265" i="108"/>
  <c r="H264" i="108"/>
  <c r="H263" i="108"/>
  <c r="H262" i="108"/>
  <c r="H261" i="108"/>
  <c r="H252" i="108"/>
  <c r="H251" i="108"/>
  <c r="H250" i="108"/>
  <c r="H249" i="108"/>
  <c r="H248" i="108"/>
  <c r="H247" i="108"/>
  <c r="H246" i="108"/>
  <c r="H245" i="108"/>
  <c r="H244" i="108"/>
  <c r="H243" i="108"/>
  <c r="H242" i="108"/>
  <c r="H241" i="108"/>
  <c r="H240" i="108"/>
  <c r="H239" i="108"/>
  <c r="H238" i="108"/>
  <c r="H237" i="108"/>
  <c r="H236" i="108"/>
  <c r="H235" i="108"/>
  <c r="H234" i="108"/>
  <c r="H233" i="108"/>
  <c r="H232" i="108"/>
  <c r="H231" i="108"/>
  <c r="H230" i="108"/>
  <c r="H229" i="108"/>
  <c r="H220" i="108"/>
  <c r="H219" i="108"/>
  <c r="H218" i="108"/>
  <c r="H217" i="108"/>
  <c r="H216" i="108"/>
  <c r="H215" i="108"/>
  <c r="H214" i="108"/>
  <c r="H213" i="108"/>
  <c r="H212" i="108"/>
  <c r="H211" i="108"/>
  <c r="H210" i="108"/>
  <c r="H209" i="108"/>
  <c r="H208" i="108"/>
  <c r="H207" i="108"/>
  <c r="H206" i="108"/>
  <c r="H205" i="108"/>
  <c r="H204" i="108"/>
  <c r="H203" i="108"/>
  <c r="H202" i="108"/>
  <c r="H201" i="108"/>
  <c r="H200" i="108"/>
  <c r="H199" i="108"/>
  <c r="H198" i="108"/>
  <c r="H197" i="108"/>
  <c r="H188" i="108"/>
  <c r="H187" i="108"/>
  <c r="H186" i="108"/>
  <c r="H185" i="108"/>
  <c r="H184" i="108"/>
  <c r="H183" i="108"/>
  <c r="H182" i="108"/>
  <c r="H181" i="108"/>
  <c r="H180" i="108"/>
  <c r="H179" i="108"/>
  <c r="H178" i="108"/>
  <c r="H177" i="108"/>
  <c r="H176" i="108"/>
  <c r="H175" i="108"/>
  <c r="H174" i="108"/>
  <c r="H173" i="108"/>
  <c r="H172" i="108"/>
  <c r="H171" i="108"/>
  <c r="H170" i="108"/>
  <c r="H169" i="108"/>
  <c r="H168" i="108"/>
  <c r="H167" i="108"/>
  <c r="H166" i="108"/>
  <c r="H165" i="108"/>
  <c r="H158" i="108"/>
  <c r="H157" i="108"/>
  <c r="H156" i="108"/>
  <c r="H155" i="108"/>
  <c r="H154" i="108"/>
  <c r="H153" i="108"/>
  <c r="H152" i="108"/>
  <c r="H151" i="108"/>
  <c r="H150" i="108"/>
  <c r="H149" i="108"/>
  <c r="H148" i="108"/>
  <c r="H147" i="108"/>
  <c r="H146" i="108"/>
  <c r="H145" i="108"/>
  <c r="H144" i="108"/>
  <c r="H143" i="108"/>
  <c r="H142" i="108"/>
  <c r="H141" i="108"/>
  <c r="H140" i="108"/>
  <c r="H139" i="108"/>
  <c r="H138" i="108"/>
  <c r="H137" i="108"/>
  <c r="H136" i="108"/>
  <c r="H135" i="108"/>
  <c r="H126" i="108"/>
  <c r="H125" i="108"/>
  <c r="H124" i="108"/>
  <c r="H123" i="108"/>
  <c r="H122" i="108"/>
  <c r="H121" i="108"/>
  <c r="H120" i="108"/>
  <c r="H119" i="108"/>
  <c r="H118" i="108"/>
  <c r="H117" i="108"/>
  <c r="H116" i="108"/>
  <c r="H115" i="108"/>
  <c r="H114" i="108"/>
  <c r="H113" i="108"/>
  <c r="H112" i="108"/>
  <c r="H111" i="108"/>
  <c r="H110" i="108"/>
  <c r="H109" i="108"/>
  <c r="H108" i="108"/>
  <c r="H107" i="108"/>
  <c r="H106" i="108"/>
  <c r="H105" i="108"/>
  <c r="H104" i="108"/>
  <c r="H103" i="108"/>
  <c r="A73" i="137"/>
  <c r="AD72" i="137"/>
  <c r="A49" i="137"/>
  <c r="AD48" i="137"/>
  <c r="A72" i="136"/>
  <c r="AD71" i="136"/>
  <c r="A23" i="137"/>
  <c r="AD22" i="137"/>
  <c r="A47" i="136"/>
  <c r="AD46" i="136"/>
  <c r="A43" i="78"/>
  <c r="G42" i="78"/>
  <c r="E26" i="79"/>
  <c r="AD47" i="136"/>
  <c r="A48" i="136"/>
  <c r="AD72" i="136"/>
  <c r="A73" i="136"/>
  <c r="A74" i="137"/>
  <c r="AD73" i="137"/>
  <c r="A24" i="137"/>
  <c r="AD23" i="137"/>
  <c r="A50" i="137"/>
  <c r="AD49" i="137"/>
  <c r="A44" i="78"/>
  <c r="G43" i="78"/>
  <c r="B287" i="108"/>
  <c r="B161" i="108"/>
  <c r="L57" i="108"/>
  <c r="L128" i="108"/>
  <c r="L190" i="108"/>
  <c r="L222" i="108"/>
  <c r="L254" i="108"/>
  <c r="L316" i="108"/>
  <c r="A129" i="108"/>
  <c r="A191" i="108"/>
  <c r="L191" i="108"/>
  <c r="D62" i="108"/>
  <c r="C62" i="108"/>
  <c r="D44" i="108"/>
  <c r="C44" i="108"/>
  <c r="H58" i="108"/>
  <c r="G58" i="108"/>
  <c r="F58" i="108"/>
  <c r="E58" i="108"/>
  <c r="D58" i="108"/>
  <c r="C58" i="108"/>
  <c r="H22" i="108"/>
  <c r="G22" i="108"/>
  <c r="F22" i="108"/>
  <c r="E22" i="108"/>
  <c r="D22" i="108"/>
  <c r="C22" i="108"/>
  <c r="K290" i="108"/>
  <c r="K317" i="108"/>
  <c r="K322" i="108"/>
  <c r="K164" i="108"/>
  <c r="K102" i="108"/>
  <c r="L39" i="108"/>
  <c r="L38" i="108"/>
  <c r="L17" i="108"/>
  <c r="L16" i="108"/>
  <c r="L11" i="108"/>
  <c r="L8" i="108"/>
  <c r="L7" i="108"/>
  <c r="L6" i="108"/>
  <c r="L66" i="108"/>
  <c r="L67" i="108"/>
  <c r="K260" i="108"/>
  <c r="K255" i="108"/>
  <c r="K228" i="108"/>
  <c r="K223" i="108"/>
  <c r="K196" i="108"/>
  <c r="K191" i="108"/>
  <c r="K134" i="108"/>
  <c r="K129" i="108"/>
  <c r="L129" i="108"/>
  <c r="A25" i="137"/>
  <c r="AD24" i="137"/>
  <c r="AD74" i="137"/>
  <c r="A75" i="137"/>
  <c r="AD73" i="136"/>
  <c r="A74" i="136"/>
  <c r="AD48" i="136"/>
  <c r="A49" i="136"/>
  <c r="AD50" i="137"/>
  <c r="A51" i="137"/>
  <c r="AD51" i="137"/>
  <c r="A45" i="78"/>
  <c r="G44" i="78"/>
  <c r="A134" i="108"/>
  <c r="A135" i="108"/>
  <c r="L135" i="108"/>
  <c r="A223" i="108"/>
  <c r="A196" i="108"/>
  <c r="L196" i="108"/>
  <c r="A136" i="108"/>
  <c r="A137" i="108"/>
  <c r="L134" i="108"/>
  <c r="A228" i="108"/>
  <c r="L228" i="108"/>
  <c r="L223" i="108"/>
  <c r="A75" i="136"/>
  <c r="AD74" i="136"/>
  <c r="AD49" i="136"/>
  <c r="A50" i="136"/>
  <c r="AD75" i="137"/>
  <c r="A76" i="137"/>
  <c r="AD76" i="137"/>
  <c r="A26" i="137"/>
  <c r="AD26" i="137"/>
  <c r="AD25" i="137"/>
  <c r="A46" i="78"/>
  <c r="G45" i="78"/>
  <c r="A197" i="108"/>
  <c r="A198" i="108"/>
  <c r="A199" i="108"/>
  <c r="A200" i="108"/>
  <c r="A255" i="108"/>
  <c r="L136" i="108"/>
  <c r="A229" i="108"/>
  <c r="A230" i="108"/>
  <c r="L230" i="108"/>
  <c r="L198" i="108"/>
  <c r="L199" i="108"/>
  <c r="L197" i="108"/>
  <c r="A317" i="108"/>
  <c r="L255" i="108"/>
  <c r="AD50" i="136"/>
  <c r="A51" i="136"/>
  <c r="AD51" i="136"/>
  <c r="A76" i="136"/>
  <c r="AD76" i="136"/>
  <c r="AD75" i="136"/>
  <c r="A47" i="78"/>
  <c r="G46" i="78"/>
  <c r="L229" i="108"/>
  <c r="A260" i="108"/>
  <c r="L260" i="108"/>
  <c r="A231" i="108"/>
  <c r="A232" i="108"/>
  <c r="A233" i="108"/>
  <c r="L200" i="108"/>
  <c r="A201" i="108"/>
  <c r="A138" i="108"/>
  <c r="L137" i="108"/>
  <c r="A322" i="108"/>
  <c r="L317" i="108"/>
  <c r="A48" i="78"/>
  <c r="G47" i="78"/>
  <c r="L232" i="108"/>
  <c r="A261" i="108"/>
  <c r="A262" i="108"/>
  <c r="L231" i="108"/>
  <c r="L233" i="108"/>
  <c r="A234" i="108"/>
  <c r="A202" i="108"/>
  <c r="L201" i="108"/>
  <c r="A139" i="108"/>
  <c r="L138" i="108"/>
  <c r="L322" i="108"/>
  <c r="A323" i="108"/>
  <c r="A49" i="78"/>
  <c r="G48" i="78"/>
  <c r="L261" i="108"/>
  <c r="A263" i="108"/>
  <c r="L262" i="108"/>
  <c r="L234" i="108"/>
  <c r="A235" i="108"/>
  <c r="L202" i="108"/>
  <c r="A203" i="108"/>
  <c r="A140" i="108"/>
  <c r="L139" i="108"/>
  <c r="L323" i="108"/>
  <c r="A324" i="108"/>
  <c r="A50" i="78"/>
  <c r="G49" i="78"/>
  <c r="L263" i="108"/>
  <c r="A264" i="108"/>
  <c r="L235" i="108"/>
  <c r="A236" i="108"/>
  <c r="A204" i="108"/>
  <c r="L203" i="108"/>
  <c r="A141" i="108"/>
  <c r="L140" i="108"/>
  <c r="A325" i="108"/>
  <c r="L324" i="108"/>
  <c r="A51" i="78"/>
  <c r="G50" i="78"/>
  <c r="L264" i="108"/>
  <c r="A265" i="108"/>
  <c r="L236" i="108"/>
  <c r="A237" i="108"/>
  <c r="L204" i="108"/>
  <c r="A205" i="108"/>
  <c r="A142" i="108"/>
  <c r="L141" i="108"/>
  <c r="L325" i="108"/>
  <c r="A326" i="108"/>
  <c r="A52" i="78"/>
  <c r="G51" i="78"/>
  <c r="L265" i="108"/>
  <c r="A266" i="108"/>
  <c r="A238" i="108"/>
  <c r="L237" i="108"/>
  <c r="A206" i="108"/>
  <c r="L205" i="108"/>
  <c r="A143" i="108"/>
  <c r="L142" i="108"/>
  <c r="L326" i="108"/>
  <c r="A327" i="108"/>
  <c r="A53" i="78"/>
  <c r="G52" i="78"/>
  <c r="L266" i="108"/>
  <c r="A267" i="108"/>
  <c r="L238" i="108"/>
  <c r="A239" i="108"/>
  <c r="L206" i="108"/>
  <c r="A207" i="108"/>
  <c r="A144" i="108"/>
  <c r="L143" i="108"/>
  <c r="L327" i="108"/>
  <c r="A328" i="108"/>
  <c r="A54" i="78"/>
  <c r="G53" i="78"/>
  <c r="A268" i="108"/>
  <c r="L267" i="108"/>
  <c r="A240" i="108"/>
  <c r="L239" i="108"/>
  <c r="A208" i="108"/>
  <c r="L207" i="108"/>
  <c r="A145" i="108"/>
  <c r="L144" i="108"/>
  <c r="L328" i="108"/>
  <c r="A329" i="108"/>
  <c r="A55" i="78"/>
  <c r="G54" i="78"/>
  <c r="L268" i="108"/>
  <c r="A269" i="108"/>
  <c r="L240" i="108"/>
  <c r="A241" i="108"/>
  <c r="L208" i="108"/>
  <c r="A209" i="108"/>
  <c r="A146" i="108"/>
  <c r="L145" i="108"/>
  <c r="L329" i="108"/>
  <c r="A330" i="108"/>
  <c r="A56" i="78"/>
  <c r="G55" i="78"/>
  <c r="L269" i="108"/>
  <c r="A270" i="108"/>
  <c r="A242" i="108"/>
  <c r="L241" i="108"/>
  <c r="A210" i="108"/>
  <c r="L209" i="108"/>
  <c r="A147" i="108"/>
  <c r="L146" i="108"/>
  <c r="L330" i="108"/>
  <c r="A331" i="108"/>
  <c r="A57" i="78"/>
  <c r="G56" i="78"/>
  <c r="L270" i="108"/>
  <c r="A271" i="108"/>
  <c r="A243" i="108"/>
  <c r="L242" i="108"/>
  <c r="A211" i="108"/>
  <c r="L210" i="108"/>
  <c r="L147" i="108"/>
  <c r="A148" i="108"/>
  <c r="A332" i="108"/>
  <c r="L331" i="108"/>
  <c r="A58" i="78"/>
  <c r="G57" i="78"/>
  <c r="L271" i="108"/>
  <c r="A272" i="108"/>
  <c r="A244" i="108"/>
  <c r="L243" i="108"/>
  <c r="A212" i="108"/>
  <c r="L211" i="108"/>
  <c r="A149" i="108"/>
  <c r="L148" i="108"/>
  <c r="L332" i="108"/>
  <c r="A333" i="108"/>
  <c r="A59" i="78"/>
  <c r="G58" i="78"/>
  <c r="L272" i="108"/>
  <c r="A273" i="108"/>
  <c r="L244" i="108"/>
  <c r="A245" i="108"/>
  <c r="L212" i="108"/>
  <c r="A213" i="108"/>
  <c r="A150" i="108"/>
  <c r="L149" i="108"/>
  <c r="L333" i="108"/>
  <c r="A334" i="108"/>
  <c r="A60" i="78"/>
  <c r="G59" i="78"/>
  <c r="A274" i="108"/>
  <c r="L273" i="108"/>
  <c r="A246" i="108"/>
  <c r="L245" i="108"/>
  <c r="A214" i="108"/>
  <c r="L213" i="108"/>
  <c r="A151" i="108"/>
  <c r="L150" i="108"/>
  <c r="L334" i="108"/>
  <c r="A335" i="108"/>
  <c r="A61" i="78"/>
  <c r="G60" i="78"/>
  <c r="L274" i="108"/>
  <c r="A275" i="108"/>
  <c r="A247" i="108"/>
  <c r="L246" i="108"/>
  <c r="A215" i="108"/>
  <c r="L214" i="108"/>
  <c r="L151" i="108"/>
  <c r="A152" i="108"/>
  <c r="L335" i="108"/>
  <c r="A336" i="108"/>
  <c r="A62" i="78"/>
  <c r="G61" i="78"/>
  <c r="A276" i="108"/>
  <c r="L275" i="108"/>
  <c r="A248" i="108"/>
  <c r="L247" i="108"/>
  <c r="A216" i="108"/>
  <c r="L215" i="108"/>
  <c r="A153" i="108"/>
  <c r="L152" i="108"/>
  <c r="L336" i="108"/>
  <c r="A337" i="108"/>
  <c r="A63" i="78"/>
  <c r="G62" i="78"/>
  <c r="A277" i="108"/>
  <c r="L276" i="108"/>
  <c r="L248" i="108"/>
  <c r="A249" i="108"/>
  <c r="L216" i="108"/>
  <c r="A217" i="108"/>
  <c r="A154" i="108"/>
  <c r="L153" i="108"/>
  <c r="L337" i="108"/>
  <c r="A338" i="108"/>
  <c r="A64" i="78"/>
  <c r="G63" i="78"/>
  <c r="L277" i="108"/>
  <c r="A278" i="108"/>
  <c r="A250" i="108"/>
  <c r="L249" i="108"/>
  <c r="A218" i="108"/>
  <c r="L217" i="108"/>
  <c r="L154" i="108"/>
  <c r="A155" i="108"/>
  <c r="L338" i="108"/>
  <c r="A339" i="108"/>
  <c r="A65" i="78"/>
  <c r="G64" i="78"/>
  <c r="L278" i="108"/>
  <c r="A279" i="108"/>
  <c r="A251" i="108"/>
  <c r="L250" i="108"/>
  <c r="A219" i="108"/>
  <c r="L218" i="108"/>
  <c r="L155" i="108"/>
  <c r="A156" i="108"/>
  <c r="L339" i="108"/>
  <c r="A340" i="108"/>
  <c r="A66" i="78"/>
  <c r="G65" i="78"/>
  <c r="A280" i="108"/>
  <c r="L279" i="108"/>
  <c r="A252" i="108"/>
  <c r="L252" i="108"/>
  <c r="L251" i="108"/>
  <c r="A220" i="108"/>
  <c r="L220" i="108"/>
  <c r="L219" i="108"/>
  <c r="A157" i="108"/>
  <c r="L156" i="108"/>
  <c r="A341" i="108"/>
  <c r="L341" i="108"/>
  <c r="L340" i="108"/>
  <c r="A67" i="78"/>
  <c r="G66" i="78"/>
  <c r="L280" i="108"/>
  <c r="A281" i="108"/>
  <c r="A158" i="108"/>
  <c r="L157" i="108"/>
  <c r="A68" i="78"/>
  <c r="G67" i="78"/>
  <c r="A282" i="108"/>
  <c r="L281" i="108"/>
  <c r="L158" i="108"/>
  <c r="A164" i="108"/>
  <c r="A342" i="108"/>
  <c r="A69" i="78"/>
  <c r="G68" i="78"/>
  <c r="L282" i="108"/>
  <c r="A283" i="108"/>
  <c r="L164" i="108"/>
  <c r="A165" i="108"/>
  <c r="L342" i="108"/>
  <c r="A343" i="108"/>
  <c r="A70" i="78"/>
  <c r="G69" i="78"/>
  <c r="A284" i="108"/>
  <c r="L283" i="108"/>
  <c r="L165" i="108"/>
  <c r="A166" i="108"/>
  <c r="A344" i="108"/>
  <c r="L343" i="108"/>
  <c r="A71" i="78"/>
  <c r="G70" i="78"/>
  <c r="L284" i="108"/>
  <c r="A290" i="108"/>
  <c r="L166" i="108"/>
  <c r="A167" i="108"/>
  <c r="L344" i="108"/>
  <c r="A345" i="108"/>
  <c r="A72" i="78"/>
  <c r="G71" i="78"/>
  <c r="L290" i="108"/>
  <c r="A291" i="108"/>
  <c r="A168" i="108"/>
  <c r="L167" i="108"/>
  <c r="A346" i="108"/>
  <c r="L346" i="108"/>
  <c r="L345" i="108"/>
  <c r="A73" i="78"/>
  <c r="G72" i="78"/>
  <c r="A292" i="108"/>
  <c r="L291" i="108"/>
  <c r="L168" i="108"/>
  <c r="A169" i="108"/>
  <c r="A74" i="78"/>
  <c r="G73" i="78"/>
  <c r="L292" i="108"/>
  <c r="A293" i="108"/>
  <c r="A170" i="108"/>
  <c r="L169" i="108"/>
  <c r="A75" i="78"/>
  <c r="G74" i="78"/>
  <c r="A294" i="108"/>
  <c r="L293" i="108"/>
  <c r="L170" i="108"/>
  <c r="A171" i="108"/>
  <c r="A76" i="78"/>
  <c r="G75" i="78"/>
  <c r="A295" i="108"/>
  <c r="L294" i="108"/>
  <c r="A172" i="108"/>
  <c r="L171" i="108"/>
  <c r="A77" i="78"/>
  <c r="G76" i="78"/>
  <c r="A296" i="108"/>
  <c r="L295" i="108"/>
  <c r="L172" i="108"/>
  <c r="A173" i="108"/>
  <c r="A78" i="78"/>
  <c r="G77" i="78"/>
  <c r="L296" i="108"/>
  <c r="A297" i="108"/>
  <c r="A174" i="108"/>
  <c r="L173" i="108"/>
  <c r="A79" i="78"/>
  <c r="G79" i="78"/>
  <c r="G78" i="78"/>
  <c r="A298" i="108"/>
  <c r="L297" i="108"/>
  <c r="L174" i="108"/>
  <c r="A175" i="108"/>
  <c r="L298" i="108"/>
  <c r="A299" i="108"/>
  <c r="A176" i="108"/>
  <c r="L175" i="108"/>
  <c r="A300" i="108"/>
  <c r="L299" i="108"/>
  <c r="L176" i="108"/>
  <c r="A177" i="108"/>
  <c r="L300" i="108"/>
  <c r="A301" i="108"/>
  <c r="A178" i="108"/>
  <c r="L177" i="108"/>
  <c r="A302" i="108"/>
  <c r="L301" i="108"/>
  <c r="A179" i="108"/>
  <c r="L178" i="108"/>
  <c r="L302" i="108"/>
  <c r="A303" i="108"/>
  <c r="A180" i="108"/>
  <c r="L179" i="108"/>
  <c r="A304" i="108"/>
  <c r="L303" i="108"/>
  <c r="L180" i="108"/>
  <c r="A181" i="108"/>
  <c r="A305" i="108"/>
  <c r="L304" i="108"/>
  <c r="A182" i="108"/>
  <c r="L181" i="108"/>
  <c r="A306" i="108"/>
  <c r="L305" i="108"/>
  <c r="A183" i="108"/>
  <c r="L182" i="108"/>
  <c r="L306" i="108"/>
  <c r="A307" i="108"/>
  <c r="L183" i="108"/>
  <c r="A184" i="108"/>
  <c r="A308" i="108"/>
  <c r="L307" i="108"/>
  <c r="L184" i="108"/>
  <c r="A185" i="108"/>
  <c r="A309" i="108"/>
  <c r="L308" i="108"/>
  <c r="A186" i="108"/>
  <c r="L185" i="108"/>
  <c r="A310" i="108"/>
  <c r="L309" i="108"/>
  <c r="A187" i="108"/>
  <c r="L186" i="108"/>
  <c r="L310" i="108"/>
  <c r="A311" i="108"/>
  <c r="A188" i="108"/>
  <c r="L188" i="108"/>
  <c r="L187" i="108"/>
  <c r="A312" i="108"/>
  <c r="L311" i="108"/>
  <c r="A313" i="108"/>
  <c r="L312" i="108"/>
  <c r="A314" i="108"/>
  <c r="L314" i="108"/>
  <c r="L313" i="108"/>
  <c r="A72" i="108"/>
  <c r="L72" i="108"/>
  <c r="K72" i="108"/>
  <c r="K67" i="108"/>
  <c r="F67" i="108"/>
  <c r="A12" i="106"/>
  <c r="A73" i="108"/>
  <c r="A74" i="108"/>
  <c r="L73" i="108"/>
  <c r="L74" i="108"/>
  <c r="A75" i="108"/>
  <c r="A76" i="108"/>
  <c r="L75" i="108"/>
  <c r="L76" i="108"/>
  <c r="A77" i="108"/>
  <c r="A78" i="108"/>
  <c r="L77" i="108"/>
  <c r="L78" i="108"/>
  <c r="A79" i="108"/>
  <c r="A80" i="108"/>
  <c r="L79" i="108"/>
  <c r="L80" i="108"/>
  <c r="A81" i="108"/>
  <c r="A82" i="108"/>
  <c r="L81" i="108"/>
  <c r="L82" i="108"/>
  <c r="A83" i="108"/>
  <c r="A84" i="108"/>
  <c r="L83" i="108"/>
  <c r="L84" i="108"/>
  <c r="A85" i="108"/>
  <c r="G7" i="78"/>
  <c r="A8" i="78"/>
  <c r="A9" i="78"/>
  <c r="G8" i="78"/>
  <c r="A86" i="108"/>
  <c r="L85" i="108"/>
  <c r="A10" i="78"/>
  <c r="G9" i="78"/>
  <c r="A87" i="108"/>
  <c r="L86" i="108"/>
  <c r="A11" i="78"/>
  <c r="G10" i="78"/>
  <c r="A88" i="108"/>
  <c r="L87" i="108"/>
  <c r="A12" i="78"/>
  <c r="G11" i="78"/>
  <c r="L88" i="108"/>
  <c r="A89" i="108"/>
  <c r="A13" i="78"/>
  <c r="G12" i="78"/>
  <c r="A90" i="108"/>
  <c r="L89" i="108"/>
  <c r="K66" i="104"/>
  <c r="A40" i="108"/>
  <c r="E176" i="108"/>
  <c r="E175" i="108"/>
  <c r="E174" i="108"/>
  <c r="E173" i="108"/>
  <c r="E172" i="108"/>
  <c r="E171" i="108"/>
  <c r="E170" i="108"/>
  <c r="E169" i="108"/>
  <c r="E168" i="108"/>
  <c r="E167" i="108"/>
  <c r="E166" i="108"/>
  <c r="E165" i="108"/>
  <c r="E240" i="108"/>
  <c r="E208" i="108"/>
  <c r="E146" i="108"/>
  <c r="E239" i="108"/>
  <c r="E207" i="108"/>
  <c r="E145" i="108"/>
  <c r="E238" i="108"/>
  <c r="E206" i="108"/>
  <c r="E144" i="108"/>
  <c r="E237" i="108"/>
  <c r="E205" i="108"/>
  <c r="E143" i="108"/>
  <c r="E236" i="108"/>
  <c r="E204" i="108"/>
  <c r="E142" i="108"/>
  <c r="E235" i="108"/>
  <c r="E203" i="108"/>
  <c r="E141" i="108"/>
  <c r="E234" i="108"/>
  <c r="E202" i="108"/>
  <c r="E140" i="108"/>
  <c r="E233" i="108"/>
  <c r="E201" i="108"/>
  <c r="E139" i="108"/>
  <c r="E232" i="108"/>
  <c r="E200" i="108"/>
  <c r="E138" i="108"/>
  <c r="E231" i="108"/>
  <c r="E199" i="108"/>
  <c r="E137" i="108"/>
  <c r="E230" i="108"/>
  <c r="E198" i="108"/>
  <c r="E136" i="108"/>
  <c r="E229" i="108"/>
  <c r="E197" i="108"/>
  <c r="E135" i="108"/>
  <c r="K48" i="106"/>
  <c r="K44" i="106"/>
  <c r="A45" i="106"/>
  <c r="K45" i="106"/>
  <c r="K36" i="106"/>
  <c r="K37" i="106"/>
  <c r="K12" i="106"/>
  <c r="A37" i="106"/>
  <c r="A38" i="106"/>
  <c r="K38" i="106"/>
  <c r="J1" i="106"/>
  <c r="A14" i="78"/>
  <c r="G13" i="78"/>
  <c r="A41" i="108"/>
  <c r="L40" i="108"/>
  <c r="A91" i="108"/>
  <c r="L90" i="108"/>
  <c r="A46" i="106"/>
  <c r="A15" i="78"/>
  <c r="G14" i="78"/>
  <c r="A42" i="108"/>
  <c r="L41" i="108"/>
  <c r="A92" i="108"/>
  <c r="L91" i="108"/>
  <c r="A47" i="106"/>
  <c r="K47" i="106"/>
  <c r="K46" i="106"/>
  <c r="A16" i="78"/>
  <c r="G15" i="78"/>
  <c r="A44" i="108"/>
  <c r="L42" i="108"/>
  <c r="L92" i="108"/>
  <c r="A93" i="108"/>
  <c r="A22" i="108"/>
  <c r="C31" i="108"/>
  <c r="D31" i="108"/>
  <c r="I22" i="108"/>
  <c r="E302" i="108"/>
  <c r="E301" i="108"/>
  <c r="E300" i="108"/>
  <c r="E299" i="108"/>
  <c r="E298" i="108"/>
  <c r="E297" i="108"/>
  <c r="E296" i="108"/>
  <c r="E295" i="108"/>
  <c r="E294" i="108"/>
  <c r="E293" i="108"/>
  <c r="E292" i="108"/>
  <c r="E291" i="108"/>
  <c r="E114" i="108"/>
  <c r="E113" i="108"/>
  <c r="E112" i="108"/>
  <c r="E111" i="108"/>
  <c r="E110" i="108"/>
  <c r="E109" i="108"/>
  <c r="E108" i="108"/>
  <c r="E107" i="108"/>
  <c r="E106" i="108"/>
  <c r="E105" i="108"/>
  <c r="E104" i="108"/>
  <c r="E103" i="108"/>
  <c r="E334" i="108"/>
  <c r="E272" i="108"/>
  <c r="E333" i="108"/>
  <c r="E271" i="108"/>
  <c r="E332" i="108"/>
  <c r="E270" i="108"/>
  <c r="E331" i="108"/>
  <c r="E269" i="108"/>
  <c r="E330" i="108"/>
  <c r="E268" i="108"/>
  <c r="E329" i="108"/>
  <c r="E267" i="108"/>
  <c r="E328" i="108"/>
  <c r="E266" i="108"/>
  <c r="E327" i="108"/>
  <c r="E265" i="108"/>
  <c r="E326" i="108"/>
  <c r="E264" i="108"/>
  <c r="E325" i="108"/>
  <c r="E263" i="108"/>
  <c r="E324" i="108"/>
  <c r="E262" i="108"/>
  <c r="E323" i="108"/>
  <c r="E261" i="108"/>
  <c r="E84" i="108"/>
  <c r="E83" i="108"/>
  <c r="E82" i="108"/>
  <c r="E81" i="108"/>
  <c r="E80" i="108"/>
  <c r="E79" i="108"/>
  <c r="E78" i="108"/>
  <c r="E77" i="108"/>
  <c r="E76" i="108"/>
  <c r="E75" i="108"/>
  <c r="E74" i="108"/>
  <c r="E73" i="108"/>
  <c r="A17" i="78"/>
  <c r="G16" i="78"/>
  <c r="A23" i="108"/>
  <c r="L22" i="108"/>
  <c r="A45" i="108"/>
  <c r="L44" i="108"/>
  <c r="A94" i="108"/>
  <c r="L93" i="108"/>
  <c r="A13" i="106"/>
  <c r="K13" i="106"/>
  <c r="A18" i="78"/>
  <c r="G17" i="78"/>
  <c r="A46" i="108"/>
  <c r="L45" i="108"/>
  <c r="A25" i="108"/>
  <c r="L23" i="108"/>
  <c r="A95" i="108"/>
  <c r="L94" i="108"/>
  <c r="A14" i="106"/>
  <c r="A19" i="78"/>
  <c r="G18" i="78"/>
  <c r="A26" i="108"/>
  <c r="L25" i="108"/>
  <c r="A47" i="108"/>
  <c r="L46" i="108"/>
  <c r="A96" i="108"/>
  <c r="L95" i="108"/>
  <c r="A16" i="106"/>
  <c r="K14" i="106"/>
  <c r="A32" i="105"/>
  <c r="A20" i="78"/>
  <c r="G19" i="78"/>
  <c r="L96" i="108"/>
  <c r="A102" i="108"/>
  <c r="A48" i="108"/>
  <c r="L47" i="108"/>
  <c r="A29" i="108"/>
  <c r="L26" i="108"/>
  <c r="A17" i="106"/>
  <c r="K16" i="106"/>
  <c r="D39" i="108"/>
  <c r="E39" i="108"/>
  <c r="F39" i="108"/>
  <c r="G39" i="108"/>
  <c r="H39" i="108"/>
  <c r="I39" i="108"/>
  <c r="C39" i="108"/>
  <c r="K23" i="105"/>
  <c r="K22" i="105"/>
  <c r="K21" i="105"/>
  <c r="K20" i="105"/>
  <c r="K19" i="105"/>
  <c r="K18" i="105"/>
  <c r="K17" i="105"/>
  <c r="K16" i="105"/>
  <c r="K15" i="105"/>
  <c r="K14" i="105"/>
  <c r="K13" i="105"/>
  <c r="G23" i="105"/>
  <c r="G22" i="105"/>
  <c r="G21" i="105"/>
  <c r="G20" i="105"/>
  <c r="G19" i="105"/>
  <c r="G26" i="105" s="1"/>
  <c r="G18" i="105"/>
  <c r="G17" i="105"/>
  <c r="G16" i="105"/>
  <c r="G15" i="105"/>
  <c r="G14" i="105"/>
  <c r="G13" i="105"/>
  <c r="D13" i="105"/>
  <c r="D14" i="105"/>
  <c r="D15" i="105"/>
  <c r="D16" i="105"/>
  <c r="D17" i="105"/>
  <c r="D18" i="105"/>
  <c r="D19" i="105"/>
  <c r="D20" i="105"/>
  <c r="D21" i="105"/>
  <c r="D22" i="105"/>
  <c r="D23" i="105"/>
  <c r="K99" i="104"/>
  <c r="E111" i="104"/>
  <c r="A100" i="104"/>
  <c r="K100" i="104"/>
  <c r="E78" i="104"/>
  <c r="D30" i="106" s="1"/>
  <c r="D78" i="104"/>
  <c r="D48" i="108"/>
  <c r="C78" i="104"/>
  <c r="C48" i="108" s="1"/>
  <c r="A67" i="104"/>
  <c r="A68" i="104"/>
  <c r="A69" i="104"/>
  <c r="A70" i="104"/>
  <c r="A71" i="104"/>
  <c r="A72" i="104"/>
  <c r="A73" i="104"/>
  <c r="A74" i="104"/>
  <c r="A75" i="104"/>
  <c r="A76" i="104"/>
  <c r="A77" i="104"/>
  <c r="A78" i="104"/>
  <c r="K48" i="104"/>
  <c r="J26" i="104"/>
  <c r="A49" i="104"/>
  <c r="A50" i="104"/>
  <c r="A15" i="104"/>
  <c r="K15" i="104"/>
  <c r="C26" i="104"/>
  <c r="E26" i="104"/>
  <c r="F26" i="104"/>
  <c r="D18" i="106" s="1"/>
  <c r="G26" i="104"/>
  <c r="E18" i="106" s="1"/>
  <c r="H26" i="104"/>
  <c r="F18" i="106" s="1"/>
  <c r="I26" i="104"/>
  <c r="G18" i="106" s="1"/>
  <c r="D26" i="104"/>
  <c r="K78" i="104"/>
  <c r="A82" i="104"/>
  <c r="A21" i="78"/>
  <c r="G20" i="78"/>
  <c r="A103" i="108"/>
  <c r="L102" i="108"/>
  <c r="A31" i="108"/>
  <c r="L29" i="108"/>
  <c r="A49" i="108"/>
  <c r="L49" i="108"/>
  <c r="L48" i="108"/>
  <c r="K73" i="104"/>
  <c r="A101" i="104"/>
  <c r="A102" i="104"/>
  <c r="A103" i="104"/>
  <c r="A104" i="104"/>
  <c r="A105" i="104"/>
  <c r="A106" i="104"/>
  <c r="A107" i="104"/>
  <c r="A108" i="104"/>
  <c r="A109" i="104"/>
  <c r="A110" i="104"/>
  <c r="A111" i="104"/>
  <c r="K111" i="104"/>
  <c r="K69" i="104"/>
  <c r="K17" i="106"/>
  <c r="A18" i="106"/>
  <c r="K77" i="104"/>
  <c r="C111" i="104"/>
  <c r="K70" i="104"/>
  <c r="K74" i="104"/>
  <c r="A16" i="104"/>
  <c r="K16" i="104"/>
  <c r="K67" i="104"/>
  <c r="K71" i="104"/>
  <c r="K75" i="104"/>
  <c r="K68" i="104"/>
  <c r="K72" i="104"/>
  <c r="K76" i="104"/>
  <c r="D111" i="104"/>
  <c r="K49" i="104"/>
  <c r="K50" i="104"/>
  <c r="A51" i="104"/>
  <c r="F60" i="104"/>
  <c r="C60" i="104"/>
  <c r="D60" i="104"/>
  <c r="H60" i="104"/>
  <c r="I60" i="104"/>
  <c r="G60" i="104"/>
  <c r="E60" i="104"/>
  <c r="N12" i="105"/>
  <c r="M24" i="105"/>
  <c r="E26" i="105"/>
  <c r="G35" i="105" s="1"/>
  <c r="F26" i="105"/>
  <c r="H35" i="105" s="1"/>
  <c r="M26" i="105"/>
  <c r="A13" i="105"/>
  <c r="N13" i="105"/>
  <c r="E24" i="105"/>
  <c r="K106" i="104"/>
  <c r="A83" i="104"/>
  <c r="K82" i="104"/>
  <c r="K103" i="104"/>
  <c r="A22" i="78"/>
  <c r="G21" i="78"/>
  <c r="L103" i="108"/>
  <c r="A104" i="108"/>
  <c r="A32" i="108"/>
  <c r="L31" i="108"/>
  <c r="K102" i="104"/>
  <c r="K108" i="104"/>
  <c r="K109" i="104"/>
  <c r="K104" i="104"/>
  <c r="K105" i="104"/>
  <c r="K107" i="104"/>
  <c r="K110" i="104"/>
  <c r="K101" i="104"/>
  <c r="H18" i="106"/>
  <c r="H19" i="106"/>
  <c r="I41" i="108"/>
  <c r="I42" i="108"/>
  <c r="A17" i="104"/>
  <c r="K17" i="104"/>
  <c r="A19" i="106"/>
  <c r="A22" i="106"/>
  <c r="K18" i="106"/>
  <c r="A14" i="105"/>
  <c r="K51" i="104"/>
  <c r="A52" i="104"/>
  <c r="A84" i="104"/>
  <c r="K83" i="104"/>
  <c r="A25" i="106"/>
  <c r="K22" i="106"/>
  <c r="G22" i="78"/>
  <c r="A23" i="78"/>
  <c r="A105" i="108"/>
  <c r="L104" i="108"/>
  <c r="A33" i="108"/>
  <c r="L32" i="108"/>
  <c r="A18" i="104"/>
  <c r="K18" i="104"/>
  <c r="K19" i="106"/>
  <c r="A15" i="105"/>
  <c r="N14" i="105"/>
  <c r="K52" i="104"/>
  <c r="A53" i="104"/>
  <c r="E33" i="105"/>
  <c r="C33" i="105"/>
  <c r="E34" i="105"/>
  <c r="C34" i="105"/>
  <c r="E32" i="105"/>
  <c r="C32" i="105"/>
  <c r="N32" i="105"/>
  <c r="A33" i="105"/>
  <c r="N33" i="105"/>
  <c r="K84" i="104"/>
  <c r="A85" i="104"/>
  <c r="A19" i="104"/>
  <c r="K19" i="104"/>
  <c r="A24" i="78"/>
  <c r="A25" i="78"/>
  <c r="G23" i="78"/>
  <c r="A106" i="108"/>
  <c r="L105" i="108"/>
  <c r="A34" i="108"/>
  <c r="L34" i="108"/>
  <c r="L33" i="108"/>
  <c r="A26" i="106"/>
  <c r="K25" i="106"/>
  <c r="A16" i="105"/>
  <c r="N15" i="105"/>
  <c r="A20" i="104"/>
  <c r="K20" i="104"/>
  <c r="A54" i="104"/>
  <c r="K53" i="104"/>
  <c r="A34" i="105"/>
  <c r="A35" i="105"/>
  <c r="A36" i="105"/>
  <c r="A37" i="105"/>
  <c r="A38" i="105"/>
  <c r="A39" i="105"/>
  <c r="A40" i="105"/>
  <c r="A41" i="105"/>
  <c r="N41" i="105"/>
  <c r="A86" i="104"/>
  <c r="K85" i="104"/>
  <c r="G24" i="78"/>
  <c r="A107" i="108"/>
  <c r="L106" i="108"/>
  <c r="K26" i="106"/>
  <c r="A27" i="106"/>
  <c r="N39" i="105"/>
  <c r="N37" i="105"/>
  <c r="A17" i="105"/>
  <c r="N16" i="105"/>
  <c r="N38" i="105"/>
  <c r="A55" i="104"/>
  <c r="K54" i="104"/>
  <c r="A21" i="104"/>
  <c r="K21" i="104"/>
  <c r="N36" i="105"/>
  <c r="N35" i="105"/>
  <c r="N40" i="105"/>
  <c r="N34" i="105"/>
  <c r="K86" i="104"/>
  <c r="A87" i="104"/>
  <c r="A108" i="108"/>
  <c r="L107" i="108"/>
  <c r="A28" i="106"/>
  <c r="K27" i="106"/>
  <c r="A18" i="105"/>
  <c r="N17" i="105"/>
  <c r="A22" i="104"/>
  <c r="K22" i="104"/>
  <c r="A56" i="104"/>
  <c r="K55" i="104"/>
  <c r="A88" i="104"/>
  <c r="K87" i="104"/>
  <c r="A109" i="108"/>
  <c r="L108" i="108"/>
  <c r="A29" i="106"/>
  <c r="K28" i="106"/>
  <c r="A19" i="105"/>
  <c r="N18" i="105"/>
  <c r="A23" i="104"/>
  <c r="K23" i="104"/>
  <c r="A57" i="104"/>
  <c r="K56" i="104"/>
  <c r="K88" i="104"/>
  <c r="A89" i="104"/>
  <c r="G25" i="78"/>
  <c r="L109" i="108"/>
  <c r="A110" i="108"/>
  <c r="A30" i="106"/>
  <c r="K29" i="106"/>
  <c r="A20" i="105"/>
  <c r="N19" i="105"/>
  <c r="A58" i="104"/>
  <c r="K57" i="104"/>
  <c r="A24" i="104"/>
  <c r="K24" i="104"/>
  <c r="A90" i="104"/>
  <c r="K89" i="104"/>
  <c r="A111" i="108"/>
  <c r="L110" i="108"/>
  <c r="A31" i="106"/>
  <c r="K31" i="106"/>
  <c r="K30" i="106"/>
  <c r="A21" i="105"/>
  <c r="N20" i="105"/>
  <c r="A25" i="104"/>
  <c r="K25" i="104"/>
  <c r="A59" i="104"/>
  <c r="K58" i="104"/>
  <c r="K90" i="104"/>
  <c r="A91" i="104"/>
  <c r="A112" i="108"/>
  <c r="L111" i="108"/>
  <c r="A22" i="105"/>
  <c r="N21" i="105"/>
  <c r="A26" i="104"/>
  <c r="A60" i="104"/>
  <c r="K60" i="104"/>
  <c r="K59" i="104"/>
  <c r="A92" i="104"/>
  <c r="K91" i="104"/>
  <c r="K26" i="104"/>
  <c r="A30" i="104"/>
  <c r="L112" i="108"/>
  <c r="A113" i="108"/>
  <c r="A23" i="105"/>
  <c r="N22" i="105"/>
  <c r="K92" i="104"/>
  <c r="A93" i="104"/>
  <c r="K30" i="104"/>
  <c r="A31" i="104"/>
  <c r="A114" i="108"/>
  <c r="L113" i="108"/>
  <c r="A24" i="105"/>
  <c r="N23" i="105"/>
  <c r="A94" i="104"/>
  <c r="K94" i="104"/>
  <c r="K93" i="104"/>
  <c r="A32" i="104"/>
  <c r="K31" i="104"/>
  <c r="L114" i="108"/>
  <c r="A115" i="108"/>
  <c r="N24" i="105"/>
  <c r="A26" i="105"/>
  <c r="N26" i="105"/>
  <c r="K32" i="104"/>
  <c r="A33" i="104"/>
  <c r="L115" i="108"/>
  <c r="A116" i="108"/>
  <c r="A34" i="104"/>
  <c r="K33" i="104"/>
  <c r="L116" i="108"/>
  <c r="A117" i="108"/>
  <c r="K34" i="104"/>
  <c r="A35" i="104"/>
  <c r="L117" i="108"/>
  <c r="A118" i="108"/>
  <c r="K54" i="83"/>
  <c r="K46" i="83"/>
  <c r="A48" i="83"/>
  <c r="K48" i="83"/>
  <c r="A47" i="83"/>
  <c r="K47" i="83"/>
  <c r="A36" i="104"/>
  <c r="K35" i="104"/>
  <c r="A55" i="83"/>
  <c r="K55" i="83"/>
  <c r="L118" i="108"/>
  <c r="A119" i="108"/>
  <c r="K36" i="104"/>
  <c r="A37" i="104"/>
  <c r="L119" i="108"/>
  <c r="A120" i="108"/>
  <c r="A56" i="83"/>
  <c r="H55" i="83"/>
  <c r="A38" i="104"/>
  <c r="K37" i="104"/>
  <c r="A57" i="83"/>
  <c r="K56" i="83"/>
  <c r="L120" i="108"/>
  <c r="A121" i="108"/>
  <c r="K38" i="104"/>
  <c r="A39" i="104"/>
  <c r="A58" i="83"/>
  <c r="K57" i="83"/>
  <c r="A122" i="108"/>
  <c r="L121" i="108"/>
  <c r="A40" i="104"/>
  <c r="K39" i="104"/>
  <c r="A59" i="83"/>
  <c r="K58" i="83"/>
  <c r="A123" i="108"/>
  <c r="L122" i="108"/>
  <c r="K40" i="104"/>
  <c r="A41" i="104"/>
  <c r="A60" i="83"/>
  <c r="K59" i="83"/>
  <c r="A124" i="108"/>
  <c r="L123" i="108"/>
  <c r="A42" i="104"/>
  <c r="K42" i="104"/>
  <c r="K41" i="104"/>
  <c r="A61" i="83"/>
  <c r="K60" i="83"/>
  <c r="A125" i="108"/>
  <c r="L124" i="108"/>
  <c r="A62" i="83"/>
  <c r="K61" i="83"/>
  <c r="L125" i="108"/>
  <c r="A126" i="108"/>
  <c r="L126" i="108"/>
  <c r="A63" i="83"/>
  <c r="K62" i="83"/>
  <c r="A64" i="83"/>
  <c r="K63" i="83"/>
  <c r="A65" i="83"/>
  <c r="K64" i="83"/>
  <c r="A66" i="83"/>
  <c r="K65" i="83"/>
  <c r="A67" i="83"/>
  <c r="K66" i="83"/>
  <c r="A68" i="83"/>
  <c r="K67" i="83"/>
  <c r="A69" i="83"/>
  <c r="K69" i="83"/>
  <c r="K68" i="83"/>
  <c r="E52" i="47"/>
  <c r="H52" i="47"/>
  <c r="E51" i="47"/>
  <c r="H51" i="47"/>
  <c r="A15" i="88"/>
  <c r="F15" i="88"/>
  <c r="C15" i="88"/>
  <c r="C16" i="88"/>
  <c r="E53" i="47"/>
  <c r="H53" i="47"/>
  <c r="A14" i="88"/>
  <c r="F14" i="88"/>
  <c r="F13" i="88"/>
  <c r="F12" i="88"/>
  <c r="E17" i="91"/>
  <c r="A17" i="91"/>
  <c r="G17" i="91"/>
  <c r="G16" i="91"/>
  <c r="A13" i="91"/>
  <c r="G13" i="91"/>
  <c r="G12" i="91"/>
  <c r="A8" i="91"/>
  <c r="G8" i="91"/>
  <c r="G7" i="91"/>
  <c r="G4" i="91"/>
  <c r="C42" i="90"/>
  <c r="C13" i="90"/>
  <c r="C15" i="90"/>
  <c r="C20" i="90" s="1"/>
  <c r="A7" i="90"/>
  <c r="F6" i="90"/>
  <c r="F4" i="90"/>
  <c r="C8" i="88"/>
  <c r="C9" i="88"/>
  <c r="E78" i="1"/>
  <c r="C30" i="142"/>
  <c r="C32" i="142" s="1"/>
  <c r="C33" i="142" s="1"/>
  <c r="A7" i="88"/>
  <c r="F7" i="88"/>
  <c r="F6" i="88"/>
  <c r="F5" i="88"/>
  <c r="A44" i="86"/>
  <c r="I43" i="86"/>
  <c r="A36" i="86"/>
  <c r="I36" i="86"/>
  <c r="I35" i="86"/>
  <c r="A30" i="86"/>
  <c r="I29" i="86"/>
  <c r="A20" i="86"/>
  <c r="I20" i="86"/>
  <c r="I19" i="86"/>
  <c r="A14" i="86"/>
  <c r="A15" i="86"/>
  <c r="I15" i="86"/>
  <c r="I13" i="86"/>
  <c r="I10" i="86"/>
  <c r="I9" i="86"/>
  <c r="K31" i="84"/>
  <c r="L31" i="84" s="1"/>
  <c r="J31" i="84"/>
  <c r="F31" i="84"/>
  <c r="K30" i="84"/>
  <c r="L30" i="84" s="1"/>
  <c r="J30" i="84"/>
  <c r="F30" i="84"/>
  <c r="K29" i="84"/>
  <c r="J29" i="84"/>
  <c r="F29" i="84"/>
  <c r="K28" i="84"/>
  <c r="J28" i="84"/>
  <c r="F28" i="84"/>
  <c r="K27" i="84"/>
  <c r="L27" i="84" s="1"/>
  <c r="N27" i="84" s="1"/>
  <c r="J27" i="84"/>
  <c r="F27" i="84"/>
  <c r="K26" i="84"/>
  <c r="J26" i="84"/>
  <c r="F26" i="84"/>
  <c r="K25" i="84"/>
  <c r="J25" i="84"/>
  <c r="L25" i="84" s="1"/>
  <c r="F25" i="84"/>
  <c r="K24" i="84"/>
  <c r="J24" i="84"/>
  <c r="F24" i="84"/>
  <c r="K23" i="84"/>
  <c r="L23" i="84" s="1"/>
  <c r="J23" i="84"/>
  <c r="F23" i="84"/>
  <c r="K22" i="84"/>
  <c r="L22" i="84" s="1"/>
  <c r="J22" i="84"/>
  <c r="F22" i="84"/>
  <c r="K21" i="84"/>
  <c r="J21" i="84"/>
  <c r="F21" i="84"/>
  <c r="K20" i="84"/>
  <c r="J20" i="84"/>
  <c r="L20" i="84" s="1"/>
  <c r="F20" i="84"/>
  <c r="K19" i="84"/>
  <c r="L19" i="84" s="1"/>
  <c r="J19" i="84"/>
  <c r="F19" i="84"/>
  <c r="K18" i="84"/>
  <c r="J18" i="84"/>
  <c r="L18" i="84" s="1"/>
  <c r="F18" i="84"/>
  <c r="K17" i="84"/>
  <c r="J17" i="84"/>
  <c r="L17" i="84" s="1"/>
  <c r="F17" i="84"/>
  <c r="K16" i="84"/>
  <c r="J16" i="84"/>
  <c r="F16" i="84"/>
  <c r="K15" i="84"/>
  <c r="L15" i="84" s="1"/>
  <c r="J15" i="84"/>
  <c r="F15" i="84"/>
  <c r="F11" i="84" s="1"/>
  <c r="K14" i="84"/>
  <c r="J14" i="84"/>
  <c r="F14" i="84"/>
  <c r="K13" i="84"/>
  <c r="J13" i="84"/>
  <c r="F13" i="84"/>
  <c r="K12" i="84"/>
  <c r="J12" i="84"/>
  <c r="L12" i="84" s="1"/>
  <c r="I12" i="84"/>
  <c r="F12" i="84"/>
  <c r="A12" i="84"/>
  <c r="Q12" i="84"/>
  <c r="Q11" i="84"/>
  <c r="E27" i="83"/>
  <c r="E26" i="83"/>
  <c r="K33" i="83"/>
  <c r="A26" i="83"/>
  <c r="A27" i="83"/>
  <c r="K25" i="83"/>
  <c r="K24" i="83"/>
  <c r="A107" i="80"/>
  <c r="A108" i="80"/>
  <c r="N106" i="80"/>
  <c r="H106" i="80"/>
  <c r="E106" i="80"/>
  <c r="J106" i="80" s="1"/>
  <c r="N105" i="80"/>
  <c r="I93" i="80"/>
  <c r="F95" i="80"/>
  <c r="E93" i="80"/>
  <c r="D91" i="80"/>
  <c r="D90" i="80"/>
  <c r="A90" i="80"/>
  <c r="A91" i="80"/>
  <c r="N89" i="80"/>
  <c r="D89" i="80"/>
  <c r="N87" i="80"/>
  <c r="I77" i="80"/>
  <c r="H77" i="80"/>
  <c r="G77" i="80"/>
  <c r="F77" i="80"/>
  <c r="F79" i="80" s="1"/>
  <c r="E77" i="80"/>
  <c r="D74" i="80"/>
  <c r="D73" i="80"/>
  <c r="A73" i="80"/>
  <c r="N73" i="80"/>
  <c r="N72" i="80"/>
  <c r="D72" i="80"/>
  <c r="D77" i="80" s="1"/>
  <c r="N70" i="80"/>
  <c r="I58" i="80"/>
  <c r="H58" i="80"/>
  <c r="G58" i="80"/>
  <c r="F58" i="80"/>
  <c r="F60" i="80" s="1"/>
  <c r="D55" i="80"/>
  <c r="D54" i="80"/>
  <c r="D53" i="80"/>
  <c r="D52" i="80"/>
  <c r="A52" i="80"/>
  <c r="N52" i="80"/>
  <c r="N51" i="80"/>
  <c r="D51" i="80"/>
  <c r="A51" i="80"/>
  <c r="N50" i="80"/>
  <c r="D50" i="80"/>
  <c r="N49" i="80"/>
  <c r="I39" i="80"/>
  <c r="H39" i="80"/>
  <c r="G39" i="80"/>
  <c r="F39" i="80"/>
  <c r="F41" i="80" s="1"/>
  <c r="E39" i="80"/>
  <c r="D37" i="80"/>
  <c r="D36" i="80"/>
  <c r="D35" i="80"/>
  <c r="D34" i="80"/>
  <c r="D33" i="80"/>
  <c r="D32" i="80"/>
  <c r="D31" i="80"/>
  <c r="D30" i="80"/>
  <c r="D29" i="80"/>
  <c r="A29" i="80"/>
  <c r="N29" i="80"/>
  <c r="N28" i="80"/>
  <c r="D28" i="80"/>
  <c r="N26" i="80"/>
  <c r="A10" i="80"/>
  <c r="A11" i="80"/>
  <c r="N9" i="80"/>
  <c r="N8" i="80"/>
  <c r="I59" i="79"/>
  <c r="H59" i="79"/>
  <c r="G59" i="79"/>
  <c r="E59" i="79"/>
  <c r="D59" i="79"/>
  <c r="F49" i="79"/>
  <c r="F59" i="79"/>
  <c r="F48" i="79"/>
  <c r="F47" i="79"/>
  <c r="F46" i="79"/>
  <c r="F45" i="79"/>
  <c r="F44" i="79"/>
  <c r="F43" i="79"/>
  <c r="F42" i="79"/>
  <c r="F41" i="79"/>
  <c r="F40" i="79"/>
  <c r="F39" i="79"/>
  <c r="F38" i="79"/>
  <c r="A38" i="79"/>
  <c r="A39" i="79"/>
  <c r="J37" i="79"/>
  <c r="F37" i="79"/>
  <c r="J36" i="79"/>
  <c r="D26" i="79"/>
  <c r="A14" i="79"/>
  <c r="A15" i="79"/>
  <c r="J13" i="79"/>
  <c r="J12" i="79"/>
  <c r="G6" i="78"/>
  <c r="G42" i="71"/>
  <c r="E42" i="71"/>
  <c r="A38" i="71"/>
  <c r="K37" i="71"/>
  <c r="K36" i="71"/>
  <c r="H30" i="71"/>
  <c r="J29" i="71"/>
  <c r="I29" i="71"/>
  <c r="J28" i="71"/>
  <c r="I28" i="71"/>
  <c r="J27" i="71"/>
  <c r="I27" i="71"/>
  <c r="J26" i="71"/>
  <c r="J25" i="71"/>
  <c r="I25" i="71"/>
  <c r="J24" i="71"/>
  <c r="J23" i="71"/>
  <c r="I23" i="71"/>
  <c r="A23" i="71"/>
  <c r="A24" i="71"/>
  <c r="A25" i="71"/>
  <c r="K22" i="71"/>
  <c r="G30" i="71"/>
  <c r="E11" i="71"/>
  <c r="I22" i="71"/>
  <c r="K21" i="71"/>
  <c r="E7" i="71"/>
  <c r="A7" i="71"/>
  <c r="A8" i="71"/>
  <c r="K6" i="71"/>
  <c r="K5" i="71"/>
  <c r="A10" i="70"/>
  <c r="H9" i="70"/>
  <c r="A75" i="47"/>
  <c r="A76" i="47"/>
  <c r="A77" i="47"/>
  <c r="A78" i="47"/>
  <c r="A79" i="47"/>
  <c r="A80" i="47"/>
  <c r="A81" i="47"/>
  <c r="L74" i="47"/>
  <c r="L72" i="47"/>
  <c r="A52" i="47"/>
  <c r="L51" i="47"/>
  <c r="L50" i="47"/>
  <c r="A39" i="47"/>
  <c r="A40" i="47"/>
  <c r="L36" i="47"/>
  <c r="L35" i="47"/>
  <c r="C26" i="47"/>
  <c r="E13" i="47"/>
  <c r="A9" i="47"/>
  <c r="L8" i="47"/>
  <c r="L6" i="47"/>
  <c r="E113" i="1"/>
  <c r="A105" i="1"/>
  <c r="F15" i="1"/>
  <c r="L104" i="1"/>
  <c r="L102" i="1"/>
  <c r="E82" i="1"/>
  <c r="A77" i="1"/>
  <c r="L77" i="1"/>
  <c r="L76" i="1"/>
  <c r="L75" i="1"/>
  <c r="E67" i="1"/>
  <c r="A58" i="1"/>
  <c r="L57" i="1"/>
  <c r="L55" i="1"/>
  <c r="L32" i="1"/>
  <c r="E13" i="1"/>
  <c r="A9" i="1"/>
  <c r="K10" i="1"/>
  <c r="L8" i="1"/>
  <c r="L6" i="1"/>
  <c r="K2" i="1"/>
  <c r="L82" i="47"/>
  <c r="F1" i="141"/>
  <c r="F1" i="142"/>
  <c r="F56" i="79"/>
  <c r="BH1" i="139"/>
  <c r="BH1" i="140"/>
  <c r="G1" i="109"/>
  <c r="L1" i="85"/>
  <c r="B85" i="135"/>
  <c r="B61" i="138"/>
  <c r="C15" i="138"/>
  <c r="C74" i="137"/>
  <c r="C70" i="137"/>
  <c r="C66" i="137"/>
  <c r="C50" i="137"/>
  <c r="C46" i="137"/>
  <c r="C42" i="137"/>
  <c r="C38" i="137"/>
  <c r="C22" i="137"/>
  <c r="C18" i="137"/>
  <c r="C14" i="137"/>
  <c r="C102" i="136"/>
  <c r="C129" i="137"/>
  <c r="C88" i="137"/>
  <c r="C129" i="136"/>
  <c r="C73" i="136"/>
  <c r="C69" i="136"/>
  <c r="C65" i="136"/>
  <c r="C49" i="136"/>
  <c r="C45" i="136"/>
  <c r="C41" i="136"/>
  <c r="C25" i="136"/>
  <c r="C21" i="136"/>
  <c r="C17" i="136"/>
  <c r="C13" i="136"/>
  <c r="C48" i="136"/>
  <c r="C20" i="136"/>
  <c r="C16" i="136"/>
  <c r="C116" i="137"/>
  <c r="C71" i="136"/>
  <c r="C43" i="136"/>
  <c r="C19" i="136"/>
  <c r="B50" i="138"/>
  <c r="C14" i="138"/>
  <c r="C73" i="137"/>
  <c r="C69" i="137"/>
  <c r="C65" i="137"/>
  <c r="C49" i="137"/>
  <c r="C45" i="137"/>
  <c r="C41" i="137"/>
  <c r="C25" i="137"/>
  <c r="C21" i="137"/>
  <c r="C17" i="137"/>
  <c r="C13" i="137"/>
  <c r="C101" i="136"/>
  <c r="C128" i="137"/>
  <c r="C87" i="137"/>
  <c r="C128" i="136"/>
  <c r="C72" i="136"/>
  <c r="C68" i="136"/>
  <c r="C64" i="136"/>
  <c r="C40" i="136"/>
  <c r="C75" i="136"/>
  <c r="C47" i="136"/>
  <c r="C23" i="136"/>
  <c r="B38" i="138"/>
  <c r="C13" i="138"/>
  <c r="C72" i="137"/>
  <c r="C68" i="137"/>
  <c r="C64" i="137"/>
  <c r="C48" i="137"/>
  <c r="C44" i="137"/>
  <c r="C40" i="137"/>
  <c r="C24" i="137"/>
  <c r="C20" i="137"/>
  <c r="C16" i="137"/>
  <c r="C88" i="136"/>
  <c r="C102" i="137"/>
  <c r="C63" i="136"/>
  <c r="C15" i="136"/>
  <c r="B26" i="138"/>
  <c r="C75" i="137"/>
  <c r="C71" i="137"/>
  <c r="C67" i="137"/>
  <c r="C63" i="137"/>
  <c r="C47" i="137"/>
  <c r="C43" i="137"/>
  <c r="C39" i="137"/>
  <c r="C23" i="137"/>
  <c r="C19" i="137"/>
  <c r="C15" i="137"/>
  <c r="C87" i="136"/>
  <c r="C115" i="136"/>
  <c r="C115" i="137"/>
  <c r="C101" i="137"/>
  <c r="C74" i="136"/>
  <c r="C70" i="136"/>
  <c r="C66" i="136"/>
  <c r="C50" i="136"/>
  <c r="C46" i="136"/>
  <c r="C42" i="136"/>
  <c r="C38" i="136"/>
  <c r="C22" i="136"/>
  <c r="C18" i="136"/>
  <c r="C14" i="136"/>
  <c r="C44" i="136"/>
  <c r="C24" i="136"/>
  <c r="C116" i="136"/>
  <c r="C67" i="136"/>
  <c r="C39" i="136"/>
  <c r="H1" i="135"/>
  <c r="AC1" i="138"/>
  <c r="AC1" i="137"/>
  <c r="AC1" i="136"/>
  <c r="J30" i="71"/>
  <c r="E6" i="71"/>
  <c r="E8" i="71"/>
  <c r="F26" i="70"/>
  <c r="E64" i="47"/>
  <c r="I24" i="71"/>
  <c r="I26" i="71"/>
  <c r="J38" i="79"/>
  <c r="J14" i="79"/>
  <c r="A16" i="88"/>
  <c r="F16" i="88"/>
  <c r="K84" i="47"/>
  <c r="K7" i="71"/>
  <c r="K23" i="71"/>
  <c r="K24" i="71"/>
  <c r="F75" i="47"/>
  <c r="A30" i="80"/>
  <c r="N30" i="80"/>
  <c r="N91" i="80"/>
  <c r="N93" i="80"/>
  <c r="N90" i="80"/>
  <c r="J51" i="47"/>
  <c r="I51" i="47"/>
  <c r="I52" i="47"/>
  <c r="J52" i="47"/>
  <c r="F1" i="78"/>
  <c r="H1" i="86"/>
  <c r="F59" i="1"/>
  <c r="K59" i="1"/>
  <c r="J118" i="1"/>
  <c r="E118" i="1"/>
  <c r="I118" i="1"/>
  <c r="I117" i="1"/>
  <c r="J117" i="1"/>
  <c r="E117" i="1"/>
  <c r="A21" i="86"/>
  <c r="A22" i="86"/>
  <c r="I22" i="86"/>
  <c r="L24" i="84"/>
  <c r="L29" i="84"/>
  <c r="M29" i="84" s="1"/>
  <c r="A13" i="84"/>
  <c r="Q13" i="84"/>
  <c r="L13" i="84"/>
  <c r="L14" i="84"/>
  <c r="M14" i="84" s="1"/>
  <c r="L16" i="84"/>
  <c r="L26" i="84"/>
  <c r="M26" i="84" s="1"/>
  <c r="C300" i="108"/>
  <c r="C296" i="108"/>
  <c r="C292" i="108"/>
  <c r="C324" i="108"/>
  <c r="C326" i="108"/>
  <c r="C328" i="108"/>
  <c r="C330" i="108"/>
  <c r="C332" i="108"/>
  <c r="C334" i="108"/>
  <c r="C335" i="108" s="1"/>
  <c r="C336" i="108" s="1"/>
  <c r="C337" i="108" s="1"/>
  <c r="C338" i="108" s="1"/>
  <c r="C339" i="108" s="1"/>
  <c r="C340" i="108" s="1"/>
  <c r="C341" i="108" s="1"/>
  <c r="C342" i="108" s="1"/>
  <c r="C343" i="108" s="1"/>
  <c r="C344" i="108" s="1"/>
  <c r="C345" i="108" s="1"/>
  <c r="C346" i="108" s="1"/>
  <c r="C176" i="108"/>
  <c r="C177" i="108" s="1"/>
  <c r="C178" i="108" s="1"/>
  <c r="C179" i="108" s="1"/>
  <c r="C180" i="108" s="1"/>
  <c r="C181" i="108" s="1"/>
  <c r="C182" i="108" s="1"/>
  <c r="C183" i="108" s="1"/>
  <c r="C184" i="108" s="1"/>
  <c r="C185" i="108" s="1"/>
  <c r="C186" i="108" s="1"/>
  <c r="C187" i="108" s="1"/>
  <c r="C188" i="108" s="1"/>
  <c r="C172" i="108"/>
  <c r="C168" i="108"/>
  <c r="C113" i="108"/>
  <c r="C109" i="108"/>
  <c r="C105" i="108"/>
  <c r="C270" i="108"/>
  <c r="C266" i="108"/>
  <c r="C262" i="108"/>
  <c r="C237" i="108"/>
  <c r="C233" i="108"/>
  <c r="C229" i="108"/>
  <c r="C228" i="108"/>
  <c r="C208" i="108"/>
  <c r="C209" i="108" s="1"/>
  <c r="C210" i="108" s="1"/>
  <c r="C211" i="108" s="1"/>
  <c r="C212" i="108" s="1"/>
  <c r="C213" i="108" s="1"/>
  <c r="C214" i="108" s="1"/>
  <c r="C215" i="108" s="1"/>
  <c r="C216" i="108" s="1"/>
  <c r="C217" i="108" s="1"/>
  <c r="C218" i="108" s="1"/>
  <c r="C219" i="108" s="1"/>
  <c r="C220" i="108" s="1"/>
  <c r="C204" i="108"/>
  <c r="C200" i="108"/>
  <c r="C145" i="108"/>
  <c r="C141" i="108"/>
  <c r="C137" i="108"/>
  <c r="C327" i="108"/>
  <c r="C268" i="108"/>
  <c r="C235" i="108"/>
  <c r="C206" i="108"/>
  <c r="C198" i="108"/>
  <c r="C139" i="108"/>
  <c r="C301" i="108"/>
  <c r="C297" i="108"/>
  <c r="C173" i="108"/>
  <c r="C169" i="108"/>
  <c r="C165" i="108"/>
  <c r="C164" i="108" s="1"/>
  <c r="C114" i="108"/>
  <c r="C115" i="108" s="1"/>
  <c r="C116" i="108" s="1"/>
  <c r="C117" i="108" s="1"/>
  <c r="C118" i="108" s="1"/>
  <c r="C119" i="108" s="1"/>
  <c r="C120" i="108" s="1"/>
  <c r="C121" i="108" s="1"/>
  <c r="C122" i="108" s="1"/>
  <c r="C123" i="108" s="1"/>
  <c r="C124" i="108" s="1"/>
  <c r="C125" i="108" s="1"/>
  <c r="C126" i="108" s="1"/>
  <c r="C106" i="108"/>
  <c r="C267" i="108"/>
  <c r="C238" i="108"/>
  <c r="C230" i="108"/>
  <c r="C201" i="108"/>
  <c r="C197" i="108"/>
  <c r="C196" i="108" s="1"/>
  <c r="C142" i="108"/>
  <c r="C138" i="108"/>
  <c r="C299" i="108"/>
  <c r="C295" i="108"/>
  <c r="C291" i="108"/>
  <c r="C290" i="108"/>
  <c r="C175" i="108"/>
  <c r="C171" i="108"/>
  <c r="C167" i="108"/>
  <c r="C112" i="108"/>
  <c r="C108" i="108"/>
  <c r="C104" i="108"/>
  <c r="C269" i="108"/>
  <c r="C265" i="108"/>
  <c r="C261" i="108"/>
  <c r="C260" i="108" s="1"/>
  <c r="C240" i="108"/>
  <c r="C241" i="108" s="1"/>
  <c r="C242" i="108" s="1"/>
  <c r="C243" i="108" s="1"/>
  <c r="C244" i="108" s="1"/>
  <c r="C245" i="108" s="1"/>
  <c r="C246" i="108" s="1"/>
  <c r="C247" i="108" s="1"/>
  <c r="C248" i="108" s="1"/>
  <c r="C249" i="108" s="1"/>
  <c r="C250" i="108" s="1"/>
  <c r="C251" i="108" s="1"/>
  <c r="C252" i="108" s="1"/>
  <c r="C236" i="108"/>
  <c r="C232" i="108"/>
  <c r="C207" i="108"/>
  <c r="C203" i="108"/>
  <c r="C199" i="108"/>
  <c r="C144" i="108"/>
  <c r="C140" i="108"/>
  <c r="C136" i="108"/>
  <c r="C302" i="108"/>
  <c r="C303" i="108" s="1"/>
  <c r="C304" i="108" s="1"/>
  <c r="C305" i="108" s="1"/>
  <c r="C306" i="108" s="1"/>
  <c r="C307" i="108" s="1"/>
  <c r="C308" i="108" s="1"/>
  <c r="C309" i="108" s="1"/>
  <c r="C310" i="108" s="1"/>
  <c r="C311" i="108" s="1"/>
  <c r="C312" i="108" s="1"/>
  <c r="C313" i="108" s="1"/>
  <c r="C314" i="108" s="1"/>
  <c r="C298" i="108"/>
  <c r="C294" i="108"/>
  <c r="C323" i="108"/>
  <c r="C322" i="108"/>
  <c r="C325" i="108"/>
  <c r="C329" i="108"/>
  <c r="C331" i="108"/>
  <c r="C333" i="108"/>
  <c r="C174" i="108"/>
  <c r="C170" i="108"/>
  <c r="C166" i="108"/>
  <c r="C111" i="108"/>
  <c r="C107" i="108"/>
  <c r="C103" i="108"/>
  <c r="C102" i="108"/>
  <c r="C272" i="108"/>
  <c r="C273" i="108" s="1"/>
  <c r="C274" i="108" s="1"/>
  <c r="C275" i="108" s="1"/>
  <c r="C276" i="108" s="1"/>
  <c r="C277" i="108" s="1"/>
  <c r="C278" i="108" s="1"/>
  <c r="C279" i="108" s="1"/>
  <c r="C280" i="108" s="1"/>
  <c r="C281" i="108" s="1"/>
  <c r="C282" i="108" s="1"/>
  <c r="C283" i="108" s="1"/>
  <c r="C284" i="108" s="1"/>
  <c r="C264" i="108"/>
  <c r="C239" i="108"/>
  <c r="C231" i="108"/>
  <c r="C202" i="108"/>
  <c r="C143" i="108"/>
  <c r="C135" i="108"/>
  <c r="C134" i="108"/>
  <c r="C293" i="108"/>
  <c r="C110" i="108"/>
  <c r="C271" i="108"/>
  <c r="C263" i="108"/>
  <c r="C234" i="108"/>
  <c r="C205" i="108"/>
  <c r="C146" i="108"/>
  <c r="C147" i="108"/>
  <c r="C148" i="108" s="1"/>
  <c r="C149" i="108" s="1"/>
  <c r="C150" i="108" s="1"/>
  <c r="C151" i="108" s="1"/>
  <c r="C152" i="108" s="1"/>
  <c r="C153" i="108" s="1"/>
  <c r="C154" i="108" s="1"/>
  <c r="C155" i="108" s="1"/>
  <c r="C156" i="108" s="1"/>
  <c r="C157" i="108" s="1"/>
  <c r="C158" i="108" s="1"/>
  <c r="C84" i="108"/>
  <c r="C85" i="108" s="1"/>
  <c r="C86" i="108" s="1"/>
  <c r="C87" i="108" s="1"/>
  <c r="C88" i="108" s="1"/>
  <c r="C89" i="108" s="1"/>
  <c r="C90" i="108" s="1"/>
  <c r="C91" i="108" s="1"/>
  <c r="C92" i="108" s="1"/>
  <c r="C93" i="108" s="1"/>
  <c r="C94" i="108" s="1"/>
  <c r="C95" i="108" s="1"/>
  <c r="C96" i="108" s="1"/>
  <c r="C80" i="108"/>
  <c r="C76" i="108"/>
  <c r="C78" i="108"/>
  <c r="C81" i="108"/>
  <c r="C73" i="108"/>
  <c r="C72" i="108" s="1"/>
  <c r="C83" i="108"/>
  <c r="C79" i="108"/>
  <c r="C75" i="108"/>
  <c r="C82" i="108"/>
  <c r="C74" i="108"/>
  <c r="C77" i="108"/>
  <c r="A106" i="1"/>
  <c r="A37" i="86"/>
  <c r="I37" i="86"/>
  <c r="A16" i="86"/>
  <c r="I14" i="86"/>
  <c r="F15" i="47"/>
  <c r="F10" i="1"/>
  <c r="A10" i="1"/>
  <c r="L77" i="47"/>
  <c r="L9" i="47"/>
  <c r="A10" i="47"/>
  <c r="F10" i="47"/>
  <c r="E62" i="47"/>
  <c r="H62" i="47"/>
  <c r="L75" i="47"/>
  <c r="K1" i="108"/>
  <c r="M1" i="105"/>
  <c r="L58" i="1"/>
  <c r="J1" i="104"/>
  <c r="B64" i="83"/>
  <c r="B60" i="83"/>
  <c r="B67" i="83"/>
  <c r="B63" i="83"/>
  <c r="B56" i="83"/>
  <c r="B66" i="83"/>
  <c r="B62" i="83"/>
  <c r="B58" i="83"/>
  <c r="B61" i="83"/>
  <c r="B57" i="83"/>
  <c r="B59" i="83"/>
  <c r="B65" i="83"/>
  <c r="K26" i="83"/>
  <c r="E25" i="83"/>
  <c r="E27" i="1"/>
  <c r="E83" i="47"/>
  <c r="B118" i="80"/>
  <c r="B114" i="80"/>
  <c r="B110" i="80"/>
  <c r="B117" i="80"/>
  <c r="B109" i="80"/>
  <c r="B111" i="80"/>
  <c r="B107" i="80"/>
  <c r="B113" i="80"/>
  <c r="B116" i="80"/>
  <c r="B112" i="80"/>
  <c r="B108" i="80"/>
  <c r="B115" i="80"/>
  <c r="A78" i="1"/>
  <c r="E98" i="1"/>
  <c r="L105" i="1"/>
  <c r="A74" i="80"/>
  <c r="N74" i="80"/>
  <c r="N107" i="80"/>
  <c r="H78" i="1"/>
  <c r="L40" i="47"/>
  <c r="A41" i="47"/>
  <c r="F42" i="47"/>
  <c r="A59" i="1"/>
  <c r="L76" i="47"/>
  <c r="A26" i="71"/>
  <c r="K25" i="71"/>
  <c r="L39" i="47"/>
  <c r="A53" i="47"/>
  <c r="K62" i="47"/>
  <c r="L52" i="47"/>
  <c r="A39" i="71"/>
  <c r="K38" i="71"/>
  <c r="L9" i="1"/>
  <c r="A11" i="70"/>
  <c r="H10" i="70"/>
  <c r="E1" i="88"/>
  <c r="F1" i="91"/>
  <c r="E1" i="90"/>
  <c r="P1" i="84"/>
  <c r="J1" i="83"/>
  <c r="F57" i="83" s="1"/>
  <c r="G56" i="83" s="1"/>
  <c r="G55" i="83" s="1"/>
  <c r="C23" i="79"/>
  <c r="C19" i="79"/>
  <c r="C15" i="79"/>
  <c r="I1" i="79"/>
  <c r="C22" i="79"/>
  <c r="C18" i="79"/>
  <c r="C14" i="79"/>
  <c r="C48" i="79"/>
  <c r="C46" i="79"/>
  <c r="C44" i="79"/>
  <c r="C42" i="79"/>
  <c r="C40" i="79"/>
  <c r="C24" i="79"/>
  <c r="C16" i="79"/>
  <c r="C38" i="79"/>
  <c r="C37" i="79"/>
  <c r="C25" i="79"/>
  <c r="C17" i="79"/>
  <c r="M1" i="80"/>
  <c r="F108" i="80" s="1"/>
  <c r="G107" i="80" s="1"/>
  <c r="C49" i="79"/>
  <c r="C47" i="79"/>
  <c r="C45" i="79"/>
  <c r="C43" i="79"/>
  <c r="C41" i="79"/>
  <c r="C39" i="79"/>
  <c r="C20" i="79"/>
  <c r="C21" i="79"/>
  <c r="C13" i="79"/>
  <c r="K1" i="47"/>
  <c r="J1" i="71"/>
  <c r="G1" i="70"/>
  <c r="A10" i="71"/>
  <c r="K8" i="71"/>
  <c r="F30" i="71"/>
  <c r="F8" i="71"/>
  <c r="N11" i="80"/>
  <c r="A12" i="80"/>
  <c r="A75" i="80"/>
  <c r="A40" i="79"/>
  <c r="J39" i="79"/>
  <c r="N10" i="80"/>
  <c r="A16" i="79"/>
  <c r="J15" i="79"/>
  <c r="A109" i="80"/>
  <c r="N108" i="80"/>
  <c r="A31" i="80"/>
  <c r="A53" i="80"/>
  <c r="K27" i="83"/>
  <c r="A34" i="83"/>
  <c r="L21" i="84"/>
  <c r="A31" i="86"/>
  <c r="I30" i="86"/>
  <c r="A17" i="86"/>
  <c r="I17" i="86"/>
  <c r="I16" i="86"/>
  <c r="A45" i="86"/>
  <c r="I44" i="86"/>
  <c r="D13" i="90"/>
  <c r="A8" i="90"/>
  <c r="F7" i="90"/>
  <c r="I21" i="86"/>
  <c r="I30" i="71"/>
  <c r="E39" i="1"/>
  <c r="H39" i="1"/>
  <c r="L78" i="1"/>
  <c r="K96" i="1"/>
  <c r="F96" i="1"/>
  <c r="F76" i="47"/>
  <c r="K76" i="47"/>
  <c r="E88" i="47"/>
  <c r="H88" i="47" s="1"/>
  <c r="H118" i="1"/>
  <c r="E98" i="80"/>
  <c r="N94" i="80"/>
  <c r="I95" i="80"/>
  <c r="E87" i="47"/>
  <c r="I87" i="47" s="1"/>
  <c r="H117" i="1"/>
  <c r="N24" i="84"/>
  <c r="M24" i="84"/>
  <c r="O24" i="84" s="1"/>
  <c r="M16" i="84"/>
  <c r="N16" i="84"/>
  <c r="O16" i="84" s="1"/>
  <c r="N29" i="84"/>
  <c r="I53" i="47"/>
  <c r="I62" i="47"/>
  <c r="J53" i="47"/>
  <c r="J62" i="47"/>
  <c r="A23" i="86"/>
  <c r="A24" i="86"/>
  <c r="A38" i="86"/>
  <c r="I38" i="86"/>
  <c r="A14" i="84"/>
  <c r="A81" i="1"/>
  <c r="F82" i="1"/>
  <c r="F44" i="47"/>
  <c r="E96" i="1"/>
  <c r="A36" i="83"/>
  <c r="K36" i="83"/>
  <c r="K34" i="83"/>
  <c r="E13" i="80"/>
  <c r="A13" i="80"/>
  <c r="N12" i="80"/>
  <c r="A13" i="1"/>
  <c r="L10" i="1"/>
  <c r="A46" i="86"/>
  <c r="I45" i="86"/>
  <c r="A32" i="86"/>
  <c r="I31" i="86"/>
  <c r="A77" i="80"/>
  <c r="N75" i="80"/>
  <c r="F62" i="47"/>
  <c r="A55" i="47"/>
  <c r="L53" i="47"/>
  <c r="F8" i="90"/>
  <c r="A9" i="90"/>
  <c r="H11" i="70"/>
  <c r="A12" i="70"/>
  <c r="L78" i="47"/>
  <c r="K39" i="71"/>
  <c r="A40" i="71"/>
  <c r="A54" i="80"/>
  <c r="N53" i="80"/>
  <c r="A110" i="80"/>
  <c r="N109" i="80"/>
  <c r="A41" i="79"/>
  <c r="J40" i="79"/>
  <c r="A11" i="71"/>
  <c r="K10" i="71"/>
  <c r="F12" i="71"/>
  <c r="A27" i="71"/>
  <c r="K26" i="71"/>
  <c r="L41" i="47"/>
  <c r="A42" i="47"/>
  <c r="A32" i="80"/>
  <c r="N31" i="80"/>
  <c r="A13" i="47"/>
  <c r="L10" i="47"/>
  <c r="Q14" i="84"/>
  <c r="A15" i="84"/>
  <c r="J16" i="79"/>
  <c r="A17" i="79"/>
  <c r="E10" i="71"/>
  <c r="E12" i="71"/>
  <c r="E14" i="71"/>
  <c r="E40" i="1"/>
  <c r="L59" i="1"/>
  <c r="A62" i="1"/>
  <c r="A39" i="86"/>
  <c r="J39" i="1"/>
  <c r="I39" i="1"/>
  <c r="A82" i="1"/>
  <c r="K98" i="1"/>
  <c r="L81" i="1"/>
  <c r="F80" i="47"/>
  <c r="K80" i="47"/>
  <c r="E12" i="80"/>
  <c r="H96" i="1"/>
  <c r="I23" i="86"/>
  <c r="L106" i="1"/>
  <c r="A107" i="1"/>
  <c r="E27" i="47"/>
  <c r="A63" i="1"/>
  <c r="L62" i="1"/>
  <c r="A41" i="71"/>
  <c r="K40" i="71"/>
  <c r="A37" i="83"/>
  <c r="A25" i="86"/>
  <c r="I24" i="86"/>
  <c r="A33" i="86"/>
  <c r="I33" i="86"/>
  <c r="I32" i="86"/>
  <c r="I46" i="86"/>
  <c r="A47" i="86"/>
  <c r="L13" i="47"/>
  <c r="A14" i="47"/>
  <c r="A13" i="70"/>
  <c r="H12" i="70"/>
  <c r="L42" i="47"/>
  <c r="A44" i="47"/>
  <c r="A42" i="79"/>
  <c r="J41" i="79"/>
  <c r="A55" i="80"/>
  <c r="N54" i="80"/>
  <c r="L79" i="47"/>
  <c r="A57" i="47"/>
  <c r="K55" i="47"/>
  <c r="L55" i="47"/>
  <c r="A78" i="80"/>
  <c r="N77" i="80"/>
  <c r="A111" i="80"/>
  <c r="N110" i="80"/>
  <c r="L13" i="1"/>
  <c r="A14" i="1"/>
  <c r="J17" i="79"/>
  <c r="A18" i="79"/>
  <c r="A16" i="84"/>
  <c r="Q15" i="84"/>
  <c r="A40" i="86"/>
  <c r="I39" i="86"/>
  <c r="A33" i="80"/>
  <c r="N32" i="80"/>
  <c r="A28" i="71"/>
  <c r="K27" i="71"/>
  <c r="A12" i="71"/>
  <c r="K11" i="71"/>
  <c r="A10" i="90"/>
  <c r="F9" i="90"/>
  <c r="N13" i="80"/>
  <c r="A17" i="80"/>
  <c r="F64" i="47"/>
  <c r="A85" i="1"/>
  <c r="K64" i="47"/>
  <c r="L82" i="1"/>
  <c r="F98" i="1"/>
  <c r="H40" i="1"/>
  <c r="A46" i="47"/>
  <c r="K61" i="47"/>
  <c r="A98" i="80"/>
  <c r="N98" i="80"/>
  <c r="N95" i="80"/>
  <c r="A108" i="1"/>
  <c r="A109" i="1"/>
  <c r="K77" i="47"/>
  <c r="F77" i="47"/>
  <c r="L107" i="1"/>
  <c r="J40" i="1"/>
  <c r="I40" i="1"/>
  <c r="I40" i="86"/>
  <c r="A41" i="86"/>
  <c r="I41" i="86"/>
  <c r="A43" i="79"/>
  <c r="J42" i="79"/>
  <c r="A26" i="86"/>
  <c r="I25" i="86"/>
  <c r="K41" i="71"/>
  <c r="A42" i="71"/>
  <c r="A64" i="1"/>
  <c r="L63" i="1"/>
  <c r="L14" i="1"/>
  <c r="A15" i="1"/>
  <c r="A15" i="47"/>
  <c r="K16" i="47"/>
  <c r="L14" i="47"/>
  <c r="A14" i="71"/>
  <c r="K14" i="71"/>
  <c r="K12" i="71"/>
  <c r="F14" i="71"/>
  <c r="A34" i="80"/>
  <c r="N33" i="80"/>
  <c r="A17" i="84"/>
  <c r="Q16" i="84"/>
  <c r="A112" i="80"/>
  <c r="N111" i="80"/>
  <c r="N78" i="80"/>
  <c r="A79" i="80"/>
  <c r="A60" i="47"/>
  <c r="F55" i="47"/>
  <c r="L57" i="47"/>
  <c r="A56" i="80"/>
  <c r="N55" i="80"/>
  <c r="F61" i="47"/>
  <c r="L44" i="47"/>
  <c r="F10" i="90"/>
  <c r="A12" i="90"/>
  <c r="A29" i="71"/>
  <c r="K28" i="71"/>
  <c r="A21" i="80"/>
  <c r="N21" i="80"/>
  <c r="N17" i="80"/>
  <c r="L85" i="1"/>
  <c r="A86" i="1"/>
  <c r="K87" i="1"/>
  <c r="A19" i="79"/>
  <c r="J18" i="79"/>
  <c r="I79" i="80"/>
  <c r="L80" i="47"/>
  <c r="H13" i="70"/>
  <c r="A14" i="70"/>
  <c r="A48" i="86"/>
  <c r="I47" i="86"/>
  <c r="A38" i="83"/>
  <c r="K37" i="83"/>
  <c r="L46" i="47"/>
  <c r="K78" i="47"/>
  <c r="F78" i="47"/>
  <c r="F87" i="1"/>
  <c r="K79" i="47"/>
  <c r="F79" i="47"/>
  <c r="F16" i="1"/>
  <c r="K16" i="1"/>
  <c r="L108" i="1"/>
  <c r="A20" i="79"/>
  <c r="J19" i="79"/>
  <c r="A16" i="47"/>
  <c r="L15" i="47"/>
  <c r="F16" i="47"/>
  <c r="A61" i="47"/>
  <c r="L60" i="47"/>
  <c r="N34" i="80"/>
  <c r="A35" i="80"/>
  <c r="K42" i="71"/>
  <c r="F7" i="71"/>
  <c r="I26" i="86"/>
  <c r="A27" i="86"/>
  <c r="I27" i="86"/>
  <c r="A44" i="79"/>
  <c r="J43" i="79"/>
  <c r="K38" i="83"/>
  <c r="A39" i="83"/>
  <c r="K39" i="83"/>
  <c r="A15" i="70"/>
  <c r="H14" i="70"/>
  <c r="F12" i="90"/>
  <c r="A13" i="90"/>
  <c r="A58" i="80"/>
  <c r="N56" i="80"/>
  <c r="N79" i="80"/>
  <c r="E11" i="80"/>
  <c r="A82" i="80"/>
  <c r="N82" i="80"/>
  <c r="A65" i="1"/>
  <c r="L64" i="1"/>
  <c r="A30" i="71"/>
  <c r="K29" i="71"/>
  <c r="I48" i="86"/>
  <c r="A49" i="86"/>
  <c r="L81" i="47"/>
  <c r="L86" i="1"/>
  <c r="A87" i="1"/>
  <c r="A113" i="80"/>
  <c r="N112" i="80"/>
  <c r="Q17" i="84"/>
  <c r="A18" i="84"/>
  <c r="L15" i="1"/>
  <c r="A16" i="1"/>
  <c r="F63" i="47"/>
  <c r="K63" i="47"/>
  <c r="K97" i="1"/>
  <c r="F97" i="1"/>
  <c r="A110" i="1"/>
  <c r="L109" i="1"/>
  <c r="K30" i="71"/>
  <c r="F11" i="71"/>
  <c r="F10" i="71"/>
  <c r="F6" i="71"/>
  <c r="A19" i="84"/>
  <c r="Q18" i="84"/>
  <c r="F13" i="90"/>
  <c r="A14" i="90"/>
  <c r="L16" i="1"/>
  <c r="A19" i="1"/>
  <c r="A50" i="86"/>
  <c r="I49" i="86"/>
  <c r="A36" i="80"/>
  <c r="N35" i="80"/>
  <c r="A114" i="80"/>
  <c r="N113" i="80"/>
  <c r="H15" i="70"/>
  <c r="A16" i="70"/>
  <c r="G16" i="70"/>
  <c r="L87" i="1"/>
  <c r="A89" i="1"/>
  <c r="A66" i="1"/>
  <c r="L65" i="1"/>
  <c r="A59" i="80"/>
  <c r="I60" i="80"/>
  <c r="N58" i="80"/>
  <c r="A45" i="79"/>
  <c r="J44" i="79"/>
  <c r="A62" i="47"/>
  <c r="L61" i="47"/>
  <c r="A19" i="47"/>
  <c r="L16" i="47"/>
  <c r="J20" i="79"/>
  <c r="A21" i="79"/>
  <c r="K110" i="1"/>
  <c r="F110" i="1"/>
  <c r="K67" i="1"/>
  <c r="F67" i="1"/>
  <c r="A111" i="1"/>
  <c r="A112" i="1"/>
  <c r="A113" i="1"/>
  <c r="A114" i="1"/>
  <c r="L110" i="1"/>
  <c r="A115" i="80"/>
  <c r="N114" i="80"/>
  <c r="A20" i="1"/>
  <c r="A21" i="1"/>
  <c r="L19" i="1"/>
  <c r="A67" i="1"/>
  <c r="L66" i="1"/>
  <c r="H16" i="70"/>
  <c r="A19" i="70"/>
  <c r="I50" i="86"/>
  <c r="A51" i="86"/>
  <c r="A15" i="90"/>
  <c r="F14" i="90"/>
  <c r="A20" i="84"/>
  <c r="Q19" i="84"/>
  <c r="A20" i="47"/>
  <c r="A21" i="47"/>
  <c r="L19" i="47"/>
  <c r="A63" i="47"/>
  <c r="L62" i="47"/>
  <c r="A35" i="1"/>
  <c r="L34" i="1"/>
  <c r="A37" i="80"/>
  <c r="N36" i="80"/>
  <c r="A22" i="79"/>
  <c r="J21" i="79"/>
  <c r="A46" i="79"/>
  <c r="J45" i="79"/>
  <c r="A60" i="80"/>
  <c r="N59" i="80"/>
  <c r="A91" i="1"/>
  <c r="L89" i="1"/>
  <c r="L83" i="47"/>
  <c r="F84" i="47"/>
  <c r="K21" i="47"/>
  <c r="K81" i="47"/>
  <c r="F81" i="47"/>
  <c r="K21" i="1"/>
  <c r="K89" i="1"/>
  <c r="F89" i="1"/>
  <c r="F21" i="1"/>
  <c r="F21" i="47"/>
  <c r="L21" i="47"/>
  <c r="L21" i="1"/>
  <c r="L111" i="1"/>
  <c r="D17" i="90"/>
  <c r="F15" i="90"/>
  <c r="D20" i="90"/>
  <c r="A17" i="90"/>
  <c r="A69" i="1"/>
  <c r="L67" i="1"/>
  <c r="A39" i="80"/>
  <c r="N37" i="80"/>
  <c r="A64" i="47"/>
  <c r="L63" i="47"/>
  <c r="L20" i="1"/>
  <c r="A116" i="80"/>
  <c r="N115" i="80"/>
  <c r="E10" i="80"/>
  <c r="A63" i="80"/>
  <c r="N60" i="80"/>
  <c r="A47" i="79"/>
  <c r="J46" i="79"/>
  <c r="A23" i="79"/>
  <c r="J22" i="79"/>
  <c r="Q20" i="84"/>
  <c r="A21" i="84"/>
  <c r="A52" i="86"/>
  <c r="I51" i="86"/>
  <c r="L84" i="47"/>
  <c r="A87" i="47"/>
  <c r="L91" i="1"/>
  <c r="A94" i="1"/>
  <c r="L35" i="1"/>
  <c r="A36" i="1"/>
  <c r="F41" i="47"/>
  <c r="L20" i="47"/>
  <c r="A20" i="70"/>
  <c r="H19" i="70"/>
  <c r="L112" i="1"/>
  <c r="K114" i="1"/>
  <c r="K82" i="47"/>
  <c r="F82" i="47"/>
  <c r="H36" i="1"/>
  <c r="I36" i="1"/>
  <c r="J36" i="1"/>
  <c r="E47" i="1"/>
  <c r="H35" i="1"/>
  <c r="E46" i="1"/>
  <c r="J35" i="1"/>
  <c r="I35" i="1"/>
  <c r="H34" i="1"/>
  <c r="I34" i="1"/>
  <c r="E45" i="1"/>
  <c r="J34" i="1"/>
  <c r="K70" i="1"/>
  <c r="F70" i="1"/>
  <c r="F83" i="47"/>
  <c r="K83" i="47"/>
  <c r="F114" i="1"/>
  <c r="C31" i="90"/>
  <c r="C41" i="90" s="1"/>
  <c r="E10" i="1"/>
  <c r="C12" i="125" s="1"/>
  <c r="E77" i="47"/>
  <c r="A22" i="84"/>
  <c r="Q21" i="84"/>
  <c r="A48" i="79"/>
  <c r="J47" i="79"/>
  <c r="L36" i="1"/>
  <c r="A39" i="1"/>
  <c r="A23" i="1"/>
  <c r="L64" i="47"/>
  <c r="L69" i="1"/>
  <c r="A70" i="1"/>
  <c r="F17" i="90"/>
  <c r="A20" i="90"/>
  <c r="L94" i="1"/>
  <c r="A95" i="1"/>
  <c r="L87" i="47"/>
  <c r="A88" i="47"/>
  <c r="K89" i="47"/>
  <c r="A24" i="79"/>
  <c r="J23" i="79"/>
  <c r="N63" i="80"/>
  <c r="H20" i="70"/>
  <c r="A21" i="70"/>
  <c r="A23" i="47"/>
  <c r="A53" i="86"/>
  <c r="I52" i="86"/>
  <c r="A117" i="80"/>
  <c r="N116" i="80"/>
  <c r="G78" i="80"/>
  <c r="N39" i="80"/>
  <c r="E44" i="80"/>
  <c r="A40" i="80"/>
  <c r="H45" i="1"/>
  <c r="J45" i="1"/>
  <c r="E39" i="47"/>
  <c r="H39" i="47" s="1"/>
  <c r="E48" i="1"/>
  <c r="I45" i="1"/>
  <c r="E40" i="47"/>
  <c r="I40" i="47" s="1"/>
  <c r="I46" i="1"/>
  <c r="E50" i="1"/>
  <c r="H46" i="1"/>
  <c r="J46" i="1"/>
  <c r="J47" i="1"/>
  <c r="H47" i="1"/>
  <c r="I47" i="1"/>
  <c r="F72" i="1"/>
  <c r="K72" i="1"/>
  <c r="A24" i="47"/>
  <c r="K25" i="47"/>
  <c r="A24" i="1"/>
  <c r="L113" i="1"/>
  <c r="A22" i="70"/>
  <c r="H21" i="70"/>
  <c r="L95" i="1"/>
  <c r="A96" i="1"/>
  <c r="J24" i="79"/>
  <c r="A25" i="79"/>
  <c r="L70" i="1"/>
  <c r="A72" i="1"/>
  <c r="A118" i="80"/>
  <c r="N117" i="80"/>
  <c r="A54" i="86"/>
  <c r="I53" i="86"/>
  <c r="L23" i="47"/>
  <c r="L88" i="47"/>
  <c r="A89" i="47"/>
  <c r="K91" i="47"/>
  <c r="F89" i="47"/>
  <c r="A40" i="1"/>
  <c r="A42" i="1"/>
  <c r="F36" i="47"/>
  <c r="L39" i="1"/>
  <c r="F45" i="1"/>
  <c r="A41" i="80"/>
  <c r="N40" i="80"/>
  <c r="N65" i="80"/>
  <c r="N64" i="80"/>
  <c r="A49" i="79"/>
  <c r="J48" i="79"/>
  <c r="I41" i="80"/>
  <c r="A21" i="90"/>
  <c r="F20" i="90"/>
  <c r="L23" i="1"/>
  <c r="A23" i="84"/>
  <c r="Q22" i="84"/>
  <c r="I48" i="1"/>
  <c r="H48" i="1"/>
  <c r="J48" i="1"/>
  <c r="I50" i="1"/>
  <c r="I95" i="1"/>
  <c r="E95" i="1"/>
  <c r="H50" i="1"/>
  <c r="J50" i="1"/>
  <c r="J95" i="1"/>
  <c r="K109" i="1"/>
  <c r="F109" i="1"/>
  <c r="A25" i="47"/>
  <c r="L24" i="47"/>
  <c r="F25" i="47"/>
  <c r="A25" i="1"/>
  <c r="L24" i="1"/>
  <c r="A45" i="1"/>
  <c r="F39" i="47"/>
  <c r="F47" i="1"/>
  <c r="K25" i="1"/>
  <c r="F25" i="1"/>
  <c r="A117" i="1"/>
  <c r="F87" i="47"/>
  <c r="L114" i="1"/>
  <c r="N41" i="80"/>
  <c r="E9" i="80"/>
  <c r="A44" i="80"/>
  <c r="N44" i="80"/>
  <c r="A24" i="84"/>
  <c r="Q23" i="84"/>
  <c r="L89" i="47"/>
  <c r="A91" i="47"/>
  <c r="F91" i="47"/>
  <c r="I54" i="86"/>
  <c r="A55" i="86"/>
  <c r="A119" i="80"/>
  <c r="N118" i="80"/>
  <c r="J25" i="79"/>
  <c r="A26" i="79"/>
  <c r="J26" i="79"/>
  <c r="A54" i="79"/>
  <c r="J49" i="79"/>
  <c r="C59" i="79"/>
  <c r="C56" i="79"/>
  <c r="L40" i="1"/>
  <c r="F46" i="1"/>
  <c r="D24" i="90"/>
  <c r="D23" i="90"/>
  <c r="F21" i="90"/>
  <c r="A23" i="90"/>
  <c r="L72" i="1"/>
  <c r="L96" i="1"/>
  <c r="A97" i="1"/>
  <c r="H22" i="70"/>
  <c r="A23" i="70"/>
  <c r="H95" i="1"/>
  <c r="A26" i="47"/>
  <c r="L25" i="47"/>
  <c r="A26" i="1"/>
  <c r="A27" i="1"/>
  <c r="F29" i="1"/>
  <c r="L25" i="1"/>
  <c r="D45" i="138"/>
  <c r="E110" i="136"/>
  <c r="E110" i="137"/>
  <c r="A118" i="1"/>
  <c r="F88" i="47"/>
  <c r="L117" i="1"/>
  <c r="A120" i="80"/>
  <c r="N119" i="80"/>
  <c r="L91" i="47"/>
  <c r="A56" i="86"/>
  <c r="I55" i="86"/>
  <c r="J54" i="79"/>
  <c r="A56" i="79"/>
  <c r="C57" i="79"/>
  <c r="A24" i="70"/>
  <c r="H23" i="70"/>
  <c r="G24" i="70"/>
  <c r="L97" i="1"/>
  <c r="A98" i="1"/>
  <c r="F23" i="90"/>
  <c r="A24" i="90"/>
  <c r="A27" i="47"/>
  <c r="F29" i="47"/>
  <c r="L26" i="47"/>
  <c r="Q24" i="84"/>
  <c r="A25" i="84"/>
  <c r="L26" i="1"/>
  <c r="K29" i="47"/>
  <c r="K119" i="1"/>
  <c r="F119" i="1"/>
  <c r="K29" i="1"/>
  <c r="E96" i="136"/>
  <c r="D33" i="138"/>
  <c r="E96" i="137"/>
  <c r="A119" i="1"/>
  <c r="L118" i="1"/>
  <c r="A26" i="84"/>
  <c r="Q25" i="84"/>
  <c r="L98" i="1"/>
  <c r="A26" i="70"/>
  <c r="H26" i="70"/>
  <c r="H24" i="70"/>
  <c r="G26" i="70"/>
  <c r="A57" i="79"/>
  <c r="J56" i="79"/>
  <c r="N120" i="80"/>
  <c r="E21" i="80"/>
  <c r="L42" i="1"/>
  <c r="A29" i="47"/>
  <c r="L27" i="47"/>
  <c r="A27" i="90"/>
  <c r="F24" i="90"/>
  <c r="I56" i="86"/>
  <c r="A57" i="86"/>
  <c r="A29" i="1"/>
  <c r="L27" i="1"/>
  <c r="A121" i="1"/>
  <c r="F121" i="1"/>
  <c r="K121" i="1"/>
  <c r="F46" i="47"/>
  <c r="F60" i="47"/>
  <c r="K60" i="47"/>
  <c r="K46" i="47"/>
  <c r="K94" i="1"/>
  <c r="F94" i="1"/>
  <c r="D31" i="90"/>
  <c r="L119" i="1"/>
  <c r="L29" i="47"/>
  <c r="L29" i="1"/>
  <c r="A58" i="86"/>
  <c r="I57" i="86"/>
  <c r="F27" i="90"/>
  <c r="A28" i="90"/>
  <c r="D29" i="90"/>
  <c r="J57" i="79"/>
  <c r="A59" i="79"/>
  <c r="A27" i="84"/>
  <c r="Q26" i="84"/>
  <c r="L121" i="1"/>
  <c r="Q27" i="84"/>
  <c r="A28" i="84"/>
  <c r="A60" i="79"/>
  <c r="J60" i="79"/>
  <c r="J59" i="79"/>
  <c r="C60" i="79"/>
  <c r="A29" i="90"/>
  <c r="F28" i="90"/>
  <c r="I58" i="86"/>
  <c r="A59" i="86"/>
  <c r="L45" i="1"/>
  <c r="A46" i="1"/>
  <c r="F40" i="47"/>
  <c r="L46" i="1"/>
  <c r="A47" i="1"/>
  <c r="A29" i="84"/>
  <c r="Q28" i="84"/>
  <c r="A31" i="90"/>
  <c r="F29" i="90"/>
  <c r="D36" i="90"/>
  <c r="A60" i="86"/>
  <c r="I59" i="86"/>
  <c r="L47" i="1"/>
  <c r="A48" i="1"/>
  <c r="F48" i="1"/>
  <c r="F31" i="90"/>
  <c r="A32" i="90"/>
  <c r="D33" i="90"/>
  <c r="A30" i="84"/>
  <c r="Q29" i="84"/>
  <c r="A61" i="86"/>
  <c r="I60" i="86"/>
  <c r="F50" i="1"/>
  <c r="F52" i="1"/>
  <c r="K52" i="1"/>
  <c r="A31" i="84"/>
  <c r="Q30" i="84"/>
  <c r="A33" i="90"/>
  <c r="A36" i="90"/>
  <c r="F32" i="90"/>
  <c r="A62" i="86"/>
  <c r="I61" i="86"/>
  <c r="L48" i="1"/>
  <c r="A50" i="1"/>
  <c r="A52" i="1"/>
  <c r="K95" i="1"/>
  <c r="F95" i="1"/>
  <c r="L50" i="1"/>
  <c r="I62" i="86"/>
  <c r="A63" i="86"/>
  <c r="I63" i="86"/>
  <c r="F33" i="90"/>
  <c r="Q31" i="84"/>
  <c r="K108" i="1"/>
  <c r="F108" i="1"/>
  <c r="L52" i="1"/>
  <c r="F36" i="90"/>
  <c r="A39" i="90"/>
  <c r="A40" i="90"/>
  <c r="F39" i="90"/>
  <c r="A41" i="90"/>
  <c r="F40" i="90"/>
  <c r="F41" i="90"/>
  <c r="A42" i="90"/>
  <c r="A43" i="90"/>
  <c r="F43" i="90"/>
  <c r="F42" i="90"/>
  <c r="A13" i="126" l="1"/>
  <c r="E12" i="126"/>
  <c r="A28" i="126"/>
  <c r="E27" i="126"/>
  <c r="D31" i="126"/>
  <c r="D25" i="126"/>
  <c r="AP68" i="139"/>
  <c r="AP49" i="139"/>
  <c r="AP51" i="139"/>
  <c r="AZ46" i="139"/>
  <c r="BD46" i="139" s="1"/>
  <c r="BF46" i="139" s="1"/>
  <c r="AX29" i="139"/>
  <c r="BD29" i="139" s="1"/>
  <c r="BF29" i="139" s="1"/>
  <c r="N76" i="137"/>
  <c r="I76" i="137"/>
  <c r="J76" i="137"/>
  <c r="R51" i="137"/>
  <c r="Z76" i="137"/>
  <c r="X51" i="137"/>
  <c r="G76" i="136"/>
  <c r="D39" i="80"/>
  <c r="AD22" i="139"/>
  <c r="AP98" i="139"/>
  <c r="AP79" i="139"/>
  <c r="AP74" i="139"/>
  <c r="AZ87" i="139"/>
  <c r="BD87" i="139" s="1"/>
  <c r="BF87" i="139" s="1"/>
  <c r="AZ77" i="139"/>
  <c r="BD77" i="139" s="1"/>
  <c r="BF77" i="139" s="1"/>
  <c r="AP43" i="139"/>
  <c r="AP47" i="139"/>
  <c r="AP63" i="139"/>
  <c r="AP35" i="139"/>
  <c r="AP42" i="139"/>
  <c r="I36" i="47"/>
  <c r="J36" i="47" s="1"/>
  <c r="I88" i="47"/>
  <c r="J88" i="47"/>
  <c r="E41" i="47"/>
  <c r="H41" i="47" s="1"/>
  <c r="J39" i="47"/>
  <c r="H62" i="83"/>
  <c r="H65" i="83"/>
  <c r="H58" i="83"/>
  <c r="I39" i="47"/>
  <c r="G106" i="80"/>
  <c r="H107" i="80" s="1"/>
  <c r="H61" i="83"/>
  <c r="J40" i="47"/>
  <c r="E42" i="47"/>
  <c r="H42" i="47" s="1"/>
  <c r="J87" i="47"/>
  <c r="H56" i="83"/>
  <c r="H60" i="83"/>
  <c r="H59" i="83"/>
  <c r="H40" i="47"/>
  <c r="H87" i="47"/>
  <c r="H57" i="83"/>
  <c r="H66" i="83"/>
  <c r="H63" i="83"/>
  <c r="H67" i="83"/>
  <c r="H64" i="83"/>
  <c r="C43" i="90"/>
  <c r="D49" i="135"/>
  <c r="D38" i="135"/>
  <c r="D71" i="135"/>
  <c r="L76" i="137"/>
  <c r="AC26" i="137"/>
  <c r="E19" i="47" s="1"/>
  <c r="E21" i="47" s="1"/>
  <c r="C17" i="90"/>
  <c r="F31" i="85" s="1"/>
  <c r="M15" i="84"/>
  <c r="N15" i="84"/>
  <c r="N19" i="84"/>
  <c r="M19" i="84"/>
  <c r="K11" i="84"/>
  <c r="N26" i="84"/>
  <c r="O26" i="84" s="1"/>
  <c r="L28" i="84"/>
  <c r="L11" i="84" s="1"/>
  <c r="N14" i="84"/>
  <c r="O14" i="84" s="1"/>
  <c r="M25" i="84"/>
  <c r="N25" i="84"/>
  <c r="M30" i="84"/>
  <c r="N30" i="84"/>
  <c r="N20" i="84"/>
  <c r="M20" i="84"/>
  <c r="M27" i="84"/>
  <c r="O27" i="84" s="1"/>
  <c r="J11" i="84"/>
  <c r="C21" i="90" s="1"/>
  <c r="O29" i="84"/>
  <c r="D24" i="105"/>
  <c r="C41" i="108"/>
  <c r="C24" i="105"/>
  <c r="E48" i="108"/>
  <c r="K26" i="105"/>
  <c r="K39" i="105" s="1"/>
  <c r="J24" i="105"/>
  <c r="K23" i="85"/>
  <c r="F27" i="85" s="1"/>
  <c r="F30" i="85" s="1"/>
  <c r="I23" i="85"/>
  <c r="C30" i="106"/>
  <c r="D26" i="105"/>
  <c r="C26" i="105"/>
  <c r="F37" i="105" s="1"/>
  <c r="J26" i="105"/>
  <c r="K38" i="105"/>
  <c r="K40" i="105"/>
  <c r="K41" i="105"/>
  <c r="K24" i="105"/>
  <c r="G41" i="108"/>
  <c r="D41" i="108"/>
  <c r="H38" i="105"/>
  <c r="H39" i="105"/>
  <c r="G24" i="105"/>
  <c r="H41" i="105"/>
  <c r="H40" i="105"/>
  <c r="H37" i="105"/>
  <c r="H36" i="105"/>
  <c r="C18" i="106"/>
  <c r="C37" i="106" s="1"/>
  <c r="D58" i="80"/>
  <c r="D93" i="80"/>
  <c r="G79" i="80"/>
  <c r="AT22" i="139"/>
  <c r="AR16" i="139"/>
  <c r="AR22" i="139" s="1"/>
  <c r="AP121" i="139"/>
  <c r="AP76" i="139"/>
  <c r="AP71" i="139"/>
  <c r="AZ80" i="139"/>
  <c r="BD80" i="139" s="1"/>
  <c r="BF80" i="139" s="1"/>
  <c r="AP84" i="139"/>
  <c r="AP88" i="139"/>
  <c r="AP70" i="139"/>
  <c r="AZ62" i="139"/>
  <c r="BD62" i="139" s="1"/>
  <c r="BF62" i="139" s="1"/>
  <c r="AP66" i="139"/>
  <c r="AP59" i="139"/>
  <c r="AP44" i="139"/>
  <c r="AB16" i="139"/>
  <c r="AB22" i="139" s="1"/>
  <c r="AP41" i="139"/>
  <c r="AX26" i="139"/>
  <c r="BD26" i="139" s="1"/>
  <c r="BF26" i="139" s="1"/>
  <c r="AP27" i="139"/>
  <c r="AP117" i="139"/>
  <c r="AZ117" i="139"/>
  <c r="AL116" i="139"/>
  <c r="AL19" i="139" s="1"/>
  <c r="AJ116" i="139"/>
  <c r="AJ19" i="139" s="1"/>
  <c r="AP19" i="139" s="1"/>
  <c r="AX120" i="139"/>
  <c r="BD120" i="139" s="1"/>
  <c r="AP120" i="139"/>
  <c r="AX116" i="139"/>
  <c r="AX19" i="139" s="1"/>
  <c r="X19" i="139"/>
  <c r="BD119" i="139"/>
  <c r="AZ118" i="139"/>
  <c r="BD118" i="139" s="1"/>
  <c r="BF118" i="139" s="1"/>
  <c r="AJ109" i="139"/>
  <c r="R108" i="139"/>
  <c r="R15" i="139" s="1"/>
  <c r="X15" i="139" s="1"/>
  <c r="AP102" i="139"/>
  <c r="BB102" i="139"/>
  <c r="BD102" i="139" s="1"/>
  <c r="BF102" i="139" s="1"/>
  <c r="AP96" i="139"/>
  <c r="BB96" i="139"/>
  <c r="BD96" i="139" s="1"/>
  <c r="BF96" i="139" s="1"/>
  <c r="V16" i="139"/>
  <c r="V22" i="139" s="1"/>
  <c r="X14" i="139"/>
  <c r="AP101" i="139"/>
  <c r="BB101" i="139"/>
  <c r="BD101" i="139" s="1"/>
  <c r="BF101" i="139" s="1"/>
  <c r="BB104" i="139"/>
  <c r="BD104" i="139" s="1"/>
  <c r="BF104" i="139" s="1"/>
  <c r="AP104" i="139"/>
  <c r="BB103" i="139"/>
  <c r="BD103" i="139" s="1"/>
  <c r="BF103" i="139" s="1"/>
  <c r="AP103" i="139"/>
  <c r="BB105" i="139"/>
  <c r="BD105" i="139" s="1"/>
  <c r="BF105" i="139" s="1"/>
  <c r="AP105" i="139"/>
  <c r="AP97" i="139"/>
  <c r="BB97" i="139"/>
  <c r="BD97" i="139" s="1"/>
  <c r="BF97" i="139" s="1"/>
  <c r="BB100" i="139"/>
  <c r="BD100" i="139" s="1"/>
  <c r="BF100" i="139" s="1"/>
  <c r="AP100" i="139"/>
  <c r="BD95" i="139"/>
  <c r="X99" i="139"/>
  <c r="X94" i="139" s="1"/>
  <c r="X103" i="139"/>
  <c r="H16" i="139"/>
  <c r="H22" i="139" s="1"/>
  <c r="X100" i="139"/>
  <c r="AN99" i="139"/>
  <c r="AN94" i="139" s="1"/>
  <c r="AN14" i="139" s="1"/>
  <c r="AZ37" i="139"/>
  <c r="BD37" i="139" s="1"/>
  <c r="BF37" i="139" s="1"/>
  <c r="AP37" i="139"/>
  <c r="AP40" i="139"/>
  <c r="AZ40" i="139"/>
  <c r="BD40" i="139" s="1"/>
  <c r="BF40" i="139" s="1"/>
  <c r="AX67" i="139"/>
  <c r="BD67" i="139" s="1"/>
  <c r="BF67" i="139" s="1"/>
  <c r="AP67" i="139"/>
  <c r="AP86" i="139"/>
  <c r="AZ86" i="139"/>
  <c r="BD86" i="139" s="1"/>
  <c r="BF86" i="139" s="1"/>
  <c r="AP48" i="139"/>
  <c r="AZ48" i="139"/>
  <c r="BD48" i="139" s="1"/>
  <c r="BF48" i="139" s="1"/>
  <c r="BD42" i="139"/>
  <c r="BF42" i="139" s="1"/>
  <c r="AP45" i="139"/>
  <c r="AZ45" i="139"/>
  <c r="BD45" i="139" s="1"/>
  <c r="BF45" i="139" s="1"/>
  <c r="AZ56" i="139"/>
  <c r="BD56" i="139" s="1"/>
  <c r="BF56" i="139" s="1"/>
  <c r="AP56" i="139"/>
  <c r="AZ61" i="139"/>
  <c r="BD61" i="139" s="1"/>
  <c r="BF61" i="139" s="1"/>
  <c r="AP61" i="139"/>
  <c r="AZ82" i="139"/>
  <c r="BD82" i="139" s="1"/>
  <c r="BF82" i="139" s="1"/>
  <c r="AP82" i="139"/>
  <c r="AP36" i="139"/>
  <c r="AZ36" i="139"/>
  <c r="BD36" i="139" s="1"/>
  <c r="BF36" i="139" s="1"/>
  <c r="AZ53" i="139"/>
  <c r="BD53" i="139" s="1"/>
  <c r="BF53" i="139" s="1"/>
  <c r="AP53" i="139"/>
  <c r="AP91" i="139"/>
  <c r="AZ91" i="139"/>
  <c r="BD91" i="139" s="1"/>
  <c r="BF91" i="139" s="1"/>
  <c r="AP50" i="139"/>
  <c r="AZ50" i="139"/>
  <c r="BD50" i="139" s="1"/>
  <c r="BF50" i="139" s="1"/>
  <c r="AZ78" i="139"/>
  <c r="BD78" i="139" s="1"/>
  <c r="BF78" i="139" s="1"/>
  <c r="AP78" i="139"/>
  <c r="AP65" i="139"/>
  <c r="AZ65" i="139"/>
  <c r="BD65" i="139" s="1"/>
  <c r="BF65" i="139" s="1"/>
  <c r="AP81" i="139"/>
  <c r="AZ81" i="139"/>
  <c r="BD81" i="139" s="1"/>
  <c r="BF81" i="139" s="1"/>
  <c r="X34" i="139"/>
  <c r="AP57" i="139"/>
  <c r="AZ57" i="139"/>
  <c r="BD57" i="139" s="1"/>
  <c r="BF57" i="139" s="1"/>
  <c r="AP73" i="139"/>
  <c r="AZ73" i="139"/>
  <c r="BD73" i="139" s="1"/>
  <c r="BF73" i="139" s="1"/>
  <c r="BD35" i="139"/>
  <c r="X56" i="139"/>
  <c r="AZ58" i="139"/>
  <c r="BD58" i="139" s="1"/>
  <c r="BF58" i="139" s="1"/>
  <c r="AP38" i="139"/>
  <c r="AL64" i="139"/>
  <c r="AL69" i="139"/>
  <c r="AL60" i="139"/>
  <c r="AJ34" i="139"/>
  <c r="AJ13" i="139" s="1"/>
  <c r="T34" i="139"/>
  <c r="T13" i="139" s="1"/>
  <c r="T16" i="139" s="1"/>
  <c r="T22" i="139" s="1"/>
  <c r="J16" i="139"/>
  <c r="J22" i="139" s="1"/>
  <c r="L16" i="139"/>
  <c r="L22" i="139" s="1"/>
  <c r="N16" i="139"/>
  <c r="N22" i="139" s="1"/>
  <c r="X25" i="139"/>
  <c r="AJ25" i="139"/>
  <c r="AJ12" i="139" s="1"/>
  <c r="AP28" i="139"/>
  <c r="BD27" i="139"/>
  <c r="R25" i="139"/>
  <c r="R12" i="139" s="1"/>
  <c r="H26" i="105"/>
  <c r="E41" i="108"/>
  <c r="G36" i="105"/>
  <c r="G37" i="105"/>
  <c r="L26" i="105"/>
  <c r="J37" i="105"/>
  <c r="J35" i="105"/>
  <c r="J36" i="105"/>
  <c r="I24" i="105"/>
  <c r="H41" i="108"/>
  <c r="F41" i="108"/>
  <c r="F18" i="142"/>
  <c r="C29" i="142" s="1"/>
  <c r="F10" i="86"/>
  <c r="E111" i="1" s="1"/>
  <c r="E81" i="47" s="1"/>
  <c r="G10" i="86"/>
  <c r="C6" i="142" s="1"/>
  <c r="E71" i="135"/>
  <c r="D70" i="135"/>
  <c r="F68" i="135"/>
  <c r="H68" i="135"/>
  <c r="E68" i="135"/>
  <c r="G68" i="135"/>
  <c r="D44" i="135"/>
  <c r="D67" i="135"/>
  <c r="D64" i="135"/>
  <c r="F64" i="135" s="1"/>
  <c r="D66" i="135"/>
  <c r="D39" i="135"/>
  <c r="C10" i="125"/>
  <c r="E76" i="47"/>
  <c r="C48" i="90"/>
  <c r="F36" i="85" s="1"/>
  <c r="F39" i="85" s="1"/>
  <c r="G59" i="80"/>
  <c r="G60" i="80" s="1"/>
  <c r="C33" i="90"/>
  <c r="G40" i="80" s="1"/>
  <c r="G41" i="80" s="1"/>
  <c r="G94" i="80"/>
  <c r="G95" i="80" s="1"/>
  <c r="I58" i="1"/>
  <c r="E58" i="1"/>
  <c r="J58" i="1"/>
  <c r="G54" i="79"/>
  <c r="F72" i="135"/>
  <c r="H72" i="135"/>
  <c r="E72" i="135"/>
  <c r="G64" i="135"/>
  <c r="D74" i="135"/>
  <c r="G27" i="135"/>
  <c r="F63" i="135"/>
  <c r="G63" i="135"/>
  <c r="H63" i="135"/>
  <c r="E63" i="135"/>
  <c r="F69" i="135"/>
  <c r="E69" i="135"/>
  <c r="G69" i="135"/>
  <c r="H69" i="135"/>
  <c r="A64" i="135"/>
  <c r="I63" i="135"/>
  <c r="E65" i="135"/>
  <c r="F65" i="135"/>
  <c r="H65" i="135"/>
  <c r="G65" i="135"/>
  <c r="I39" i="135"/>
  <c r="A40" i="135"/>
  <c r="H62" i="135"/>
  <c r="E62" i="135"/>
  <c r="F62" i="135"/>
  <c r="G62" i="135"/>
  <c r="G73" i="135"/>
  <c r="H73" i="135"/>
  <c r="E73" i="135"/>
  <c r="F73" i="135"/>
  <c r="D41" i="135"/>
  <c r="D45" i="135"/>
  <c r="I38" i="135"/>
  <c r="Q76" i="137"/>
  <c r="S51" i="137"/>
  <c r="A17" i="135"/>
  <c r="D61" i="135"/>
  <c r="G72" i="135"/>
  <c r="J51" i="136"/>
  <c r="R51" i="136"/>
  <c r="Z51" i="136"/>
  <c r="G76" i="137"/>
  <c r="O76" i="137"/>
  <c r="R76" i="137"/>
  <c r="U76" i="137"/>
  <c r="S76" i="137"/>
  <c r="AA76" i="137"/>
  <c r="AA51" i="137"/>
  <c r="Y51" i="137"/>
  <c r="T76" i="137"/>
  <c r="AB76" i="137"/>
  <c r="Z51" i="137"/>
  <c r="G51" i="137"/>
  <c r="O51" i="137"/>
  <c r="J51" i="137"/>
  <c r="M51" i="137"/>
  <c r="K51" i="137"/>
  <c r="W76" i="137"/>
  <c r="Q76" i="136"/>
  <c r="Y76" i="136"/>
  <c r="L51" i="136"/>
  <c r="T51" i="136"/>
  <c r="AB51" i="136"/>
  <c r="M51" i="136"/>
  <c r="U51" i="136"/>
  <c r="N51" i="136"/>
  <c r="V51" i="136"/>
  <c r="G51" i="136"/>
  <c r="O51" i="136"/>
  <c r="W51" i="136"/>
  <c r="O76" i="136"/>
  <c r="I51" i="137"/>
  <c r="Q51" i="137"/>
  <c r="P51" i="137"/>
  <c r="N51" i="137"/>
  <c r="L51" i="137"/>
  <c r="M76" i="137"/>
  <c r="H76" i="137"/>
  <c r="P76" i="137"/>
  <c r="Y76" i="137"/>
  <c r="W51" i="137"/>
  <c r="U51" i="137"/>
  <c r="I51" i="136"/>
  <c r="Q51" i="136"/>
  <c r="Y51" i="136"/>
  <c r="K51" i="136"/>
  <c r="S51" i="136"/>
  <c r="AA51" i="136"/>
  <c r="J76" i="136"/>
  <c r="R76" i="136"/>
  <c r="Z76" i="136"/>
  <c r="F76" i="137"/>
  <c r="K76" i="137"/>
  <c r="F51" i="137"/>
  <c r="AC26" i="136"/>
  <c r="E8" i="47" s="1"/>
  <c r="E10" i="47" s="1"/>
  <c r="H51" i="136"/>
  <c r="P51" i="136"/>
  <c r="X51" i="136"/>
  <c r="I76" i="136"/>
  <c r="F51" i="136"/>
  <c r="S76" i="136"/>
  <c r="AB76" i="136"/>
  <c r="F76" i="136"/>
  <c r="P76" i="136"/>
  <c r="L76" i="136"/>
  <c r="U76" i="136"/>
  <c r="H76" i="136"/>
  <c r="AA76" i="136"/>
  <c r="T76" i="136"/>
  <c r="M76" i="136"/>
  <c r="N76" i="136"/>
  <c r="W76" i="136"/>
  <c r="X76" i="136"/>
  <c r="A29" i="126" l="1"/>
  <c r="E28" i="126"/>
  <c r="A14" i="126"/>
  <c r="E13" i="126"/>
  <c r="AP25" i="139"/>
  <c r="E85" i="1"/>
  <c r="E87" i="1" s="1"/>
  <c r="E63" i="47" s="1"/>
  <c r="E44" i="47"/>
  <c r="I41" i="47"/>
  <c r="I44" i="47" s="1"/>
  <c r="I61" i="47" s="1"/>
  <c r="J41" i="47"/>
  <c r="I42" i="47"/>
  <c r="J44" i="47"/>
  <c r="J61" i="47" s="1"/>
  <c r="J42" i="47"/>
  <c r="H44" i="47"/>
  <c r="E61" i="47"/>
  <c r="H61" i="47" s="1"/>
  <c r="H112" i="80"/>
  <c r="H113" i="80"/>
  <c r="H114" i="80"/>
  <c r="H118" i="80"/>
  <c r="H110" i="80"/>
  <c r="H111" i="80"/>
  <c r="H115" i="80"/>
  <c r="H117" i="80"/>
  <c r="H109" i="80"/>
  <c r="H108" i="80"/>
  <c r="H116" i="80"/>
  <c r="H64" i="135"/>
  <c r="G71" i="135"/>
  <c r="F71" i="135"/>
  <c r="H71" i="135"/>
  <c r="D51" i="135"/>
  <c r="F32" i="85"/>
  <c r="N28" i="84"/>
  <c r="O25" i="84"/>
  <c r="O19" i="84"/>
  <c r="M28" i="84"/>
  <c r="O28" i="84" s="1"/>
  <c r="O15" i="84"/>
  <c r="O30" i="84"/>
  <c r="D5" i="84"/>
  <c r="E104" i="1"/>
  <c r="E74" i="47" s="1"/>
  <c r="C24" i="90"/>
  <c r="C23" i="90"/>
  <c r="O20" i="84"/>
  <c r="F36" i="105"/>
  <c r="F39" i="105"/>
  <c r="F41" i="105"/>
  <c r="E41" i="105" s="1"/>
  <c r="C41" i="105" s="1"/>
  <c r="F40" i="105"/>
  <c r="F38" i="105"/>
  <c r="E38" i="105" s="1"/>
  <c r="C38" i="105" s="1"/>
  <c r="E40" i="105"/>
  <c r="C40" i="105" s="1"/>
  <c r="F35" i="105"/>
  <c r="K36" i="105"/>
  <c r="K35" i="105"/>
  <c r="K37" i="105"/>
  <c r="E37" i="105" s="1"/>
  <c r="C37" i="105" s="1"/>
  <c r="E39" i="105"/>
  <c r="C39" i="105" s="1"/>
  <c r="E36" i="105"/>
  <c r="C36" i="105" s="1"/>
  <c r="AX25" i="139"/>
  <c r="AX12" i="139" s="1"/>
  <c r="BD12" i="139" s="1"/>
  <c r="AZ116" i="139"/>
  <c r="AZ19" i="139" s="1"/>
  <c r="BD19" i="139" s="1"/>
  <c r="BD117" i="139"/>
  <c r="AP116" i="139"/>
  <c r="AJ108" i="139"/>
  <c r="AJ15" i="139" s="1"/>
  <c r="AP15" i="139" s="1"/>
  <c r="AX109" i="139"/>
  <c r="AP109" i="139"/>
  <c r="AP108" i="139" s="1"/>
  <c r="BF95" i="139"/>
  <c r="AP14" i="139"/>
  <c r="AN16" i="139"/>
  <c r="AN22" i="139" s="1"/>
  <c r="BB99" i="139"/>
  <c r="AP99" i="139"/>
  <c r="AP94" i="139" s="1"/>
  <c r="AP69" i="139"/>
  <c r="AZ69" i="139"/>
  <c r="BD69" i="139" s="1"/>
  <c r="BF69" i="139" s="1"/>
  <c r="AP64" i="139"/>
  <c r="AZ64" i="139"/>
  <c r="BD64" i="139" s="1"/>
  <c r="BF64" i="139" s="1"/>
  <c r="AL34" i="139"/>
  <c r="AL13" i="139" s="1"/>
  <c r="AL16" i="139" s="1"/>
  <c r="AL22" i="139" s="1"/>
  <c r="X13" i="139"/>
  <c r="BF35" i="139"/>
  <c r="AX34" i="139"/>
  <c r="AX13" i="139" s="1"/>
  <c r="AP60" i="139"/>
  <c r="AP34" i="139" s="1"/>
  <c r="AZ60" i="139"/>
  <c r="BD60" i="139" s="1"/>
  <c r="BF60" i="139" s="1"/>
  <c r="BD25" i="139"/>
  <c r="BF27" i="139"/>
  <c r="BF25" i="139" s="1"/>
  <c r="BF12" i="139" s="1"/>
  <c r="AP12" i="139"/>
  <c r="X12" i="139"/>
  <c r="R16" i="139"/>
  <c r="R22" i="139" s="1"/>
  <c r="I35" i="105"/>
  <c r="I36" i="105"/>
  <c r="I37" i="105"/>
  <c r="L37" i="105"/>
  <c r="L35" i="105"/>
  <c r="L36" i="105"/>
  <c r="C37" i="142"/>
  <c r="C40" i="142"/>
  <c r="E112" i="1" s="1"/>
  <c r="E82" i="47" s="1"/>
  <c r="F70" i="135"/>
  <c r="G70" i="135"/>
  <c r="H70" i="135"/>
  <c r="E70" i="135"/>
  <c r="E64" i="135"/>
  <c r="E67" i="135"/>
  <c r="G67" i="135"/>
  <c r="H67" i="135"/>
  <c r="F67" i="135"/>
  <c r="F66" i="135"/>
  <c r="G66" i="135"/>
  <c r="E66" i="135"/>
  <c r="H66" i="135"/>
  <c r="G57" i="79"/>
  <c r="G60" i="79"/>
  <c r="E59" i="1"/>
  <c r="H58" i="1"/>
  <c r="G74" i="135"/>
  <c r="E74" i="135"/>
  <c r="H74" i="135"/>
  <c r="F74" i="135"/>
  <c r="G61" i="135"/>
  <c r="D75" i="135"/>
  <c r="H61" i="135"/>
  <c r="A18" i="135"/>
  <c r="I17" i="135"/>
  <c r="E37" i="135" a="1"/>
  <c r="E37" i="135" s="1"/>
  <c r="I40" i="135"/>
  <c r="A41" i="135"/>
  <c r="I64" i="135"/>
  <c r="A65" i="135"/>
  <c r="A15" i="126" l="1"/>
  <c r="E14" i="126"/>
  <c r="A30" i="126"/>
  <c r="E30" i="126" s="1"/>
  <c r="E29" i="126"/>
  <c r="E97" i="1"/>
  <c r="J69" i="1"/>
  <c r="E115" i="137"/>
  <c r="F115" i="137" s="1"/>
  <c r="F33" i="85"/>
  <c r="F34" i="85" s="1"/>
  <c r="E69" i="1"/>
  <c r="E116" i="137"/>
  <c r="F116" i="137" s="1"/>
  <c r="H40" i="80"/>
  <c r="H41" i="80" s="1"/>
  <c r="D41" i="80" s="1"/>
  <c r="D9" i="80" s="1"/>
  <c r="E116" i="136"/>
  <c r="F116" i="136" s="1"/>
  <c r="D50" i="138"/>
  <c r="E50" i="138" s="1"/>
  <c r="I69" i="1"/>
  <c r="E115" i="136"/>
  <c r="F115" i="136" s="1"/>
  <c r="E39" i="141"/>
  <c r="H94" i="80"/>
  <c r="H95" i="80" s="1"/>
  <c r="D95" i="80" s="1"/>
  <c r="D12" i="80" s="1"/>
  <c r="E102" i="136"/>
  <c r="F102" i="136" s="1"/>
  <c r="I54" i="79"/>
  <c r="H78" i="80"/>
  <c r="H79" i="80" s="1"/>
  <c r="D79" i="80" s="1"/>
  <c r="D11" i="80" s="1"/>
  <c r="E101" i="137"/>
  <c r="F101" i="137" s="1"/>
  <c r="E101" i="136"/>
  <c r="F101" i="136" s="1"/>
  <c r="H59" i="80"/>
  <c r="H60" i="80" s="1"/>
  <c r="D60" i="80" s="1"/>
  <c r="D10" i="80" s="1"/>
  <c r="D38" i="138"/>
  <c r="E38" i="138" s="1"/>
  <c r="E102" i="137"/>
  <c r="F102" i="137" s="1"/>
  <c r="C36" i="90"/>
  <c r="E35" i="105"/>
  <c r="C35" i="105" s="1"/>
  <c r="G8" i="108" s="1"/>
  <c r="F13" i="106" s="1"/>
  <c r="D11" i="108"/>
  <c r="C11" i="108"/>
  <c r="C25" i="106" s="1"/>
  <c r="E11" i="108"/>
  <c r="D25" i="106" s="1"/>
  <c r="I8" i="108"/>
  <c r="H13" i="106" s="1"/>
  <c r="D8" i="108"/>
  <c r="F8" i="108"/>
  <c r="E13" i="106" s="1"/>
  <c r="C8" i="108"/>
  <c r="C13" i="106" s="1"/>
  <c r="E8" i="108"/>
  <c r="D13" i="106" s="1"/>
  <c r="H8" i="108"/>
  <c r="G13" i="106" s="1"/>
  <c r="AJ16" i="139"/>
  <c r="AJ22" i="139" s="1"/>
  <c r="BD116" i="139"/>
  <c r="BF117" i="139"/>
  <c r="BF116" i="139" s="1"/>
  <c r="BF19" i="139" s="1"/>
  <c r="AX108" i="139"/>
  <c r="AX15" i="139" s="1"/>
  <c r="BD15" i="139" s="1"/>
  <c r="BD109" i="139"/>
  <c r="BD99" i="139"/>
  <c r="BB94" i="139"/>
  <c r="BB14" i="139" s="1"/>
  <c r="BF34" i="139"/>
  <c r="BF13" i="139" s="1"/>
  <c r="AP13" i="139"/>
  <c r="AP16" i="139" s="1"/>
  <c r="AP22" i="139" s="1"/>
  <c r="C46" i="83" s="1"/>
  <c r="BD34" i="139"/>
  <c r="X16" i="139"/>
  <c r="X22" i="139" s="1"/>
  <c r="AZ34" i="139"/>
  <c r="AZ13" i="139" s="1"/>
  <c r="AZ16" i="139" s="1"/>
  <c r="AZ22" i="139" s="1"/>
  <c r="C38" i="142"/>
  <c r="C39" i="142" s="1"/>
  <c r="H75" i="135"/>
  <c r="H85" i="135" s="1"/>
  <c r="G75" i="135"/>
  <c r="G85" i="135" s="1"/>
  <c r="D45" i="136"/>
  <c r="D38" i="136"/>
  <c r="D46" i="136"/>
  <c r="D39" i="136"/>
  <c r="D47" i="136"/>
  <c r="D40" i="136"/>
  <c r="D48" i="136"/>
  <c r="D41" i="136"/>
  <c r="D49" i="136"/>
  <c r="D42" i="136"/>
  <c r="D43" i="136"/>
  <c r="D44" i="136"/>
  <c r="E41" i="137"/>
  <c r="D47" i="137"/>
  <c r="D49" i="137"/>
  <c r="D14" i="138"/>
  <c r="E41" i="136"/>
  <c r="D45" i="137"/>
  <c r="E42" i="136"/>
  <c r="E46" i="137"/>
  <c r="D48" i="137"/>
  <c r="E44" i="136"/>
  <c r="F37" i="135"/>
  <c r="E50" i="136"/>
  <c r="E14" i="138"/>
  <c r="E39" i="137"/>
  <c r="E39" i="136"/>
  <c r="E48" i="137"/>
  <c r="E45" i="137"/>
  <c r="D43" i="137"/>
  <c r="E49" i="136"/>
  <c r="E47" i="137"/>
  <c r="D44" i="137"/>
  <c r="E47" i="136"/>
  <c r="E42" i="137"/>
  <c r="E48" i="136"/>
  <c r="D46" i="137"/>
  <c r="E40" i="136"/>
  <c r="E43" i="136"/>
  <c r="E40" i="137"/>
  <c r="E50" i="137"/>
  <c r="D50" i="136"/>
  <c r="D40" i="137"/>
  <c r="D42" i="137"/>
  <c r="AC42" i="137" s="1"/>
  <c r="E43" i="137"/>
  <c r="D38" i="137"/>
  <c r="E44" i="137"/>
  <c r="E46" i="136"/>
  <c r="D50" i="137"/>
  <c r="AC50" i="137" s="1"/>
  <c r="I19" i="1" s="1"/>
  <c r="E49" i="137"/>
  <c r="E38" i="137"/>
  <c r="E38" i="136"/>
  <c r="D39" i="137"/>
  <c r="AC39" i="137" s="1"/>
  <c r="D41" i="137"/>
  <c r="AC41" i="137" s="1"/>
  <c r="E45" i="136"/>
  <c r="A19" i="135"/>
  <c r="I18" i="135"/>
  <c r="E61" i="135"/>
  <c r="E75" i="135" s="1"/>
  <c r="E85" i="135" s="1"/>
  <c r="G101" i="136" s="1"/>
  <c r="A42" i="135"/>
  <c r="I41" i="135"/>
  <c r="I65" i="135"/>
  <c r="A66" i="135"/>
  <c r="E15" i="126" l="1"/>
  <c r="A16" i="126"/>
  <c r="AX16" i="139"/>
  <c r="AX22" i="139" s="1"/>
  <c r="F103" i="137"/>
  <c r="H54" i="79"/>
  <c r="F42" i="85"/>
  <c r="F43" i="85" s="1"/>
  <c r="F45" i="85" s="1"/>
  <c r="E105" i="1" s="1"/>
  <c r="D39" i="141"/>
  <c r="D40" i="141" s="1"/>
  <c r="D19" i="141" s="1"/>
  <c r="E19" i="141"/>
  <c r="E12" i="141" s="1"/>
  <c r="D13" i="80"/>
  <c r="E70" i="1"/>
  <c r="E72" i="1" s="1"/>
  <c r="E109" i="1" s="1"/>
  <c r="E79" i="47" s="1"/>
  <c r="H69" i="1"/>
  <c r="F117" i="136"/>
  <c r="F117" i="137"/>
  <c r="I60" i="79"/>
  <c r="I57" i="79"/>
  <c r="F103" i="136"/>
  <c r="BF109" i="139"/>
  <c r="BF108" i="139" s="1"/>
  <c r="BF15" i="139" s="1"/>
  <c r="BD108" i="139"/>
  <c r="BD14" i="139"/>
  <c r="BB16" i="139"/>
  <c r="BB22" i="139" s="1"/>
  <c r="BF99" i="139"/>
  <c r="BF94" i="139" s="1"/>
  <c r="BF14" i="139" s="1"/>
  <c r="BD94" i="139"/>
  <c r="E55" i="83"/>
  <c r="J55" i="83" s="1"/>
  <c r="BD13" i="139"/>
  <c r="AC49" i="137"/>
  <c r="AC46" i="137"/>
  <c r="AC48" i="136"/>
  <c r="AC48" i="137"/>
  <c r="AC41" i="136"/>
  <c r="AC47" i="136"/>
  <c r="AC14" i="138"/>
  <c r="I106" i="1" s="1"/>
  <c r="I76" i="47" s="1"/>
  <c r="AC43" i="137"/>
  <c r="E74" i="136"/>
  <c r="D73" i="136"/>
  <c r="D75" i="137"/>
  <c r="E75" i="136"/>
  <c r="D68" i="136"/>
  <c r="E71" i="136"/>
  <c r="E67" i="137"/>
  <c r="E70" i="136"/>
  <c r="D71" i="136"/>
  <c r="E75" i="137"/>
  <c r="D15" i="138"/>
  <c r="E68" i="136"/>
  <c r="E63" i="137"/>
  <c r="E74" i="137"/>
  <c r="D70" i="137"/>
  <c r="D72" i="136"/>
  <c r="E67" i="136"/>
  <c r="D74" i="137"/>
  <c r="D74" i="136"/>
  <c r="AC74" i="136" s="1"/>
  <c r="E69" i="136"/>
  <c r="D66" i="136"/>
  <c r="E66" i="136"/>
  <c r="E72" i="137"/>
  <c r="E71" i="137"/>
  <c r="D65" i="136"/>
  <c r="E15" i="138"/>
  <c r="E73" i="137"/>
  <c r="D72" i="137"/>
  <c r="D68" i="137"/>
  <c r="D64" i="136"/>
  <c r="E64" i="136"/>
  <c r="E68" i="137"/>
  <c r="D69" i="136"/>
  <c r="E65" i="137"/>
  <c r="E66" i="137"/>
  <c r="D71" i="137"/>
  <c r="E69" i="137"/>
  <c r="D67" i="137"/>
  <c r="D66" i="137"/>
  <c r="E63" i="136"/>
  <c r="D69" i="137"/>
  <c r="D64" i="137"/>
  <c r="D75" i="136"/>
  <c r="D63" i="136"/>
  <c r="D63" i="137"/>
  <c r="E73" i="136"/>
  <c r="E72" i="136"/>
  <c r="D65" i="137"/>
  <c r="E64" i="137"/>
  <c r="E70" i="137"/>
  <c r="D70" i="136"/>
  <c r="D67" i="136"/>
  <c r="D73" i="137"/>
  <c r="E65" i="136"/>
  <c r="F61" i="135"/>
  <c r="F75" i="135" s="1"/>
  <c r="F85" i="135" s="1"/>
  <c r="AC38" i="137"/>
  <c r="D51" i="137"/>
  <c r="AC47" i="137"/>
  <c r="AC40" i="136"/>
  <c r="I19" i="135"/>
  <c r="A20" i="135"/>
  <c r="E51" i="136"/>
  <c r="AC44" i="136"/>
  <c r="AC39" i="136"/>
  <c r="A43" i="135"/>
  <c r="I42" i="135"/>
  <c r="E51" i="137"/>
  <c r="AC40" i="137"/>
  <c r="AC43" i="136"/>
  <c r="AC46" i="136"/>
  <c r="I66" i="135"/>
  <c r="A67" i="135"/>
  <c r="I4" i="47"/>
  <c r="E88" i="136"/>
  <c r="M31" i="84"/>
  <c r="I4" i="1"/>
  <c r="E88" i="137"/>
  <c r="F38" i="138"/>
  <c r="D26" i="138"/>
  <c r="M13" i="84"/>
  <c r="M12" i="84"/>
  <c r="G115" i="136"/>
  <c r="G102" i="137"/>
  <c r="E87" i="137"/>
  <c r="M23" i="84"/>
  <c r="F50" i="138"/>
  <c r="M17" i="84"/>
  <c r="E87" i="136"/>
  <c r="G115" i="137"/>
  <c r="G116" i="136"/>
  <c r="G116" i="137"/>
  <c r="M18" i="84"/>
  <c r="M22" i="84"/>
  <c r="M21" i="84"/>
  <c r="G101" i="137"/>
  <c r="G102" i="136"/>
  <c r="AC50" i="136"/>
  <c r="I8" i="1" s="1"/>
  <c r="AC45" i="137"/>
  <c r="AC42" i="136"/>
  <c r="AC38" i="136"/>
  <c r="D51" i="136"/>
  <c r="AC44" i="137"/>
  <c r="AC49" i="136"/>
  <c r="AC45" i="136"/>
  <c r="A17" i="126" l="1"/>
  <c r="E16" i="126"/>
  <c r="BF16" i="139"/>
  <c r="BF22" i="139" s="1"/>
  <c r="BD16" i="139"/>
  <c r="BD22" i="139" s="1"/>
  <c r="C47" i="83" s="1"/>
  <c r="D59" i="83" s="1"/>
  <c r="I59" i="83" s="1"/>
  <c r="AC64" i="137"/>
  <c r="AC73" i="137"/>
  <c r="AC67" i="136"/>
  <c r="E119" i="80"/>
  <c r="D114" i="80"/>
  <c r="I114" i="80" s="1"/>
  <c r="D108" i="80"/>
  <c r="I108" i="80" s="1"/>
  <c r="D116" i="80"/>
  <c r="I116" i="80" s="1"/>
  <c r="E23" i="1"/>
  <c r="I23" i="1" s="1"/>
  <c r="D109" i="80"/>
  <c r="I109" i="80" s="1"/>
  <c r="D115" i="80"/>
  <c r="I115" i="80" s="1"/>
  <c r="D118" i="80"/>
  <c r="I118" i="80" s="1"/>
  <c r="D111" i="80"/>
  <c r="I111" i="80" s="1"/>
  <c r="D107" i="80"/>
  <c r="D110" i="80"/>
  <c r="I110" i="80" s="1"/>
  <c r="D113" i="80"/>
  <c r="I113" i="80" s="1"/>
  <c r="D117" i="80"/>
  <c r="I117" i="80" s="1"/>
  <c r="D112" i="80"/>
  <c r="I112" i="80" s="1"/>
  <c r="E75" i="47"/>
  <c r="E15" i="47" s="1"/>
  <c r="E15" i="1"/>
  <c r="I15" i="1" s="1"/>
  <c r="H60" i="79"/>
  <c r="F60" i="79" s="1"/>
  <c r="E14" i="1" s="1"/>
  <c r="I14" i="1" s="1"/>
  <c r="H57" i="79"/>
  <c r="F57" i="79" s="1"/>
  <c r="E14" i="47" s="1"/>
  <c r="I14" i="47" s="1"/>
  <c r="AC75" i="136"/>
  <c r="J8" i="1" s="1"/>
  <c r="AC68" i="136"/>
  <c r="AC72" i="136"/>
  <c r="AC67" i="137"/>
  <c r="AC64" i="136"/>
  <c r="AC72" i="137"/>
  <c r="G103" i="136"/>
  <c r="AC66" i="136"/>
  <c r="AC51" i="137"/>
  <c r="I19" i="47" s="1"/>
  <c r="AC65" i="137"/>
  <c r="E76" i="136"/>
  <c r="AC51" i="136"/>
  <c r="I8" i="47" s="1"/>
  <c r="D128" i="137"/>
  <c r="E89" i="137"/>
  <c r="I66" i="1"/>
  <c r="I86" i="1"/>
  <c r="I13" i="1"/>
  <c r="I63" i="1"/>
  <c r="I81" i="1"/>
  <c r="I62" i="1"/>
  <c r="I57" i="1"/>
  <c r="I111" i="1"/>
  <c r="I64" i="1"/>
  <c r="I85" i="1"/>
  <c r="I112" i="1"/>
  <c r="I27" i="1"/>
  <c r="I105" i="1"/>
  <c r="I113" i="1"/>
  <c r="I65" i="1"/>
  <c r="I20" i="135"/>
  <c r="A21" i="135"/>
  <c r="AC63" i="137"/>
  <c r="D76" i="137"/>
  <c r="AC68" i="137"/>
  <c r="E76" i="137"/>
  <c r="G117" i="136"/>
  <c r="AC63" i="136"/>
  <c r="D76" i="136"/>
  <c r="AC71" i="137"/>
  <c r="G117" i="137"/>
  <c r="M11" i="84"/>
  <c r="D129" i="136"/>
  <c r="I9" i="1" s="1"/>
  <c r="I10" i="1" s="1"/>
  <c r="AC70" i="136"/>
  <c r="AC15" i="138"/>
  <c r="J106" i="1" s="1"/>
  <c r="AC75" i="137"/>
  <c r="J19" i="1" s="1"/>
  <c r="D128" i="136"/>
  <c r="E89" i="136"/>
  <c r="I13" i="47"/>
  <c r="I27" i="47"/>
  <c r="I43" i="135"/>
  <c r="A44" i="135"/>
  <c r="AC74" i="137"/>
  <c r="AC73" i="136"/>
  <c r="H8" i="1"/>
  <c r="G103" i="137"/>
  <c r="C61" i="138"/>
  <c r="I107" i="1" s="1"/>
  <c r="A68" i="135"/>
  <c r="I67" i="135"/>
  <c r="AC69" i="137"/>
  <c r="AC69" i="136"/>
  <c r="AC65" i="136"/>
  <c r="AC71" i="136"/>
  <c r="D129" i="137"/>
  <c r="I20" i="1" s="1"/>
  <c r="F88" i="137"/>
  <c r="N17" i="84"/>
  <c r="O17" i="84" s="1"/>
  <c r="H101" i="136"/>
  <c r="H102" i="136"/>
  <c r="N31" i="84"/>
  <c r="O31" i="84" s="1"/>
  <c r="F87" i="136"/>
  <c r="E26" i="138"/>
  <c r="N13" i="84"/>
  <c r="O13" i="84" s="1"/>
  <c r="N12" i="84"/>
  <c r="O12" i="84" s="1"/>
  <c r="H115" i="136"/>
  <c r="F88" i="136"/>
  <c r="G50" i="138"/>
  <c r="J4" i="47"/>
  <c r="H115" i="137"/>
  <c r="H102" i="137"/>
  <c r="N23" i="84"/>
  <c r="O23" i="84" s="1"/>
  <c r="J4" i="1"/>
  <c r="N18" i="84"/>
  <c r="O18" i="84" s="1"/>
  <c r="N22" i="84"/>
  <c r="O22" i="84" s="1"/>
  <c r="N21" i="84"/>
  <c r="O21" i="84" s="1"/>
  <c r="H101" i="137"/>
  <c r="H116" i="136"/>
  <c r="F87" i="137"/>
  <c r="H116" i="137"/>
  <c r="G38" i="138"/>
  <c r="AC66" i="137"/>
  <c r="AC70" i="137"/>
  <c r="E17" i="126" l="1"/>
  <c r="A18" i="126"/>
  <c r="E68" i="83"/>
  <c r="D63" i="83"/>
  <c r="I63" i="83" s="1"/>
  <c r="D64" i="83"/>
  <c r="I64" i="83" s="1"/>
  <c r="D65" i="83"/>
  <c r="I65" i="83" s="1"/>
  <c r="D60" i="83"/>
  <c r="I60" i="83" s="1"/>
  <c r="D61" i="83"/>
  <c r="I61" i="83" s="1"/>
  <c r="D58" i="83"/>
  <c r="I58" i="83" s="1"/>
  <c r="D67" i="83"/>
  <c r="I67" i="83" s="1"/>
  <c r="D62" i="83"/>
  <c r="I62" i="83" s="1"/>
  <c r="D56" i="83"/>
  <c r="I56" i="83" s="1"/>
  <c r="J56" i="83" s="1"/>
  <c r="D57" i="83"/>
  <c r="I57" i="83" s="1"/>
  <c r="E24" i="1"/>
  <c r="I24" i="1" s="1"/>
  <c r="I25" i="1" s="1"/>
  <c r="D66" i="83"/>
  <c r="I66" i="83" s="1"/>
  <c r="E16" i="47"/>
  <c r="E16" i="1"/>
  <c r="I15" i="47"/>
  <c r="I16" i="47" s="1"/>
  <c r="I107" i="80"/>
  <c r="J107" i="80" s="1"/>
  <c r="J108" i="80" s="1"/>
  <c r="J109" i="80" s="1"/>
  <c r="J110" i="80" s="1"/>
  <c r="J111" i="80" s="1"/>
  <c r="J112" i="80" s="1"/>
  <c r="J113" i="80" s="1"/>
  <c r="J114" i="80" s="1"/>
  <c r="J115" i="80" s="1"/>
  <c r="J116" i="80" s="1"/>
  <c r="J117" i="80" s="1"/>
  <c r="J118" i="80" s="1"/>
  <c r="J120" i="80" s="1"/>
  <c r="D21" i="80" s="1"/>
  <c r="E23" i="47" s="1"/>
  <c r="I23" i="47" s="1"/>
  <c r="E107" i="80"/>
  <c r="E108" i="80" s="1"/>
  <c r="E109" i="80" s="1"/>
  <c r="E110" i="80" s="1"/>
  <c r="E111" i="80" s="1"/>
  <c r="E112" i="80" s="1"/>
  <c r="E113" i="80" s="1"/>
  <c r="E114" i="80" s="1"/>
  <c r="E115" i="80" s="1"/>
  <c r="E116" i="80" s="1"/>
  <c r="E117" i="80" s="1"/>
  <c r="E118" i="80" s="1"/>
  <c r="I75" i="47"/>
  <c r="AC76" i="137"/>
  <c r="J19" i="47" s="1"/>
  <c r="H19" i="47" s="1"/>
  <c r="H103" i="136"/>
  <c r="E129" i="136"/>
  <c r="J9" i="1" s="1"/>
  <c r="J10" i="1" s="1"/>
  <c r="H10" i="1" s="1"/>
  <c r="H117" i="136"/>
  <c r="E129" i="137"/>
  <c r="J20" i="1" s="1"/>
  <c r="H20" i="1" s="1"/>
  <c r="D130" i="136"/>
  <c r="I9" i="47" s="1"/>
  <c r="I10" i="47" s="1"/>
  <c r="E5" i="84"/>
  <c r="I74" i="47"/>
  <c r="I104" i="1"/>
  <c r="I67" i="1"/>
  <c r="I82" i="47"/>
  <c r="N11" i="84"/>
  <c r="O11" i="84" s="1"/>
  <c r="G5" i="84" s="1"/>
  <c r="H19" i="1"/>
  <c r="I87" i="1"/>
  <c r="D130" i="137"/>
  <c r="I20" i="47" s="1"/>
  <c r="I21" i="1"/>
  <c r="J76" i="47"/>
  <c r="H76" i="47" s="1"/>
  <c r="H106" i="1"/>
  <c r="A22" i="135"/>
  <c r="I21" i="135"/>
  <c r="E128" i="137"/>
  <c r="F89" i="137"/>
  <c r="D61" i="138"/>
  <c r="J107" i="1" s="1"/>
  <c r="J77" i="47" s="1"/>
  <c r="AC76" i="136"/>
  <c r="J8" i="47" s="1"/>
  <c r="H8" i="47" s="1"/>
  <c r="I81" i="47"/>
  <c r="I82" i="1"/>
  <c r="J64" i="1"/>
  <c r="H64" i="1" s="1"/>
  <c r="J57" i="1"/>
  <c r="J59" i="1" s="1"/>
  <c r="J23" i="1"/>
  <c r="H23" i="1" s="1"/>
  <c r="J65" i="1"/>
  <c r="H65" i="1" s="1"/>
  <c r="J85" i="1"/>
  <c r="J63" i="1"/>
  <c r="H63" i="1" s="1"/>
  <c r="J113" i="1"/>
  <c r="J83" i="47" s="1"/>
  <c r="J86" i="1"/>
  <c r="H86" i="1" s="1"/>
  <c r="J15" i="1"/>
  <c r="H15" i="1" s="1"/>
  <c r="J112" i="1"/>
  <c r="J82" i="47" s="1"/>
  <c r="J111" i="1"/>
  <c r="J81" i="47" s="1"/>
  <c r="J14" i="1"/>
  <c r="H14" i="1" s="1"/>
  <c r="J66" i="1"/>
  <c r="H66" i="1" s="1"/>
  <c r="J81" i="1"/>
  <c r="J82" i="1" s="1"/>
  <c r="J13" i="1"/>
  <c r="H13" i="1" s="1"/>
  <c r="J27" i="1"/>
  <c r="H27" i="1" s="1"/>
  <c r="J105" i="1"/>
  <c r="H105" i="1" s="1"/>
  <c r="J62" i="1"/>
  <c r="H117" i="137"/>
  <c r="F89" i="136"/>
  <c r="E128" i="136"/>
  <c r="I68" i="135"/>
  <c r="A69" i="135"/>
  <c r="I44" i="135"/>
  <c r="A45" i="135"/>
  <c r="I59" i="1"/>
  <c r="H103" i="137"/>
  <c r="J27" i="47"/>
  <c r="H27" i="47" s="1"/>
  <c r="J13" i="47"/>
  <c r="H13" i="47" s="1"/>
  <c r="J14" i="47"/>
  <c r="H14" i="47" s="1"/>
  <c r="J15" i="47"/>
  <c r="H15" i="47" s="1"/>
  <c r="J75" i="47"/>
  <c r="I77" i="47"/>
  <c r="I83" i="47"/>
  <c r="I16" i="1"/>
  <c r="E18" i="126" l="1"/>
  <c r="A20" i="126"/>
  <c r="E20" i="126" s="1"/>
  <c r="J57" i="83"/>
  <c r="J58" i="83" s="1"/>
  <c r="J59" i="83" s="1"/>
  <c r="J60" i="83" s="1"/>
  <c r="J61" i="83" s="1"/>
  <c r="J62" i="83" s="1"/>
  <c r="J63" i="83" s="1"/>
  <c r="J64" i="83" s="1"/>
  <c r="J65" i="83" s="1"/>
  <c r="J66" i="83" s="1"/>
  <c r="J67" i="83" s="1"/>
  <c r="J69" i="83" s="1"/>
  <c r="C48" i="83" s="1"/>
  <c r="E24" i="47" s="1"/>
  <c r="J24" i="47" s="1"/>
  <c r="E25" i="1"/>
  <c r="E56" i="83"/>
  <c r="E57" i="83" s="1"/>
  <c r="E58" i="83" s="1"/>
  <c r="E59" i="83" s="1"/>
  <c r="E60" i="83" s="1"/>
  <c r="E61" i="83" s="1"/>
  <c r="E62" i="83" s="1"/>
  <c r="E63" i="83" s="1"/>
  <c r="E64" i="83" s="1"/>
  <c r="E65" i="83" s="1"/>
  <c r="E66" i="83" s="1"/>
  <c r="E67" i="83" s="1"/>
  <c r="J24" i="1"/>
  <c r="H24" i="1" s="1"/>
  <c r="H83" i="47"/>
  <c r="J23" i="47"/>
  <c r="H23" i="47" s="1"/>
  <c r="H75" i="47"/>
  <c r="E130" i="136"/>
  <c r="J9" i="47" s="1"/>
  <c r="H9" i="47" s="1"/>
  <c r="H9" i="1"/>
  <c r="J21" i="1"/>
  <c r="H21" i="1" s="1"/>
  <c r="H59" i="1"/>
  <c r="H113" i="1"/>
  <c r="E130" i="137"/>
  <c r="J20" i="47" s="1"/>
  <c r="J21" i="47" s="1"/>
  <c r="J67" i="1"/>
  <c r="J70" i="1" s="1"/>
  <c r="J72" i="1" s="1"/>
  <c r="J109" i="1" s="1"/>
  <c r="J79" i="47" s="1"/>
  <c r="H107" i="1"/>
  <c r="H77" i="47"/>
  <c r="H57" i="1"/>
  <c r="J87" i="1"/>
  <c r="H87" i="1" s="1"/>
  <c r="H81" i="1"/>
  <c r="I63" i="47"/>
  <c r="I97" i="1"/>
  <c r="H85" i="1"/>
  <c r="I98" i="1"/>
  <c r="I64" i="47"/>
  <c r="H82" i="1"/>
  <c r="H82" i="47"/>
  <c r="A46" i="135"/>
  <c r="I45" i="135"/>
  <c r="H81" i="47"/>
  <c r="H112" i="1"/>
  <c r="J16" i="47"/>
  <c r="H16" i="47" s="1"/>
  <c r="H111" i="1"/>
  <c r="I69" i="135"/>
  <c r="A70" i="135"/>
  <c r="J16" i="1"/>
  <c r="H62" i="1"/>
  <c r="J98" i="1"/>
  <c r="J64" i="47"/>
  <c r="I21" i="47"/>
  <c r="I70" i="1"/>
  <c r="A23" i="135"/>
  <c r="I22" i="135"/>
  <c r="F5" i="84"/>
  <c r="J74" i="47"/>
  <c r="J104" i="1"/>
  <c r="H104" i="1" s="1"/>
  <c r="E25" i="47" l="1"/>
  <c r="I24" i="47"/>
  <c r="I25" i="47" s="1"/>
  <c r="J25" i="1"/>
  <c r="H25" i="1" s="1"/>
  <c r="J10" i="47"/>
  <c r="H10" i="47" s="1"/>
  <c r="J25" i="47"/>
  <c r="H21" i="47"/>
  <c r="H20" i="47"/>
  <c r="H67" i="1"/>
  <c r="J63" i="47"/>
  <c r="H63" i="47" s="1"/>
  <c r="H98" i="1"/>
  <c r="J97" i="1"/>
  <c r="H97" i="1" s="1"/>
  <c r="H64" i="47"/>
  <c r="I72" i="1"/>
  <c r="H70" i="1"/>
  <c r="H16" i="1"/>
  <c r="A47" i="135"/>
  <c r="I46" i="135"/>
  <c r="A71" i="135"/>
  <c r="I70" i="135"/>
  <c r="I23" i="135"/>
  <c r="A24" i="135"/>
  <c r="H74" i="47"/>
  <c r="H25" i="47" l="1"/>
  <c r="H24" i="47"/>
  <c r="I24" i="135"/>
  <c r="A25" i="135"/>
  <c r="A72" i="135"/>
  <c r="I71" i="135"/>
  <c r="I47" i="135"/>
  <c r="A48" i="135"/>
  <c r="I109" i="1"/>
  <c r="H72" i="1"/>
  <c r="I79" i="47" l="1"/>
  <c r="H79" i="47" s="1"/>
  <c r="H109" i="1"/>
  <c r="A26" i="135"/>
  <c r="I25" i="135"/>
  <c r="I48" i="135"/>
  <c r="A49" i="135"/>
  <c r="A73" i="135"/>
  <c r="I72" i="135"/>
  <c r="A27" i="135" l="1"/>
  <c r="I27" i="135" s="1"/>
  <c r="I26" i="135"/>
  <c r="I73" i="135"/>
  <c r="A74" i="135"/>
  <c r="A50" i="135"/>
  <c r="I49" i="135"/>
  <c r="A51" i="135" l="1"/>
  <c r="I51" i="135" s="1"/>
  <c r="I50" i="135"/>
  <c r="I74" i="135"/>
  <c r="A75" i="135"/>
  <c r="I75" i="135" s="1"/>
  <c r="E90" i="141"/>
  <c r="E26" i="47" l="1"/>
  <c r="E72" i="141"/>
  <c r="E26" i="1"/>
  <c r="D72" i="141"/>
  <c r="I26" i="1" l="1"/>
  <c r="J26" i="1"/>
  <c r="J29" i="1" s="1"/>
  <c r="E29" i="1"/>
  <c r="I26" i="47"/>
  <c r="J26" i="47"/>
  <c r="J29" i="47" s="1"/>
  <c r="E29" i="47"/>
  <c r="E46" i="47" l="1"/>
  <c r="E78" i="47" s="1"/>
  <c r="E60" i="47"/>
  <c r="E55" i="47" s="1"/>
  <c r="E80" i="47" s="1"/>
  <c r="J46" i="47"/>
  <c r="J78" i="47" s="1"/>
  <c r="J60" i="47"/>
  <c r="J55" i="47" s="1"/>
  <c r="J80" i="47" s="1"/>
  <c r="H26" i="47"/>
  <c r="I29" i="47"/>
  <c r="E52" i="1"/>
  <c r="E108" i="1" s="1"/>
  <c r="E94" i="1"/>
  <c r="E89" i="1" s="1"/>
  <c r="E110" i="1" s="1"/>
  <c r="J52" i="1"/>
  <c r="J108" i="1" s="1"/>
  <c r="J94" i="1"/>
  <c r="J89" i="1" s="1"/>
  <c r="J110" i="1" s="1"/>
  <c r="H26" i="1"/>
  <c r="I29" i="1"/>
  <c r="H29" i="1" l="1"/>
  <c r="I52" i="1"/>
  <c r="I94" i="1"/>
  <c r="J114" i="1"/>
  <c r="J119" i="1" s="1"/>
  <c r="J121" i="1" s="1"/>
  <c r="C22" i="106" s="1"/>
  <c r="E114" i="1"/>
  <c r="E119" i="1" s="1"/>
  <c r="E121" i="1" s="1"/>
  <c r="C9" i="125" s="1"/>
  <c r="C13" i="125"/>
  <c r="C14" i="125" s="1"/>
  <c r="H29" i="47"/>
  <c r="I46" i="47"/>
  <c r="I60" i="47"/>
  <c r="J84" i="47"/>
  <c r="J89" i="47" s="1"/>
  <c r="J91" i="47" s="1"/>
  <c r="C29" i="108" s="1"/>
  <c r="E84" i="47"/>
  <c r="E89" i="47" s="1"/>
  <c r="E91" i="47" s="1"/>
  <c r="C32" i="108" l="1"/>
  <c r="C34" i="108" s="1"/>
  <c r="C45" i="108" s="1"/>
  <c r="D32" i="108"/>
  <c r="D34" i="108" s="1"/>
  <c r="D45" i="108" s="1"/>
  <c r="E32" i="108"/>
  <c r="E34" i="108" s="1"/>
  <c r="E45" i="108" s="1"/>
  <c r="I55" i="47"/>
  <c r="H60" i="47"/>
  <c r="H46" i="47"/>
  <c r="I78" i="47"/>
  <c r="C15" i="125"/>
  <c r="C16" i="125" s="1"/>
  <c r="C17" i="125" s="1"/>
  <c r="C5" i="125" s="1"/>
  <c r="C26" i="106"/>
  <c r="D26" i="106"/>
  <c r="I89" i="1"/>
  <c r="H94" i="1"/>
  <c r="H52" i="1"/>
  <c r="I108" i="1"/>
  <c r="H108" i="1" l="1"/>
  <c r="H89" i="1"/>
  <c r="I110" i="1"/>
  <c r="H78" i="47"/>
  <c r="H55" i="47"/>
  <c r="I80" i="47"/>
  <c r="H80" i="47" l="1"/>
  <c r="I84" i="47"/>
  <c r="H110" i="1"/>
  <c r="I114" i="1"/>
  <c r="H114" i="1" l="1"/>
  <c r="I119" i="1"/>
  <c r="H84" i="47"/>
  <c r="I89" i="47"/>
  <c r="H89" i="47" l="1"/>
  <c r="I91" i="47"/>
  <c r="H119" i="1"/>
  <c r="H121" i="1" s="1"/>
  <c r="I121" i="1"/>
  <c r="C7" i="106" s="1"/>
  <c r="C14" i="106" l="1"/>
  <c r="D14" i="106"/>
  <c r="E14" i="106"/>
  <c r="F14" i="106"/>
  <c r="G14" i="106"/>
  <c r="H14" i="106"/>
  <c r="H17" i="106" s="1"/>
  <c r="H91" i="47"/>
  <c r="C17" i="108"/>
  <c r="C23" i="108" l="1"/>
  <c r="D23" i="108"/>
  <c r="E23" i="108"/>
  <c r="F23" i="108"/>
  <c r="G23" i="108"/>
  <c r="H23" i="108"/>
  <c r="I23" i="108"/>
  <c r="I26" i="108" s="1"/>
  <c r="I40" i="108" s="1"/>
  <c r="G15" i="106"/>
  <c r="F15" i="106"/>
  <c r="E15" i="106"/>
  <c r="D15" i="106"/>
  <c r="C15" i="106"/>
  <c r="C36" i="106"/>
  <c r="C38" i="106" s="1"/>
  <c r="H24" i="108" l="1"/>
  <c r="H26" i="108" s="1"/>
  <c r="H40" i="108" s="1"/>
  <c r="H42" i="108" s="1"/>
  <c r="G24" i="108"/>
  <c r="G26" i="108" s="1"/>
  <c r="G40" i="108" s="1"/>
  <c r="F24" i="108"/>
  <c r="F26" i="108" s="1"/>
  <c r="F40" i="108" s="1"/>
  <c r="F42" i="108" s="1"/>
  <c r="E24" i="108"/>
  <c r="E26" i="108" s="1"/>
  <c r="E40" i="108" s="1"/>
  <c r="E42" i="108" s="1"/>
  <c r="D24" i="108"/>
  <c r="D26" i="108" s="1"/>
  <c r="D40" i="108" s="1"/>
  <c r="C24" i="108"/>
  <c r="C26" i="108" s="1"/>
  <c r="C40" i="108" s="1"/>
  <c r="C42" i="108" l="1"/>
  <c r="C46" i="108"/>
  <c r="C47" i="108" s="1"/>
  <c r="C49" i="108" s="1"/>
  <c r="D42" i="108"/>
  <c r="D46" i="108" s="1"/>
  <c r="D47" i="108" s="1"/>
  <c r="D49" i="108" s="1"/>
  <c r="D197" i="108"/>
  <c r="F197" i="108" s="1"/>
  <c r="D198" i="108"/>
  <c r="F198" i="108" s="1"/>
  <c r="D199" i="108"/>
  <c r="F199" i="108" s="1"/>
  <c r="D200" i="108"/>
  <c r="F200" i="108" s="1"/>
  <c r="D201" i="108"/>
  <c r="F201" i="108" s="1"/>
  <c r="D202" i="108"/>
  <c r="F202" i="108" s="1"/>
  <c r="D203" i="108"/>
  <c r="F203" i="108" s="1"/>
  <c r="D204" i="108"/>
  <c r="F204" i="108" s="1"/>
  <c r="D205" i="108"/>
  <c r="F205" i="108" s="1"/>
  <c r="D206" i="108"/>
  <c r="F206" i="108" s="1"/>
  <c r="D207" i="108"/>
  <c r="F207" i="108" s="1"/>
  <c r="D208" i="108"/>
  <c r="F208" i="108" s="1"/>
  <c r="D229" i="108"/>
  <c r="F229" i="108" s="1"/>
  <c r="D230" i="108"/>
  <c r="F230" i="108" s="1"/>
  <c r="D231" i="108"/>
  <c r="F231" i="108" s="1"/>
  <c r="D232" i="108"/>
  <c r="F232" i="108" s="1"/>
  <c r="D233" i="108"/>
  <c r="F233" i="108" s="1"/>
  <c r="D234" i="108"/>
  <c r="F234" i="108" s="1"/>
  <c r="D235" i="108"/>
  <c r="F235" i="108" s="1"/>
  <c r="D236" i="108"/>
  <c r="F236" i="108" s="1"/>
  <c r="D237" i="108"/>
  <c r="F237" i="108" s="1"/>
  <c r="D238" i="108"/>
  <c r="F238" i="108" s="1"/>
  <c r="D239" i="108"/>
  <c r="F239" i="108" s="1"/>
  <c r="D240" i="108"/>
  <c r="F240" i="108" s="1"/>
  <c r="G42" i="108"/>
  <c r="E46" i="108" s="1"/>
  <c r="E47" i="108" s="1"/>
  <c r="E49" i="108" s="1"/>
  <c r="D323" i="108"/>
  <c r="F323" i="108" s="1"/>
  <c r="D324" i="108"/>
  <c r="F324" i="108" s="1"/>
  <c r="D325" i="108"/>
  <c r="F325" i="108" s="1"/>
  <c r="D326" i="108"/>
  <c r="F326" i="108" s="1"/>
  <c r="D327" i="108"/>
  <c r="F327" i="108" s="1"/>
  <c r="D328" i="108"/>
  <c r="F328" i="108" s="1"/>
  <c r="D329" i="108"/>
  <c r="F329" i="108" s="1"/>
  <c r="D330" i="108"/>
  <c r="F330" i="108" s="1"/>
  <c r="D331" i="108"/>
  <c r="F331" i="108" s="1"/>
  <c r="D332" i="108"/>
  <c r="F332" i="108" s="1"/>
  <c r="D333" i="108"/>
  <c r="F333" i="108" s="1"/>
  <c r="D334" i="108"/>
  <c r="F334" i="108" s="1"/>
  <c r="G323" i="108" l="1"/>
  <c r="I323" i="108"/>
  <c r="J323" i="108" s="1"/>
  <c r="D291" i="108"/>
  <c r="F291" i="108" s="1"/>
  <c r="D292" i="108"/>
  <c r="F292" i="108" s="1"/>
  <c r="D293" i="108"/>
  <c r="F293" i="108" s="1"/>
  <c r="D294" i="108"/>
  <c r="F294" i="108" s="1"/>
  <c r="D295" i="108"/>
  <c r="F295" i="108" s="1"/>
  <c r="D296" i="108"/>
  <c r="F296" i="108" s="1"/>
  <c r="D297" i="108"/>
  <c r="F297" i="108" s="1"/>
  <c r="D298" i="108"/>
  <c r="F298" i="108" s="1"/>
  <c r="D299" i="108"/>
  <c r="F299" i="108" s="1"/>
  <c r="D300" i="108"/>
  <c r="F300" i="108" s="1"/>
  <c r="D301" i="108"/>
  <c r="F301" i="108" s="1"/>
  <c r="D302" i="108"/>
  <c r="F302" i="108" s="1"/>
  <c r="D261" i="108"/>
  <c r="F261" i="108" s="1"/>
  <c r="D262" i="108"/>
  <c r="F262" i="108" s="1"/>
  <c r="D263" i="108"/>
  <c r="F263" i="108" s="1"/>
  <c r="D264" i="108"/>
  <c r="F264" i="108" s="1"/>
  <c r="D265" i="108"/>
  <c r="F265" i="108" s="1"/>
  <c r="D266" i="108"/>
  <c r="F266" i="108" s="1"/>
  <c r="D267" i="108"/>
  <c r="F267" i="108" s="1"/>
  <c r="D268" i="108"/>
  <c r="F268" i="108" s="1"/>
  <c r="D269" i="108"/>
  <c r="F269" i="108" s="1"/>
  <c r="D270" i="108"/>
  <c r="F270" i="108" s="1"/>
  <c r="D271" i="108"/>
  <c r="F271" i="108" s="1"/>
  <c r="D272" i="108"/>
  <c r="F272" i="108" s="1"/>
  <c r="G229" i="108"/>
  <c r="I229" i="108"/>
  <c r="J229" i="108" s="1"/>
  <c r="G197" i="108"/>
  <c r="I197" i="108"/>
  <c r="J197" i="108" s="1"/>
  <c r="D165" i="108"/>
  <c r="F165" i="108" s="1"/>
  <c r="D166" i="108"/>
  <c r="F166" i="108" s="1"/>
  <c r="D167" i="108"/>
  <c r="F167" i="108" s="1"/>
  <c r="D168" i="108"/>
  <c r="F168" i="108" s="1"/>
  <c r="D169" i="108"/>
  <c r="F169" i="108" s="1"/>
  <c r="D170" i="108"/>
  <c r="F170" i="108" s="1"/>
  <c r="D171" i="108"/>
  <c r="F171" i="108" s="1"/>
  <c r="D172" i="108"/>
  <c r="F172" i="108" s="1"/>
  <c r="D173" i="108"/>
  <c r="F173" i="108" s="1"/>
  <c r="D174" i="108"/>
  <c r="F174" i="108" s="1"/>
  <c r="D175" i="108"/>
  <c r="F175" i="108" s="1"/>
  <c r="D176" i="108"/>
  <c r="F176" i="108" s="1"/>
  <c r="D135" i="108"/>
  <c r="F135" i="108" s="1"/>
  <c r="D136" i="108"/>
  <c r="F136" i="108" s="1"/>
  <c r="D137" i="108"/>
  <c r="F137" i="108" s="1"/>
  <c r="D138" i="108"/>
  <c r="F138" i="108" s="1"/>
  <c r="D139" i="108"/>
  <c r="F139" i="108" s="1"/>
  <c r="D140" i="108"/>
  <c r="F140" i="108" s="1"/>
  <c r="D141" i="108"/>
  <c r="F141" i="108" s="1"/>
  <c r="D142" i="108"/>
  <c r="F142" i="108" s="1"/>
  <c r="D143" i="108"/>
  <c r="F143" i="108" s="1"/>
  <c r="D144" i="108"/>
  <c r="F144" i="108" s="1"/>
  <c r="D145" i="108"/>
  <c r="F145" i="108" s="1"/>
  <c r="D146" i="108"/>
  <c r="F146" i="108" s="1"/>
  <c r="D103" i="108"/>
  <c r="F103" i="108" s="1"/>
  <c r="D104" i="108"/>
  <c r="F104" i="108" s="1"/>
  <c r="D105" i="108"/>
  <c r="F105" i="108" s="1"/>
  <c r="D106" i="108"/>
  <c r="F106" i="108" s="1"/>
  <c r="D107" i="108"/>
  <c r="F107" i="108" s="1"/>
  <c r="D108" i="108"/>
  <c r="F108" i="108" s="1"/>
  <c r="D109" i="108"/>
  <c r="F109" i="108" s="1"/>
  <c r="D110" i="108"/>
  <c r="F110" i="108" s="1"/>
  <c r="D111" i="108"/>
  <c r="F111" i="108" s="1"/>
  <c r="D112" i="108"/>
  <c r="F112" i="108" s="1"/>
  <c r="D113" i="108"/>
  <c r="F113" i="108" s="1"/>
  <c r="D114" i="108"/>
  <c r="F114" i="108" s="1"/>
  <c r="D73" i="108"/>
  <c r="F73" i="108" s="1"/>
  <c r="D74" i="108"/>
  <c r="F74" i="108" s="1"/>
  <c r="D75" i="108"/>
  <c r="F75" i="108" s="1"/>
  <c r="D76" i="108"/>
  <c r="F76" i="108" s="1"/>
  <c r="D77" i="108"/>
  <c r="F77" i="108" s="1"/>
  <c r="D78" i="108"/>
  <c r="F78" i="108" s="1"/>
  <c r="D79" i="108"/>
  <c r="F79" i="108" s="1"/>
  <c r="D80" i="108"/>
  <c r="F80" i="108" s="1"/>
  <c r="D81" i="108"/>
  <c r="F81" i="108" s="1"/>
  <c r="D82" i="108"/>
  <c r="F82" i="108" s="1"/>
  <c r="D83" i="108"/>
  <c r="F83" i="108" s="1"/>
  <c r="D84" i="108"/>
  <c r="F84" i="108" s="1"/>
  <c r="G73" i="108" l="1"/>
  <c r="I73" i="108"/>
  <c r="J73" i="108" s="1"/>
  <c r="G103" i="108"/>
  <c r="I103" i="108"/>
  <c r="J103" i="108" s="1"/>
  <c r="G135" i="108"/>
  <c r="I135" i="108"/>
  <c r="J135" i="108" s="1"/>
  <c r="G165" i="108"/>
  <c r="I165" i="108"/>
  <c r="J165" i="108" s="1"/>
  <c r="K197" i="108"/>
  <c r="G198" i="108"/>
  <c r="I198" i="108"/>
  <c r="J198" i="108" s="1"/>
  <c r="K229" i="108"/>
  <c r="G230" i="108"/>
  <c r="I230" i="108"/>
  <c r="J230" i="108" s="1"/>
  <c r="G261" i="108"/>
  <c r="I261" i="108"/>
  <c r="J261" i="108" s="1"/>
  <c r="G291" i="108"/>
  <c r="I291" i="108"/>
  <c r="J291" i="108" s="1"/>
  <c r="K323" i="108"/>
  <c r="G324" i="108"/>
  <c r="I324" i="108"/>
  <c r="J324" i="108" s="1"/>
  <c r="K324" i="108" l="1"/>
  <c r="G325" i="108"/>
  <c r="I325" i="108"/>
  <c r="J325" i="108" s="1"/>
  <c r="K291" i="108"/>
  <c r="G292" i="108"/>
  <c r="I292" i="108"/>
  <c r="J292" i="108" s="1"/>
  <c r="K261" i="108"/>
  <c r="G262" i="108"/>
  <c r="I262" i="108"/>
  <c r="J262" i="108" s="1"/>
  <c r="K230" i="108"/>
  <c r="G231" i="108"/>
  <c r="I231" i="108"/>
  <c r="J231" i="108" s="1"/>
  <c r="K198" i="108"/>
  <c r="G199" i="108"/>
  <c r="I199" i="108"/>
  <c r="J199" i="108" s="1"/>
  <c r="K165" i="108"/>
  <c r="G166" i="108"/>
  <c r="I166" i="108"/>
  <c r="J166" i="108" s="1"/>
  <c r="K135" i="108"/>
  <c r="G136" i="108"/>
  <c r="I136" i="108"/>
  <c r="J136" i="108" s="1"/>
  <c r="K103" i="108"/>
  <c r="G104" i="108"/>
  <c r="I104" i="108"/>
  <c r="J104" i="108" s="1"/>
  <c r="K73" i="108"/>
  <c r="G74" i="108"/>
  <c r="I74" i="108"/>
  <c r="J74" i="108" s="1"/>
  <c r="K74" i="108" l="1"/>
  <c r="G75" i="108"/>
  <c r="I75" i="108"/>
  <c r="J75" i="108" s="1"/>
  <c r="K104" i="108"/>
  <c r="G105" i="108"/>
  <c r="I105" i="108"/>
  <c r="J105" i="108" s="1"/>
  <c r="K136" i="108"/>
  <c r="G137" i="108"/>
  <c r="I137" i="108"/>
  <c r="J137" i="108" s="1"/>
  <c r="K166" i="108"/>
  <c r="G167" i="108"/>
  <c r="I167" i="108"/>
  <c r="J167" i="108" s="1"/>
  <c r="K199" i="108"/>
  <c r="G200" i="108"/>
  <c r="I200" i="108"/>
  <c r="J200" i="108" s="1"/>
  <c r="K231" i="108"/>
  <c r="G232" i="108"/>
  <c r="I232" i="108"/>
  <c r="J232" i="108" s="1"/>
  <c r="K262" i="108"/>
  <c r="G263" i="108"/>
  <c r="I263" i="108"/>
  <c r="J263" i="108" s="1"/>
  <c r="K292" i="108"/>
  <c r="G293" i="108"/>
  <c r="I293" i="108"/>
  <c r="J293" i="108" s="1"/>
  <c r="K325" i="108"/>
  <c r="G326" i="108"/>
  <c r="I326" i="108"/>
  <c r="J326" i="108" s="1"/>
  <c r="K326" i="108" l="1"/>
  <c r="G327" i="108"/>
  <c r="I327" i="108"/>
  <c r="J327" i="108" s="1"/>
  <c r="K293" i="108"/>
  <c r="G294" i="108"/>
  <c r="I294" i="108"/>
  <c r="J294" i="108" s="1"/>
  <c r="K263" i="108"/>
  <c r="G264" i="108"/>
  <c r="I264" i="108"/>
  <c r="J264" i="108" s="1"/>
  <c r="K232" i="108"/>
  <c r="G233" i="108"/>
  <c r="I233" i="108"/>
  <c r="J233" i="108" s="1"/>
  <c r="K200" i="108"/>
  <c r="G201" i="108"/>
  <c r="I201" i="108"/>
  <c r="J201" i="108" s="1"/>
  <c r="K167" i="108"/>
  <c r="G168" i="108"/>
  <c r="I168" i="108"/>
  <c r="J168" i="108" s="1"/>
  <c r="K137" i="108"/>
  <c r="G138" i="108"/>
  <c r="I138" i="108"/>
  <c r="J138" i="108" s="1"/>
  <c r="K105" i="108"/>
  <c r="G106" i="108"/>
  <c r="I106" i="108"/>
  <c r="J106" i="108" s="1"/>
  <c r="K75" i="108"/>
  <c r="G76" i="108"/>
  <c r="I76" i="108"/>
  <c r="J76" i="108" s="1"/>
  <c r="K76" i="108" l="1"/>
  <c r="G77" i="108"/>
  <c r="I77" i="108"/>
  <c r="J77" i="108" s="1"/>
  <c r="K106" i="108"/>
  <c r="G107" i="108"/>
  <c r="I107" i="108"/>
  <c r="J107" i="108" s="1"/>
  <c r="K138" i="108"/>
  <c r="G139" i="108"/>
  <c r="I139" i="108"/>
  <c r="J139" i="108" s="1"/>
  <c r="K168" i="108"/>
  <c r="G169" i="108"/>
  <c r="I169" i="108"/>
  <c r="J169" i="108" s="1"/>
  <c r="K201" i="108"/>
  <c r="G202" i="108"/>
  <c r="I202" i="108"/>
  <c r="J202" i="108" s="1"/>
  <c r="K233" i="108"/>
  <c r="G234" i="108"/>
  <c r="I234" i="108"/>
  <c r="J234" i="108" s="1"/>
  <c r="K264" i="108"/>
  <c r="G265" i="108"/>
  <c r="I265" i="108"/>
  <c r="J265" i="108" s="1"/>
  <c r="K294" i="108"/>
  <c r="G295" i="108"/>
  <c r="I295" i="108"/>
  <c r="J295" i="108" s="1"/>
  <c r="K327" i="108"/>
  <c r="G328" i="108"/>
  <c r="I328" i="108"/>
  <c r="J328" i="108" s="1"/>
  <c r="K328" i="108" l="1"/>
  <c r="G329" i="108"/>
  <c r="I329" i="108"/>
  <c r="J329" i="108" s="1"/>
  <c r="K295" i="108"/>
  <c r="G296" i="108"/>
  <c r="I296" i="108"/>
  <c r="J296" i="108" s="1"/>
  <c r="K265" i="108"/>
  <c r="G266" i="108"/>
  <c r="I266" i="108"/>
  <c r="J266" i="108" s="1"/>
  <c r="K234" i="108"/>
  <c r="G235" i="108"/>
  <c r="I235" i="108"/>
  <c r="J235" i="108" s="1"/>
  <c r="K202" i="108"/>
  <c r="G203" i="108"/>
  <c r="I203" i="108"/>
  <c r="J203" i="108" s="1"/>
  <c r="K169" i="108"/>
  <c r="G170" i="108"/>
  <c r="I170" i="108"/>
  <c r="J170" i="108" s="1"/>
  <c r="K139" i="108"/>
  <c r="G140" i="108"/>
  <c r="I140" i="108"/>
  <c r="J140" i="108" s="1"/>
  <c r="K107" i="108"/>
  <c r="G108" i="108"/>
  <c r="I108" i="108"/>
  <c r="J108" i="108" s="1"/>
  <c r="K77" i="108"/>
  <c r="G78" i="108"/>
  <c r="I78" i="108"/>
  <c r="J78" i="108" s="1"/>
  <c r="K78" i="108" l="1"/>
  <c r="G79" i="108"/>
  <c r="I79" i="108"/>
  <c r="J79" i="108" s="1"/>
  <c r="K108" i="108"/>
  <c r="G109" i="108"/>
  <c r="I109" i="108"/>
  <c r="J109" i="108" s="1"/>
  <c r="K140" i="108"/>
  <c r="G141" i="108"/>
  <c r="I141" i="108"/>
  <c r="J141" i="108" s="1"/>
  <c r="K170" i="108"/>
  <c r="G171" i="108"/>
  <c r="I171" i="108"/>
  <c r="J171" i="108" s="1"/>
  <c r="K203" i="108"/>
  <c r="G204" i="108"/>
  <c r="I204" i="108"/>
  <c r="J204" i="108" s="1"/>
  <c r="K235" i="108"/>
  <c r="G236" i="108"/>
  <c r="I236" i="108"/>
  <c r="J236" i="108" s="1"/>
  <c r="K266" i="108"/>
  <c r="G267" i="108"/>
  <c r="I267" i="108"/>
  <c r="J267" i="108" s="1"/>
  <c r="K296" i="108"/>
  <c r="G297" i="108"/>
  <c r="I297" i="108"/>
  <c r="J297" i="108" s="1"/>
  <c r="K329" i="108"/>
  <c r="G330" i="108"/>
  <c r="I330" i="108"/>
  <c r="J330" i="108" s="1"/>
  <c r="K330" i="108" l="1"/>
  <c r="G331" i="108"/>
  <c r="I331" i="108"/>
  <c r="J331" i="108" s="1"/>
  <c r="K297" i="108"/>
  <c r="G298" i="108"/>
  <c r="I298" i="108"/>
  <c r="J298" i="108" s="1"/>
  <c r="K267" i="108"/>
  <c r="G268" i="108"/>
  <c r="I268" i="108"/>
  <c r="J268" i="108" s="1"/>
  <c r="K236" i="108"/>
  <c r="G237" i="108"/>
  <c r="I237" i="108"/>
  <c r="J237" i="108" s="1"/>
  <c r="K204" i="108"/>
  <c r="G205" i="108"/>
  <c r="I205" i="108"/>
  <c r="J205" i="108" s="1"/>
  <c r="K171" i="108"/>
  <c r="G172" i="108"/>
  <c r="I172" i="108"/>
  <c r="J172" i="108" s="1"/>
  <c r="K141" i="108"/>
  <c r="G142" i="108"/>
  <c r="I142" i="108"/>
  <c r="J142" i="108" s="1"/>
  <c r="K109" i="108"/>
  <c r="G110" i="108"/>
  <c r="I110" i="108"/>
  <c r="J110" i="108" s="1"/>
  <c r="K79" i="108"/>
  <c r="G80" i="108"/>
  <c r="I80" i="108"/>
  <c r="J80" i="108" s="1"/>
  <c r="K80" i="108" l="1"/>
  <c r="G81" i="108"/>
  <c r="I81" i="108"/>
  <c r="J81" i="108" s="1"/>
  <c r="K110" i="108"/>
  <c r="G111" i="108"/>
  <c r="I111" i="108"/>
  <c r="J111" i="108" s="1"/>
  <c r="K142" i="108"/>
  <c r="G143" i="108"/>
  <c r="I143" i="108"/>
  <c r="J143" i="108" s="1"/>
  <c r="K172" i="108"/>
  <c r="G173" i="108"/>
  <c r="I173" i="108"/>
  <c r="J173" i="108" s="1"/>
  <c r="K205" i="108"/>
  <c r="G206" i="108"/>
  <c r="I206" i="108"/>
  <c r="J206" i="108" s="1"/>
  <c r="K237" i="108"/>
  <c r="G238" i="108"/>
  <c r="I238" i="108"/>
  <c r="J238" i="108" s="1"/>
  <c r="K268" i="108"/>
  <c r="G269" i="108"/>
  <c r="I269" i="108"/>
  <c r="J269" i="108" s="1"/>
  <c r="K298" i="108"/>
  <c r="G299" i="108"/>
  <c r="I299" i="108"/>
  <c r="J299" i="108" s="1"/>
  <c r="K331" i="108"/>
  <c r="G332" i="108"/>
  <c r="I332" i="108"/>
  <c r="J332" i="108" s="1"/>
  <c r="K332" i="108" l="1"/>
  <c r="G333" i="108"/>
  <c r="I333" i="108"/>
  <c r="J333" i="108" s="1"/>
  <c r="K299" i="108"/>
  <c r="G300" i="108"/>
  <c r="I300" i="108"/>
  <c r="J300" i="108" s="1"/>
  <c r="K269" i="108"/>
  <c r="G270" i="108"/>
  <c r="I270" i="108"/>
  <c r="J270" i="108" s="1"/>
  <c r="K238" i="108"/>
  <c r="G239" i="108"/>
  <c r="I239" i="108"/>
  <c r="J239" i="108" s="1"/>
  <c r="K206" i="108"/>
  <c r="G207" i="108"/>
  <c r="I207" i="108"/>
  <c r="J207" i="108" s="1"/>
  <c r="K173" i="108"/>
  <c r="G174" i="108"/>
  <c r="I174" i="108"/>
  <c r="J174" i="108" s="1"/>
  <c r="K143" i="108"/>
  <c r="G144" i="108"/>
  <c r="I144" i="108"/>
  <c r="J144" i="108" s="1"/>
  <c r="K111" i="108"/>
  <c r="G112" i="108"/>
  <c r="I112" i="108"/>
  <c r="J112" i="108" s="1"/>
  <c r="K81" i="108"/>
  <c r="G82" i="108"/>
  <c r="I82" i="108"/>
  <c r="J82" i="108" s="1"/>
  <c r="K82" i="108" l="1"/>
  <c r="G83" i="108"/>
  <c r="I83" i="108"/>
  <c r="J83" i="108" s="1"/>
  <c r="K112" i="108"/>
  <c r="G113" i="108"/>
  <c r="I113" i="108"/>
  <c r="J113" i="108" s="1"/>
  <c r="K144" i="108"/>
  <c r="G145" i="108"/>
  <c r="I145" i="108"/>
  <c r="J145" i="108" s="1"/>
  <c r="K174" i="108"/>
  <c r="G175" i="108"/>
  <c r="I175" i="108"/>
  <c r="J175" i="108" s="1"/>
  <c r="K207" i="108"/>
  <c r="G208" i="108"/>
  <c r="I208" i="108"/>
  <c r="J208" i="108" s="1"/>
  <c r="K239" i="108"/>
  <c r="G240" i="108"/>
  <c r="I240" i="108"/>
  <c r="J240" i="108" s="1"/>
  <c r="K270" i="108"/>
  <c r="G271" i="108"/>
  <c r="I271" i="108"/>
  <c r="J271" i="108" s="1"/>
  <c r="K300" i="108"/>
  <c r="G301" i="108"/>
  <c r="I301" i="108"/>
  <c r="J301" i="108" s="1"/>
  <c r="K333" i="108"/>
  <c r="G334" i="108"/>
  <c r="I334" i="108"/>
  <c r="J334" i="108" s="1"/>
  <c r="K334" i="108" l="1"/>
  <c r="G335" i="108"/>
  <c r="I335" i="108"/>
  <c r="J335" i="108" s="1"/>
  <c r="K301" i="108"/>
  <c r="G302" i="108"/>
  <c r="I302" i="108"/>
  <c r="J302" i="108" s="1"/>
  <c r="K271" i="108"/>
  <c r="G272" i="108"/>
  <c r="I272" i="108"/>
  <c r="J272" i="108" s="1"/>
  <c r="K240" i="108"/>
  <c r="G241" i="108"/>
  <c r="I241" i="108"/>
  <c r="J241" i="108" s="1"/>
  <c r="K208" i="108"/>
  <c r="G209" i="108"/>
  <c r="I209" i="108"/>
  <c r="J209" i="108" s="1"/>
  <c r="K175" i="108"/>
  <c r="G176" i="108"/>
  <c r="I176" i="108"/>
  <c r="J176" i="108" s="1"/>
  <c r="K145" i="108"/>
  <c r="G146" i="108"/>
  <c r="I146" i="108"/>
  <c r="J146" i="108" s="1"/>
  <c r="K113" i="108"/>
  <c r="G114" i="108"/>
  <c r="I114" i="108"/>
  <c r="J114" i="108" s="1"/>
  <c r="K83" i="108"/>
  <c r="G84" i="108"/>
  <c r="I84" i="108"/>
  <c r="J84" i="108" s="1"/>
  <c r="K84" i="108" l="1"/>
  <c r="G85" i="108"/>
  <c r="I85" i="108"/>
  <c r="J85" i="108" s="1"/>
  <c r="K114" i="108"/>
  <c r="G115" i="108"/>
  <c r="I115" i="108"/>
  <c r="J115" i="108" s="1"/>
  <c r="K146" i="108"/>
  <c r="G147" i="108"/>
  <c r="I147" i="108"/>
  <c r="J147" i="108" s="1"/>
  <c r="K176" i="108"/>
  <c r="G177" i="108"/>
  <c r="I177" i="108"/>
  <c r="J177" i="108" s="1"/>
  <c r="K209" i="108"/>
  <c r="G210" i="108"/>
  <c r="I210" i="108"/>
  <c r="J210" i="108" s="1"/>
  <c r="K241" i="108"/>
  <c r="G242" i="108"/>
  <c r="I242" i="108"/>
  <c r="J242" i="108" s="1"/>
  <c r="K272" i="108"/>
  <c r="G273" i="108"/>
  <c r="I273" i="108"/>
  <c r="J273" i="108" s="1"/>
  <c r="K302" i="108"/>
  <c r="G303" i="108"/>
  <c r="I303" i="108"/>
  <c r="J303" i="108" s="1"/>
  <c r="K335" i="108"/>
  <c r="G336" i="108"/>
  <c r="I336" i="108"/>
  <c r="J336" i="108" s="1"/>
  <c r="K336" i="108" l="1"/>
  <c r="G337" i="108"/>
  <c r="I337" i="108"/>
  <c r="J337" i="108" s="1"/>
  <c r="K303" i="108"/>
  <c r="G304" i="108"/>
  <c r="I304" i="108"/>
  <c r="J304" i="108" s="1"/>
  <c r="K273" i="108"/>
  <c r="G274" i="108"/>
  <c r="I274" i="108"/>
  <c r="J274" i="108" s="1"/>
  <c r="K242" i="108"/>
  <c r="G243" i="108"/>
  <c r="I243" i="108"/>
  <c r="J243" i="108" s="1"/>
  <c r="K210" i="108"/>
  <c r="G211" i="108"/>
  <c r="I211" i="108"/>
  <c r="J211" i="108" s="1"/>
  <c r="K177" i="108"/>
  <c r="G178" i="108"/>
  <c r="I178" i="108"/>
  <c r="J178" i="108" s="1"/>
  <c r="K147" i="108"/>
  <c r="G148" i="108"/>
  <c r="I148" i="108"/>
  <c r="J148" i="108" s="1"/>
  <c r="K115" i="108"/>
  <c r="G116" i="108"/>
  <c r="I116" i="108"/>
  <c r="J116" i="108" s="1"/>
  <c r="K85" i="108"/>
  <c r="G86" i="108"/>
  <c r="I86" i="108"/>
  <c r="J86" i="108" s="1"/>
  <c r="K86" i="108" l="1"/>
  <c r="G87" i="108"/>
  <c r="I87" i="108"/>
  <c r="J87" i="108" s="1"/>
  <c r="K116" i="108"/>
  <c r="G117" i="108"/>
  <c r="I117" i="108"/>
  <c r="J117" i="108" s="1"/>
  <c r="K148" i="108"/>
  <c r="G149" i="108"/>
  <c r="I149" i="108"/>
  <c r="J149" i="108" s="1"/>
  <c r="K178" i="108"/>
  <c r="G179" i="108"/>
  <c r="I179" i="108"/>
  <c r="J179" i="108" s="1"/>
  <c r="K211" i="108"/>
  <c r="G212" i="108"/>
  <c r="I212" i="108"/>
  <c r="J212" i="108" s="1"/>
  <c r="K243" i="108"/>
  <c r="G244" i="108"/>
  <c r="I244" i="108"/>
  <c r="J244" i="108" s="1"/>
  <c r="K274" i="108"/>
  <c r="G275" i="108"/>
  <c r="I275" i="108"/>
  <c r="J275" i="108" s="1"/>
  <c r="K304" i="108"/>
  <c r="G305" i="108"/>
  <c r="I305" i="108"/>
  <c r="J305" i="108" s="1"/>
  <c r="K337" i="108"/>
  <c r="G338" i="108"/>
  <c r="I338" i="108"/>
  <c r="J338" i="108" s="1"/>
  <c r="K338" i="108" l="1"/>
  <c r="G339" i="108"/>
  <c r="I339" i="108"/>
  <c r="J339" i="108" s="1"/>
  <c r="K305" i="108"/>
  <c r="G306" i="108"/>
  <c r="I306" i="108"/>
  <c r="J306" i="108" s="1"/>
  <c r="K275" i="108"/>
  <c r="G276" i="108"/>
  <c r="I276" i="108"/>
  <c r="J276" i="108" s="1"/>
  <c r="K244" i="108"/>
  <c r="G245" i="108"/>
  <c r="I245" i="108"/>
  <c r="J245" i="108" s="1"/>
  <c r="K212" i="108"/>
  <c r="G213" i="108"/>
  <c r="I213" i="108"/>
  <c r="J213" i="108" s="1"/>
  <c r="K179" i="108"/>
  <c r="G180" i="108"/>
  <c r="I180" i="108"/>
  <c r="J180" i="108" s="1"/>
  <c r="K149" i="108"/>
  <c r="G150" i="108"/>
  <c r="I150" i="108"/>
  <c r="J150" i="108" s="1"/>
  <c r="K117" i="108"/>
  <c r="G118" i="108"/>
  <c r="I118" i="108"/>
  <c r="J118" i="108" s="1"/>
  <c r="K87" i="108"/>
  <c r="G88" i="108"/>
  <c r="I88" i="108"/>
  <c r="J88" i="108" s="1"/>
  <c r="K88" i="108" l="1"/>
  <c r="G89" i="108"/>
  <c r="I89" i="108"/>
  <c r="J89" i="108" s="1"/>
  <c r="K118" i="108"/>
  <c r="G119" i="108"/>
  <c r="I119" i="108"/>
  <c r="J119" i="108" s="1"/>
  <c r="K150" i="108"/>
  <c r="G151" i="108"/>
  <c r="I151" i="108"/>
  <c r="J151" i="108" s="1"/>
  <c r="K180" i="108"/>
  <c r="G181" i="108"/>
  <c r="I181" i="108"/>
  <c r="J181" i="108" s="1"/>
  <c r="K213" i="108"/>
  <c r="G214" i="108"/>
  <c r="I214" i="108"/>
  <c r="J214" i="108" s="1"/>
  <c r="K245" i="108"/>
  <c r="G246" i="108"/>
  <c r="I246" i="108"/>
  <c r="J246" i="108" s="1"/>
  <c r="K276" i="108"/>
  <c r="G277" i="108"/>
  <c r="I277" i="108"/>
  <c r="J277" i="108" s="1"/>
  <c r="K306" i="108"/>
  <c r="G307" i="108"/>
  <c r="I307" i="108"/>
  <c r="J307" i="108" s="1"/>
  <c r="K339" i="108"/>
  <c r="G340" i="108"/>
  <c r="I340" i="108"/>
  <c r="J340" i="108" s="1"/>
  <c r="K340" i="108" l="1"/>
  <c r="G341" i="108"/>
  <c r="I341" i="108"/>
  <c r="J341" i="108" s="1"/>
  <c r="K307" i="108"/>
  <c r="G308" i="108"/>
  <c r="I308" i="108"/>
  <c r="J308" i="108" s="1"/>
  <c r="K277" i="108"/>
  <c r="G278" i="108"/>
  <c r="I278" i="108"/>
  <c r="J278" i="108" s="1"/>
  <c r="K246" i="108"/>
  <c r="G247" i="108"/>
  <c r="I247" i="108"/>
  <c r="J247" i="108" s="1"/>
  <c r="K214" i="108"/>
  <c r="G215" i="108"/>
  <c r="I215" i="108"/>
  <c r="J215" i="108" s="1"/>
  <c r="K181" i="108"/>
  <c r="G182" i="108"/>
  <c r="I182" i="108"/>
  <c r="J182" i="108" s="1"/>
  <c r="K151" i="108"/>
  <c r="G152" i="108"/>
  <c r="I152" i="108"/>
  <c r="J152" i="108" s="1"/>
  <c r="K119" i="108"/>
  <c r="G120" i="108"/>
  <c r="I120" i="108"/>
  <c r="J120" i="108" s="1"/>
  <c r="K89" i="108"/>
  <c r="G90" i="108"/>
  <c r="I90" i="108"/>
  <c r="J90" i="108" s="1"/>
  <c r="K90" i="108" l="1"/>
  <c r="G91" i="108"/>
  <c r="I91" i="108"/>
  <c r="J91" i="108" s="1"/>
  <c r="K120" i="108"/>
  <c r="G121" i="108"/>
  <c r="I121" i="108"/>
  <c r="J121" i="108" s="1"/>
  <c r="K152" i="108"/>
  <c r="G153" i="108"/>
  <c r="I153" i="108"/>
  <c r="J153" i="108" s="1"/>
  <c r="K182" i="108"/>
  <c r="G183" i="108"/>
  <c r="I183" i="108"/>
  <c r="J183" i="108" s="1"/>
  <c r="K215" i="108"/>
  <c r="G216" i="108"/>
  <c r="I216" i="108"/>
  <c r="J216" i="108" s="1"/>
  <c r="K247" i="108"/>
  <c r="G248" i="108"/>
  <c r="I248" i="108"/>
  <c r="J248" i="108" s="1"/>
  <c r="K278" i="108"/>
  <c r="G279" i="108"/>
  <c r="I279" i="108"/>
  <c r="J279" i="108" s="1"/>
  <c r="K308" i="108"/>
  <c r="G309" i="108"/>
  <c r="I309" i="108"/>
  <c r="J309" i="108" s="1"/>
  <c r="K341" i="108"/>
  <c r="G342" i="108"/>
  <c r="I342" i="108"/>
  <c r="J342" i="108" s="1"/>
  <c r="K342" i="108" l="1"/>
  <c r="G343" i="108"/>
  <c r="I343" i="108"/>
  <c r="J343" i="108" s="1"/>
  <c r="K309" i="108"/>
  <c r="G310" i="108"/>
  <c r="I310" i="108"/>
  <c r="J310" i="108" s="1"/>
  <c r="K279" i="108"/>
  <c r="G280" i="108"/>
  <c r="I280" i="108"/>
  <c r="J280" i="108" s="1"/>
  <c r="K248" i="108"/>
  <c r="G249" i="108"/>
  <c r="I249" i="108"/>
  <c r="J249" i="108" s="1"/>
  <c r="K216" i="108"/>
  <c r="G217" i="108"/>
  <c r="I217" i="108"/>
  <c r="J217" i="108" s="1"/>
  <c r="K183" i="108"/>
  <c r="G184" i="108"/>
  <c r="I184" i="108"/>
  <c r="J184" i="108" s="1"/>
  <c r="K153" i="108"/>
  <c r="G154" i="108"/>
  <c r="I154" i="108"/>
  <c r="J154" i="108" s="1"/>
  <c r="K121" i="108"/>
  <c r="G122" i="108"/>
  <c r="I122" i="108"/>
  <c r="J122" i="108" s="1"/>
  <c r="K91" i="108"/>
  <c r="G92" i="108"/>
  <c r="I92" i="108"/>
  <c r="J92" i="108" s="1"/>
  <c r="K92" i="108" l="1"/>
  <c r="G93" i="108"/>
  <c r="I93" i="108"/>
  <c r="J93" i="108" s="1"/>
  <c r="K122" i="108"/>
  <c r="G123" i="108"/>
  <c r="I123" i="108"/>
  <c r="J123" i="108" s="1"/>
  <c r="K154" i="108"/>
  <c r="G155" i="108"/>
  <c r="I155" i="108"/>
  <c r="J155" i="108" s="1"/>
  <c r="K184" i="108"/>
  <c r="G185" i="108"/>
  <c r="I185" i="108"/>
  <c r="J185" i="108" s="1"/>
  <c r="K217" i="108"/>
  <c r="G218" i="108"/>
  <c r="I218" i="108"/>
  <c r="J218" i="108" s="1"/>
  <c r="K249" i="108"/>
  <c r="G250" i="108"/>
  <c r="I250" i="108"/>
  <c r="J250" i="108" s="1"/>
  <c r="K280" i="108"/>
  <c r="G281" i="108"/>
  <c r="I281" i="108"/>
  <c r="J281" i="108" s="1"/>
  <c r="K310" i="108"/>
  <c r="G311" i="108"/>
  <c r="I311" i="108"/>
  <c r="J311" i="108" s="1"/>
  <c r="K343" i="108"/>
  <c r="G344" i="108"/>
  <c r="I344" i="108"/>
  <c r="J344" i="108" s="1"/>
  <c r="K344" i="108" l="1"/>
  <c r="G345" i="108"/>
  <c r="I345" i="108"/>
  <c r="J345" i="108" s="1"/>
  <c r="K311" i="108"/>
  <c r="G312" i="108"/>
  <c r="I312" i="108"/>
  <c r="J312" i="108" s="1"/>
  <c r="K281" i="108"/>
  <c r="G282" i="108"/>
  <c r="I282" i="108"/>
  <c r="J282" i="108" s="1"/>
  <c r="K250" i="108"/>
  <c r="G251" i="108"/>
  <c r="I251" i="108"/>
  <c r="J251" i="108" s="1"/>
  <c r="K218" i="108"/>
  <c r="G219" i="108"/>
  <c r="I219" i="108"/>
  <c r="J219" i="108" s="1"/>
  <c r="K185" i="108"/>
  <c r="G186" i="108"/>
  <c r="I186" i="108"/>
  <c r="J186" i="108" s="1"/>
  <c r="K155" i="108"/>
  <c r="G156" i="108"/>
  <c r="I156" i="108"/>
  <c r="J156" i="108" s="1"/>
  <c r="K123" i="108"/>
  <c r="G124" i="108"/>
  <c r="I124" i="108"/>
  <c r="J124" i="108" s="1"/>
  <c r="K93" i="108"/>
  <c r="G94" i="108"/>
  <c r="I94" i="108"/>
  <c r="J94" i="108" s="1"/>
  <c r="K94" i="108" l="1"/>
  <c r="G95" i="108"/>
  <c r="I95" i="108"/>
  <c r="J95" i="108" s="1"/>
  <c r="K124" i="108"/>
  <c r="G125" i="108"/>
  <c r="I125" i="108"/>
  <c r="J125" i="108" s="1"/>
  <c r="K156" i="108"/>
  <c r="G157" i="108"/>
  <c r="I157" i="108"/>
  <c r="J157" i="108" s="1"/>
  <c r="K186" i="108"/>
  <c r="G187" i="108"/>
  <c r="I187" i="108"/>
  <c r="J187" i="108" s="1"/>
  <c r="K219" i="108"/>
  <c r="G220" i="108"/>
  <c r="I220" i="108"/>
  <c r="J220" i="108" s="1"/>
  <c r="K251" i="108"/>
  <c r="G252" i="108"/>
  <c r="I252" i="108"/>
  <c r="J252" i="108" s="1"/>
  <c r="K282" i="108"/>
  <c r="G283" i="108"/>
  <c r="I283" i="108"/>
  <c r="J283" i="108" s="1"/>
  <c r="K312" i="108"/>
  <c r="G313" i="108"/>
  <c r="I313" i="108"/>
  <c r="J313" i="108" s="1"/>
  <c r="K345" i="108"/>
  <c r="G346" i="108"/>
  <c r="I346" i="108"/>
  <c r="J346" i="108" s="1"/>
  <c r="K346" i="108" l="1"/>
  <c r="H59" i="108" s="1"/>
  <c r="G16" i="106" s="1"/>
  <c r="G17" i="106" s="1"/>
  <c r="G19" i="106" s="1"/>
  <c r="K313" i="108"/>
  <c r="G314" i="108"/>
  <c r="I314" i="108"/>
  <c r="J314" i="108" s="1"/>
  <c r="K283" i="108"/>
  <c r="G284" i="108"/>
  <c r="I284" i="108"/>
  <c r="J284" i="108" s="1"/>
  <c r="K252" i="108"/>
  <c r="F59" i="108" s="1"/>
  <c r="E16" i="106" s="1"/>
  <c r="E17" i="106" s="1"/>
  <c r="E19" i="106" s="1"/>
  <c r="K220" i="108"/>
  <c r="E59" i="108" s="1"/>
  <c r="D16" i="106" s="1"/>
  <c r="D17" i="106" s="1"/>
  <c r="D19" i="106" s="1"/>
  <c r="K187" i="108"/>
  <c r="G188" i="108"/>
  <c r="I188" i="108"/>
  <c r="J188" i="108" s="1"/>
  <c r="K157" i="108"/>
  <c r="G158" i="108"/>
  <c r="I158" i="108"/>
  <c r="J158" i="108" s="1"/>
  <c r="K125" i="108"/>
  <c r="G126" i="108"/>
  <c r="I126" i="108"/>
  <c r="J126" i="108" s="1"/>
  <c r="K95" i="108"/>
  <c r="G96" i="108"/>
  <c r="I96" i="108"/>
  <c r="J96" i="108" s="1"/>
  <c r="K96" i="108" l="1"/>
  <c r="C59" i="108" s="1"/>
  <c r="C16" i="106" s="1"/>
  <c r="C17" i="106" s="1"/>
  <c r="K126" i="108"/>
  <c r="C63" i="108" s="1"/>
  <c r="C27" i="106" s="1"/>
  <c r="K158" i="108"/>
  <c r="D59" i="108" s="1"/>
  <c r="K188" i="108"/>
  <c r="D63" i="108" s="1"/>
  <c r="K284" i="108"/>
  <c r="G59" i="108" s="1"/>
  <c r="F16" i="106" s="1"/>
  <c r="F17" i="106" s="1"/>
  <c r="K314" i="108"/>
  <c r="E63" i="108" s="1"/>
  <c r="D27" i="106" s="1"/>
  <c r="F19" i="106" l="1"/>
  <c r="D28" i="106" s="1"/>
  <c r="D29" i="106" s="1"/>
  <c r="D31" i="106" s="1"/>
  <c r="C19" i="106"/>
  <c r="C28" i="106" s="1"/>
  <c r="C29" i="106" s="1"/>
  <c r="C31"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<sst xmlns="http://schemas.openxmlformats.org/spreadsheetml/2006/main" count="5456" uniqueCount="1861">
  <si>
    <t>Pacific Gas and Electric Company</t>
  </si>
  <si>
    <t>Wholesale Distribution Tariff</t>
  </si>
  <si>
    <t>Appendix I: Wholesale Distribution Formula Rate</t>
  </si>
  <si>
    <t>Attachment 2: Model</t>
  </si>
  <si>
    <t>Appendix I: Formula Rate</t>
  </si>
  <si>
    <t>Table of Contents</t>
  </si>
  <si>
    <t>Schedule</t>
  </si>
  <si>
    <t>Description</t>
  </si>
  <si>
    <t>1-DRR</t>
  </si>
  <si>
    <t>Distribution Revenue Requirement</t>
  </si>
  <si>
    <t>2-True-upDRR</t>
  </si>
  <si>
    <t>True-up Distribution Revenue Requirement</t>
  </si>
  <si>
    <t>3-ATA</t>
  </si>
  <si>
    <t>Annual True-up Adjustments</t>
  </si>
  <si>
    <t>4-WholesaleRates</t>
  </si>
  <si>
    <t>Wholesale Distribution Rates</t>
  </si>
  <si>
    <t>5-CostofCap-1</t>
  </si>
  <si>
    <t>Calculation of Components of Cost of Capital Rate</t>
  </si>
  <si>
    <t>5-CostofCap-2</t>
  </si>
  <si>
    <t>Calculation of 13-Month Average Capitalization Balances</t>
  </si>
  <si>
    <t>5-CostofCap-3</t>
  </si>
  <si>
    <t>Long Term Debt Cost Percentage</t>
  </si>
  <si>
    <t>5-CostofCap-4</t>
  </si>
  <si>
    <t>Preferred Stock Cost Percentage</t>
  </si>
  <si>
    <t>6-PlantJurisdiction</t>
  </si>
  <si>
    <t>Primary and Secondary Distribution Plant Allocation</t>
  </si>
  <si>
    <t>7-PlantInService</t>
  </si>
  <si>
    <t>Distribution Plant In Service</t>
  </si>
  <si>
    <t>8-DemandForAllocation</t>
  </si>
  <si>
    <t>Peak Demands for Allocation of Revenue Requirements</t>
  </si>
  <si>
    <t>9-WholesaleRevenues</t>
  </si>
  <si>
    <t>Wholesale Distribution Revenues</t>
  </si>
  <si>
    <t>10-AccDep</t>
  </si>
  <si>
    <t>Accumulated Depreciation for Distribution Assets</t>
  </si>
  <si>
    <t>11-Depreciation</t>
  </si>
  <si>
    <t>Distribution Depreciation Expense</t>
  </si>
  <si>
    <t>12-DepRates</t>
  </si>
  <si>
    <t>Depreciation Rates</t>
  </si>
  <si>
    <t>13-WorkCap</t>
  </si>
  <si>
    <t>Calculation of Components of Working Capital</t>
  </si>
  <si>
    <t>14-ADIT</t>
  </si>
  <si>
    <t xml:space="preserve">Accumulated Deferred Income Taxes </t>
  </si>
  <si>
    <t>15-LossFactors</t>
  </si>
  <si>
    <t>Distribution Loss Factors</t>
  </si>
  <si>
    <t>16-AccruedVacation</t>
  </si>
  <si>
    <t>Calculation of Allocated Accrued Vacation</t>
  </si>
  <si>
    <t>17-RegAssets-1</t>
  </si>
  <si>
    <t>Regulatory Assets and Liabilities and Associated Amortization and Regulatory Debits and Credits</t>
  </si>
  <si>
    <t>17-RegAssets-2</t>
  </si>
  <si>
    <t>Amortization of Excess Deferred Federal Income Taxes</t>
  </si>
  <si>
    <t>18-OandM</t>
  </si>
  <si>
    <t>Operations and Maintenance Expense</t>
  </si>
  <si>
    <t>19-AandG</t>
  </si>
  <si>
    <t>Administrative and General Expenses</t>
  </si>
  <si>
    <t>20-RevenueCredits</t>
  </si>
  <si>
    <t>Revenue Credits</t>
  </si>
  <si>
    <t>21-CoO</t>
  </si>
  <si>
    <t>Cost of Ownership Rates Calculations</t>
  </si>
  <si>
    <t>22-TaxRates</t>
  </si>
  <si>
    <t>Income Tax Rates</t>
  </si>
  <si>
    <t>23-CustServCharge</t>
  </si>
  <si>
    <t>Customer Service Charges</t>
  </si>
  <si>
    <t>24-Allocators</t>
  </si>
  <si>
    <t>Calculation of Allocation Factors</t>
  </si>
  <si>
    <t>25-RevenueFeeFactors</t>
  </si>
  <si>
    <t>Franchise Fees and San Francisco Gross Reciepts Tax Factors</t>
  </si>
  <si>
    <t>26-NPandS</t>
  </si>
  <si>
    <t>Revenue Sharing for Non-Tariff New Products &amp; Services</t>
  </si>
  <si>
    <t>FORMATTING:</t>
  </si>
  <si>
    <t>Shading and Labeling</t>
  </si>
  <si>
    <t>In the Schedules and Workpapers, those cells shaded in gold are inputs to the Model and change for each Annual Update.   
Cells labeled as Sources or Notes are subject to revision pursuant to Section 8 of the Protocols.</t>
  </si>
  <si>
    <t>Number Format</t>
  </si>
  <si>
    <t>Excel “Currency” number format is used.</t>
  </si>
  <si>
    <t>Reference Order</t>
  </si>
  <si>
    <t>Reference order: page (or tab) number, line number, column number, note number.  A comma separates each reference element.  Notes contained in the FERC Form 1 are not numbered (see example below).</t>
  </si>
  <si>
    <t>Workpaper Naming Conventions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</si>
  <si>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WP_25-RevenueFeeFactors_FF, where FF describes Franchise Fees).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</si>
  <si>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</si>
  <si>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</si>
  <si>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</si>
  <si>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REFERENCES:</t>
  </si>
  <si>
    <t>REFERENCE</t>
  </si>
  <si>
    <t>FORM OF REFERENCE</t>
  </si>
  <si>
    <t>EXAMPLE</t>
  </si>
  <si>
    <t>NOTES</t>
  </si>
  <si>
    <t>Column</t>
  </si>
  <si>
    <t>col (column # or letter)</t>
  </si>
  <si>
    <t>col k or col 6</t>
  </si>
  <si>
    <t>FERC Form No. 1</t>
  </si>
  <si>
    <t>FF1</t>
  </si>
  <si>
    <t>FF1 337.2, L. 20, col k</t>
  </si>
  <si>
    <t>FF1 234, Note(s)</t>
  </si>
  <si>
    <t>Line</t>
  </si>
  <si>
    <t>Line (line #)</t>
  </si>
  <si>
    <t>Line 25</t>
  </si>
  <si>
    <t>Internal reference – source within the same Schedule or Workpaper sheet</t>
  </si>
  <si>
    <t>(internal reference)</t>
  </si>
  <si>
    <t>L. (line #)</t>
  </si>
  <si>
    <t>L. 25</t>
  </si>
  <si>
    <t>External reference – source outside the Schedule or Workpaper sheet</t>
  </si>
  <si>
    <t>(external reference)</t>
  </si>
  <si>
    <t>Note</t>
  </si>
  <si>
    <t>Note(s) (note #, if provided)</t>
  </si>
  <si>
    <t>Note 1</t>
  </si>
  <si>
    <t>14-ADIT, Note 1</t>
  </si>
  <si>
    <t>FF1 450.1, Notes</t>
  </si>
  <si>
    <t>Page</t>
  </si>
  <si>
    <t>(page #)</t>
  </si>
  <si>
    <t>337.2 or 2-24</t>
  </si>
  <si>
    <t>Nothing precedes the page number(s).</t>
  </si>
  <si>
    <t>337.2, L. 10, col k</t>
  </si>
  <si>
    <t>(schedule name)</t>
  </si>
  <si>
    <t>Nothing precedes the schedule name</t>
  </si>
  <si>
    <t>Tabs</t>
  </si>
  <si>
    <t>(tab #)</t>
  </si>
  <si>
    <t>WP_10-AccDep 4</t>
  </si>
  <si>
    <t>Nothing precedes the tab number.</t>
  </si>
  <si>
    <t>WP_7-PlantInService 6, L. 122, col 7 &amp; 8</t>
  </si>
  <si>
    <t>Line for extra data</t>
  </si>
  <si>
    <t>…</t>
  </si>
  <si>
    <t>Some Schedules have a"…" row.  These rows are intended for new data to be added in a future update.</t>
  </si>
  <si>
    <t>Rate Year:</t>
  </si>
  <si>
    <t>Input cells are shaded gold</t>
  </si>
  <si>
    <t>Prior Year:</t>
  </si>
  <si>
    <t>Col 1</t>
  </si>
  <si>
    <t>Col 2</t>
  </si>
  <si>
    <t>Col 3</t>
  </si>
  <si>
    <t>Col 4</t>
  </si>
  <si>
    <t>Source</t>
  </si>
  <si>
    <t>Col 3 + Col 4</t>
  </si>
  <si>
    <t>6-PlantJurisdiction, L. 400, col 1 and col 2</t>
  </si>
  <si>
    <t>1) Rate Base</t>
  </si>
  <si>
    <t>Total Distribution</t>
  </si>
  <si>
    <t>Notes</t>
  </si>
  <si>
    <t xml:space="preserve">Total Wholesale Distribution </t>
  </si>
  <si>
    <t>Primary Distribution</t>
  </si>
  <si>
    <t>Secondary Distribution</t>
  </si>
  <si>
    <t>Plant</t>
  </si>
  <si>
    <t>Distribution Plant</t>
  </si>
  <si>
    <t>7-PlantInService, L. 112, col 26</t>
  </si>
  <si>
    <t>End of Year Value</t>
  </si>
  <si>
    <t>7-PlantInService, L. 212 and L. 312, col 26</t>
  </si>
  <si>
    <t>Common + General + Intangible Plant</t>
  </si>
  <si>
    <t>WP_7-PlantInService 6, L. 122, col 10</t>
  </si>
  <si>
    <t>7-PlantInService, L. 701, col 1 and col 2</t>
  </si>
  <si>
    <t>Total Plant</t>
  </si>
  <si>
    <t>Working Capital</t>
  </si>
  <si>
    <t>Materials and Supplies</t>
  </si>
  <si>
    <t>13-WorkCap, L. 112, col 2</t>
  </si>
  <si>
    <t>Line 103, col 1 * Line 1, col 3 and col 4</t>
  </si>
  <si>
    <t>Prepayments</t>
  </si>
  <si>
    <t>13-WorkCap, L. 217, col 5</t>
  </si>
  <si>
    <t>Line 104, col 1 * Line 1, col 3 and col 4</t>
  </si>
  <si>
    <t>Cash Working Capital</t>
  </si>
  <si>
    <t>Line 105, col 1 * Line 1, col 3 and col 4</t>
  </si>
  <si>
    <t>Total Working Capital</t>
  </si>
  <si>
    <t>Accumulated Depreciation Reserve</t>
  </si>
  <si>
    <t>Distribution Depreciation Reserve</t>
  </si>
  <si>
    <t>10-AccDep, L. 112, col 26</t>
  </si>
  <si>
    <t>Negative End of Year Value</t>
  </si>
  <si>
    <t>10-AccDep, L. 212 and L. 312, col 26</t>
  </si>
  <si>
    <t>Common + General + Intangible Depreciation Reserve</t>
  </si>
  <si>
    <t>WP_10-AccDep 6, L. 122, col 10</t>
  </si>
  <si>
    <t>10-AccDep, L. 701, col 1 and col 2</t>
  </si>
  <si>
    <t>Total Accumulated Depreciation Reserve</t>
  </si>
  <si>
    <t>a</t>
  </si>
  <si>
    <t>Accumulated Deferred Income Taxes</t>
  </si>
  <si>
    <t>14-ADIT, L. 104, col 2</t>
  </si>
  <si>
    <t>Line 110a, col 1 * Line 1, col 3 and col 4</t>
  </si>
  <si>
    <t>b</t>
  </si>
  <si>
    <t>Excess Acccumulated Deferred Income Taxes</t>
  </si>
  <si>
    <t>17-RegAssets-1, L. 201</t>
  </si>
  <si>
    <t>Line 110b, col 1 * Line 1, col 3 and col 4</t>
  </si>
  <si>
    <t>c</t>
  </si>
  <si>
    <t>Total Excess and Accumulated Deferred Income Taxes</t>
  </si>
  <si>
    <t>Unfunded Reserves</t>
  </si>
  <si>
    <t>UnfundedReserves, L. 101, col 2</t>
  </si>
  <si>
    <t>Line 111, col 1 * Line 1, col 3 and col 4</t>
  </si>
  <si>
    <t>Other Regulatory Assets or Liabilities</t>
  </si>
  <si>
    <t>17-RegAssets-1, L. 100</t>
  </si>
  <si>
    <t>Line 112, col 1 * Line 1, col 3 and col 4</t>
  </si>
  <si>
    <t>Rate Base</t>
  </si>
  <si>
    <t>2) ROE and Capitalization Calculations</t>
  </si>
  <si>
    <t>Capital Percentages</t>
  </si>
  <si>
    <t>Long Term Debt Capital Percentage</t>
  </si>
  <si>
    <t>Set at 49.75</t>
  </si>
  <si>
    <t>Second Partial Settlement Value</t>
  </si>
  <si>
    <t>Line 200, col 1</t>
  </si>
  <si>
    <t>Preferred Stock Capital Percentage</t>
  </si>
  <si>
    <t>Set at 0.5%</t>
  </si>
  <si>
    <t>Line 201, col 1</t>
  </si>
  <si>
    <t>Common Stock Capital Percentage</t>
  </si>
  <si>
    <t>Line 202, col 1</t>
  </si>
  <si>
    <t>Annual Cost of Capital Components</t>
  </si>
  <si>
    <t>5-CostofCap-3, L. 114</t>
  </si>
  <si>
    <t>Line 203, col 1</t>
  </si>
  <si>
    <t>5-CostofCap-4, L. 106</t>
  </si>
  <si>
    <t>Line 204, col 1</t>
  </si>
  <si>
    <t>PG&amp;E Return on Common Equity</t>
  </si>
  <si>
    <t>Set at 10.25%</t>
  </si>
  <si>
    <t>Line 205, col 1</t>
  </si>
  <si>
    <t>Calculation of Cost of Capital Rate</t>
  </si>
  <si>
    <t>Weighted Cost of Long Term Debt</t>
  </si>
  <si>
    <t>Line 206, col 1</t>
  </si>
  <si>
    <t>Weighted Cost of Preferred Stock</t>
  </si>
  <si>
    <t>Line 207, col 1</t>
  </si>
  <si>
    <t>Weighted Cost of Common Stock</t>
  </si>
  <si>
    <t>Line 208, col 1</t>
  </si>
  <si>
    <t>Cost of Capital Rate</t>
  </si>
  <si>
    <t>Line 209, col 1</t>
  </si>
  <si>
    <t xml:space="preserve">Equity Rate of Return Including Common and Preferred Stock </t>
  </si>
  <si>
    <t>Line 210, col 1</t>
  </si>
  <si>
    <t>Total Return on Capital</t>
  </si>
  <si>
    <t>3) Other Taxes</t>
  </si>
  <si>
    <t>Property Taxes</t>
  </si>
  <si>
    <t>Sub-Total Local Taxes</t>
  </si>
  <si>
    <t>FF1 262-263, L. 10, col I</t>
  </si>
  <si>
    <t>Line 300, col 1 * Line 1, col 3 and col 4</t>
  </si>
  <si>
    <t>Property Tax Allocation Factor</t>
  </si>
  <si>
    <t>24-Allocators, L. 125</t>
  </si>
  <si>
    <t>Line 301, col 1</t>
  </si>
  <si>
    <t>Total Distribution Property Taxes</t>
  </si>
  <si>
    <t>Payroll Tax Expense</t>
  </si>
  <si>
    <t>Fed Ins Cont Amt -- Current</t>
  </si>
  <si>
    <t>FF1 262-263, L. 8, col l</t>
  </si>
  <si>
    <t>Line 303, col 1 * Line 1, col 3 and col 4</t>
  </si>
  <si>
    <t>CA SUI Current</t>
  </si>
  <si>
    <t xml:space="preserve">FF1 262-263, L. 2, col l </t>
  </si>
  <si>
    <t>Line 304, col 1 * Line 1, col 3 and col 4</t>
  </si>
  <si>
    <t>Fed Unemp Tax Act- Current</t>
  </si>
  <si>
    <t xml:space="preserve">FF1 262-263, L. 1, col l </t>
  </si>
  <si>
    <t>Line 305, col 1 * Line 1, col 3 and col 4</t>
  </si>
  <si>
    <t>Business Taxes</t>
  </si>
  <si>
    <t>WP_1-BaseDRR_Pyrl_Tax 2, L. 105</t>
  </si>
  <si>
    <t>Line 306, col 1 * Line 1, col 3 and col 4</t>
  </si>
  <si>
    <t xml:space="preserve">SF Pyrl Exp Tx </t>
  </si>
  <si>
    <t>[2] SFGR Payroll Expense Tax was repealed by Proposition F, effective 1/1/2021.</t>
  </si>
  <si>
    <t>Line 307, col 1 * Line 1, col 3 and col 4</t>
  </si>
  <si>
    <t>Total Electric Payroll Tax Expense</t>
  </si>
  <si>
    <t>Network Distribution Labor as a % of Total Electric Labor Allocation Factor</t>
  </si>
  <si>
    <t>24-Allocators, L. 112</t>
  </si>
  <si>
    <t>Line 309, col 1</t>
  </si>
  <si>
    <t>Total Distribution Payroll Tax Expense</t>
  </si>
  <si>
    <t>Total Other Taxes</t>
  </si>
  <si>
    <t>4) Income Taxes</t>
  </si>
  <si>
    <t>Federal Income Tax Rate</t>
  </si>
  <si>
    <t>22-TaxRates, L. 100</t>
  </si>
  <si>
    <t>Line 400, col 1</t>
  </si>
  <si>
    <t>State Income Tax Rate</t>
  </si>
  <si>
    <t>22-TaxRates, L. 101</t>
  </si>
  <si>
    <t>Line 401, col 1</t>
  </si>
  <si>
    <t>Composite Tax Rate</t>
  </si>
  <si>
    <t>22-TaxRates, L. 103</t>
  </si>
  <si>
    <t>Line 402, col 1</t>
  </si>
  <si>
    <t>Calculation of Flowthrough and Permanent Tax Deductions (FPD):</t>
  </si>
  <si>
    <t>Book Depreciation of AFUDC Equity Book Basis</t>
  </si>
  <si>
    <t>WP_1-BaseDRR_Tax 1, L. 101</t>
  </si>
  <si>
    <t>Line 403, col 1 * Line 1, col 3 and col 4</t>
  </si>
  <si>
    <t>Flowthrough and Permanent Tax Deductions</t>
  </si>
  <si>
    <t>Calculation of Credits and Other (CO):</t>
  </si>
  <si>
    <t>Amortization of Excess Deferred Tax Liability</t>
  </si>
  <si>
    <t>17-RegAssets-2, col 18-20, L. 110</t>
  </si>
  <si>
    <t>Line 405, col 1 * Line 1, col 3 and col 4</t>
  </si>
  <si>
    <t>Federal and State Tax Credits</t>
  </si>
  <si>
    <t>WP_1-BaseDRR_Tax 2, L. 103</t>
  </si>
  <si>
    <t>Line 406, col 1 * Line 1, col 3 and col 4</t>
  </si>
  <si>
    <t>Credits and Other</t>
  </si>
  <si>
    <t>Income Taxes:</t>
  </si>
  <si>
    <t>Income Taxes = [((RB * ER) + FPD) * (CTR/(1 – CTR))]  + CO/(1 – CTR)]</t>
  </si>
  <si>
    <t>Where:</t>
  </si>
  <si>
    <t>RB = Rate Base</t>
  </si>
  <si>
    <t>ER = Equity Rate of Return Including Common and Preferred Stock</t>
  </si>
  <si>
    <t>CTR = Composite Tax Rate</t>
  </si>
  <si>
    <t>CO = Credits and Other</t>
  </si>
  <si>
    <t>FPD = Flowback and Permanent Tax Deductions</t>
  </si>
  <si>
    <t>5) Distribution Revenue Requirement</t>
  </si>
  <si>
    <t>Prior Year DRR Components</t>
  </si>
  <si>
    <t>O&amp;M Expense</t>
  </si>
  <si>
    <t>18-OandM, L. 101, col 11</t>
  </si>
  <si>
    <t>18-OandM, L. 101, col 12 and col 13</t>
  </si>
  <si>
    <t>A&amp;G Expense</t>
  </si>
  <si>
    <t>19-AandG, L. 219</t>
  </si>
  <si>
    <t>Line 501, col 1 * Line 1, col 3 and col 4</t>
  </si>
  <si>
    <t>Depreciation Expense for Distribution Plant</t>
  </si>
  <si>
    <t>11-Depreciation, L. 100, col 26</t>
  </si>
  <si>
    <t>11-Depreciation, L. 101 and L. 102, col 26</t>
  </si>
  <si>
    <t>Depreciation Expense for Common, General and Intangible Plant</t>
  </si>
  <si>
    <t>WP_11-Depreciation 5, L. 122, col 10</t>
  </si>
  <si>
    <t>11-Depreciation, L. 500, col 1 and col 2</t>
  </si>
  <si>
    <t>Return on Capital</t>
  </si>
  <si>
    <t>Other Taxes</t>
  </si>
  <si>
    <t>Income Taxes</t>
  </si>
  <si>
    <t>20-RevenueCredits, L. 100, col 5</t>
  </si>
  <si>
    <t>Negative Value</t>
  </si>
  <si>
    <t>Line 507, col 1 * Line 1, col 3 and col 4</t>
  </si>
  <si>
    <t>NP&amp;S Credit</t>
  </si>
  <si>
    <t>26-NPandS, Line 403</t>
  </si>
  <si>
    <t>Line 508, col 1 * Line 1, col 3 and col 4</t>
  </si>
  <si>
    <t>Amortization and Regulatory Debits/Credits</t>
  </si>
  <si>
    <t>17-RegAssets-1, L. 102</t>
  </si>
  <si>
    <t>Line 509, col 1 * Line 1, col 3 and col 4</t>
  </si>
  <si>
    <t>Prior Year DRR</t>
  </si>
  <si>
    <t>SFGR Tax and Franchise Fees</t>
  </si>
  <si>
    <t>Franchise Fees Factor</t>
  </si>
  <si>
    <t>25-RevenueFeeFactors, L. 400</t>
  </si>
  <si>
    <t>Line 511, col 1</t>
  </si>
  <si>
    <t>SFGR Tax Factor</t>
  </si>
  <si>
    <t>25-RevenueFeeFactors, L. 401</t>
  </si>
  <si>
    <t>Line 512, col 1</t>
  </si>
  <si>
    <t>Total SFGR Tax and Franchise Fees</t>
  </si>
  <si>
    <t>Total Company Distribution</t>
  </si>
  <si>
    <t>7-PlantInService, L. 113 col 26</t>
  </si>
  <si>
    <t>13-Month Avg</t>
  </si>
  <si>
    <t>7-PlantInService, L. 213 and L. 313, col 26</t>
  </si>
  <si>
    <t>BOY EOY Avg</t>
  </si>
  <si>
    <t>7-PlantInService, L. 702, col 1 and col 2</t>
  </si>
  <si>
    <t>13-WorkCap, L. 113, col 2</t>
  </si>
  <si>
    <t>13-WorkCap, L. 215, col 5</t>
  </si>
  <si>
    <t>10-AccDep, L. 113, col 26</t>
  </si>
  <si>
    <t>Negative 13-Month Avg</t>
  </si>
  <si>
    <t>10-AccDep, L. 213 and L. 313, col 26</t>
  </si>
  <si>
    <t>Negative BOY EOY Avg</t>
  </si>
  <si>
    <t>10-AccDep, L. 702, col 1 and col 2</t>
  </si>
  <si>
    <t>14-ADIT, L. 106, col 2</t>
  </si>
  <si>
    <t>Weighted Average</t>
  </si>
  <si>
    <t>17-RegAssets-1, L. 202</t>
  </si>
  <si>
    <t>Total Excess and Accumulated Statutory Deferred Income Taxes</t>
  </si>
  <si>
    <t>UnfundedReserves, L. 100, col 2</t>
  </si>
  <si>
    <t>17-RegAssets, L. 101</t>
  </si>
  <si>
    <t>Instructions:</t>
  </si>
  <si>
    <t xml:space="preserve">1) Input the ROE for the Prior Year on Line 200. </t>
  </si>
  <si>
    <t>Prior Year Return on Common Equity</t>
  </si>
  <si>
    <t>ROE from Schedule 1; if there are mid-year changes, a workpaper will be provided</t>
  </si>
  <si>
    <t>Line 200, Col 1</t>
  </si>
  <si>
    <t>Line 201, Col 1</t>
  </si>
  <si>
    <t>Line 202, Col 1</t>
  </si>
  <si>
    <t>Line 203, Col 1</t>
  </si>
  <si>
    <t>Line 204, Col 1</t>
  </si>
  <si>
    <t>Line 205, Col 1</t>
  </si>
  <si>
    <t>3) Income Taxes</t>
  </si>
  <si>
    <t>22-TaxRates, L. 200</t>
  </si>
  <si>
    <t>Line 300, Col 1</t>
  </si>
  <si>
    <t>22-TaxRates, L. 201</t>
  </si>
  <si>
    <t>Line 301, Col 1</t>
  </si>
  <si>
    <t>22-TaxRates, L. 203</t>
  </si>
  <si>
    <t>Line 302, Col 1</t>
  </si>
  <si>
    <t>Income Taxes = [((RB * ER) + FPD) * (CTR/(1 – CTR))]  + CO/(1 – CTR]</t>
  </si>
  <si>
    <t>4) True-up Distribution Revenue Requirement</t>
  </si>
  <si>
    <t>Total without Franchise Fees and SFGR Tax</t>
  </si>
  <si>
    <t>Line 411, Col 1</t>
  </si>
  <si>
    <t>Line 412, Col 1</t>
  </si>
  <si>
    <t>Total True-up DRR</t>
  </si>
  <si>
    <t>1) Calculation of Prior Year Load Ratio Shares</t>
  </si>
  <si>
    <t>Instructions: Add new customers to lines 100 and 101 when needed.</t>
  </si>
  <si>
    <t>CCSF
(SA No. 275)</t>
  </si>
  <si>
    <t>PWRPA 1 
(SA No. 30)</t>
  </si>
  <si>
    <t>PWRPA 2
(SA No. 56)</t>
  </si>
  <si>
    <t>Shelter Cove
(SA No. 382)</t>
  </si>
  <si>
    <t>WAPA
(SA No. 17)</t>
  </si>
  <si>
    <t>Westside
(SA No. 15)</t>
  </si>
  <si>
    <t>Primary Load Ratio Share:</t>
  </si>
  <si>
    <t>8-DemandForAllocation, L. 203, each customer's col / L. 203, col 1</t>
  </si>
  <si>
    <t>Secondary Load Ratio Share:</t>
  </si>
  <si>
    <t>8-DemandForAllocation, L. 206, each customer's col / L. 206, col 1</t>
  </si>
  <si>
    <t>2) Calculation of Allocated True-up Revenue Requirements</t>
  </si>
  <si>
    <t>Instructions: Add new customers to lines 200 - 204 when needed. If applicable, include the True-up Adjustments Included in Prior Year's Rates in lines 203 and 208 (will be applicable for the True-ups of RY2023 and onward).</t>
  </si>
  <si>
    <t>Prior Year Primary True-up DRR</t>
  </si>
  <si>
    <t>2-True-upDRR, L. 413, col 3</t>
  </si>
  <si>
    <t>Wholesale Primary Credit</t>
  </si>
  <si>
    <t>200a</t>
  </si>
  <si>
    <t>Note 7</t>
  </si>
  <si>
    <t>Allocated Primary True-up DRR:</t>
  </si>
  <si>
    <t>Line 101 * Line 200</t>
  </si>
  <si>
    <t>202a</t>
  </si>
  <si>
    <t>Allocated Wholesale Primary True-up Credit</t>
  </si>
  <si>
    <t>Note 8</t>
  </si>
  <si>
    <t>Primary True-up Adjustment Included in Prior Year's Rates:</t>
  </si>
  <si>
    <t>Total Allocated Primary True-up DRR:</t>
  </si>
  <si>
    <t>Line 202 + Line 203 + Line 202a</t>
  </si>
  <si>
    <t>Prior Year Secondary True-up DRR</t>
  </si>
  <si>
    <t>2-True-upDRR, L. 413, col 4</t>
  </si>
  <si>
    <t>Allocated Secondary True-up DRR:</t>
  </si>
  <si>
    <t>Line 103 * Line 205</t>
  </si>
  <si>
    <t>Secondary True-up Adjustment Included in Prior Year's Rates:</t>
  </si>
  <si>
    <t>Total Allocated Secondary True-up DRR:</t>
  </si>
  <si>
    <t>Line 207 + Line 208</t>
  </si>
  <si>
    <t>3) Calculation of Prior Year Customer-Specific True-up Rates</t>
  </si>
  <si>
    <t>Instructions: Add new customers to lines 300 - 303 when needed.</t>
  </si>
  <si>
    <t>Primary Rates Calculation</t>
  </si>
  <si>
    <t>Line 204</t>
  </si>
  <si>
    <t>Prior Year Annual Primary NCP Demand:</t>
  </si>
  <si>
    <t>Note 9</t>
  </si>
  <si>
    <t>Prior Year Primary True-up Rates:</t>
  </si>
  <si>
    <t>Line 301 / Line 302</t>
  </si>
  <si>
    <t>Secondary Rates Calculation</t>
  </si>
  <si>
    <t>Line 209</t>
  </si>
  <si>
    <t>Prior Year Secondary Load Primary Cost:</t>
  </si>
  <si>
    <t>Line 301 - (Line 303 * 9-WholesaleRevenues, L. 112)</t>
  </si>
  <si>
    <t>Total Prior Year Secondary Load DRR:</t>
  </si>
  <si>
    <t>Line 305 + Line 306</t>
  </si>
  <si>
    <t>Prior Year Annual Secondary NCP Demand:</t>
  </si>
  <si>
    <t>9-WholesaleRevenues, L. 312</t>
  </si>
  <si>
    <t>Prior Year Secondary True-up Rates:</t>
  </si>
  <si>
    <t>Line 307 / Line 308</t>
  </si>
  <si>
    <t>4) Calculation of True-up Adjustments</t>
  </si>
  <si>
    <t>Instructions: 1) Add new customers to lines 400 - 402. Create a new Sections below to calculate the Cumulative Excess or Shortfall in Revenue with Interest for the new customers. 2) Input the monthly FERC interest rates (18 C.F.R. §35.19a) for the corresponding Month and Year into Col 6.</t>
  </si>
  <si>
    <t>Summary of True-up Adjustments</t>
  </si>
  <si>
    <t>Primary True-up Adjustment:</t>
  </si>
  <si>
    <t>Source:</t>
  </si>
  <si>
    <t>Line 525, Col 9</t>
  </si>
  <si>
    <t>Line 625, Col 9</t>
  </si>
  <si>
    <t>Line 725, Col 9</t>
  </si>
  <si>
    <t>Line 825, Col 9</t>
  </si>
  <si>
    <t>Line 925, Col 9</t>
  </si>
  <si>
    <t>Line 1025, Col 9</t>
  </si>
  <si>
    <t>Secondary True-up Adjustment:</t>
  </si>
  <si>
    <t>Line 550, Col 9</t>
  </si>
  <si>
    <t>Line 650, Col 9</t>
  </si>
  <si>
    <t>Line 950, Col 9</t>
  </si>
  <si>
    <t>Customer</t>
  </si>
  <si>
    <t>Col 5</t>
  </si>
  <si>
    <t>Col 6</t>
  </si>
  <si>
    <t>Col 7</t>
  </si>
  <si>
    <t>Col 8</t>
  </si>
  <si>
    <t>Col 9</t>
  </si>
  <si>
    <t>Note 2</t>
  </si>
  <si>
    <t>Note 3</t>
  </si>
  <si>
    <t>Note 4</t>
  </si>
  <si>
    <t>Note 5</t>
  </si>
  <si>
    <t>Note 6</t>
  </si>
  <si>
    <t>Cumulative Excess</t>
  </si>
  <si>
    <t>Monthly</t>
  </si>
  <si>
    <t>Prior Year</t>
  </si>
  <si>
    <t>or Shortfall in</t>
  </si>
  <si>
    <t>Primary</t>
  </si>
  <si>
    <t xml:space="preserve">Monthly Excess or </t>
  </si>
  <si>
    <t>Retail Revenue</t>
  </si>
  <si>
    <t>FERC</t>
  </si>
  <si>
    <t>Accumulated</t>
  </si>
  <si>
    <t>Revenue</t>
  </si>
  <si>
    <t>Month</t>
  </si>
  <si>
    <t>Year</t>
  </si>
  <si>
    <t>True-up Revenue</t>
  </si>
  <si>
    <t>Revenues</t>
  </si>
  <si>
    <t>Shortfall in Revenue</t>
  </si>
  <si>
    <t>without Interest</t>
  </si>
  <si>
    <t>Interest Rate</t>
  </si>
  <si>
    <t>Interest</t>
  </si>
  <si>
    <t>with Interest</t>
  </si>
  <si>
    <t>December</t>
  </si>
  <si>
    <t>N/A</t>
  </si>
  <si>
    <t>January</t>
  </si>
  <si>
    <t>February</t>
  </si>
  <si>
    <t>March</t>
  </si>
  <si>
    <t>April</t>
  </si>
  <si>
    <t>May</t>
  </si>
  <si>
    <t xml:space="preserve">June </t>
  </si>
  <si>
    <t>July</t>
  </si>
  <si>
    <t>August</t>
  </si>
  <si>
    <t>September</t>
  </si>
  <si>
    <t>October</t>
  </si>
  <si>
    <t>November</t>
  </si>
  <si>
    <t>Secondary</t>
  </si>
  <si>
    <t>PWRPA 1  (SA No. 30)</t>
  </si>
  <si>
    <t>PWRPA 2 (SA No. 56)</t>
  </si>
  <si>
    <t>Shelter Cove (SA No. 382)</t>
  </si>
  <si>
    <t>WAPA (SA No. 17)</t>
  </si>
  <si>
    <t>Westside (SA No. 15)</t>
  </si>
  <si>
    <r>
      <rPr>
        <b/>
        <sz val="11"/>
        <color theme="1"/>
        <rFont val="Calibri"/>
        <family val="2"/>
        <scheme val="minor"/>
      </rPr>
      <t>Note 1:</t>
    </r>
    <r>
      <rPr>
        <sz val="11"/>
        <color theme="1"/>
        <rFont val="Calibri"/>
        <family val="2"/>
        <scheme val="minor"/>
      </rPr>
      <t xml:space="preserve"> The Monthly True-up Revenue is calculated by multiplying the True-up Rates from lines 303 for Primary and 309  for Secondary by the Prior Year billed demand from 9-WholesaleRevenues, lines 100 - 111 and 300 - 311.</t>
    </r>
  </si>
  <si>
    <r>
      <rPr>
        <b/>
        <sz val="11"/>
        <color theme="1"/>
        <rFont val="Calibri"/>
        <family val="2"/>
        <scheme val="minor"/>
      </rPr>
      <t>Note 2:</t>
    </r>
    <r>
      <rPr>
        <sz val="11"/>
        <color theme="1"/>
        <rFont val="Calibri"/>
        <family val="2"/>
        <scheme val="minor"/>
      </rPr>
      <t xml:space="preserve"> The monthly Prior Year Revenues are from 9-WholesaleRevenues, lines 200 - 211 for Primary and lines 400 - 411 for Secondary.</t>
    </r>
  </si>
  <si>
    <r>
      <rPr>
        <b/>
        <sz val="11"/>
        <color theme="1"/>
        <rFont val="Calibri"/>
        <family val="2"/>
        <scheme val="minor"/>
      </rPr>
      <t>Note 3:</t>
    </r>
    <r>
      <rPr>
        <sz val="11"/>
        <color theme="1"/>
        <rFont val="Calibri"/>
        <family val="2"/>
        <scheme val="minor"/>
      </rPr>
      <t xml:space="preserve"> Corrections or Adjustments applied from previously-filed Annual Updates are outlined in Section 4.6.5 of the Protocols. </t>
    </r>
  </si>
  <si>
    <r>
      <rPr>
        <b/>
        <sz val="11"/>
        <color theme="1"/>
        <rFont val="Calibri"/>
        <family val="2"/>
        <scheme val="minor"/>
      </rPr>
      <t>Note 4:</t>
    </r>
    <r>
      <rPr>
        <sz val="11"/>
        <color theme="1"/>
        <rFont val="Calibri"/>
        <family val="2"/>
        <scheme val="minor"/>
      </rPr>
      <t xml:space="preserve"> Monthly FERC interest rates (18 C.F.R. §35.19a).</t>
    </r>
  </si>
  <si>
    <r>
      <t xml:space="preserve">Note 5: </t>
    </r>
    <r>
      <rPr>
        <sz val="11"/>
        <color theme="1"/>
        <rFont val="Calibri"/>
        <family val="2"/>
        <scheme val="minor"/>
      </rPr>
      <t xml:space="preserve">Monthly Interest is calculated by summing the current month's "Excess or Shortfall in Revenue" divided by 2, last month's "Cumulative Excess or Shortfall in Revenue without Interest", the beginning quarter's Accumulated Interest and multiplying the result by the current month's FERC interest rate. </t>
    </r>
  </si>
  <si>
    <r>
      <rPr>
        <b/>
        <sz val="11"/>
        <color theme="1"/>
        <rFont val="Calibri"/>
        <family val="2"/>
        <scheme val="minor"/>
      </rPr>
      <t>Note 6:</t>
    </r>
    <r>
      <rPr>
        <sz val="11"/>
        <color theme="1"/>
        <rFont val="Calibri"/>
        <family val="2"/>
        <scheme val="minor"/>
      </rPr>
      <t xml:space="preserve"> Accumulated Interest is the sum of the current month's "Monthly Interest" with last month's "Accumulated Interest".</t>
    </r>
  </si>
  <si>
    <r>
      <t>Note 7:</t>
    </r>
    <r>
      <rPr>
        <sz val="10"/>
        <rFont val="Arial"/>
        <family val="2"/>
      </rPr>
      <t xml:space="preserve"> Per the Second Partial Settlement, the Wholesale Primary Credit for RY2021 is ($3,500,000), for RY2022 is ($3,500,000), for RY2023 is ($2,000,000), and for RY2024 is ($1,000,000). </t>
    </r>
  </si>
  <si>
    <r>
      <rPr>
        <b/>
        <sz val="11"/>
        <rFont val="Calibri"/>
        <family val="2"/>
        <scheme val="minor"/>
      </rPr>
      <t>Note 8:</t>
    </r>
    <r>
      <rPr>
        <sz val="11"/>
        <rFont val="Calibri"/>
        <family val="2"/>
        <scheme val="minor"/>
      </rPr>
      <t xml:space="preserve"> The Allocated Wholesale Primary True-up Credits are only applicable to SA Nos. 275, 30, 56, 382, 17, and 15. The calculation to allocate the credit is equal to each customer's Allocated Rate Year Primary True-up DRR (Line 202) divided by the sum of all the Allocated Rate Year Primary True-up DRRs of each applicable Wholesale Customers multiplied by the Wholesale Primary Credit for the Rate Year (Line 200a).</t>
    </r>
  </si>
  <si>
    <r>
      <rPr>
        <b/>
        <sz val="10"/>
        <color rgb="FF000000"/>
        <rFont val="Arial"/>
        <family val="2"/>
      </rPr>
      <t>Note 9:</t>
    </r>
    <r>
      <rPr>
        <sz val="10"/>
        <color indexed="8"/>
        <rFont val="Arial"/>
        <family val="2"/>
      </rPr>
      <t xml:space="preserve"> The Prior Year Annual Primary Non-Coincident Demand for Customers with Secondary loads is calculated using this formula: 9-WholesaleRevenues, L. 112 + (9-WholesaleRevenues, L. 412) * (1.13848 / 1.07414). The loss factor 1.07414 is found in 15-LossFactors, col 1, line 103 and the loss factor 1.13848 is found in 15-LossFactors, col 1, line 104. For Customer with Primary only, see 9-WholesaleRevenues, L 112.</t>
    </r>
  </si>
  <si>
    <t>1) Calculation of Customer Specific Rates for Wholesale Distribution Service</t>
  </si>
  <si>
    <t>Wholesale Primary DRR</t>
  </si>
  <si>
    <t>1-DRR, L. 513, col 3</t>
  </si>
  <si>
    <t>100a</t>
  </si>
  <si>
    <t>3-ATA L. 101</t>
  </si>
  <si>
    <t>Allocated Rate Year Primary DRR:</t>
  </si>
  <si>
    <t>Line 102 * Line 100</t>
  </si>
  <si>
    <t>103a</t>
  </si>
  <si>
    <t>Allocated Wholesale Primary Credit</t>
  </si>
  <si>
    <t>Prior Year Primary True-up Adjustment:</t>
  </si>
  <si>
    <t>3-ATA L. 401</t>
  </si>
  <si>
    <t>Total Allocated Rate Year Primary DRR:</t>
  </si>
  <si>
    <t>Line 103 + Line 103a + Line 104</t>
  </si>
  <si>
    <t>Prior Year Annual Primary Non-Coincident Demand:</t>
  </si>
  <si>
    <t>Rate Year Primary Demand Rate ($/kW):</t>
  </si>
  <si>
    <t>Line 105 / Line 106</t>
  </si>
  <si>
    <t>Wholesale Secondary DRR</t>
  </si>
  <si>
    <t>3-ATA L. 103</t>
  </si>
  <si>
    <t>Allocated Rate Year Secondary DRR:</t>
  </si>
  <si>
    <t>Line 108 * Line 109</t>
  </si>
  <si>
    <t>Prior Year Secondary True-up Adjustment:</t>
  </si>
  <si>
    <t>3-ATA L. 404</t>
  </si>
  <si>
    <t>Secondary Load Primary Cost:</t>
  </si>
  <si>
    <t>Line 105 - (Line 107 * 9-WholesaleRevenues, L. 112)</t>
  </si>
  <si>
    <t>Total Allocated Rate Year Secondary Load DRR:</t>
  </si>
  <si>
    <t>Sum Lines 110 - 112</t>
  </si>
  <si>
    <t>Prior Year Annual Secondary Non-Coincident Demand:</t>
  </si>
  <si>
    <t>Rate Year Secondary Demand Rate ($/kW):</t>
  </si>
  <si>
    <t>Line 113 / 114</t>
  </si>
  <si>
    <t>2) Calculation of Initial Rates for Wholesale Distribution Service</t>
  </si>
  <si>
    <t>Value</t>
  </si>
  <si>
    <t>Total Allocated Primary DRR</t>
  </si>
  <si>
    <t>Sum Line 103</t>
  </si>
  <si>
    <t>Total Annual Primary Demand</t>
  </si>
  <si>
    <t>Sum Line 106</t>
  </si>
  <si>
    <t>Initial Primary Rate</t>
  </si>
  <si>
    <t>Line 200 / 201</t>
  </si>
  <si>
    <t>3) List of Wholesale Customers on Initial Rates for Wholesale Distribution Service</t>
  </si>
  <si>
    <t>Instruction: Add new customers taking the Initial Rate. Remove the customer from this list when a customer-specific rate is calculated.</t>
  </si>
  <si>
    <t>Service Agreement No.</t>
  </si>
  <si>
    <t>Service Start Date</t>
  </si>
  <si>
    <r>
      <rPr>
        <b/>
        <sz val="10"/>
        <color rgb="FF000000"/>
        <rFont val="Arial"/>
        <family val="2"/>
      </rPr>
      <t>Note 1:</t>
    </r>
    <r>
      <rPr>
        <sz val="10"/>
        <color indexed="8"/>
        <rFont val="Arial"/>
        <family val="2"/>
      </rPr>
      <t xml:space="preserve"> The Prior Year Annual Primary Non-Coincident Demand for Customers with Secondary loads is calculated using this formula: 9-WholesaleRevenues, L. 112 + (9-WholesaleRevenues, L. 412) * (1.13848 / 1.07414). The loss factor 1.07414 is found in 15-LossFactors, col 1, line 103 and the loss factor 1.13848 is found in 15-LossFactors, col 1, line 104. For Customer with Primary only, see 9-WholesaleRevenues, L 112.</t>
    </r>
  </si>
  <si>
    <r>
      <t>Note 2:</t>
    </r>
    <r>
      <rPr>
        <sz val="10"/>
        <rFont val="Arial"/>
        <family val="2"/>
      </rPr>
      <t xml:space="preserve"> Per the Second Partial Settlement, the Wholesale Primary Credit for RY2021 is ($3,500,000), for RY2022 is ($3,500,000), for RY2023 is ($2,000,000), and for RY2024 is ($1,000,000). </t>
    </r>
  </si>
  <si>
    <r>
      <rPr>
        <b/>
        <sz val="11"/>
        <rFont val="Calibri"/>
        <family val="2"/>
        <scheme val="minor"/>
      </rPr>
      <t>Note 3:</t>
    </r>
    <r>
      <rPr>
        <sz val="11"/>
        <rFont val="Calibri"/>
        <family val="2"/>
        <scheme val="minor"/>
      </rPr>
      <t xml:space="preserve"> The Allocated Wholesale Primary Credits are only applicable to SA Nos. 275, 30, 56, 382, 17, and 15. The calculation to allocate the credit is equal to each customer's Allocated Rate Year Primary DRR (Line 103) divided by the sum of all the Allocated Rate Year Primary DRRs of each applicable Wholesale Customers multiplied by the Wholesale Primary Credit for the Rate Year (Line 100a).</t>
    </r>
  </si>
  <si>
    <t>1) Calculation of Cost of Long Term Debt</t>
  </si>
  <si>
    <t>Instructions: Enter credit balances as positive balances.</t>
  </si>
  <si>
    <t>Values</t>
  </si>
  <si>
    <t>Long-Term Debt Component - Denominator:</t>
  </si>
  <si>
    <t>(Plus) Bonds (Acct. 221)</t>
  </si>
  <si>
    <t>FF1 112-113, L. 18, col c</t>
  </si>
  <si>
    <t>(Less) Reacquired Bonds (Acct. 222)</t>
  </si>
  <si>
    <t>FF1 112-113, L. 19, col c</t>
  </si>
  <si>
    <t>(Plus) Other Long-Term Debt (Acct. 224)</t>
  </si>
  <si>
    <t>FF1 112-113, L. 21, col c</t>
  </si>
  <si>
    <t xml:space="preserve">(Plus) Unamortized Premium on Long-Term Debt (Acct. 225) </t>
  </si>
  <si>
    <t>FF1 112-113, L. 22, col c</t>
  </si>
  <si>
    <t xml:space="preserve">(Less) Unamortized Discount on Long-Term Debt-Debit (Acct. 226) </t>
  </si>
  <si>
    <t>FF1 112-113, L. 23, col c</t>
  </si>
  <si>
    <t>(Less) Unamortized Debt Expenses (Acct. 181)</t>
  </si>
  <si>
    <t>FF1 110-111, L. 69, col c</t>
  </si>
  <si>
    <t>(Less) Unamortized Loss on Reacquired Debt (Acct. 189)</t>
  </si>
  <si>
    <t>FF1 110-111, L. 81, col c</t>
  </si>
  <si>
    <t>LTD = Long Term Debt</t>
  </si>
  <si>
    <t>Long-Term Debt Component - Numerator:</t>
  </si>
  <si>
    <t xml:space="preserve">(Plus) Interest on Long-Term Debt (Acct. 427) </t>
  </si>
  <si>
    <t>FF1 114-117, L. 62, col c</t>
  </si>
  <si>
    <t>(Plus) Amort. of Debt Disc. and Expense (Acct. 428)</t>
  </si>
  <si>
    <t>FF1 114-117, L. 63, col c</t>
  </si>
  <si>
    <t>(Plus) Amortization of Loss on Reacquired Debt (Acct. 428.1)</t>
  </si>
  <si>
    <t>FF1 114-117, L. 64, col c</t>
  </si>
  <si>
    <t>(Less) Amort. of Premium on Debt-Credit (Acct. 429)</t>
  </si>
  <si>
    <t>FF1 114-117, L. 65, col c</t>
  </si>
  <si>
    <t xml:space="preserve">(Less) Amortization of Gain on Reacquired Debt-Credit (Acct. 429.1) </t>
  </si>
  <si>
    <t>FF1 114-117, L. 66, col c</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</si>
  <si>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</si>
  <si>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</si>
  <si>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</si>
  <si>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</si>
  <si>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</si>
  <si>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</si>
  <si>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</si>
  <si>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</si>
  <si>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</si>
  <si>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</si>
  <si>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</si>
  <si>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</si>
  <si>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</si>
  <si>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</si>
  <si>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FF1 250-251, col a</t>
  </si>
  <si>
    <t>FF1 250-251, col f</t>
  </si>
  <si>
    <t>FF1 250-251, col e</t>
  </si>
  <si>
    <t>= Col 5 + Col 6</t>
  </si>
  <si>
    <t>= Col 4 x Col 7</t>
  </si>
  <si>
    <t>Preferred Stock Series Name</t>
  </si>
  <si>
    <t>Issue Date</t>
  </si>
  <si>
    <t>Dividend Rate</t>
  </si>
  <si>
    <t>Dividend</t>
  </si>
  <si>
    <t>Face Value/ Amount Outstanding</t>
  </si>
  <si>
    <t>Total Premium/
Discount Cost</t>
  </si>
  <si>
    <t>Shares Outstanding</t>
  </si>
  <si>
    <t>Net Proceeds at Issuance</t>
  </si>
  <si>
    <t>Annual
Dividend</t>
  </si>
  <si>
    <t>A</t>
  </si>
  <si>
    <t>B</t>
  </si>
  <si>
    <t>C</t>
  </si>
  <si>
    <t>D</t>
  </si>
  <si>
    <t>E</t>
  </si>
  <si>
    <t>G</t>
  </si>
  <si>
    <t>H</t>
  </si>
  <si>
    <t>I</t>
  </si>
  <si>
    <t>Total Amount Outstanding (sum of above):</t>
  </si>
  <si>
    <t>3) Reacquired Preferred Stock Information</t>
  </si>
  <si>
    <t>Preferred Stock</t>
  </si>
  <si>
    <t>Call Date</t>
  </si>
  <si>
    <t>Total Issuance Cost</t>
  </si>
  <si>
    <t>Unamortized Issuance Cost</t>
  </si>
  <si>
    <t>Amortization Period</t>
  </si>
  <si>
    <t xml:space="preserve">Issuance Amortization Cost </t>
  </si>
  <si>
    <t>Notes and Sources</t>
  </si>
  <si>
    <t>---</t>
  </si>
  <si>
    <t>Total Annual Cost (sum of above):</t>
  </si>
  <si>
    <t>Notes:</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</si>
  <si>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</si>
  <si>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</si>
  <si>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2) Annual dividend calculation is comparable to the calculation described in 18 CFR 35.13 (22) (iii)</t>
  </si>
  <si>
    <t>Electric Distribution Plant by FERC Account</t>
  </si>
  <si>
    <t>1) Adjustment of Electric Distribution Plant in FERC Form 1 for Prior Year:</t>
  </si>
  <si>
    <t>FERC Form 1 Distribution Plant balances are Prior Year ending balances from PG&amp;E's FERC Form 1. Electric Distribution Plant represents the Distribution Plant that is eligible for inclusion in rate base.</t>
  </si>
  <si>
    <t>Col 1 + Col 3</t>
  </si>
  <si>
    <t>FERC Form 1</t>
  </si>
  <si>
    <t>Electric</t>
  </si>
  <si>
    <t>FERC Account</t>
  </si>
  <si>
    <t>Account Description</t>
  </si>
  <si>
    <t>Source for Col 1</t>
  </si>
  <si>
    <t>Adjustments</t>
  </si>
  <si>
    <t>Formula Model Reference</t>
  </si>
  <si>
    <t>Land and Land Rights</t>
  </si>
  <si>
    <t xml:space="preserve">FF1 204-207, L. 60, col g </t>
  </si>
  <si>
    <t>7-PlantInService L 112, col 1 + 2</t>
  </si>
  <si>
    <t>Structures and Improvements</t>
  </si>
  <si>
    <t xml:space="preserve">FF1 204-207, L. 61, col g </t>
  </si>
  <si>
    <t>7-PlantInService L 112, col 3 + 4</t>
  </si>
  <si>
    <t>Station Equipment</t>
  </si>
  <si>
    <t xml:space="preserve">FF1 204-207, L. 62, col g </t>
  </si>
  <si>
    <t>7-PlantInService L 112, col 5</t>
  </si>
  <si>
    <t>Storage Battery Equipment</t>
  </si>
  <si>
    <t xml:space="preserve">FF1 204-207, L. 63, col g </t>
  </si>
  <si>
    <t>7-PlantInService L 112, col 6 + 7</t>
  </si>
  <si>
    <t>Poles, Towers, and Fixtures</t>
  </si>
  <si>
    <t xml:space="preserve">FF1 204-207, L. 64, col g </t>
  </si>
  <si>
    <t>7-PlantInService L 112, col 8</t>
  </si>
  <si>
    <t>Overhead Conductors and Devices</t>
  </si>
  <si>
    <t xml:space="preserve">FF1 204-207, L. 65, col g </t>
  </si>
  <si>
    <t>7-PlantInService L 112, col 9</t>
  </si>
  <si>
    <t>Underground Conduit</t>
  </si>
  <si>
    <t xml:space="preserve">FF1 204-207, L. 66, col g </t>
  </si>
  <si>
    <t>7-PlantInService L 112, col 10</t>
  </si>
  <si>
    <t>Underground Conduit and Devices</t>
  </si>
  <si>
    <t xml:space="preserve">FF1 204-207, L. 67, col g </t>
  </si>
  <si>
    <t>7-PlantInService L 112, col 11</t>
  </si>
  <si>
    <t>Line Transformers</t>
  </si>
  <si>
    <t xml:space="preserve">FF1 204-207, L. 68, col g </t>
  </si>
  <si>
    <t>7-PlantInService L 112, col 12 + 13</t>
  </si>
  <si>
    <t>Services</t>
  </si>
  <si>
    <t xml:space="preserve">FF1 204-207, L. 69, col g </t>
  </si>
  <si>
    <t>7-PlantInService L 112, col 14 + 15</t>
  </si>
  <si>
    <t>Meters</t>
  </si>
  <si>
    <t xml:space="preserve">FF1 204-207, L. 70, col g </t>
  </si>
  <si>
    <t>7-PlantInService L 112, col 16 + 17</t>
  </si>
  <si>
    <t>Installations on Customer Premises</t>
  </si>
  <si>
    <t xml:space="preserve">FF1 204-207, L. 71, col g </t>
  </si>
  <si>
    <t>7-PlantInService L 112, Sum of col 18-20</t>
  </si>
  <si>
    <t>Leased Property on Customer Premises</t>
  </si>
  <si>
    <t xml:space="preserve">FF1 204-207, L. 72, col g </t>
  </si>
  <si>
    <t>7-PlantInService L 112, col 21</t>
  </si>
  <si>
    <t>Street Lighting and Signal Systems</t>
  </si>
  <si>
    <t xml:space="preserve">FF1 204-207, L. 73, col g </t>
  </si>
  <si>
    <t>7-PlantInService L 112, Sum of col 22-25</t>
  </si>
  <si>
    <t>Asset Retirement Costs for Distribution Plant</t>
  </si>
  <si>
    <t xml:space="preserve">FF1 204-207, L. 74, col g </t>
  </si>
  <si>
    <t>Total Electric Distribution Plant</t>
  </si>
  <si>
    <t>2) Primary/Secondary Distribution Plant Allocation Factors</t>
  </si>
  <si>
    <t>Section 1, Col 4</t>
  </si>
  <si>
    <t>Adjusted Plant</t>
  </si>
  <si>
    <t>Distribution</t>
  </si>
  <si>
    <t>Balance</t>
  </si>
  <si>
    <t>Street Lights</t>
  </si>
  <si>
    <t>Land and Land Rights (Note 6)</t>
  </si>
  <si>
    <t>Poles, Towers, and Fixtures (Note 7)</t>
  </si>
  <si>
    <t>Overhead Conductors and Devices (Note 7)</t>
  </si>
  <si>
    <t>Underground Conduit (Note 7)</t>
  </si>
  <si>
    <t>Underground Conduit and Devices (Note 7)</t>
  </si>
  <si>
    <t>3) Allocation of Electric Distribution Plant to Primary/Secondary Distribution</t>
  </si>
  <si>
    <t>Col 1 * Section 2, Col 2</t>
  </si>
  <si>
    <t>Col 1 * Section 2, Col 3</t>
  </si>
  <si>
    <t>Col 1 * Section 2, Col 4</t>
  </si>
  <si>
    <t>Col 1 * Section 2, Col 5</t>
  </si>
  <si>
    <t>4) Development of Primary/Secondary Distribution General Allocation Factor</t>
  </si>
  <si>
    <t>Section 3, Line 314
Col 2/Col 1</t>
  </si>
  <si>
    <t>Section 3, Line 314
Col 3/Col 1</t>
  </si>
  <si>
    <t>Section 3, Line 314
Col 4/Col 1</t>
  </si>
  <si>
    <t>Section 3, Line 314
Col 5/Col 1</t>
  </si>
  <si>
    <t>Primary/Secondary General Allocation Factor</t>
  </si>
  <si>
    <t>1) These adjustments are for the removal of costs included in AB1054 securitizations and the removal of costs for assets that were incorrectly recorded to Electric Distribution FERC Plant Accounts.</t>
  </si>
  <si>
    <t>2) FERC Account 374 - Asset Retirement Costs for Distribution Plant is not included in rate base.</t>
  </si>
  <si>
    <t>3) Electric Distribution Plant balances were assigned to cost categories for Primary and Secondary distribution based on engineering reviews, observations of equipment, and studies.</t>
  </si>
  <si>
    <t>4) Distribution Meters are not included in the Wholesale Distribution Tariff.</t>
  </si>
  <si>
    <t>5) Distribution Street Lights are not included in the Wholesale Distribution Tariff.</t>
  </si>
  <si>
    <t>6) For Land and Land Rights, the Primary percentage is calculated by summing Col 2, Lines 301 to 313, then dividing the sum of Cols 2 and 3, Lines 301 to 313. The secondary percentage is 1 minus the primary percentage.</t>
  </si>
  <si>
    <t>7) See Workpaper WP_6-PlantJurisdiction, Lines 117 and 118,Cols 1 and 2</t>
  </si>
  <si>
    <t xml:space="preserve">. . . </t>
  </si>
  <si>
    <t>Electric Distribution Plant In Service</t>
  </si>
  <si>
    <t>1) Total Electric Distribution Functional Plant</t>
  </si>
  <si>
    <t>Electric Distribution Plant balances are extracted from PowerPlan, PG&amp;E's fixed asset system of record, by querying by Asset Class, FERC Account, and UCC.</t>
  </si>
  <si>
    <t>The monthly balances in Lines 100-112 are the end-of-month balances for Prior Year and December of Prior Year - 1.</t>
  </si>
  <si>
    <t>Col 10</t>
  </si>
  <si>
    <t>Col 11</t>
  </si>
  <si>
    <t>Col 12</t>
  </si>
  <si>
    <t>Col 13</t>
  </si>
  <si>
    <t>Col 14</t>
  </si>
  <si>
    <t>Col 15</t>
  </si>
  <si>
    <t>Col 16</t>
  </si>
  <si>
    <t>Col 17</t>
  </si>
  <si>
    <t>Col 18</t>
  </si>
  <si>
    <t>Col 19</t>
  </si>
  <si>
    <t>Col 20</t>
  </si>
  <si>
    <t>Col 21</t>
  </si>
  <si>
    <t>Col 22</t>
  </si>
  <si>
    <t>Col 23</t>
  </si>
  <si>
    <t>Col 24</t>
  </si>
  <si>
    <t>Col 25</t>
  </si>
  <si>
    <t>Col 26</t>
  </si>
  <si>
    <t>Total of Col 1-25</t>
  </si>
  <si>
    <t>FERC Account:</t>
  </si>
  <si>
    <t>EDP36001</t>
  </si>
  <si>
    <t>EDP36002</t>
  </si>
  <si>
    <t>EDP36101</t>
  </si>
  <si>
    <t>EDP36102</t>
  </si>
  <si>
    <t>EDP36200</t>
  </si>
  <si>
    <t>EDP36300</t>
  </si>
  <si>
    <t>EDP36301</t>
  </si>
  <si>
    <t>EDP36400</t>
  </si>
  <si>
    <t>EDP36500</t>
  </si>
  <si>
    <t>EDP36600</t>
  </si>
  <si>
    <t>EDP36700</t>
  </si>
  <si>
    <t>EDP36801</t>
  </si>
  <si>
    <t>EDP36802</t>
  </si>
  <si>
    <t>EDP36901</t>
  </si>
  <si>
    <t>EDP36902</t>
  </si>
  <si>
    <t>EDP37000</t>
  </si>
  <si>
    <t>EDP37001</t>
  </si>
  <si>
    <t>EDP37100</t>
  </si>
  <si>
    <t>EDP37101</t>
  </si>
  <si>
    <t>EDP37102</t>
  </si>
  <si>
    <t>EDP37200</t>
  </si>
  <si>
    <t>EDP37301</t>
  </si>
  <si>
    <t>EDP37302</t>
  </si>
  <si>
    <t>EDP37303</t>
  </si>
  <si>
    <t>EDP37304</t>
  </si>
  <si>
    <t>Total</t>
  </si>
  <si>
    <t>June</t>
  </si>
  <si>
    <t>13-Month Average</t>
  </si>
  <si>
    <t>2) Electric Distribution Functional Plant - Primary Distribution</t>
  </si>
  <si>
    <t>Total Electric Distribution Plant (Section 1) is allocated to Primary and Secondary Distribution using allocation factors shown on Schedule 6 (6-PlantJurisdiction), Lines 200-213.</t>
  </si>
  <si>
    <t>Section 1, Col 1 * 
6-PlantJurisdiction, L. 200, Col 2</t>
  </si>
  <si>
    <t>Section 1, Col 2 * 
6-PlantJurisdiction, L. 200, Col 2</t>
  </si>
  <si>
    <t>Section 1, Col 3 * 
6-PlantJurisdiction, L. 201, Col 2</t>
  </si>
  <si>
    <t>Section 1, Col 4 * 
6-PlantJurisdiction, L. 201, Col 2</t>
  </si>
  <si>
    <t>Section 1, Col 5 * 
6-PlantJurisdiction, L. 202, Col 2</t>
  </si>
  <si>
    <t>Section 1, Col 6 * 
6-PlantJurisdiction, L. 203, Col 2</t>
  </si>
  <si>
    <t>Section 1, Col 7 * 
6-PlantJurisdiction, L. 203, Col 2</t>
  </si>
  <si>
    <t>Section 1, Col 8 * 
6-PlantJurisdiction, L. 204, Col 2</t>
  </si>
  <si>
    <t>Section 1, Col 9 * 
6-PlantJurisdiction, L. 205, Col 2</t>
  </si>
  <si>
    <t>Section 1, Col 10 * 
6-PlantJurisdiction, L. 206, Col 2</t>
  </si>
  <si>
    <t>Section 1, Col 11 * 
6-PlantJurisdiction, L. 207, Col 2</t>
  </si>
  <si>
    <t>Section 1, Col 12 * 
6-PlantJurisdiction, L. 208, Col 2</t>
  </si>
  <si>
    <t>Section 1, Col 13 * 
6-PlantJurisdiction, L. 208, Col 2</t>
  </si>
  <si>
    <t>Section 1, Col 14 * 
6-PlantJurisdiction, L. 209, Col 2</t>
  </si>
  <si>
    <t>Section 1, Col 15 * 
6-PlantJurisdiction, L. 209, Col 2</t>
  </si>
  <si>
    <t>Section 1, Col 16 * 
6-PlantJurisdiction, L. 210, Col 2</t>
  </si>
  <si>
    <t>Section 1, Col 17 * 
6-PlantJurisdiction, L. 210, Col 2</t>
  </si>
  <si>
    <t>Section 1, Col 18 * 
6-PlantJurisdiction, L. 211, Col 2</t>
  </si>
  <si>
    <t>Section 1, Col 19 * 
6-PlantJurisdiction, L. 211, Col 2</t>
  </si>
  <si>
    <t>Section 1, Col 20 * 
6-PlantJurisdiction, L. 211, Col 2</t>
  </si>
  <si>
    <t>Section 1, Col 21 * 
6-PlantJurisdiction, L. 212, Col 2</t>
  </si>
  <si>
    <t>Section 1, Col 22 * 
6-PlantJurisdiction, L. 213, Col 2</t>
  </si>
  <si>
    <t>Section 1, Col 23 * 
6-PlantJurisdiction, L. 213, Col 2</t>
  </si>
  <si>
    <t>Section 1, Col 24 * 
6-PlantJurisdiction, L. 213, Col 2</t>
  </si>
  <si>
    <t>Section 1, Col 25 * 
6-PlantJurisdiction, L. 213, Col 2</t>
  </si>
  <si>
    <t>3) Electric Distribution Functional Plant - Secondary Distribution</t>
  </si>
  <si>
    <t>Section 1, Col 1 * 
6-PlantJurisdiction, L. 200, Col 3</t>
  </si>
  <si>
    <t>Section 1, Col 2 * 
6-PlantJurisdiction, L. 200, Col 3</t>
  </si>
  <si>
    <t>Section 1, Col 3 * 
6-PlantJurisdiction, L. 201, Col 3</t>
  </si>
  <si>
    <t>Section 1, Col 4 * 
6-PlantJurisdiction, L. 201, Col 3</t>
  </si>
  <si>
    <t>Section 1, Col 5 * 
6-PlantJurisdiction, L. 202, Col 3</t>
  </si>
  <si>
    <t>Section 1, Col 6 * 
6-PlantJurisdiction, L. 203, Col 3</t>
  </si>
  <si>
    <t>Section 1, Col 7 * 
6-PlantJurisdiction, L. 203, Col 3</t>
  </si>
  <si>
    <t>Section 1, Col 8 * 
6-PlantJurisdiction, L. 204, Col 3</t>
  </si>
  <si>
    <t>Section 1, Col 9 * 
6-PlantJurisdiction, L. 205, Col 3</t>
  </si>
  <si>
    <t>Section 1, Col 10 * 
6-PlantJurisdiction, L. 206, Col 3</t>
  </si>
  <si>
    <t>Section 1, Col 11 * 
6-PlantJurisdiction, L. 207, Col 3</t>
  </si>
  <si>
    <t>Section 1, Col 12 * 
6-PlantJurisdiction, L. 208, Col 3</t>
  </si>
  <si>
    <t>Section 1, Col 13 * 
6-PlantJurisdiction, L. 208, Col 3</t>
  </si>
  <si>
    <t>Section 1, Col 14 * 
6-PlantJurisdiction, L. 209, Col 3</t>
  </si>
  <si>
    <t>Section 1, Col 15 * 
6-PlantJurisdiction, L. 209, Col 3</t>
  </si>
  <si>
    <t>Section 1, Col 16 * 
6-PlantJurisdiction, L. 210, Col 3</t>
  </si>
  <si>
    <t>Section 1, Col 17 * 
6-PlantJurisdiction, L. 210, Col 3</t>
  </si>
  <si>
    <t>Section 1, Col 18 * 
6-PlantJurisdiction, L. 211, Col 3</t>
  </si>
  <si>
    <t>Section 1, Col 19 * 
6-PlantJurisdiction, L. 211, Col 3</t>
  </si>
  <si>
    <t>Section 1, Col 20 * 
6-PlantJurisdiction, L. 211, Col 3</t>
  </si>
  <si>
    <t>Section 1, Col 21 * 
6-PlantJurisdiction, L. 212, Col 3</t>
  </si>
  <si>
    <t>Section 1, Col 22 * 
6-PlantJurisdiction, L. 213, Col 3</t>
  </si>
  <si>
    <t>Section 1, Col 23 * 
6-PlantJurisdiction, L. 213, Col 3</t>
  </si>
  <si>
    <t>Section 1, Col 24 * 
6-PlantJurisdiction, L. 213, Col 3</t>
  </si>
  <si>
    <t>Section 1, Col 25 * 
6-PlantJurisdiction, L. 213, Col 3</t>
  </si>
  <si>
    <t>4) Direct Assigned Common, General and Intangible (CGI) Plant</t>
  </si>
  <si>
    <t>Direct Assigned Common, General and Intangible (CGI) Plant In Service balances are extracted from PowerPlan, PG&amp;E's fixed asset system of record, by querying by Asset Class, FERC Account, and UCC.</t>
  </si>
  <si>
    <t>Col 1 * 
6-PlantJurisdiction, L. 400, col 1</t>
  </si>
  <si>
    <t>Col 1 * 
6-PlantJurisdiction, L. 400, col 2</t>
  </si>
  <si>
    <t>Total Direct Assigned</t>
  </si>
  <si>
    <t>Electric Distribution CGI</t>
  </si>
  <si>
    <t>See WP_7-PlantInService 4, L. 122, col 10</t>
  </si>
  <si>
    <t>Average</t>
  </si>
  <si>
    <t>5) Corporate Services (Gas and Electric) Residual Common, General and Intangible (CGI) Plant</t>
  </si>
  <si>
    <t>Corporate Services (Gas and Electric) Residual Common, General and Intangible (CGI) Plant is extracted from PowerPlan, PG&amp;E's fixed asset system of record, by querying by Asset Class, FERC Account, and UCC. Corporate Services (Gas and Electric) Residual CGI Plant is allocated to Functional Areas based on O&amp;M labor factors.</t>
  </si>
  <si>
    <t>Col 1 * Col 2</t>
  </si>
  <si>
    <t>Col 3 * 
6-PlantJurisdiction, L. 400, col 1</t>
  </si>
  <si>
    <t>Col 3 * 
6-PlantJurisdiction, L. 400, col 2</t>
  </si>
  <si>
    <t xml:space="preserve">Electric </t>
  </si>
  <si>
    <t>Wholesale</t>
  </si>
  <si>
    <t>Total PG&amp;E</t>
  </si>
  <si>
    <t>Residual CGI</t>
  </si>
  <si>
    <t>O&amp;M Labor Factor</t>
  </si>
  <si>
    <t>Corporate CGI</t>
  </si>
  <si>
    <t>See WP_7-PlantInService 4, L. 122, col 14</t>
  </si>
  <si>
    <t>6) Corporate Services (Electric) Residual Common, General and Intangible (CGI) Plant</t>
  </si>
  <si>
    <t>Corporate Services (Electric) Residual Common, General and Intangible (CGI) Plant is extracted from PowerPlan, PG&amp;E's fixed asset system of record, by querying by Asset Class, FERC Account, and UCC. Corporate Services (Electric) Residual CGI Plant is allocated to Functional Areas based on O&amp;M labor factors.</t>
  </si>
  <si>
    <t>Total Electric</t>
  </si>
  <si>
    <t>See WP_7-PlantInService 4, L. 122, col 15</t>
  </si>
  <si>
    <t>7) Total Electric Distribution Common, General and Intangible (CGI) Plant</t>
  </si>
  <si>
    <t>Total Electric Distribution Common, General and Intangible (CGI) Plant is the total of the Direct Assigned CGI Plant (Section 4) and the residual CGI Plant (Sections 5-6) allocated to Electric Distribution Primary and Secondary Distribution.</t>
  </si>
  <si>
    <t>Total of 
Sections 4-6</t>
  </si>
  <si>
    <t>See WP_7-PlantInService 6, L. 122, col 7 &amp; 8</t>
  </si>
  <si>
    <t>1) Electric Distribution Direct Assigned CGI Plant is Plant in FERC Accounts 389-399 or 301-303 that serves only Electric Distribution. For Prior Year amounts, see WP_7-PlantInService 4, L. 122, col 7-10.</t>
  </si>
  <si>
    <t>2) Corporate (Gas and Electric) Residual CGI Plant is Plant in FERC Accounts 389-399 or 301-303 that serves all PG&amp;E Gas and Electric Functional Areas. For Prior Year amount, see WP_7-PlantInService 4, L. 122, col 14.</t>
  </si>
  <si>
    <t>3) Corporate (Electric) Residual CGI Plant is Plant in FERC Accounts 389-399 or 301-303 that serves PG&amp;E Electric Functional Areas only. For Prior Year amount, see WP_7-PlantInService 4, L. 122, col 15.</t>
  </si>
  <si>
    <t>System Demand</t>
  </si>
  <si>
    <t>1) Wholesale Distribution Tariff Demand for Allocation (kW) (Note 1)</t>
  </si>
  <si>
    <r>
      <t xml:space="preserve">Diversified Peak (DP): </t>
    </r>
    <r>
      <rPr>
        <sz val="11"/>
        <rFont val="Calibri"/>
        <family val="2"/>
        <scheme val="minor"/>
      </rPr>
      <t>For each PG&amp;E WDT Distribution Customer, the highest monthly demand coincident among each Distribution Customer’s points of interconnection.  For Customers with one point of interconnection, the Diversified Peak Demand and the Non-Coincident Peak Demand will be the same</t>
    </r>
    <r>
      <rPr>
        <b/>
        <sz val="11"/>
        <rFont val="Calibri"/>
        <family val="2"/>
        <scheme val="minor"/>
      </rPr>
      <t>.</t>
    </r>
  </si>
  <si>
    <r>
      <t xml:space="preserve">Non-Coincident Peak (NCP): </t>
    </r>
    <r>
      <rPr>
        <sz val="11"/>
        <rFont val="Calibri"/>
        <family val="2"/>
        <scheme val="minor"/>
      </rPr>
      <t>The Distribution Customer’s highest monthly demand irrespective of the date or time the peak occurred in that month.  For Customers with more than one POI, the NCP is a sum of each POIs NCP.</t>
    </r>
  </si>
  <si>
    <t xml:space="preserve"> </t>
  </si>
  <si>
    <t>Port Of Oakland
(SA No. 3)</t>
  </si>
  <si>
    <t>Diversified Peak (DP) at Primary
(DEMD 6 - 8) (Note 2)</t>
  </si>
  <si>
    <t>NonCoincident Peak (NCP) at Secondary
(DEMD 9 - 12)</t>
  </si>
  <si>
    <t>Diversified Peak (DP) at Primary
(DEMD 6 - 8)</t>
  </si>
  <si>
    <t>Maximum</t>
  </si>
  <si>
    <t>2) Summary of System Demand for Allocation (kW)</t>
  </si>
  <si>
    <t>Col 1
(Sum Cols 2 - 3)</t>
  </si>
  <si>
    <t>Col 2
(Note 3)</t>
  </si>
  <si>
    <t>Col 3
(Sum Cols 4 - 10)</t>
  </si>
  <si>
    <t>Col 4
(Note 4)</t>
  </si>
  <si>
    <t>Col 5
(Note 4)</t>
  </si>
  <si>
    <t>Col 6
(Note 4)</t>
  </si>
  <si>
    <t>Col 7
(Note 4)</t>
  </si>
  <si>
    <t>Col 8
(Note 4)</t>
  </si>
  <si>
    <t>Col 9
(Note 4)</t>
  </si>
  <si>
    <t>Col 10
(Note 4)</t>
  </si>
  <si>
    <t>Allocation Factor Names and Mnemonics</t>
  </si>
  <si>
    <t>Total Retail</t>
  </si>
  <si>
    <t>Total Wholesale</t>
  </si>
  <si>
    <t>CCSF</t>
  </si>
  <si>
    <t>Port of Oakland</t>
  </si>
  <si>
    <t>PWRPA 1</t>
  </si>
  <si>
    <t>PWRPA 2</t>
  </si>
  <si>
    <t>Shelter Cove</t>
  </si>
  <si>
    <t>WAPA</t>
  </si>
  <si>
    <t>Westside</t>
  </si>
  <si>
    <t>Production Demand  (DEMD 1) (CP)</t>
  </si>
  <si>
    <t>High Voltage (DEMD 4) (CP)</t>
  </si>
  <si>
    <t>Low Voltage (DEMD 5) (CP)</t>
  </si>
  <si>
    <t>Distribution - Substa (DEMD 6) (DP)</t>
  </si>
  <si>
    <t>Overhead Primary Line (DEMD 7) (DP)</t>
  </si>
  <si>
    <t>Underground Primary Line (DEMD 8) (DP)</t>
  </si>
  <si>
    <t>Line Transformers (DEMD 9) (NCP)</t>
  </si>
  <si>
    <t>Overhead Secondary Line (DEMD 10) (NCP)</t>
  </si>
  <si>
    <t>Underground Secondary Line (DEMD 11) (NCP)</t>
  </si>
  <si>
    <t>Services (DEMD 12) (NCP)</t>
  </si>
  <si>
    <r>
      <rPr>
        <b/>
        <sz val="10"/>
        <rFont val="Arial"/>
        <family val="2"/>
      </rPr>
      <t>Note 1:</t>
    </r>
    <r>
      <rPr>
        <sz val="10"/>
        <rFont val="Arial"/>
        <family val="2"/>
      </rPr>
      <t xml:space="preserve"> Primary and Secondary Demand data is from Schedule 9-Wholesale Revenues, lines 113 - 124 for Primary and lines 313 - 324 for Secondary.</t>
    </r>
  </si>
  <si>
    <r>
      <rPr>
        <b/>
        <sz val="10"/>
        <rFont val="Arial"/>
        <family val="2"/>
      </rPr>
      <t>Note 2:</t>
    </r>
    <r>
      <rPr>
        <sz val="10"/>
        <rFont val="Arial"/>
        <family val="2"/>
      </rPr>
      <t xml:space="preserve"> The monthly Primary Demands for Customers with Secondary loads is calculated using this formula: Recorded Primary DP Demand + [Recorded Secondary DP Demand * (1.13848 / 1.07414)]. The loss factor 1.07414 is found in 
15-LossFactors, col 1, line 103 and the loss factor 1.13848 is found in 15-LossFactors, col 1, line 104.</t>
    </r>
  </si>
  <si>
    <r>
      <rPr>
        <b/>
        <sz val="10"/>
        <rFont val="Arial"/>
        <family val="2"/>
      </rPr>
      <t>Note 3:</t>
    </r>
    <r>
      <rPr>
        <sz val="10"/>
        <rFont val="Arial"/>
        <family val="2"/>
      </rPr>
      <t xml:space="preserve"> Total recorded Retail System Coincident Peaks (CP) (DEMD 1 - 5),  Diversified Peaks (DP) (DEMD 6 - 8), and Non-Coincident Peaks (NCP) (DEMD 9 -12) for the Prior Year.</t>
    </r>
  </si>
  <si>
    <r>
      <rPr>
        <b/>
        <sz val="10"/>
        <color rgb="FF000000"/>
        <rFont val="Arial"/>
        <family val="2"/>
      </rPr>
      <t>Note 4:</t>
    </r>
    <r>
      <rPr>
        <sz val="10"/>
        <color indexed="8"/>
        <rFont val="Arial"/>
        <family val="2"/>
      </rPr>
      <t xml:space="preserve"> For each Customer, the sources for DEMD 6 - 8 and DEMD 9 - 12 are found on Line 113.</t>
    </r>
  </si>
  <si>
    <t>1) Prior Year Wholesale Primary Demand (kW) (Note 1)</t>
  </si>
  <si>
    <t>Instructions: Add any new customers during the Annual Update Process.</t>
  </si>
  <si>
    <t>Non-Coincident Peak (NCP)</t>
  </si>
  <si>
    <t>Diversified Peak (DP)</t>
  </si>
  <si>
    <t>2) Prior Year Wholesale Primary Distribution Revenue (Note 2)</t>
  </si>
  <si>
    <t>3) Prior Year Wholesale Secondary Demand (kW) (Note 1)</t>
  </si>
  <si>
    <t>4) Prior Year Wholesale Secondary Distribution Revenue (Note 2)</t>
  </si>
  <si>
    <r>
      <rPr>
        <b/>
        <sz val="11"/>
        <rFont val="Calibri"/>
        <family val="2"/>
        <scheme val="minor"/>
      </rPr>
      <t>Note 1:</t>
    </r>
    <r>
      <rPr>
        <sz val="11"/>
        <rFont val="Calibri"/>
        <family val="2"/>
        <scheme val="minor"/>
      </rPr>
      <t xml:space="preserve"> Data is from each Customer’s monthly billed Non-Coincident Peak demand. </t>
    </r>
  </si>
  <si>
    <r>
      <rPr>
        <b/>
        <sz val="11"/>
        <rFont val="Calibri"/>
        <family val="2"/>
        <scheme val="minor"/>
      </rPr>
      <t>Note 2:</t>
    </r>
    <r>
      <rPr>
        <sz val="11"/>
        <rFont val="Calibri"/>
        <family val="2"/>
        <scheme val="minor"/>
      </rPr>
      <t xml:space="preserve"> The Prior Year Primary and Secondy monthly Revenue can be found on each Customer's monthly bill. </t>
    </r>
  </si>
  <si>
    <t>Accumulated Depreciation for Electric Distribution Assets</t>
  </si>
  <si>
    <t>1) Total Accumulated Depreciation for Electric Distribution Functional Plant</t>
  </si>
  <si>
    <t>Accumulated Depreciation balances for Electric Distribution Plant are extracted from PowerPlan, PG&amp;E's fixed asset system of record, by querying by Asset Class, FERC Account, and UCC.</t>
  </si>
  <si>
    <t>The monthly balances in Lines 100 -112 are the end-of-month balances for Prior Year and December of Prior Year - 1.</t>
  </si>
  <si>
    <t>2) Accumulated Depreciation for Electric Distribution Functional Plant - Primary Distribution</t>
  </si>
  <si>
    <t>Total Accumulated Depreciation balances for Electric Distribution Plant (Section 1) are allocated to Primary and Secondary Distribution using allocation factors shown on Schedules 6 (6-PlantJurisdiction), Lines 200-213.</t>
  </si>
  <si>
    <t>3) Accumulated Depreciation for Electric Distribution Functional Plant - Secondary Distribution</t>
  </si>
  <si>
    <t>Total Accumulated Depreciation balances for Electric Distribution Plant (Section 1) are allocated to Primary and Secondary Distribution using allocation factors shown on Schedule 6 (6-PlantJurisdiction), Lines 200-213.</t>
  </si>
  <si>
    <t>4) Accumulated Depreciation for Direct Assigned Common, General and Intangible (CGI) Plant</t>
  </si>
  <si>
    <t>Accumulated Depreciation balances for Direct Assigned CGI Plant are extracted from PowerPlan, PG&amp;E's fixed asset system of record, by querying by Asset Class, FERC Account, and UCC.</t>
  </si>
  <si>
    <t>See WP_10-AccDep 4, L. 122, col 10</t>
  </si>
  <si>
    <t>5) Accumulated Depreciation for Corporate Services (Gas and Electric) Residual Common, General and Intangible (CGI) Plant</t>
  </si>
  <si>
    <t>Accumulated Depreciation balances for Corporate Services (Gas and Electric) Residual CGI Plant are extracted from PowerPlan, PG&amp;E's fixed asset system of record, by querying by Asset Class, FERC Account, and UCC. Corporate Services (Gas and Electric) Residual CGI is allocated to Functional Areas based on O&amp;M labor factors.</t>
  </si>
  <si>
    <t>See WP_10-AccDep 4, L. 122, col 14</t>
  </si>
  <si>
    <t>6) Accumulated Depreciation for Corporate Services (Electric) Residual Common, General and Intangible (CGI) Plant</t>
  </si>
  <si>
    <t>Accumulated Depreciation balances for Corporate Services (Electric) CGI Plant are extracted from PowerPlan, PG&amp;E's fixed asset system of record, by querying by Asset Class, FERC Account, and UCC. Corporate Services (Electric) Residual CGI is allocated to Functional Areas based on O&amp;M labor factors.</t>
  </si>
  <si>
    <t>See WP_10-AccDep 4, L. 122, col 15</t>
  </si>
  <si>
    <t>7) Total Accumulated Depreciation for Electric Distribution Common, General and Intangible (CGI) Plant</t>
  </si>
  <si>
    <t>Total Electric Distribution Accumulated Depreciation for Common, General and Intangible (CGI) Plant is the total of the Direct Assigned CGI Plant (Section 4) and the residual CGI Plant (Sections 5-6) allocated to Electric Distribution Primary and Secondary Distribution.</t>
  </si>
  <si>
    <t>See WP_10-AccDep 6, L. 122, col 7 &amp; 8</t>
  </si>
  <si>
    <t>1) Electric Distribution Direct Assigned CGI Plant is Plant in FERC Accounts 389-399 or 301-303 that serves only Electric Distribution. For Prior Year amounts, see WP_10-AccDep 4, L. 122, col 7-10.</t>
  </si>
  <si>
    <t>2) Corporate (Gas and Electric) Residual CGI Plant is Plant in FERC Accounts 389-399 or 301-303 that serves all PG&amp;E Functional Areas. For Prior Year amount, see WP_10-AccDep 4, L. 122, col 14.</t>
  </si>
  <si>
    <t>3) Corporate (Electric) Residual CGI Plant is Plant in FERC Accounts 389-399 or 301-303 that serves PG&amp;E Electric Functional Areas only. For Prior Year amount, see WP_10-AccDep 4, L. 122, col 15.</t>
  </si>
  <si>
    <t>Electric Distribution Depreciation Expense</t>
  </si>
  <si>
    <t>1) Depreciation Expense for Electric Distribution Functional Plant</t>
  </si>
  <si>
    <t xml:space="preserve">Prior Year recorded Depreciation Expense is extracted from PowerPlan, PG&amp;E's fixed asset system of record, by querying by Asset Class. It is then allocated to UCC and Functional Area based on Prior Year ending plant balances. </t>
  </si>
  <si>
    <t>Total Depreciation Expense for Electric Distribution Plant (Line 100) is allocated to Primary Distribution (Line 101) and Secondary Distribution (Line 102) using allocation factors shown on Schedule 6 (6-PlantJurisdiction), Lines 200-213.</t>
  </si>
  <si>
    <t>Total Electric Distribution</t>
  </si>
  <si>
    <t>2) Depreciation Expense for Direct Assigned Common, General and Intangible (CGI) Plant</t>
  </si>
  <si>
    <t xml:space="preserve">Depreciation Expense for Direct Assigned CGI Plant is extracted from PowerPlan, PG&amp;E's fixed asset system of record, by querying by Asset Class. It is then allocated to UCC and Functional Area based on Prior Year ending plant balances. </t>
  </si>
  <si>
    <t>See WP_11-Depreciation 3, L. 122, col 10</t>
  </si>
  <si>
    <t>3) Depreciation Expense for Corporate Services (Gas and Electric) Residual Common, General and Intangible (CGI) Plant</t>
  </si>
  <si>
    <t>Depreciation Expense for Corporate Services (Gas and Electric) Residual CGI Plant is extracted from PowerPlan, PG&amp;E's fixed asset system of record, by querying by Asset Class. It is allocated to UCC based on Prior Year ending plant balances and to Functional Area based on O&amp;M labor factors.</t>
  </si>
  <si>
    <t>Corporate</t>
  </si>
  <si>
    <t>4) Depreciation Expense for Corporate Services (Electric) Residual Common, General and Intangible (CGI) Plant</t>
  </si>
  <si>
    <t>Depreciation Expense for Corporate Services (Electric) Residual CGI Plant is extracted from PowerPlan, PG&amp;E's fixed asset system of record, by querying by Asset Class. It is allocated to UCC based on Prior Year ending plant balances and to Functional Area based on O&amp;M labor factors.</t>
  </si>
  <si>
    <t>5) Total Depreciation Expense for Electric Distribution Common, General and Intangible (CGI) Plant</t>
  </si>
  <si>
    <t>Total Depreciation Expense for Electric Distribution CGI Plant is the total of the amount related to Direct Assigned CGI Plant (Section 2) and amounts related to Residual CGI Plant (Sections 3-4) allocated to Electric Distribution Primary and Secondary Distribution.</t>
  </si>
  <si>
    <t>Total of 
Sections 2-4</t>
  </si>
  <si>
    <t>See WP_11-Depreciation 5, L. 122, col 7 &amp; 8</t>
  </si>
  <si>
    <t>1) Electric Distribution Direct Assigned CGI Plant is Plant in FERC Accounts 389-399 or 301-303 that serves only Electric Distribution. For Prior Year Electric Distribution Direct Assigned CGI Depreciation Expense, see WP_11-Depreciation 3, L. 122, col 7-10.</t>
  </si>
  <si>
    <t>2) Corporate (Gas and Electric) Residual CGI Plant is Plant in FERC Accounts 389-399 or 301-303 that serves all PG&amp;E Gas and Electric Functional Areas. For Prior Year Depreciation Expense for Corporate (Gas and Electric) Residual CGI Plant, see WP_11-Depreciation 3, L. 122, col 14.</t>
  </si>
  <si>
    <t>3) Corporate (Electric) Residual CGI Plant is Plant in FERC Accounts 389-399 or 301-303 that serves PG&amp;E Electric Functional Areas only. For Prior Year Depreciation Expense for Corporate (Electric) Residual CGI Plant, see WP_11-Depreciation 3, L. 122, Col 15.</t>
  </si>
  <si>
    <t>PRIOR YEAR DEPRECIATION RATES (Note 1)</t>
  </si>
  <si>
    <t>1) CPUC Approved Depreciation Rates for Electric Distribution Plant</t>
  </si>
  <si>
    <t>Depreciation</t>
  </si>
  <si>
    <t>Functional Group</t>
  </si>
  <si>
    <t>Asset Class</t>
  </si>
  <si>
    <t>Asset Class Description</t>
  </si>
  <si>
    <t>Accrual Rates</t>
  </si>
  <si>
    <t>EDP</t>
  </si>
  <si>
    <t>LAND</t>
  </si>
  <si>
    <t>LAND RIGHTS</t>
  </si>
  <si>
    <t>STRUCTURES AND IMPROVEMENTS</t>
  </si>
  <si>
    <t>STRUCTURES AND IMPROVEMENTS - EQUIPMENT</t>
  </si>
  <si>
    <t>STATION EQUIPMENT</t>
  </si>
  <si>
    <t>STORAGE BATTERY EQUIPMENT</t>
  </si>
  <si>
    <t>ENERGY STORAGE</t>
  </si>
  <si>
    <t>POLES, TOWERS AND FIXTURES</t>
  </si>
  <si>
    <t>OVERHEAD CONDUCTORS AND DEVICES</t>
  </si>
  <si>
    <t>UNDERGROUND CONDUIT</t>
  </si>
  <si>
    <t>UNDERGROUND CONDUCTORS AND DEVICES</t>
  </si>
  <si>
    <t>LINE TRANSFORMERS - OVERHEAD</t>
  </si>
  <si>
    <t>LINE TRANSFORMERS - UNDERGROUND</t>
  </si>
  <si>
    <t>SERVICES - OVERHEAD</t>
  </si>
  <si>
    <t>SERVICES - UNDERGROUND</t>
  </si>
  <si>
    <t>METERS</t>
  </si>
  <si>
    <t>INSTALLATIONS ON CUSTOMERS' PREMISES</t>
  </si>
  <si>
    <t>LEASED PROPERTY ON CUSTOMERS' PREMISES</t>
  </si>
  <si>
    <t>2) CPUC Approved Depreciation Rates for Common, General and Intangible (CGI) Plant</t>
  </si>
  <si>
    <t>CMP30101</t>
  </si>
  <si>
    <t>ORGANIZATION - COMMON PLANT</t>
  </si>
  <si>
    <t>CMP30200</t>
  </si>
  <si>
    <t>FRANCHISES AND CONSENTS - COMMON PLANT</t>
  </si>
  <si>
    <t>CMP30301</t>
  </si>
  <si>
    <t>MISCELLANEOUS INTANGIBLE PLANT</t>
  </si>
  <si>
    <t>CMP30302</t>
  </si>
  <si>
    <t>SOFTWARE</t>
  </si>
  <si>
    <t>CMP30304</t>
  </si>
  <si>
    <t>SOFTWARE CIS</t>
  </si>
  <si>
    <t>CMP38901</t>
  </si>
  <si>
    <t>LAND - COMMON PLANT</t>
  </si>
  <si>
    <t>CMP38902</t>
  </si>
  <si>
    <t>CMP39000</t>
  </si>
  <si>
    <t>CMP39001</t>
  </si>
  <si>
    <t>COMM PLANT: LEASEHOLD IMPR</t>
  </si>
  <si>
    <t>CMP39101</t>
  </si>
  <si>
    <t xml:space="preserve">OFFICE MACHINES </t>
  </si>
  <si>
    <t>CMP39102</t>
  </si>
  <si>
    <t>PC HARDWARE</t>
  </si>
  <si>
    <t>CMP39103</t>
  </si>
  <si>
    <t>OFFICE FURNITURE AND EQUIPMENT</t>
  </si>
  <si>
    <t>CMP39104</t>
  </si>
  <si>
    <t>OFFICE MACHINES AND COMPUTER EQUIPMENT - CIS - FULLY ACCRUED</t>
  </si>
  <si>
    <t>CMP39201</t>
  </si>
  <si>
    <t>TRANSPORTATION EQUIPMENT - AIR</t>
  </si>
  <si>
    <t>CMP39202</t>
  </si>
  <si>
    <t>TRANSPORTATION EQUIPMENT - CLASS P</t>
  </si>
  <si>
    <t>CMP39203</t>
  </si>
  <si>
    <t>TRANSPORTATION EQUIPMENT - CLASS C2</t>
  </si>
  <si>
    <t>CMP39204</t>
  </si>
  <si>
    <t>TRANSPORTATION EQUIPMENT - CLASS C4</t>
  </si>
  <si>
    <t>CMP39205</t>
  </si>
  <si>
    <t xml:space="preserve">TRANSPORTATION EQUIPMENT - CLASS T1 </t>
  </si>
  <si>
    <t>CMP39206</t>
  </si>
  <si>
    <t>TRANSPORTATION EQUIPMENT - CLASS T3</t>
  </si>
  <si>
    <t>CMP39207</t>
  </si>
  <si>
    <t xml:space="preserve">TRANSPORTATION EQUIPMENT - CLASS T4 </t>
  </si>
  <si>
    <t>CMP39208</t>
  </si>
  <si>
    <t>TRANSPORTATION EQUIPMENT - VESSELS</t>
  </si>
  <si>
    <t>CMP39209</t>
  </si>
  <si>
    <t>TRANSPORTATION EQUIPMENT - TRAILERS</t>
  </si>
  <si>
    <t>CMP39300</t>
  </si>
  <si>
    <t>STORES EQUIPMENT</t>
  </si>
  <si>
    <t>CMP39400</t>
  </si>
  <si>
    <t>TOOLS, SHOP AND GARAGE EQUIPMENT</t>
  </si>
  <si>
    <t>CMP39500</t>
  </si>
  <si>
    <t>LABORATORY EQUIPMENT</t>
  </si>
  <si>
    <t>CMP39600</t>
  </si>
  <si>
    <t>POWER OPERATED EQUIPMENT</t>
  </si>
  <si>
    <t>CMP39701</t>
  </si>
  <si>
    <t>COMMUNICATION EQUIPMENT - NON-COMPUTER</t>
  </si>
  <si>
    <t>CMP39702</t>
  </si>
  <si>
    <t>COMMUNICATION EQUIPMENT - COMPUTER</t>
  </si>
  <si>
    <t>CMP39703</t>
  </si>
  <si>
    <t>COMMUNICATION EQUIPMENT - RADIO SYSTEMS</t>
  </si>
  <si>
    <t>CMP39704</t>
  </si>
  <si>
    <t>COMMUNICATION EQUIPMENT - VOICE SYSTEMS</t>
  </si>
  <si>
    <t>CMP39705</t>
  </si>
  <si>
    <t>COMMUNICATION EQUIPMENT - TRANSMISSION SYSTEMS</t>
  </si>
  <si>
    <t>CMP39706</t>
  </si>
  <si>
    <t>COMMUNICATION EQUIPMENT - TRANSMISSION SYSTEMS, GAS AMI</t>
  </si>
  <si>
    <t>CMP39707</t>
  </si>
  <si>
    <t>COMMUNICATION EQUIPMENT - TRANSMISSION SYSTEMS, ELECTRIC AMI</t>
  </si>
  <si>
    <t>CMP39708</t>
  </si>
  <si>
    <t>AMI COMMUNICATION NETWORK</t>
  </si>
  <si>
    <t>CMP39800</t>
  </si>
  <si>
    <t>MISCELLANEOUS EQUIPMENT</t>
  </si>
  <si>
    <t>CMP39900</t>
  </si>
  <si>
    <t>OTHER TANGIBLE PROPERTY</t>
  </si>
  <si>
    <t>EGP38901</t>
  </si>
  <si>
    <t>EGP38902</t>
  </si>
  <si>
    <t>EGP39000</t>
  </si>
  <si>
    <t>EGP39100</t>
  </si>
  <si>
    <t>EGP39400</t>
  </si>
  <si>
    <t>TOOLS, SHOP AND WORK EQUIPMENT</t>
  </si>
  <si>
    <t>EGP39500</t>
  </si>
  <si>
    <t>EGP39600</t>
  </si>
  <si>
    <t>EGP39700</t>
  </si>
  <si>
    <t>COMMUNICATION EQUIPMENT</t>
  </si>
  <si>
    <t>EGP39708</t>
  </si>
  <si>
    <t>EGP39800</t>
  </si>
  <si>
    <t>EIP30201</t>
  </si>
  <si>
    <t>FRANCHISES AND CONSENTS</t>
  </si>
  <si>
    <t>EIP30301</t>
  </si>
  <si>
    <t>USBR - LIMITED TERM ELECTRIC</t>
  </si>
  <si>
    <t>EIP30303</t>
  </si>
  <si>
    <t>COMPUTER SOFTWARE</t>
  </si>
  <si>
    <t>1) See CPUC Decision 20-12-005.  In the event the CPUC modifies these depreciation rates in the future, PG&amp;E will make a Section 205 filing and update the rates in the next Annual Update.</t>
  </si>
  <si>
    <t>1) Calculation of Materials and Supplies</t>
  </si>
  <si>
    <t>Materials and Supplies balances are recorded in FERC Account 154.</t>
  </si>
  <si>
    <t xml:space="preserve">Total </t>
  </si>
  <si>
    <t>Company</t>
  </si>
  <si>
    <t xml:space="preserve">Line </t>
  </si>
  <si>
    <t>Materials &amp; Supplies</t>
  </si>
  <si>
    <t>2) Calculation of Prepayments</t>
  </si>
  <si>
    <t>Prepaid property insurance is allocated to Electric Distribution (ED) based on plant ratios.  Prepaid liability insurance is allocated to ED based on a 50% plant, 50% labor ratio.  Other prepayments are allocated to ED based on the labor ratio.</t>
  </si>
  <si>
    <t>Data Source:</t>
  </si>
  <si>
    <t>FF1 110-111, L. 57, col c and d</t>
  </si>
  <si>
    <t>col 3 - col 4</t>
  </si>
  <si>
    <t xml:space="preserve">Less:  </t>
  </si>
  <si>
    <t>Detail of Adjusted Total Prepaids</t>
  </si>
  <si>
    <t>Total Prepayments</t>
  </si>
  <si>
    <t>Direct Assignments</t>
  </si>
  <si>
    <t>Adjusted Total</t>
  </si>
  <si>
    <t>Property Insurance</t>
  </si>
  <si>
    <t>Liability Insurance</t>
  </si>
  <si>
    <t>Misc.</t>
  </si>
  <si>
    <t>50% Plant / 50%</t>
  </si>
  <si>
    <t>Allocation Method to Electric Distribution</t>
  </si>
  <si>
    <t>Plant Ratio</t>
  </si>
  <si>
    <t>Labor Average</t>
  </si>
  <si>
    <t>Labor Ratio</t>
  </si>
  <si>
    <t>Allocation Factor</t>
  </si>
  <si>
    <t>24-Allocators, L. 116, L. 120, L. 113</t>
  </si>
  <si>
    <t>a)  13 Month Avg Calculation</t>
  </si>
  <si>
    <t>Allocated Prepayments</t>
  </si>
  <si>
    <t>b)  EOY Calculation</t>
  </si>
  <si>
    <t xml:space="preserve">Note 1:   Materials and Supplies month-end balances are extracted from SAP by querying by General Ledger (GL) Account. December balances are from FF1 227, L. 12, cols b and c. </t>
  </si>
  <si>
    <t>Note 2:   PG&amp;E's supply chain management team uses specific material codes to assign recorded inventory balances to Electric Distribution.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</si>
  <si>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</si>
  <si>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</si>
  <si>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</si>
  <si>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</si>
  <si>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</si>
  <si>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Debit balances are positive, Credit balances are negative</t>
  </si>
  <si>
    <t>1) Summary of Accumulated Deferred Income Taxes</t>
  </si>
  <si>
    <t>a) End of Year Accumulated Deferred Income Taxes</t>
  </si>
  <si>
    <t>Account</t>
  </si>
  <si>
    <t>Total Recorded ADIT</t>
  </si>
  <si>
    <t>Account 190</t>
  </si>
  <si>
    <t>Account 282</t>
  </si>
  <si>
    <t>Account 283</t>
  </si>
  <si>
    <t>Account 255</t>
  </si>
  <si>
    <t>Total Accumulated Deferred Income Taxes</t>
  </si>
  <si>
    <t>b) Beginning of Year Accumulated Deferred Income Taxes</t>
  </si>
  <si>
    <t>BOY ADIT</t>
  </si>
  <si>
    <t>WP_14-ADIT 1, L. 100, col 7</t>
  </si>
  <si>
    <t>c) Average of Beginning and End of Year Accumulated Deferred Income Taxes</t>
  </si>
  <si>
    <t>Average ADIT</t>
  </si>
  <si>
    <t>Weighted Average ADIT:</t>
  </si>
  <si>
    <t>2) Account 190 Detail</t>
  </si>
  <si>
    <t>END BAL per G/L</t>
  </si>
  <si>
    <t>Gas, Generation</t>
  </si>
  <si>
    <t xml:space="preserve">Plant Related </t>
  </si>
  <si>
    <t>Labor Related</t>
  </si>
  <si>
    <t>ACCT 190</t>
  </si>
  <si>
    <t>DESCRIPTION</t>
  </si>
  <si>
    <t>Sum Col 3 to Col 6</t>
  </si>
  <si>
    <t>or Other Related</t>
  </si>
  <si>
    <t>EDP Only</t>
  </si>
  <si>
    <t>Electric:</t>
  </si>
  <si>
    <t>Environmental</t>
  </si>
  <si>
    <t>Gas and Other Non-EDP Related Costs</t>
  </si>
  <si>
    <t>WP_14-ADIT 2, L. 100, Col 2</t>
  </si>
  <si>
    <t>Compensation</t>
  </si>
  <si>
    <t>WP_14-ADIT 2, L. 101, Col 2</t>
  </si>
  <si>
    <t>Vacation Timing Differences</t>
  </si>
  <si>
    <t>Relates to all Regulated Electric Property</t>
  </si>
  <si>
    <t>WP_14-ADIT 2, L. 102, Col 2</t>
  </si>
  <si>
    <t>Contributions In Aid of Construction (CIAC)</t>
  </si>
  <si>
    <t>WP_14-ADIT 2, L. 103, Col 2</t>
  </si>
  <si>
    <t>Injuries and Damages</t>
  </si>
  <si>
    <t>WP_14-ADIT 2, L. 104, Col 2</t>
  </si>
  <si>
    <t>California Corporation Franchise Tax</t>
  </si>
  <si>
    <t>WP_14-ADIT 2, L. 105, Col 2</t>
  </si>
  <si>
    <t>Net Operating Losses Deferred Taxes</t>
  </si>
  <si>
    <t>Property-Related EDP Costs</t>
  </si>
  <si>
    <t>WP_14-ADIT 2, L. 106, Col 2 and WP_14-ADIT 3, L. 113</t>
  </si>
  <si>
    <t>ITC FAS 109 Deferred Taxes</t>
  </si>
  <si>
    <t>WP_14-ADIT 2, L. 107, Col 2</t>
  </si>
  <si>
    <t>Property Tax Timing Differences</t>
  </si>
  <si>
    <t>WP_14-ADIT 2, L. 108, Col 2</t>
  </si>
  <si>
    <t>Other</t>
  </si>
  <si>
    <t>WP_14-ADIT 2, L. 109, Col 2</t>
  </si>
  <si>
    <t>Total Account 190</t>
  </si>
  <si>
    <t>Allocation Factors (Plant and Wages)</t>
  </si>
  <si>
    <t>24-Allocators, L. 119, 112</t>
  </si>
  <si>
    <t>Total Account 190 ADIT</t>
  </si>
  <si>
    <t>(Sum of amounts in Columns 4 to 6)</t>
  </si>
  <si>
    <t>FERC Form 1 Account 190</t>
  </si>
  <si>
    <t>FF1 234, L. 18, col c</t>
  </si>
  <si>
    <t>3) Account 282 Detail</t>
  </si>
  <si>
    <t>Plant Related</t>
  </si>
  <si>
    <t>Labor</t>
  </si>
  <si>
    <t>ACCT 282</t>
  </si>
  <si>
    <t>Related</t>
  </si>
  <si>
    <t xml:space="preserve">Fully Normalized Deferred Tax </t>
  </si>
  <si>
    <t>WP_14-ADIT 4, L. 103, Col 2</t>
  </si>
  <si>
    <t>Property/Non-EDP</t>
  </si>
  <si>
    <t>Property-Related CPUC Costs</t>
  </si>
  <si>
    <t xml:space="preserve">Common Plant </t>
  </si>
  <si>
    <t>Property-Related Total Company Costs</t>
  </si>
  <si>
    <t>Property - Off System DFIT for Repairs Section 481(a)</t>
  </si>
  <si>
    <t>Property/ISO (Abandoned Plant)</t>
  </si>
  <si>
    <t>WP_14-ADIT 6, L. 101, Col 6</t>
  </si>
  <si>
    <t>Total Account 282</t>
  </si>
  <si>
    <t>24-Allocators, L. 116, 113</t>
  </si>
  <si>
    <t>Total Account 282 ADIT</t>
  </si>
  <si>
    <t>FERC Form 1 Account 282</t>
  </si>
  <si>
    <t>FF1 274-275, L. 9, col k</t>
  </si>
  <si>
    <t>Not Used</t>
  </si>
  <si>
    <t>4) Account 283 Detail</t>
  </si>
  <si>
    <t>ACCT 283</t>
  </si>
  <si>
    <t>Loss on Reaquired Debt</t>
  </si>
  <si>
    <t>FF1 276-277, L. 3 + L. 11, col k</t>
  </si>
  <si>
    <t>Balancing Accounts</t>
  </si>
  <si>
    <t>Relates Entirely to CPUC Balancing Account Recovery</t>
  </si>
  <si>
    <t>FF1 276-277, L. 4 + L. 12, col k</t>
  </si>
  <si>
    <t>FF1 276-277, L. 5 + L. 14 + L.18, col k</t>
  </si>
  <si>
    <t>Total Account 283</t>
  </si>
  <si>
    <t>24-Allocators, Lines 116, 113</t>
  </si>
  <si>
    <t>Total Account 283 ADIT</t>
  </si>
  <si>
    <t>FERC Form 1 Account 283</t>
  </si>
  <si>
    <t>Must match amount on Line 404 Col 2</t>
  </si>
  <si>
    <t>FF1 276-277, L. 19, col k</t>
  </si>
  <si>
    <t>5) Account 255 Detail</t>
  </si>
  <si>
    <t>ACCT 255</t>
  </si>
  <si>
    <t>Investment Tax Credits</t>
  </si>
  <si>
    <t>WP_14-ADIT 7, L. 105, Col 6</t>
  </si>
  <si>
    <t>Investment Tax Credits - Common</t>
  </si>
  <si>
    <t>Property-Related Costs</t>
  </si>
  <si>
    <t>WP_14-ADIT 7, L. 100 + L. 101, col 6</t>
  </si>
  <si>
    <t>Investment Tax Credits -Other</t>
  </si>
  <si>
    <t>Total Electric 255</t>
  </si>
  <si>
    <t>Total Account 255 ADIT</t>
  </si>
  <si>
    <t>FERC Form 1 Account 255</t>
  </si>
  <si>
    <t>FF1 266-267, L. 8 + L. 12, col h</t>
  </si>
  <si>
    <t>6) Tax Normalization Calculation Pursuant to Treas. Reg §1.167(l)-1(h)(6); PLR 9313008; 9202029; 922404; 201717008</t>
  </si>
  <si>
    <t>See Note 1</t>
  </si>
  <si>
    <t>See Note 2</t>
  </si>
  <si>
    <t>Col 5 / Tot. Days</t>
  </si>
  <si>
    <t>= Col 2 * Col 6</t>
  </si>
  <si>
    <t>Prior Month Col 8 + Col 7</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</si>
  <si>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</si>
  <si>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</si>
  <si>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</si>
  <si>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</si>
  <si>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</si>
  <si>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</si>
  <si>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</si>
  <si>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</si>
  <si>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</si>
  <si>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</si>
  <si>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</si>
  <si>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</si>
  <si>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</si>
  <si>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</si>
  <si>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Beginning Deferred Tax Balance (Line 105, Col. 2)</t>
  </si>
  <si>
    <t>Ending Balance</t>
  </si>
  <si>
    <t>Weighted Average ADIT Balance:</t>
  </si>
  <si>
    <t>1) The monthly deferred tax amounts are equal to the ending ADIT balance minus the beginning ADIT balance, divided by 12 months.</t>
  </si>
  <si>
    <t>2) For January through December = previous month balance plus amount in col 2.</t>
  </si>
  <si>
    <t>3) FERC Account 190 amounts are coming from FERC Form 1, which lists Electric and Gas amounts separately.  For the amounts listed on 14-ADIT, PG&amp;E uses Electric amounts whenever possible.</t>
  </si>
  <si>
    <t>4) FERC Account 282 and Account 255 amounts are coming from PG&amp;E's tax fixed asset software system (PowerTax).   PowerTax common amounts are on a total company basis.</t>
  </si>
  <si>
    <t>Loss Factors</t>
  </si>
  <si>
    <t>FUNCTIONALIZED SYSTEM AVERAGE LOSS FACTORS</t>
  </si>
  <si>
    <t>Demand Loss Factors</t>
  </si>
  <si>
    <t>Energy Loss Factors</t>
  </si>
  <si>
    <t xml:space="preserve">Meter to </t>
  </si>
  <si>
    <t xml:space="preserve">Generation </t>
  </si>
  <si>
    <t>TRANSMISSION (Note 1)</t>
  </si>
  <si>
    <t>Generation</t>
  </si>
  <si>
    <t>to Meter</t>
  </si>
  <si>
    <t>Generation Tie Output (High Voltage Input)</t>
  </si>
  <si>
    <t>High Voltage Output (Low Voltage Input)</t>
  </si>
  <si>
    <t>Low Voltage Output (Primary Distn. Input)</t>
  </si>
  <si>
    <t>DISTRIBUTION (Note 2)</t>
  </si>
  <si>
    <t>Primary Output (Secondary Input)</t>
  </si>
  <si>
    <t>Secondary Output</t>
  </si>
  <si>
    <r>
      <rPr>
        <b/>
        <sz val="11"/>
        <color theme="1"/>
        <rFont val="Calibri"/>
        <family val="2"/>
        <scheme val="minor"/>
      </rPr>
      <t>Note 1:</t>
    </r>
    <r>
      <rPr>
        <sz val="11"/>
        <color theme="1"/>
        <rFont val="Calibri"/>
        <family val="2"/>
        <scheme val="minor"/>
      </rPr>
      <t xml:space="preserve"> Transmission Loss Factors are from the "Transmission Loss Factors Study", dated May 14, 2010 and from the "TO-14_TandD_LossFactors.xlsx" worksheet.</t>
    </r>
  </si>
  <si>
    <r>
      <rPr>
        <b/>
        <sz val="11"/>
        <color theme="1"/>
        <rFont val="Calibri"/>
        <family val="2"/>
        <scheme val="minor"/>
      </rPr>
      <t>Note 2:</t>
    </r>
    <r>
      <rPr>
        <sz val="11"/>
        <color theme="1"/>
        <rFont val="Calibri"/>
        <family val="2"/>
        <scheme val="minor"/>
      </rPr>
      <t xml:space="preserve"> Distribution Loss Factors are from the "Distribution Loss Values for theTO-8 Filing" study, updated for TO14, and from the "TO-14_TandD_LossFactors.xlsx" worksheet.</t>
    </r>
  </si>
  <si>
    <t>The Formula Rate shall include a credit to rate base for unfunded reserves, defined as funds (1) included in the revenue requirement or otherwise recovered from customers (2) in advance of expenditure that (3) have not been set aside in a trust, escrow or restricted account.  Reserves shall be included in rate base only to the extent that the reserves are customer-contributed capital or offsets to other rate base amounts for which the utility has not expended investor capital.  For the avoidance of doubt, unfunded reserves includes capitalized amounts for which PG&amp;E has not made corresponding cash expenditures.  "In advance of expenditure" is defined as one accounting period or longer prior to expenditure as "accounting period" is used to define prepayments in rate base.  Unfunded reserves shall be allocated to rate base on the same basis that the utlity recovers the underlying accrual through the Formula Rate.</t>
  </si>
  <si>
    <t>1)  Summary of Unfunded Reserves Average Balances</t>
  </si>
  <si>
    <t>Sum of 13-Month Averages</t>
  </si>
  <si>
    <t>Sum of EOY Values</t>
  </si>
  <si>
    <t>2)  Calculation of Allocated Accrued Vacation</t>
  </si>
  <si>
    <t>Instructions: Enter values as negatives.</t>
  </si>
  <si>
    <t>EOY</t>
  </si>
  <si>
    <t>Allocated Accrued Vacation</t>
  </si>
  <si>
    <t>Description/Period</t>
  </si>
  <si>
    <t>Monthly Value</t>
  </si>
  <si>
    <t>13-Month Average Company Accrued Vacation Liability</t>
  </si>
  <si>
    <t>Less:  Accounting Adjustment</t>
  </si>
  <si>
    <t>Net Accrued Vacation (13-Month Average)</t>
  </si>
  <si>
    <t>Net Accrued Vacation (EOY)</t>
  </si>
  <si>
    <t>Labor Allocation Factor</t>
  </si>
  <si>
    <t>24-Allocators, Line 113</t>
  </si>
  <si>
    <t>EOY &gt;&gt;</t>
  </si>
  <si>
    <t>3)  Calculation of Allocated Preferred Stock Dividends Payable</t>
  </si>
  <si>
    <t>Allocated Preferred Stock Dividends Payable</t>
  </si>
  <si>
    <t>13-Month Average Dividends Declared-Preferred Stock (Acct. 437)</t>
  </si>
  <si>
    <t>Electric Plant over Total Plant</t>
  </si>
  <si>
    <t>24-Allocators, Line 116</t>
  </si>
  <si>
    <t>4)  Other Unfunded Reserves</t>
  </si>
  <si>
    <t>Instructions: Add any new categories of unfunded reserves (as defined at the top of this schedule) to the gold shaded cells below. Add more categories as needed.</t>
  </si>
  <si>
    <t>Other Unfunded Reserves</t>
  </si>
  <si>
    <t>2420160 - Misc Curr &amp; Accrued Liab-Franchise Requiremnt Accr</t>
  </si>
  <si>
    <t>Allocations</t>
  </si>
  <si>
    <r>
      <rPr>
        <b/>
        <sz val="11"/>
        <rFont val="Calibri"/>
        <family val="2"/>
        <scheme val="minor"/>
      </rPr>
      <t>Note 1:</t>
    </r>
    <r>
      <rPr>
        <sz val="11"/>
        <rFont val="Calibri"/>
        <family val="2"/>
        <scheme val="minor"/>
      </rPr>
      <t xml:space="preserve">  PG&amp;E conducted a query of GL Acct 2420024 Accrued Vacation Liability and reflected the beginning-of-year (BOY) and end-of-year (EOY) recorded balances in col 1 and col 2.</t>
    </r>
  </si>
  <si>
    <r>
      <rPr>
        <b/>
        <sz val="11"/>
        <rFont val="Calibri"/>
        <family val="2"/>
        <scheme val="minor"/>
      </rPr>
      <t>Note 2:</t>
    </r>
    <r>
      <rPr>
        <sz val="11"/>
        <rFont val="Calibri"/>
        <family val="2"/>
        <scheme val="minor"/>
      </rPr>
      <t xml:space="preserve">  The amount of $47,500,000 represents a one-time accounting adjustment to increase the vacation accrual that was never reflected in operating expenses, never recovered from customers and was instead absorbed by shareholders.  Per the Second Partial Settlement, for Rate Year 2021 100% of the adjustment is applied, for Rate Year 2022, 70% is applied, for Rate Year 2023, 30% is applied, and for Rate Year 2024 and beyond, 0% is applied.</t>
    </r>
  </si>
  <si>
    <r>
      <rPr>
        <b/>
        <sz val="11"/>
        <rFont val="Calibri"/>
        <family val="2"/>
        <scheme val="minor"/>
      </rPr>
      <t>Note 3:</t>
    </r>
    <r>
      <rPr>
        <sz val="11"/>
        <rFont val="Calibri"/>
        <family val="2"/>
        <scheme val="minor"/>
      </rPr>
      <t xml:space="preserve">  During PG&amp;E's Chapter 11 bankruptcy, filed on January 29, 2019, and until preferred stock dividends resume, the company will treat monies collected to cover preferred stock costs as unfunded reserves for ratemaking purposes.</t>
    </r>
  </si>
  <si>
    <t>Other Regulatory Assets and Liabilities are a component of Rate Base representing costs that have been</t>
  </si>
  <si>
    <t>deferred to a future period and recorded in Other Regulatory Assets (Account 182.3) and Regulatory Liabilities</t>
  </si>
  <si>
    <t>(Account 254).  This Schedule does not include Abandoned Plant costs recovered through Schedule 8.</t>
  </si>
  <si>
    <t xml:space="preserve">PG&amp;E will include a non-zero amount of Other Regulatory Assets and Liabilities only with Commission </t>
  </si>
  <si>
    <t>approval received subsequent to a PG&amp;E Section 205 filing requesting such treatment.</t>
  </si>
  <si>
    <t xml:space="preserve">Amortization and Regulatory Debits and Credits are costs of revenues that are approved for recovery from or </t>
  </si>
  <si>
    <t>return to customers in this formula distribution rate.  Approved costs are amortized as expenses or revenue</t>
  </si>
  <si>
    <t xml:space="preserve">in the DRR, consistent with a Commission Order.  </t>
  </si>
  <si>
    <t>1) Calculation of Regulatory Assets and Liabilities and Amortization of Debits and Credits</t>
  </si>
  <si>
    <t>1) Upon Commission approval of recovery of Other Regulatory Assets and Liabilities, Amortization and</t>
  </si>
  <si>
    <t>Regulatory Debits and Credits costs through this formula wholesale distribution rate:</t>
  </si>
  <si>
    <t>a) Fill in Description for issue in above table.</t>
  </si>
  <si>
    <t>b) Enter costs in columns 1-3 in above table for the applicable Prior Year.</t>
  </si>
  <si>
    <t>2) Insert additional lines as necessary for additional issues.</t>
  </si>
  <si>
    <t>Calculation or Source</t>
  </si>
  <si>
    <t>Other Regulatory Assets and Liabilities (EOY):</t>
  </si>
  <si>
    <t>Line 103, col 2</t>
  </si>
  <si>
    <t>Other Regulatory Assets and Liabilities (BOY/EOY average):</t>
  </si>
  <si>
    <t>Avg. of Line 103 col 1 and col 2</t>
  </si>
  <si>
    <t>Amortization and Regulatory Debits and Credits:</t>
  </si>
  <si>
    <t>Line 103, col 3</t>
  </si>
  <si>
    <t>col 1</t>
  </si>
  <si>
    <t>col 2</t>
  </si>
  <si>
    <t>col 3</t>
  </si>
  <si>
    <t>Description of Issue</t>
  </si>
  <si>
    <t>BOY</t>
  </si>
  <si>
    <t>Amortization or</t>
  </si>
  <si>
    <t xml:space="preserve">  Commission Order</t>
  </si>
  <si>
    <t>Resulting in Other Regulatory</t>
  </si>
  <si>
    <t>Other Reg</t>
  </si>
  <si>
    <t>Regulatory</t>
  </si>
  <si>
    <t xml:space="preserve"> Granting Approval of </t>
  </si>
  <si>
    <t>Asset/Liability</t>
  </si>
  <si>
    <t>Debit/Credit</t>
  </si>
  <si>
    <t xml:space="preserve">  Regulatory Liability</t>
  </si>
  <si>
    <t>Sum of below</t>
  </si>
  <si>
    <t>Issue #1</t>
  </si>
  <si>
    <t>Issue #2</t>
  </si>
  <si>
    <t>Issue #3</t>
  </si>
  <si>
    <t>2) Unamortized Excess ADIT and Tax Normalization Calculation Pursuant to Treas. Reg §1.167(l)-1(h)(6); PLR 9313008; 9202029; 922404; 201717008</t>
  </si>
  <si>
    <t>BOY Unamortized Excess Federal Accumulated Deferred Income Taxes</t>
  </si>
  <si>
    <t>17-RegAssets-2, L. 109, Col 17 (zero in 2017 only)</t>
  </si>
  <si>
    <t>EOY Unamortized Excess Federal Accumulated Deferred Income Taxes</t>
  </si>
  <si>
    <t>17-RegAssets-2, L. 109, Col 24</t>
  </si>
  <si>
    <t>Weighted Average ADIT Balance</t>
  </si>
  <si>
    <t>Line 217, Col 8</t>
  </si>
  <si>
    <t>Beginning Deferred Tax Balance (Line 200)</t>
  </si>
  <si>
    <t>Note 1: The monthly deferred tax amounts are equal to the ending ADIT balance minus the beginning ADIT balance, divided by 12 months.</t>
  </si>
  <si>
    <t>Note 2: For January through December = previous month balance plus amount in col 2.</t>
  </si>
  <si>
    <r>
      <t xml:space="preserve">Amortization of (Excess)/Deficient Deferred Federal </t>
    </r>
    <r>
      <rPr>
        <b/>
        <sz val="9.35"/>
        <rFont val="Calibri"/>
        <family val="2"/>
      </rPr>
      <t>and State</t>
    </r>
    <r>
      <rPr>
        <b/>
        <sz val="11"/>
        <rFont val="Calibri"/>
        <family val="2"/>
        <scheme val="minor"/>
      </rPr>
      <t xml:space="preserve"> Income Taxes (Note 1)</t>
    </r>
  </si>
  <si>
    <t>Order 864 Permanent Worksheet(s) Category 1 Information</t>
  </si>
  <si>
    <t>Category 2 Information</t>
  </si>
  <si>
    <t>Category 3 Information</t>
  </si>
  <si>
    <t>Category 5 Information</t>
  </si>
  <si>
    <t>Category 4 Information</t>
  </si>
  <si>
    <t>Col 0</t>
  </si>
  <si>
    <t>Col 1 - Col 2</t>
  </si>
  <si>
    <t>Sum Col 5 to Col 7</t>
  </si>
  <si>
    <t>PRIOR PERIOD AMORTIZATION OF (EXCESS)DEFICIENT FEDERAL ACCUMULATED DEFERRED INCOME TAXES</t>
  </si>
  <si>
    <t>Col 5 - Col 10</t>
  </si>
  <si>
    <t>Col 6 - Col 11</t>
  </si>
  <si>
    <t>Col 7 - Col 12</t>
  </si>
  <si>
    <t>Sum Col 14 to Col 16</t>
  </si>
  <si>
    <t>CURRENT PERIOD AMORTIZATION OF (EXCESS)DEFICIENT FEDERAL ACCUMULATED DEFERRED INCOME TAXES</t>
  </si>
  <si>
    <t>Col 14 - Col 18</t>
  </si>
  <si>
    <t>Col 15 - Col 19</t>
  </si>
  <si>
    <t>Col 16 - Col 20</t>
  </si>
  <si>
    <t>Sum Col 21 to Col 23</t>
  </si>
  <si>
    <t>Col 24 x Gross-up</t>
  </si>
  <si>
    <t>Originating</t>
  </si>
  <si>
    <t xml:space="preserve">Originating </t>
  </si>
  <si>
    <t xml:space="preserve">ADIT Balance </t>
  </si>
  <si>
    <t>Remeasurement</t>
  </si>
  <si>
    <t>(Excess)/Deficient ADIT</t>
  </si>
  <si>
    <t>UNAMORTIZED (EXCESS)DEFICIENT FEDERAL ACCUMULATED DEFERRED INCOME TAXES</t>
  </si>
  <si>
    <t>Amortization</t>
  </si>
  <si>
    <t>UNAMORTIZED (EXCESS)DEFICIENT FEDERAL ACCUMULATED DEFERRED INCOME TAXES - BEGINNING BALANCE</t>
  </si>
  <si>
    <t>UNAMORTIZED (EXCESS)DEFICIENT FEDERAL ACCUMULATED DEFERRED INCOME TAXES - ENDING BALANCE</t>
  </si>
  <si>
    <t>(Excess)/Deficient</t>
  </si>
  <si>
    <t>Timing</t>
  </si>
  <si>
    <t>Prior to TCJA</t>
  </si>
  <si>
    <t>ADIT Balance</t>
  </si>
  <si>
    <t>Note F</t>
  </si>
  <si>
    <t>Beg Bal</t>
  </si>
  <si>
    <t>Expense</t>
  </si>
  <si>
    <t>ADIT Amortization</t>
  </si>
  <si>
    <t>End Bal</t>
  </si>
  <si>
    <t>Note H</t>
  </si>
  <si>
    <t>ADIT Recorded</t>
  </si>
  <si>
    <t>Difference</t>
  </si>
  <si>
    <t>@ 35% FIT</t>
  </si>
  <si>
    <t>@ 21% FIT</t>
  </si>
  <si>
    <t xml:space="preserve">PROTECTED </t>
  </si>
  <si>
    <t>UNPROTECTED</t>
  </si>
  <si>
    <t>Period</t>
  </si>
  <si>
    <t>Recorded</t>
  </si>
  <si>
    <t>Including Gross-up of</t>
  </si>
  <si>
    <t>Acct 182.3 / Acct 254</t>
  </si>
  <si>
    <t>FIXED ASSETS</t>
  </si>
  <si>
    <t>NON FIXED ASSETS</t>
  </si>
  <si>
    <t>TOTALS</t>
  </si>
  <si>
    <t>ARAM/ARL/Years</t>
  </si>
  <si>
    <t>Acct 410.1 / Acct 411.1</t>
  </si>
  <si>
    <t>Method Life</t>
  </si>
  <si>
    <t>Note A</t>
  </si>
  <si>
    <t>Acct # 282</t>
  </si>
  <si>
    <t>Acct # 254</t>
  </si>
  <si>
    <t>ARAM</t>
  </si>
  <si>
    <t>Acct # 411.1</t>
  </si>
  <si>
    <t>Fixed Assets Book Tax Basis Differences</t>
  </si>
  <si>
    <t>Note C</t>
  </si>
  <si>
    <t>130 Months (Note G and I)</t>
  </si>
  <si>
    <t>Non Fixed Assets Book Tax Basis Differences</t>
  </si>
  <si>
    <t>Note D</t>
  </si>
  <si>
    <t>Acct # 190/ # 282</t>
  </si>
  <si>
    <t>Acct # 182.3</t>
  </si>
  <si>
    <t>Acct # 410.1</t>
  </si>
  <si>
    <t>Non Fixed Asset Book Tax Differences</t>
  </si>
  <si>
    <t>Net Operating Loss Carryover</t>
  </si>
  <si>
    <t>Note E</t>
  </si>
  <si>
    <t>Acct # 190</t>
  </si>
  <si>
    <t>Adjustments to December 31, 2017 Amounts</t>
  </si>
  <si>
    <t>ADIT Item 1</t>
  </si>
  <si>
    <t>Repairs on System</t>
  </si>
  <si>
    <t>Total Including Adjustments</t>
  </si>
  <si>
    <t>Details of ADIT</t>
  </si>
  <si>
    <t xml:space="preserve">  Total Method Life</t>
  </si>
  <si>
    <t>FERC CA Method/Life</t>
  </si>
  <si>
    <t>Includes Cost of Removal</t>
  </si>
  <si>
    <t>FERC Fed Method/Life</t>
  </si>
  <si>
    <t>FERC St Off Method/Life</t>
  </si>
  <si>
    <t>Total Fixed Assets Book Tax Basis Differences</t>
  </si>
  <si>
    <t>FERC Audit Adjustment</t>
  </si>
  <si>
    <t>130 Months</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</si>
  <si>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</si>
  <si>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</si>
  <si>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</si>
  <si>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</si>
  <si>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</si>
  <si>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</si>
  <si>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</si>
  <si>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</si>
  <si>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</si>
  <si>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</si>
  <si>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</si>
  <si>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</si>
  <si>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</si>
  <si>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</si>
  <si>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</si>
  <si>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</si>
  <si>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</si>
  <si>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</si>
  <si>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</si>
  <si>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</si>
  <si>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</si>
  <si>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</si>
  <si>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</si>
  <si>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</si>
  <si>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</si>
  <si>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</si>
  <si>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</si>
  <si>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</si>
  <si>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</si>
  <si>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</si>
  <si>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</si>
  <si>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</si>
  <si>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</si>
  <si>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</si>
  <si>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</si>
  <si>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</si>
  <si>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</si>
  <si>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</si>
  <si>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</si>
  <si>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</si>
  <si>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</si>
  <si>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</si>
  <si>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</si>
  <si>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</si>
  <si>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</si>
  <si>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</si>
  <si>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</si>
  <si>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</si>
  <si>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</si>
  <si>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</si>
  <si>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</si>
  <si>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</si>
  <si>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</si>
  <si>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</si>
  <si>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Total Non Fixed Assets Book Tax Basis Differences</t>
  </si>
  <si>
    <t>Vacation Pay Timing Differences</t>
  </si>
  <si>
    <t>12 Months</t>
  </si>
  <si>
    <t>402a</t>
  </si>
  <si>
    <t>Property Tax - Correction of 2017 FERC Form 1 Error</t>
  </si>
  <si>
    <t>FERC Fed AFUDC Debt</t>
  </si>
  <si>
    <t>FERC Fed FAS34 Cap Int</t>
  </si>
  <si>
    <t>FERC Fed Sec 263a Cap Int</t>
  </si>
  <si>
    <t>FERC St Off AFUDC Debt</t>
  </si>
  <si>
    <t>FERC St Off FAS34 Cap Int</t>
  </si>
  <si>
    <t>FERC St Off Sec 263a Cap Int</t>
  </si>
  <si>
    <t>Acct # 255</t>
  </si>
  <si>
    <t>Total Non Fixed Asset Book Tax Differences</t>
  </si>
  <si>
    <t xml:space="preserve">   Net Operating Loss Deferred Taxes</t>
  </si>
  <si>
    <t>FERC Fed 2017 481a Adj</t>
  </si>
  <si>
    <t>FERC Fed 2017 481a Bon Add Back</t>
  </si>
  <si>
    <t>FERC Fed St Off 2017 481a Adj CA</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</si>
  <si>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</si>
  <si>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</si>
  <si>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Note B</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</si>
  <si>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</si>
  <si>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</si>
  <si>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</si>
  <si>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</si>
  <si>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Basis for allocation is the 2017 value from Tab 24-Allocators, Rows 17 and 23 for common and direct function groups, respectively.</t>
  </si>
  <si>
    <t>Note G</t>
  </si>
  <si>
    <t>PG&amp;E's method for amortization of non protected excess ADIT</t>
  </si>
  <si>
    <t xml:space="preserve">The “grossed-up” portion included in Column 25, equals the amounts included in PG&amp;E's FERC Account 182.3 and 254 on its balance sheet, and is not included in rate base. </t>
  </si>
  <si>
    <t>Note I</t>
  </si>
  <si>
    <t>PG&amp;E's method provides for a base 130-months amortization subject to adjustment.  As a result, the overall amortization period may not be 130-months.  </t>
  </si>
  <si>
    <t>This Schedule 17-RegAsset-3 reflects the federal income tax rate change due to the Tax Cuts and Job Act (TCJA).  This Schedule will be replicated for each tax rate change after the TCJA.</t>
  </si>
  <si>
    <t xml:space="preserve">The “grossed-up” portion from Column 25 is excluded from rate base. </t>
  </si>
  <si>
    <t>Total Wholesale Distribution</t>
  </si>
  <si>
    <t>Distribution O&amp;M Expense (Line 101, Col 11, 12, 13, 14)</t>
  </si>
  <si>
    <t>Col 3 + Col 4, Note 2</t>
  </si>
  <si>
    <t>Note 1, Note 3</t>
  </si>
  <si>
    <t>Col 6 + Col 7</t>
  </si>
  <si>
    <t>Col 3 + Col 6</t>
  </si>
  <si>
    <t>Col 4 + Col 7</t>
  </si>
  <si>
    <t>Col 9 + Col 10, Note 4</t>
  </si>
  <si>
    <t>Col 12 + Col 13</t>
  </si>
  <si>
    <t>FERC Account Description</t>
  </si>
  <si>
    <t xml:space="preserve">FF1 Recorded O&amp;M Expense
 FF1 320-323, L. 134-144 and L. 146-154, col b </t>
  </si>
  <si>
    <t>Recorded Adjusted O&amp;M Expense</t>
  </si>
  <si>
    <t>Wholesale Distribution O&amp;M Expense</t>
  </si>
  <si>
    <t>Non-Labor</t>
  </si>
  <si>
    <t>Source for Col 12 and 13</t>
  </si>
  <si>
    <t>Total Distribution O&amp;M</t>
  </si>
  <si>
    <t>Operation Supervision and Engineering</t>
  </si>
  <si>
    <t>Col 11 * 6-PlantJurisdiction, Line 400, Cols 1 and 2</t>
  </si>
  <si>
    <t>Load Dispatching</t>
  </si>
  <si>
    <t>Station Expenses</t>
  </si>
  <si>
    <t>Col 11 * 6-PlantJurisdiction, Line 202, Cols 2 and 3</t>
  </si>
  <si>
    <t>Overhead Line Expenses</t>
  </si>
  <si>
    <t>Col 11 * 6-PlantJurisdiction, Line 205, Cols 2 and 3</t>
  </si>
  <si>
    <t>Underground Line Expenses</t>
  </si>
  <si>
    <t>Col 11 * 6-PlantJurisdiction, Line 206, Cols 2 and 3</t>
  </si>
  <si>
    <t>Operation of Energy Storage Equipment</t>
  </si>
  <si>
    <t>Street Lighting and Signal System Expenses</t>
  </si>
  <si>
    <t>Meter Expenses</t>
  </si>
  <si>
    <t>Col 11 * 6-PlantJurisdiction, Line 210, Cols 2 and 3</t>
  </si>
  <si>
    <t>Customer Installations Expenses</t>
  </si>
  <si>
    <t>Col 11 * 6-PlantJurisdiction, Line 211, Cols 2 and 3</t>
  </si>
  <si>
    <t>Miscellaneous Distribution Expenses</t>
  </si>
  <si>
    <t>Rents</t>
  </si>
  <si>
    <t>Maintenance Supervision and Engineering</t>
  </si>
  <si>
    <t>Maintenance of Structures</t>
  </si>
  <si>
    <t>Col 11 * 6-PlantJurisdiction, Line 201, Cols 2 and 3</t>
  </si>
  <si>
    <t>Maintenance of Station Equipment</t>
  </si>
  <si>
    <t>Maintenance of Overhead Lines</t>
  </si>
  <si>
    <t>Maintenance of Underground Lines</t>
  </si>
  <si>
    <t>Maintenance of Line Transformers</t>
  </si>
  <si>
    <t>Col 11 * 6-PlantJurisdiction, Line 208, Cols 2 and 3</t>
  </si>
  <si>
    <t>Maintenance of Street Lighting and Signal Systems</t>
  </si>
  <si>
    <t>Col 11 * 6-PlantJurisdiction, Line 213, Cols 2 and 3</t>
  </si>
  <si>
    <t>Maintenance of Meters</t>
  </si>
  <si>
    <t>Maintenance of Miscellaneous Distribution Plant</t>
  </si>
  <si>
    <t>1) Data are extracted from SAP for all costs (broken down into labor and non-labor components) in the Prior Year that are recorded in electric distribution operations and maintenance expense accounts.</t>
  </si>
  <si>
    <t xml:space="preserve">2) The Total FF1 Recorded O&amp;M Expense is the sum of Labor and Non-labor FF1 Recorded O&amp;M Expense (obtained as explained in Note 1) and tie to the amounts provided in FF1 320-323, L. 156, col b. </t>
  </si>
  <si>
    <t>3) See WP_18-OandM for adjustment details.</t>
  </si>
  <si>
    <t>4) If PG&amp;E wishes to recover the costs of cancelled capital distribution projects, it will petition the Commission seeking authorization for abandoned plant treatment for such costs. In its petition, PG&amp;E will ask the Commission to order PG&amp;E to make a compliance filing to revise the Model tariff record to reflect the recovery of abandoned plant should the Commission authorize such recovery.</t>
  </si>
  <si>
    <t>Input Cells are shaded in gold</t>
  </si>
  <si>
    <t>1)  Calculation of Total Company Adjusted A&amp;G Expense</t>
  </si>
  <si>
    <t>Col 5 = Col 1+Col 3</t>
  </si>
  <si>
    <t>Col 7 = Col 5 - Col 6</t>
  </si>
  <si>
    <t>Data</t>
  </si>
  <si>
    <t>FERC Form 2</t>
  </si>
  <si>
    <t xml:space="preserve">Total Company </t>
  </si>
  <si>
    <t>Total Company Adj</t>
  </si>
  <si>
    <t>Acct.</t>
  </si>
  <si>
    <t>Amount Excluded</t>
  </si>
  <si>
    <t>A&amp;G Salaries</t>
  </si>
  <si>
    <t>FF1 320-323, L. 181, col b</t>
  </si>
  <si>
    <t>FF2 325, L. 254, col b</t>
  </si>
  <si>
    <t>WP_19-AandG 1, L. 106</t>
  </si>
  <si>
    <t>Office Supplies and Expenses</t>
  </si>
  <si>
    <t>FF1 320-323, L. 182, col b</t>
  </si>
  <si>
    <t>FF2 325, L. 255, col b</t>
  </si>
  <si>
    <t>WP_19-AandG 1, L. 206</t>
  </si>
  <si>
    <t>A&amp;G Expenses Transferred</t>
  </si>
  <si>
    <t>FF1 320-323, L. 183, col b</t>
  </si>
  <si>
    <t>FF2 325, L. 256, col b</t>
  </si>
  <si>
    <t>WP_19-AandG 1, L. 306</t>
  </si>
  <si>
    <t>Outside Services Employed</t>
  </si>
  <si>
    <t>FF1 320-323, L. 184, col b</t>
  </si>
  <si>
    <t>FF2 325, L. 257, col b</t>
  </si>
  <si>
    <t>WP_19-AandG 1, L. 406</t>
  </si>
  <si>
    <t>FF1 320-323, L. 185, col b</t>
  </si>
  <si>
    <t>FF2 325, L. 258, col b</t>
  </si>
  <si>
    <t>WP_19-AandG 1, L. 506</t>
  </si>
  <si>
    <t>FF1 320-323, L. 186, col b</t>
  </si>
  <si>
    <t>FF2 325, L. 259, col b</t>
  </si>
  <si>
    <t>WP_19-AandG 1, L. 606</t>
  </si>
  <si>
    <t>Employee Pensions and Benefits</t>
  </si>
  <si>
    <t>FF1 320-323, L. 187, col b</t>
  </si>
  <si>
    <t>FF2 325, L. 260, col b</t>
  </si>
  <si>
    <t>WP_19-AandG 1, L. 706</t>
  </si>
  <si>
    <t>Franchise Requirements</t>
  </si>
  <si>
    <t>FF1 320-323, L. 188, col b</t>
  </si>
  <si>
    <t>FF2 325, L. 261, col b</t>
  </si>
  <si>
    <t>WP_19-AandG 1, L. 806</t>
  </si>
  <si>
    <t>Regulatory Commission Expenses</t>
  </si>
  <si>
    <t>FF1 320-323, L. 189, col b</t>
  </si>
  <si>
    <t>FF2 325, L. 262, col b</t>
  </si>
  <si>
    <t>Duplicate Charges</t>
  </si>
  <si>
    <t>FF1 320-323, L. 190, col b</t>
  </si>
  <si>
    <t>FF2 325, L. 263, col b</t>
  </si>
  <si>
    <t>General Advertising Expense</t>
  </si>
  <si>
    <t>FF1 320-323, L. 191, col b</t>
  </si>
  <si>
    <t>FF2 325, L. 264, col b</t>
  </si>
  <si>
    <t>WP_19-AandG 1, L. 906</t>
  </si>
  <si>
    <t>Miscellaneous General Expense</t>
  </si>
  <si>
    <t>FF1 320-323, L. 192, col b</t>
  </si>
  <si>
    <t>FF2 325, L. 265, col b</t>
  </si>
  <si>
    <t>FF1 320-323, L. 193, col b</t>
  </si>
  <si>
    <t>FF2 325, L. 266, col b</t>
  </si>
  <si>
    <t>Maintenance of General Plant</t>
  </si>
  <si>
    <t>FF1 320-323, L. 196, col b</t>
  </si>
  <si>
    <t>FF2 325, L. 269, col b</t>
  </si>
  <si>
    <t>WP_19-AandG 1, L. 1006</t>
  </si>
  <si>
    <t>Total A&amp;G Expenses:</t>
  </si>
  <si>
    <t>FF1 320-323, L. 197, col b</t>
  </si>
  <si>
    <t>FF2 325, L. 270, col b</t>
  </si>
  <si>
    <t>2)  Calculation of Distribution A&amp;G Expense</t>
  </si>
  <si>
    <t>Based on Labor Factors</t>
  </si>
  <si>
    <t>A&amp;G Expense after Adjustments</t>
  </si>
  <si>
    <t>Line 118, col 7</t>
  </si>
  <si>
    <t>Less Account  924 Property Insurance nonnuclear:</t>
  </si>
  <si>
    <t>Line 108, col 7</t>
  </si>
  <si>
    <t>Less Account 925 General Liability and Injuries and Damages</t>
  </si>
  <si>
    <t>WP_19-AandG 2, L. 102</t>
  </si>
  <si>
    <t>Total A&amp;G Expense Applicable to the O&amp;M Labor Allocation Factor:</t>
  </si>
  <si>
    <t>Line 202 - Line 203 - Line 206</t>
  </si>
  <si>
    <t>Electric O&amp;M Labor Allocation Factor:</t>
  </si>
  <si>
    <t>24-Allocators, L. 109</t>
  </si>
  <si>
    <t>Total Electric Portion of A&amp;G From Labor</t>
  </si>
  <si>
    <t>Line 205 * Line 206</t>
  </si>
  <si>
    <t>Distribution as a Percent of Electric O&amp;M Labor Allocation Factor:</t>
  </si>
  <si>
    <t>Distribution Portion of A&amp;G from Labor Allocation Factors:</t>
  </si>
  <si>
    <t>Line 207 * Line 208</t>
  </si>
  <si>
    <t>Based on Yearend Plant</t>
  </si>
  <si>
    <t>Total Electric Plant as a % of Total Company Plant</t>
  </si>
  <si>
    <t>24-Allocators, L. 128</t>
  </si>
  <si>
    <t>211a</t>
  </si>
  <si>
    <t>Total Insured Electric Distribution Plant as a % of Total Insured Electric Plant</t>
  </si>
  <si>
    <t>24-Allocators, L. 131</t>
  </si>
  <si>
    <t>Account 924 Property Insurance nonnuclear:</t>
  </si>
  <si>
    <t>Line 203</t>
  </si>
  <si>
    <t>Distribution Portion of Property Insurance Account 924</t>
  </si>
  <si>
    <t>Line 211 * Line 211a * Line 212</t>
  </si>
  <si>
    <t>Based on Blended Labor and Plant Factor</t>
  </si>
  <si>
    <t>General Liability Accrued Insurance and Paid Injuries and Damages:</t>
  </si>
  <si>
    <t>Factor using the combined O&amp;M Labor and Plant Factor:</t>
  </si>
  <si>
    <t>24-Allocators, L. 120</t>
  </si>
  <si>
    <t>Distribution Portion of General Liability Insurance and Injuries and Damages:</t>
  </si>
  <si>
    <t>Line 215 * Line 216</t>
  </si>
  <si>
    <t>Total Distribution Portion of Administrative and General Expenses:</t>
  </si>
  <si>
    <t>Line 209 + Line 213 + Line 217</t>
  </si>
  <si>
    <t>3)  Summary of Total Company Adjustments</t>
  </si>
  <si>
    <t>Note 10</t>
  </si>
  <si>
    <t>STIP</t>
  </si>
  <si>
    <t>Officer Compensation</t>
  </si>
  <si>
    <t>Accrual to Cash Basis</t>
  </si>
  <si>
    <t>Not Seeking Recovery</t>
  </si>
  <si>
    <t>Non A&amp;G Costs and Other</t>
  </si>
  <si>
    <t>Allocations on Adjustments</t>
  </si>
  <si>
    <t>NP&amp;S</t>
  </si>
  <si>
    <t xml:space="preserve">Total by FERC Account </t>
  </si>
  <si>
    <t>Total by Adjustment Type</t>
  </si>
  <si>
    <t xml:space="preserve">PG&amp;E is a utility providing both electric and gas services to it customers.   The adjustments shown in the Table above are from WP_19-AandG.  </t>
  </si>
  <si>
    <t xml:space="preserve">Sources of adjustments are individual SAP reports by FERC account with detailed descriptions of activity and accounting information.  </t>
  </si>
  <si>
    <t>FERC Forms 1 and 2 balances in accounts 928, 929 and 931 are zero; therefore, these accounts are not shown on WP_19-AandG.</t>
  </si>
  <si>
    <t>Remove Officer STIP and True up Non-Officer STIP to actual cash payment.</t>
  </si>
  <si>
    <t>Remove Officer compensation.</t>
  </si>
  <si>
    <t>Remove accruals in the recorded balances for items such as STIP, Severance, Injuries and Damages and Workers Compensation.</t>
  </si>
  <si>
    <t>Remove costs PG&amp;E does not seek to recover in the WDT, such as Intervenor Compensation, MCI Exchange Rights, a portion of Injuries and Damages,  and Nuclear Property and Nuclear Liability Insurance.</t>
  </si>
  <si>
    <t>Remove Non A&amp;G Costs and other costs, for example Gas LOB costs erroneously recorded in A&amp;G FERC Accounts and Franchise Fee Expense that is a caclulation within the Model.</t>
  </si>
  <si>
    <t>Remove labor and benefits associated with NP&amp;S activities.</t>
  </si>
  <si>
    <t>Remove capital and below-the-line adjustments as appropriate associated with regulatory adjustments described in Notes 3 through 8.</t>
  </si>
  <si>
    <t>Total by FERC account</t>
  </si>
  <si>
    <t>1) Insert additional lines as necessary for additional items.</t>
  </si>
  <si>
    <t>FERC ACCT</t>
  </si>
  <si>
    <t>NATURAL ACCT</t>
  </si>
  <si>
    <t>ACCT DESCRIPTION</t>
  </si>
  <si>
    <t xml:space="preserve">Total Electric </t>
  </si>
  <si>
    <t>NP&amp;S Wholesale Distribution</t>
  </si>
  <si>
    <t>Totals</t>
  </si>
  <si>
    <t>Sum Lines 201, 301, 401, 501, 601</t>
  </si>
  <si>
    <t>Forfeited Discounts</t>
  </si>
  <si>
    <t>FF1 300-301, L. 16, col b</t>
  </si>
  <si>
    <t>Acct 450 Total</t>
  </si>
  <si>
    <t>Miscellaneous Service Revenues</t>
  </si>
  <si>
    <t>FF1 300-301, L. 17, col b</t>
  </si>
  <si>
    <t>Acct 451 Total</t>
  </si>
  <si>
    <t>NRD Revenue Other</t>
  </si>
  <si>
    <t>Miscellaneous Service Electric Customer Fund Management - RES</t>
  </si>
  <si>
    <t>Miscellaneous Service Electric Customer Fund Management Non-RES</t>
  </si>
  <si>
    <t>Miscellaneous Service Revenues - Reimbursable</t>
  </si>
  <si>
    <t>Misc Electric Service Revenue Protection</t>
  </si>
  <si>
    <t>Sales of Water and Water Power</t>
  </si>
  <si>
    <t>FF1 300-301, L. 18, col b</t>
  </si>
  <si>
    <t>Acct 453 Total</t>
  </si>
  <si>
    <t xml:space="preserve"> . . .</t>
  </si>
  <si>
    <t>FF1 300-301, L.19, col b</t>
  </si>
  <si>
    <t>Acct 454 Total</t>
  </si>
  <si>
    <t>Rent from Electric Property</t>
  </si>
  <si>
    <t>Note 2, 3</t>
  </si>
  <si>
    <t>New Revenue Development Rent</t>
  </si>
  <si>
    <t>New Revenue Development Fee Revenue</t>
  </si>
  <si>
    <t>Other Electric Revenue</t>
  </si>
  <si>
    <t>FF1 300-301, L. 21-22, col b</t>
  </si>
  <si>
    <t>Acct 456 Total</t>
  </si>
  <si>
    <t>Other Electric Revenues</t>
  </si>
  <si>
    <t>MCI Rights-of-Way (B)</t>
  </si>
  <si>
    <t>Recreation Facilities Revenue</t>
  </si>
  <si>
    <t>Timber Sales - Utility</t>
  </si>
  <si>
    <t>Other Revenue - Affiliate</t>
  </si>
  <si>
    <t>Revenue Damage Claims Electric</t>
  </si>
  <si>
    <t>Mobile Home Park Electric</t>
  </si>
  <si>
    <t>NEBS TCRA</t>
  </si>
  <si>
    <t>New Revenue Development - Electric Revenue</t>
  </si>
  <si>
    <t>Unbilled Electric Revenue</t>
  </si>
  <si>
    <t>Reimbursed Electric Revenue</t>
  </si>
  <si>
    <t>Note 2, 4</t>
  </si>
  <si>
    <t>Reimbursed Electric Revenue Joint Poles</t>
  </si>
  <si>
    <t>Reimbursed Electric Revenue Customer Care and Billing (CC&amp;B)</t>
  </si>
  <si>
    <t>Other Electric Revenue - Calif Department of Water &amp; Resources (DWR)</t>
  </si>
  <si>
    <t>Reimbursed Electric Revenue - CPUC</t>
  </si>
  <si>
    <t>Other Utility Operating Income</t>
  </si>
  <si>
    <t>Other Transmission Revenue - Wheeling</t>
  </si>
  <si>
    <t>Note 2, 5</t>
  </si>
  <si>
    <t>4560052</t>
  </si>
  <si>
    <t>Towers Amortization-CPUC</t>
  </si>
  <si>
    <t>1) Immaterial reconciling difference.</t>
  </si>
  <si>
    <t>2) Run a query of col 2 (Natural Account) in SAP system to get col 4 and col 5.</t>
  </si>
  <si>
    <t>3) Run a query of rent in SAP system to get Line 502, col 4-5.</t>
  </si>
  <si>
    <t>4) Apply plant allocation factors after running a query of Natural Account in SAP system to get Line 612, col 4-5.</t>
  </si>
  <si>
    <t>5) See FF1 328-330, col n, Total</t>
  </si>
  <si>
    <t>Cost of Ownership Rates</t>
  </si>
  <si>
    <t>1) Monthly Cost of Ownership Rates</t>
  </si>
  <si>
    <t>Monthly Customer Financed Cost of Ownership Rate:</t>
  </si>
  <si>
    <t>Line 208</t>
  </si>
  <si>
    <t>2) Calcuation of the Cost of Ownership Rates</t>
  </si>
  <si>
    <t>1-DRR, L. 513</t>
  </si>
  <si>
    <t>1-DRR L. 502</t>
  </si>
  <si>
    <t>Gross Electric Distribution CGI Plant</t>
  </si>
  <si>
    <t>1-DRR L. 101</t>
  </si>
  <si>
    <t>Gross Electric Distribution Plant In Service including CGI Plant</t>
  </si>
  <si>
    <t>1-DRR L. 102</t>
  </si>
  <si>
    <t>Total Distribution Return on Capital and Income Taxes</t>
  </si>
  <si>
    <t>1-DRR, L. 504 +  L. 506</t>
  </si>
  <si>
    <t>Electric Distribution CGI Plant Portion of Return and Taxes</t>
  </si>
  <si>
    <t>(Line 202 / Line 203) * Line 204</t>
  </si>
  <si>
    <t>Distribution Revenue Requirement Return when capital is contributed</t>
  </si>
  <si>
    <t>Line 200 - Line 201 - Line 204 +Line 205</t>
  </si>
  <si>
    <t>Annual Distribution Carrying Percentage with contributing capital</t>
  </si>
  <si>
    <t>Line 203 / Line 206</t>
  </si>
  <si>
    <t>Monthly Distribution Carrying Percentage with contributing capital</t>
  </si>
  <si>
    <t>Line 207 / 12</t>
  </si>
  <si>
    <t>1) Tax Rates for the Rate Year</t>
  </si>
  <si>
    <t>Internal Revenue Code (IRC) Section 11</t>
  </si>
  <si>
    <t>State Franchise Tax Rate (California)</t>
  </si>
  <si>
    <t>California Rev. &amp; Tax. Cd. § 23151</t>
  </si>
  <si>
    <t>Federal Secondary</t>
  </si>
  <si>
    <t>Negative Line 100 * Line 101</t>
  </si>
  <si>
    <t>Reflects the federal tax deduction for state taxes which reduces the composite income tax rate</t>
  </si>
  <si>
    <t>Composite Income Tax Rate</t>
  </si>
  <si>
    <t>Sum of Lines 100-Line 102</t>
  </si>
  <si>
    <t>2)Tax Rates for the Prior Year True-up</t>
  </si>
  <si>
    <t>Customer Service Charge Calculations</t>
  </si>
  <si>
    <t>1) Average Hourly Rate Calculation</t>
  </si>
  <si>
    <t>2023 Planned Hourly Rate Complex Billing Organization</t>
  </si>
  <si>
    <t>Total Billable Labor Costs</t>
  </si>
  <si>
    <t>SAP Activity Type Price, Note 1</t>
  </si>
  <si>
    <t>Overheads (Note 2)</t>
  </si>
  <si>
    <t xml:space="preserve">   Operational Mgmt &amp; Support</t>
  </si>
  <si>
    <t>Utility Standard: FIN-1104S - Third Party Billing Overhead Allocations</t>
  </si>
  <si>
    <t xml:space="preserve">   Base Facility Charges</t>
  </si>
  <si>
    <t xml:space="preserve">   Computer/Telecom Charges</t>
  </si>
  <si>
    <t xml:space="preserve">   Benefits</t>
  </si>
  <si>
    <t xml:space="preserve">   Payroll Taxes</t>
  </si>
  <si>
    <t xml:space="preserve">   Pension</t>
  </si>
  <si>
    <t xml:space="preserve">   Workers Comp/LTD</t>
  </si>
  <si>
    <t>Total Overheads</t>
  </si>
  <si>
    <t>Sum Lines 101 to 107</t>
  </si>
  <si>
    <t>Average Hourly Rate (Total Costs/Billable Hours)</t>
  </si>
  <si>
    <t>Sum Lines 100 and 108</t>
  </si>
  <si>
    <t>2) Customer Service Charges</t>
  </si>
  <si>
    <r>
      <t xml:space="preserve">Hours
</t>
    </r>
    <r>
      <rPr>
        <b/>
        <sz val="11"/>
        <color theme="1"/>
        <rFont val="Calibri"/>
        <family val="2"/>
        <scheme val="minor"/>
      </rPr>
      <t>(Note 3)</t>
    </r>
  </si>
  <si>
    <r>
      <t>Total Charge</t>
    </r>
    <r>
      <rPr>
        <b/>
        <sz val="11"/>
        <color theme="1"/>
        <rFont val="Calibri"/>
        <family val="2"/>
        <scheme val="minor"/>
      </rPr>
      <t xml:space="preserve"> 
(Hours * Line 109)</t>
    </r>
  </si>
  <si>
    <t>City and County of San Francisco</t>
  </si>
  <si>
    <t>PWRPA</t>
  </si>
  <si>
    <t>Western Area Power Administration</t>
  </si>
  <si>
    <t>Westside Power Authority</t>
  </si>
  <si>
    <t>Note 1: Total Billable Labor Costs represents the 2023 planned hourly billable cost of an employee in the Complex Billing organization.  Calculated as planned salary costs for organization, plus minor employee related expenses, divided by planned billable hours for the organization.</t>
  </si>
  <si>
    <r>
      <rPr>
        <b/>
        <sz val="11"/>
        <color theme="1"/>
        <rFont val="Calibri"/>
        <family val="2"/>
        <scheme val="minor"/>
      </rPr>
      <t>Note 2</t>
    </r>
    <r>
      <rPr>
        <sz val="11"/>
        <color theme="1"/>
        <rFont val="Calibri"/>
        <family val="2"/>
        <scheme val="minor"/>
      </rPr>
      <t xml:space="preserve">:  To ensure rate payers are not subsidizing work being performed on behalf of third parties, the cost of the work must include a portion of overhead costs. This is required to reflect the full cost of work and allow for recovery of costs not included in labor rates. PG&amp;E’s costs are billed in accordance with the Uniform System of Accounts prescribed by the Federal Energy Regulatory Commission (FERC). </t>
    </r>
  </si>
  <si>
    <r>
      <rPr>
        <b/>
        <sz val="11"/>
        <color theme="1"/>
        <rFont val="Calibri"/>
        <family val="2"/>
        <scheme val="minor"/>
      </rPr>
      <t>Note 3</t>
    </r>
    <r>
      <rPr>
        <sz val="11"/>
        <color theme="1"/>
        <rFont val="Calibri"/>
        <family val="2"/>
        <scheme val="minor"/>
      </rPr>
      <t>: Estimated average monthly labor in hours provided by the Complex Billing Organization.</t>
    </r>
  </si>
  <si>
    <t>Calculation of Prior Year Total Electric Department Labor Allocation Factor</t>
  </si>
  <si>
    <t>Total Company Wages and Salaries</t>
  </si>
  <si>
    <t>FF1 354-355, L. 65, col b</t>
  </si>
  <si>
    <t xml:space="preserve">Electric A&amp;G Wages and Salaries </t>
  </si>
  <si>
    <t>FF1 354-355, L. 27, col b</t>
  </si>
  <si>
    <t>Gas A&amp;G Wages and Salaries</t>
  </si>
  <si>
    <t>FF1 354-355, L. 61, col b</t>
  </si>
  <si>
    <t>Cost Adjustment</t>
  </si>
  <si>
    <t>WP_24-Allocators_Labor, L. 100, col 3</t>
  </si>
  <si>
    <t>Total Company Wages and Salaries w/o A&amp;G</t>
  </si>
  <si>
    <t>Sum Lines 100 - 103</t>
  </si>
  <si>
    <t>Total Electric Department Wages and Salaries</t>
  </si>
  <si>
    <t>FF1 354-355, L. 28, col b</t>
  </si>
  <si>
    <t>Electric A&amp;G Wages and Salaries</t>
  </si>
  <si>
    <t>WP_24-Allocators_Labor, L. 100, col 5</t>
  </si>
  <si>
    <t>Total Adjusted Electric Wages and Salaries wo A&amp;G</t>
  </si>
  <si>
    <t>Sum Lines 105 - 107</t>
  </si>
  <si>
    <t>Total Electric Department Labor as a % of Total Company Labor</t>
  </si>
  <si>
    <t>Calculation of Prior Year Electric Distribution Labor Allocation Factors</t>
  </si>
  <si>
    <t>Electric Distribution Wages and Salaries</t>
  </si>
  <si>
    <t>18-OandM, L. 101, col 9</t>
  </si>
  <si>
    <t>Electric Distribution Labor as a % of Total Electric Allocation Factor</t>
  </si>
  <si>
    <t>Electric Distribution Labor as a % of Total Company Allocation Factor</t>
  </si>
  <si>
    <t>Calculation of Prior Year Distribution Plant Allocation Factor</t>
  </si>
  <si>
    <t>Electric Distribution Plant In Service including CGI Plant</t>
  </si>
  <si>
    <t>(WP_7-PlantInService 6, L. 149, col 10) - (WP_7-PlantInService 1, L. 102, col 2)</t>
  </si>
  <si>
    <t>Prior Year Dec</t>
  </si>
  <si>
    <t>Total PG&amp;E Company Plant In Service</t>
  </si>
  <si>
    <t>(WP_7-PlantInService 6, L. 149, col 13) - (WP_7-PlantInService 1, L. 102, col 2)</t>
  </si>
  <si>
    <t>Electric Distribution Plant as a % of Total Company Plant</t>
  </si>
  <si>
    <t>Total PG&amp;E Electric Plant In Service including CGI Plant</t>
  </si>
  <si>
    <t>(WP_7-PlantInService 6, L. 149, col 11) - (WP_7-PlantInService 1, L. 102, col 2)</t>
  </si>
  <si>
    <t>Electric Distribution Plant as a % of Total Electric Plant</t>
  </si>
  <si>
    <t>Calculation of Prior Year Liability Insurance Allocation Factor</t>
  </si>
  <si>
    <t>Liability Insurance Allocation Factor (50/50)</t>
  </si>
  <si>
    <t>Calculation of Prior Year Property Tax Allocation Factor</t>
  </si>
  <si>
    <t>Electric Distribution Accumulated Depreciation including CGI</t>
  </si>
  <si>
    <t>(WP_10-AccDep 6, L. 149, Col 10) - (WP_10-AccDep 1, L. 102, col 2)</t>
  </si>
  <si>
    <t>Total PG&amp;E Electric Accumulated Depreciation including CGI</t>
  </si>
  <si>
    <t>(WP_10-AccDep 6, L. 149, Col 11) - (WP_10-AccDep 1, L. 102, col 2)</t>
  </si>
  <si>
    <t>Electric Distribution Net Plant in Service (Functional + CGI)</t>
  </si>
  <si>
    <t>Line 117 - Line 121</t>
  </si>
  <si>
    <t>Total PG&amp;E Electric Net Plant In Service (Functional + CGI)</t>
  </si>
  <si>
    <t>Line 118 - Line 122</t>
  </si>
  <si>
    <t>Net Plant Property Tax Allocation Factor</t>
  </si>
  <si>
    <t>Line 123 / Line 124</t>
  </si>
  <si>
    <t>Calculation of Prior Year Property Insurance Allocation Factor</t>
  </si>
  <si>
    <t>Line 118</t>
  </si>
  <si>
    <t>Line 115</t>
  </si>
  <si>
    <t>Line 126 / Line 127</t>
  </si>
  <si>
    <t>Total Insured Electric Distribution Plant</t>
  </si>
  <si>
    <t>WP_24-Allocators_Property_Insurance, L. 1</t>
  </si>
  <si>
    <t>Total Insured Electric Plant</t>
  </si>
  <si>
    <t>WP_24-Allocators_Property_Insurance, L. 2</t>
  </si>
  <si>
    <t>Line 129 / Line 130</t>
  </si>
  <si>
    <t>Revenue Fee Factors</t>
  </si>
  <si>
    <t>1) Approved Franchise Fee Factor(s)</t>
  </si>
  <si>
    <t>From</t>
  </si>
  <si>
    <t>To</t>
  </si>
  <si>
    <t>Days in Prior Year</t>
  </si>
  <si>
    <t>Franchise Fee Factor</t>
  </si>
  <si>
    <t>Present</t>
  </si>
  <si>
    <t>WP_25-RevenueFeeFactors 1, L. 102</t>
  </si>
  <si>
    <t>2) Approved San Francisco Gross Receipts Tax Factor(s)</t>
  </si>
  <si>
    <t>WP_25-RevenueFeeFactors 2, L. 104</t>
  </si>
  <si>
    <t>3) Calculation of Weighted Average SFGR and Franchise Fee Factors</t>
  </si>
  <si>
    <t>Total NP&amp;S Distribution Revenues and Expenses</t>
  </si>
  <si>
    <t>NP&amp;S Distribution Revenue</t>
  </si>
  <si>
    <t>20-RevenueCredits, Line 100, Col 6</t>
  </si>
  <si>
    <t>NP&amp;S Distribution O&amp;M Expense</t>
  </si>
  <si>
    <t>WP_26-NPandS 2, Line 100, Col 1</t>
  </si>
  <si>
    <t>NP&amp;S Distribution A&amp;G Expense</t>
  </si>
  <si>
    <t>WP_26-NPandS 2, Line 100, Col 2</t>
  </si>
  <si>
    <t>Total NP&amp;S Distribution Expense</t>
  </si>
  <si>
    <t>Distribution Revenues and Expenses by Product Line</t>
  </si>
  <si>
    <t>Adjusted</t>
  </si>
  <si>
    <t>Product Line</t>
  </si>
  <si>
    <t>Net Revenues</t>
  </si>
  <si>
    <t>ATS</t>
  </si>
  <si>
    <t>FIBER (WIRELINE)</t>
  </si>
  <si>
    <t>FM (MAINTENANCE &amp; CONSULTING)</t>
  </si>
  <si>
    <t>IP</t>
  </si>
  <si>
    <t>PT-SLA</t>
  </si>
  <si>
    <t>WIRELESS</t>
  </si>
  <si>
    <t>Tower Amortization</t>
  </si>
  <si>
    <t>Calculation of Pre-tax Revenue Allocation %</t>
  </si>
  <si>
    <t>PTNR (Pre-tax net revenue)</t>
  </si>
  <si>
    <t>Line 200, Col 4</t>
  </si>
  <si>
    <t>t = Composite state &amp; federal tax rate</t>
  </si>
  <si>
    <t>1-DRR, L. 402</t>
  </si>
  <si>
    <t>k = The ratio of customer to shareholder after tax net revenues.</t>
  </si>
  <si>
    <t>50%/50% = 1</t>
  </si>
  <si>
    <t>PSA% (Pre-Tax Shareholder Percent of Net Revenues) = 1 / (1 + k - kt)</t>
  </si>
  <si>
    <t xml:space="preserve">CRC% (Customer Revenue Credit Percent of Net Revenues) = 1 - [1 / (1+ k - kt)]                   </t>
  </si>
  <si>
    <t>Calculation of 50/50 After-Tax Sharing</t>
  </si>
  <si>
    <t>Pre-tax Shareholder Allocation (PSA$) = PTNR * PSA%</t>
  </si>
  <si>
    <t>State and Federal taxes = PSA$ * t</t>
  </si>
  <si>
    <t>Shareholder Allocation</t>
  </si>
  <si>
    <t>Customer Revenue Credit (CRC$) = PTNR * CRC%</t>
  </si>
  <si>
    <t>1) Please see WP_26-NPS 1 for Revenues by Product Line.</t>
  </si>
  <si>
    <t>1) Please see WP_26-NPS 2 for Expenses by Product Line.</t>
  </si>
  <si>
    <t>3) Product Lines with negative Net Revenues are set to zero.</t>
  </si>
  <si>
    <t>WP_16-UnfundedReserves 1, L. 300</t>
  </si>
  <si>
    <t>Line 401 to 413, col 1 are sum of SAP Accounts</t>
  </si>
  <si>
    <t>2410031 - City Franchise Surcharge Liability and;</t>
  </si>
  <si>
    <t>Col 2, Line 200 + Line 300 + Line 400</t>
  </si>
  <si>
    <t>Col 1, Line 200 + Line 300 + Line 400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</si>
</sst>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0.000"/>
    <numFmt numFmtId="194" formatCode="0.000%"/>
    <numFmt numFmtId="195" formatCode="_(&quot;$&quot;* #,##0.00_);_(&quot;$&quot;* \(#,##0.00\);_(&quot;$&quot;* &quot;-&quot;_);_(@_)"/>
    <numFmt numFmtId="196" formatCode="_(* #,##0.00000_);_(* \(#,##0.00000\);_(* &quot;-&quot;??_);_(@_)"/>
    <numFmt numFmtId="197" formatCode="&quot;$&quot;#,##0.00"/>
    <numFmt numFmtId="198" formatCode="0.00000"/>
    <numFmt numFmtId="199" formatCode="m/d/yy;@"/>
    <numFmt numFmtId="200" formatCode="#,##0.0000_);\(#,##0.0000\)"/>
    <numFmt numFmtId="201" formatCode="#,##0.000000_);\(#,##0.000000\)"/>
    <numFmt numFmtId="202" formatCode="0.0000000"/>
    <numFmt numFmtId="203" formatCode="&quot;$&quot;#,##0.000_);\(&quot;$&quot;#,##0.000\)"/>
  </numFmts>
  <fonts count="111">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sz val="11"/>
      <color theme="1"/>
      <name val="Calibri"/>
      <family val="2"/>
      <scheme val="minor"/>
    </font>
    <font>
      <sz val="8"/>
      <name val="Calibri"/>
      <family val="2"/>
      <scheme val="minor"/>
    </font>
    <font>
      <sz val="10"/>
      <name val="Arial"/>
      <family val="2"/>
    </font>
    <font>
      <b/>
      <sz val="10"/>
      <color rgb="FF000000"/>
      <name val="Arial"/>
      <family val="2"/>
    </font>
    <font>
      <b/>
      <sz val="9.35"/>
      <name val="Calibri"/>
      <family val="2"/>
    </font>
    <font>
      <b/>
      <u/>
      <sz val="11"/>
      <color rgb="FFFF0000"/>
      <name val="Calibri"/>
      <family val="2"/>
      <scheme val="minor"/>
    </font>
    <font>
      <strike/>
      <sz val="10"/>
      <color rgb="FFFF0000"/>
      <name val="Arial"/>
      <family val="2"/>
    </font>
    <font>
      <b/>
      <sz val="10"/>
      <name val="Times New Roman"/>
      <family val="1"/>
    </font>
  </fonts>
  <fills count="114">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rgb="FFDBE5F1"/>
        <bgColor indexed="64"/>
      </patternFill>
    </fill>
    <fill>
      <patternFill patternType="solid">
        <fgColor indexed="31"/>
        <bgColor indexed="64"/>
      </patternFill>
    </fill>
    <fill>
      <patternFill patternType="solid">
        <fgColor indexed="40"/>
        <bgColor indexed="64"/>
      </patternFill>
    </fill>
    <fill>
      <patternFill patternType="solid">
        <fgColor theme="4" tint="0.79995117038483843"/>
        <bgColor indexed="64"/>
      </patternFill>
    </fill>
    <fill>
      <patternFill patternType="solid">
        <fgColor indexed="45"/>
        <bgColor indexed="64"/>
      </patternFill>
    </fill>
    <fill>
      <patternFill patternType="solid">
        <fgColor indexed="29"/>
        <bgColor indexed="64"/>
      </patternFill>
    </fill>
    <fill>
      <patternFill patternType="solid">
        <fgColor theme="5" tint="0.79995117038483843"/>
        <bgColor indexed="64"/>
      </patternFill>
    </fill>
    <fill>
      <patternFill patternType="solid">
        <fgColor indexed="42"/>
        <bgColor indexed="64"/>
      </patternFill>
    </fill>
    <fill>
      <patternFill patternType="solid">
        <fgColor indexed="26"/>
        <bgColor indexed="64"/>
      </patternFill>
    </fill>
    <fill>
      <patternFill patternType="solid">
        <fgColor theme="6" tint="0.79995117038483843"/>
        <bgColor indexed="64"/>
      </patternFill>
    </fill>
    <fill>
      <patternFill patternType="solid">
        <fgColor indexed="46"/>
        <bgColor indexed="64"/>
      </patternFill>
    </fill>
    <fill>
      <patternFill patternType="solid">
        <fgColor indexed="9"/>
        <bgColor indexed="64"/>
      </patternFill>
    </fill>
    <fill>
      <patternFill patternType="solid">
        <fgColor theme="7" tint="0.79995117038483843"/>
        <bgColor indexed="64"/>
      </patternFill>
    </fill>
    <fill>
      <patternFill patternType="solid">
        <fgColor indexed="27"/>
        <bgColor indexed="64"/>
      </patternFill>
    </fill>
    <fill>
      <patternFill patternType="solid">
        <fgColor indexed="44"/>
        <bgColor indexed="64"/>
      </patternFill>
    </fill>
    <fill>
      <patternFill patternType="solid">
        <fgColor theme="8" tint="0.79995117038483843"/>
        <bgColor indexed="64"/>
      </patternFill>
    </fill>
    <fill>
      <patternFill patternType="solid">
        <fgColor indexed="47"/>
        <bgColor indexed="64"/>
      </patternFill>
    </fill>
    <fill>
      <patternFill patternType="solid">
        <fgColor theme="9" tint="0.79995117038483843"/>
        <bgColor indexed="64"/>
      </patternFill>
    </fill>
    <fill>
      <patternFill patternType="solid">
        <fgColor indexed="54"/>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indexed="11"/>
        <bgColor indexed="64"/>
      </patternFill>
    </fill>
    <fill>
      <patternFill patternType="solid">
        <fgColor indexed="57"/>
        <bgColor indexed="64"/>
      </patternFill>
    </fill>
    <fill>
      <patternFill patternType="solid">
        <fgColor theme="6" tint="0.59996337778862885"/>
        <bgColor indexed="64"/>
      </patternFill>
    </fill>
    <fill>
      <patternFill patternType="solid">
        <fgColor indexed="22"/>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indexed="51"/>
        <bgColor indexed="64"/>
      </patternFill>
    </fill>
    <fill>
      <patternFill patternType="solid">
        <fgColor theme="9" tint="0.59996337778862885"/>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44"/>
        <bgColor indexed="64"/>
      </patternFill>
    </fill>
    <fill>
      <patternFill patternType="solid">
        <fgColor indexed="61"/>
        <bgColor indexed="64"/>
      </patternFill>
    </fill>
    <fill>
      <patternFill patternType="solid">
        <fgColor indexed="54"/>
        <bgColor indexed="64"/>
      </patternFill>
    </fill>
    <fill>
      <patternFill patternType="solid">
        <fgColor indexed="22"/>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31"/>
        <bgColor indexed="64"/>
      </patternFill>
    </fill>
    <fill>
      <patternFill patternType="solid">
        <fgColor indexed="45"/>
        <bgColor indexed="64"/>
      </patternFill>
    </fill>
    <fill>
      <patternFill patternType="solid">
        <fgColor indexed="40"/>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11"/>
        <bgColor indexed="64"/>
      </patternFill>
    </fill>
    <fill>
      <patternFill patternType="solid">
        <fgColor indexed="50"/>
        <bgColor indexed="64"/>
      </patternFill>
    </fill>
    <fill>
      <patternFill patternType="solid">
        <fgColor indexed="57"/>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indexed="49"/>
        <bgColor indexed="64"/>
      </patternFill>
    </fill>
    <fill>
      <patternFill patternType="solid">
        <fgColor theme="8"/>
        <bgColor indexed="64"/>
      </patternFill>
    </fill>
    <fill>
      <patternFill patternType="solid">
        <fgColor indexed="26"/>
        <bgColor indexed="64"/>
      </patternFill>
    </fill>
    <fill>
      <patternFill patternType="solid">
        <fgColor indexed="47"/>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35"/>
        <bgColor indexed="64"/>
      </patternFill>
    </fill>
    <fill>
      <patternFill patternType="solid">
        <fgColor indexed="9"/>
        <bgColor indexed="64"/>
      </patternFill>
    </fill>
    <fill>
      <patternFill patternType="solid">
        <fgColor indexed="5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indexed="42"/>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indexed="60"/>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s>
  <borders count="49">
    <border>
      <left/>
      <right/>
      <top/>
      <bottom/>
      <diagonal/>
    </border>
    <border>
      <left style="thin">
        <color theme="3" tint="-0.24991607409894101"/>
      </left>
      <right style="thin">
        <color theme="3" tint="-0.24991607409894101"/>
      </right>
      <top style="thin">
        <color theme="3" tint="-0.24991607409894101"/>
      </top>
      <bottom style="thin">
        <color theme="3" tint="-0.24991607409894101"/>
      </bottom>
      <diagonal/>
    </border>
    <border>
      <left style="thin">
        <color theme="3" tint="0.59993285927915285"/>
      </left>
      <right style="thin">
        <color theme="3" tint="0.59993285927915285"/>
      </right>
      <top style="thin">
        <color theme="3" tint="0.59993285927915285"/>
      </top>
      <bottom style="thin">
        <color theme="3" tint="0.599932859279152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954222235786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bottom style="double">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style="double">
        <color indexed="64"/>
      </bottom>
      <diagonal/>
    </border>
  </borders>
  <cellStyleXfs count="31691">
    <xf numFmtId="0" fontId="0" fillId="0" borderId="0"/>
    <xf numFmtId="9" fontId="103" fillId="0" borderId="0" applyFont="0" applyFill="0" applyBorder="0" applyAlignment="0" applyProtection="0"/>
    <xf numFmtId="44" fontId="103" fillId="0" borderId="0" applyFont="0" applyFill="0" applyBorder="0" applyAlignment="0" applyProtection="0"/>
    <xf numFmtId="42" fontId="1" fillId="0" borderId="0" applyFont="0" applyFill="0" applyBorder="0" applyAlignment="0" applyProtection="0"/>
    <xf numFmtId="43" fontId="103"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18"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4" fontId="5" fillId="0" borderId="0" applyFont="0" applyFill="0" applyBorder="0" applyAlignment="0" applyProtection="0"/>
    <xf numFmtId="0" fontId="103" fillId="0" borderId="0"/>
    <xf numFmtId="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2" borderId="7">
      <alignment horizontal="center" vertical="center"/>
    </xf>
    <xf numFmtId="178" fontId="37" fillId="32" borderId="7">
      <alignment horizontal="center" vertical="center"/>
    </xf>
    <xf numFmtId="177" fontId="6"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9" fillId="85"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5" fillId="94" borderId="11"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55" fillId="94" borderId="11" applyNumberFormat="0" applyAlignment="0" applyProtection="0"/>
    <xf numFmtId="0" fontId="55" fillId="94" borderId="11" applyNumberFormat="0" applyAlignment="0" applyProtection="0"/>
    <xf numFmtId="0" fontId="31" fillId="93"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81"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03"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03" fillId="0" borderId="0" applyFont="0" applyFill="0" applyBorder="0" applyAlignment="0" applyProtection="0"/>
    <xf numFmtId="44" fontId="10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43" fillId="76"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6" borderId="8" applyNumberFormat="0" applyBorder="0" applyAlignment="0" applyProtection="0"/>
    <xf numFmtId="0" fontId="47" fillId="26" borderId="8" applyNumberFormat="0" applyBorder="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187" fontId="84" fillId="0" borderId="0" applyFont="0" applyFill="0" applyBorder="0" applyProtection="0">
      <alignment horizontal="center"/>
    </xf>
    <xf numFmtId="0" fontId="36" fillId="106" borderId="0" applyNumberFormat="0" applyFont="0" applyBorder="0" applyProtection="0"/>
    <xf numFmtId="0" fontId="36" fillId="106"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107" borderId="0">
      <alignment horizontal="right"/>
    </xf>
    <xf numFmtId="171" fontId="87" fillId="107" borderId="0">
      <alignment horizontal="right"/>
    </xf>
    <xf numFmtId="17" fontId="88" fillId="0" borderId="0" applyFont="0" applyFill="0" applyBorder="0">
      <protection locked="0"/>
    </xf>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67"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67"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5" fillId="0" borderId="0"/>
    <xf numFmtId="170" fontId="5" fillId="0" borderId="0"/>
    <xf numFmtId="171" fontId="5" fillId="0" borderId="0"/>
    <xf numFmtId="171" fontId="5" fillId="0" borderId="0"/>
    <xf numFmtId="175" fontId="103" fillId="0" borderId="0"/>
    <xf numFmtId="0" fontId="103" fillId="0" borderId="0"/>
    <xf numFmtId="171" fontId="103" fillId="0" borderId="0"/>
    <xf numFmtId="171" fontId="103" fillId="0" borderId="0"/>
    <xf numFmtId="171" fontId="103" fillId="0" borderId="0"/>
    <xf numFmtId="176"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0"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103" fillId="0" borderId="0"/>
    <xf numFmtId="171" fontId="103" fillId="0" borderId="0"/>
    <xf numFmtId="171" fontId="103" fillId="0" borderId="0"/>
    <xf numFmtId="0" fontId="103"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5"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7"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47" fillId="110" borderId="0"/>
    <xf numFmtId="171" fontId="47" fillId="110" borderId="0"/>
    <xf numFmtId="171" fontId="5" fillId="0" borderId="0"/>
    <xf numFmtId="176" fontId="47" fillId="110" borderId="0"/>
    <xf numFmtId="191" fontId="103" fillId="0" borderId="0"/>
    <xf numFmtId="0" fontId="103" fillId="0" borderId="0"/>
    <xf numFmtId="19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5" fontId="103" fillId="0" borderId="0"/>
    <xf numFmtId="171" fontId="103"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5" fillId="0" borderId="0"/>
    <xf numFmtId="170" fontId="5" fillId="0" borderId="0"/>
    <xf numFmtId="171" fontId="5" fillId="0" borderId="0"/>
    <xf numFmtId="171" fontId="5" fillId="0" borderId="0"/>
    <xf numFmtId="175" fontId="103" fillId="0" borderId="0"/>
    <xf numFmtId="0" fontId="5" fillId="0" borderId="0"/>
    <xf numFmtId="171" fontId="5" fillId="0" borderId="0"/>
    <xf numFmtId="171" fontId="103" fillId="0" borderId="0"/>
    <xf numFmtId="0" fontId="5" fillId="0" borderId="0"/>
    <xf numFmtId="171" fontId="5" fillId="0" borderId="0"/>
    <xf numFmtId="0"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1" fontId="5" fillId="0" borderId="0"/>
    <xf numFmtId="176" fontId="5" fillId="0" borderId="0"/>
    <xf numFmtId="191" fontId="103" fillId="0" borderId="0"/>
    <xf numFmtId="0"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1"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 fillId="0" borderId="0"/>
    <xf numFmtId="170" fontId="1" fillId="0" borderId="0"/>
    <xf numFmtId="170"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1" fillId="0" borderId="0"/>
    <xf numFmtId="170" fontId="1" fillId="0" borderId="0"/>
    <xf numFmtId="171"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5" fontId="103" fillId="0" borderId="0"/>
    <xf numFmtId="171" fontId="103" fillId="0" borderId="0"/>
    <xf numFmtId="171" fontId="5" fillId="0" borderId="0"/>
    <xf numFmtId="19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05" fillId="0" borderId="0"/>
    <xf numFmtId="9" fontId="105" fillId="0" borderId="0" applyFont="0" applyFill="0" applyBorder="0" applyAlignment="0" applyProtection="0"/>
    <xf numFmtId="43" fontId="103" fillId="0" borderId="0" applyFont="0" applyFill="0" applyBorder="0" applyAlignment="0" applyProtection="0"/>
    <xf numFmtId="0" fontId="1" fillId="0" borderId="0"/>
    <xf numFmtId="43" fontId="103" fillId="0" borderId="0" applyFont="0" applyFill="0" applyBorder="0" applyAlignment="0" applyProtection="0"/>
    <xf numFmtId="9" fontId="103" fillId="0" borderId="0" applyFont="0" applyFill="0" applyBorder="0" applyAlignment="0" applyProtection="0"/>
  </cellStyleXfs>
  <cellXfs count="765">
    <xf numFmtId="0" fontId="0" fillId="0" borderId="0" xfId="0"/>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44" fontId="0" fillId="0" borderId="0" xfId="0" applyNumberFormat="1"/>
    <xf numFmtId="166" fontId="0" fillId="0" borderId="0" xfId="4" applyNumberFormat="1" applyFont="1" applyFill="1"/>
    <xf numFmtId="7" fontId="0" fillId="0" borderId="0" xfId="0" applyNumberFormat="1"/>
    <xf numFmtId="10" fontId="0" fillId="0" borderId="32" xfId="0" applyNumberFormat="1" applyBorder="1"/>
    <xf numFmtId="167" fontId="0" fillId="0" borderId="32" xfId="1" applyNumberFormat="1" applyFont="1" applyBorder="1"/>
    <xf numFmtId="44" fontId="0" fillId="0" borderId="0" xfId="2" applyFont="1"/>
    <xf numFmtId="0" fontId="0" fillId="0" borderId="0" xfId="0" applyAlignment="1">
      <alignment horizontal="left"/>
    </xf>
    <xf numFmtId="0" fontId="0" fillId="0" borderId="0" xfId="0" applyAlignment="1">
      <alignment wrapText="1"/>
    </xf>
    <xf numFmtId="0" fontId="2" fillId="111" borderId="0" xfId="0" applyFont="1" applyFill="1"/>
    <xf numFmtId="0" fontId="2" fillId="111" borderId="0" xfId="0" applyFont="1" applyFill="1" applyAlignment="1">
      <alignment horizontal="left"/>
    </xf>
    <xf numFmtId="5" fontId="0" fillId="111" borderId="32" xfId="4" applyNumberFormat="1" applyFont="1" applyFill="1" applyBorder="1"/>
    <xf numFmtId="0" fontId="0" fillId="111" borderId="0" xfId="0" applyFill="1"/>
    <xf numFmtId="10" fontId="0" fillId="111" borderId="0" xfId="1" applyNumberFormat="1" applyFont="1" applyFill="1"/>
    <xf numFmtId="5" fontId="0" fillId="111" borderId="0" xfId="4" applyNumberFormat="1" applyFont="1" applyFill="1"/>
    <xf numFmtId="0" fontId="2" fillId="112" borderId="0" xfId="0" applyFont="1" applyFill="1" applyAlignment="1">
      <alignment horizontal="left"/>
    </xf>
    <xf numFmtId="0" fontId="0" fillId="112" borderId="0" xfId="0" applyFill="1" applyAlignment="1">
      <alignment horizontal="left"/>
    </xf>
    <xf numFmtId="0" fontId="0" fillId="112" borderId="0" xfId="0" applyFill="1"/>
    <xf numFmtId="0" fontId="0" fillId="111" borderId="0" xfId="0" applyFill="1" applyAlignment="1">
      <alignment horizontal="center"/>
    </xf>
    <xf numFmtId="0" fontId="2" fillId="112" borderId="0" xfId="0" applyFont="1" applyFill="1"/>
    <xf numFmtId="164" fontId="0" fillId="112" borderId="0" xfId="0" applyNumberFormat="1" applyFill="1"/>
    <xf numFmtId="10" fontId="0" fillId="111" borderId="0" xfId="1" applyNumberFormat="1" applyFont="1" applyFill="1" applyAlignment="1">
      <alignment horizontal="center"/>
    </xf>
    <xf numFmtId="0" fontId="93" fillId="0" borderId="0" xfId="0" applyFont="1"/>
    <xf numFmtId="0" fontId="94" fillId="0" borderId="0" xfId="0" applyFont="1" applyAlignment="1">
      <alignment horizontal="center"/>
    </xf>
    <xf numFmtId="0" fontId="95" fillId="0" borderId="0" xfId="0" applyFont="1" applyAlignment="1">
      <alignment horizontal="center"/>
    </xf>
    <xf numFmtId="5" fontId="2" fillId="0" borderId="0" xfId="4" applyNumberFormat="1" applyFont="1" applyFill="1"/>
    <xf numFmtId="0" fontId="20" fillId="0" borderId="0" xfId="47" applyFont="1"/>
    <xf numFmtId="0" fontId="20" fillId="0" borderId="0" xfId="47" applyFont="1" applyAlignment="1">
      <alignment horizontal="left" indent="1"/>
    </xf>
    <xf numFmtId="0" fontId="97" fillId="0" borderId="0" xfId="47" applyFont="1"/>
    <xf numFmtId="0" fontId="20" fillId="111" borderId="0" xfId="47" applyFont="1" applyFill="1"/>
    <xf numFmtId="0" fontId="98" fillId="0" borderId="0" xfId="47" quotePrefix="1" applyFont="1" applyAlignment="1">
      <alignment horizontal="center"/>
    </xf>
    <xf numFmtId="0" fontId="20" fillId="0" borderId="0" xfId="47" applyFont="1" applyAlignment="1">
      <alignment horizontal="right"/>
    </xf>
    <xf numFmtId="0" fontId="98" fillId="0" borderId="0" xfId="47" applyFont="1" applyAlignment="1">
      <alignment horizontal="center"/>
    </xf>
    <xf numFmtId="0" fontId="98"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3"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4"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3" fontId="20" fillId="0" borderId="0" xfId="0" applyNumberFormat="1" applyFont="1" applyAlignment="1">
      <alignment horizontal="center"/>
    </xf>
    <xf numFmtId="0" fontId="97" fillId="111" borderId="0" xfId="0" applyFont="1" applyFill="1"/>
    <xf numFmtId="0" fontId="97" fillId="11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23" fillId="0" borderId="0" xfId="0" applyFont="1"/>
    <xf numFmtId="0" fontId="20" fillId="111" borderId="0" xfId="0" applyFont="1" applyFill="1" applyAlignment="1">
      <alignment horizontal="center"/>
    </xf>
    <xf numFmtId="195" fontId="20" fillId="111" borderId="0" xfId="1" applyNumberFormat="1" applyFont="1" applyFill="1" applyAlignment="1">
      <alignment horizontal="center"/>
    </xf>
    <xf numFmtId="166" fontId="0" fillId="11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111" borderId="0" xfId="1" applyNumberFormat="1" applyFont="1" applyFill="1" applyAlignment="1">
      <alignment horizontal="left" indent="1"/>
    </xf>
    <xf numFmtId="14" fontId="0" fillId="111" borderId="0" xfId="0" applyNumberFormat="1" applyFill="1"/>
    <xf numFmtId="164" fontId="0" fillId="111" borderId="0" xfId="0" applyNumberFormat="1" applyFill="1"/>
    <xf numFmtId="164" fontId="23" fillId="111" borderId="0" xfId="0" applyNumberFormat="1" applyFont="1" applyFill="1"/>
    <xf numFmtId="0" fontId="20" fillId="111" borderId="0" xfId="0" applyFont="1" applyFill="1" applyAlignment="1">
      <alignment horizontal="left" indent="1"/>
    </xf>
    <xf numFmtId="0" fontId="20" fillId="111" borderId="0" xfId="0" quotePrefix="1" applyFont="1" applyFill="1" applyAlignment="1">
      <alignment horizontal="left"/>
    </xf>
    <xf numFmtId="0" fontId="20" fillId="111" borderId="0" xfId="0" quotePrefix="1" applyFont="1" applyFill="1" applyAlignment="1">
      <alignment horizontal="center"/>
    </xf>
    <xf numFmtId="0" fontId="20" fillId="0" borderId="0" xfId="0" quotePrefix="1" applyFont="1" applyAlignment="1">
      <alignment horizontal="center"/>
    </xf>
    <xf numFmtId="0" fontId="2" fillId="0" borderId="0" xfId="0" applyFont="1" applyAlignment="1">
      <alignment vertical="center"/>
    </xf>
    <xf numFmtId="0" fontId="20" fillId="112" borderId="0" xfId="0" applyFont="1" applyFill="1" applyAlignment="1">
      <alignment horizontal="center"/>
    </xf>
    <xf numFmtId="0" fontId="20" fillId="112" borderId="0" xfId="0" applyFont="1" applyFill="1"/>
    <xf numFmtId="0" fontId="20" fillId="0" borderId="0" xfId="0" quotePrefix="1" applyFont="1" applyAlignment="1">
      <alignment horizontal="center" wrapText="1"/>
    </xf>
    <xf numFmtId="0" fontId="97" fillId="0" borderId="0" xfId="0" applyFont="1"/>
    <xf numFmtId="0" fontId="20" fillId="0" borderId="0" xfId="0" applyFont="1" applyAlignment="1">
      <alignment horizontal="left"/>
    </xf>
    <xf numFmtId="0" fontId="20" fillId="0" borderId="0" xfId="6" quotePrefix="1" applyFont="1" applyAlignment="1">
      <alignment horizontal="center"/>
    </xf>
    <xf numFmtId="0" fontId="0" fillId="0" borderId="0" xfId="0" applyAlignment="1">
      <alignment horizontal="center" wrapText="1"/>
    </xf>
    <xf numFmtId="0" fontId="2" fillId="0" borderId="0" xfId="0" applyFont="1" applyAlignment="1">
      <alignment horizontal="center" wrapText="1"/>
    </xf>
    <xf numFmtId="0" fontId="4" fillId="0" borderId="0" xfId="0" applyFont="1" applyAlignment="1">
      <alignment horizontal="center" wrapText="1"/>
    </xf>
    <xf numFmtId="164" fontId="20" fillId="0" borderId="0" xfId="0" applyNumberFormat="1" applyFont="1"/>
    <xf numFmtId="0" fontId="20" fillId="0" borderId="0" xfId="47" applyFont="1" applyAlignment="1">
      <alignment horizontal="center"/>
    </xf>
    <xf numFmtId="164" fontId="20" fillId="0" borderId="0" xfId="47" applyNumberFormat="1" applyFont="1"/>
    <xf numFmtId="0" fontId="20" fillId="0" borderId="0" xfId="6" applyFont="1"/>
    <xf numFmtId="0" fontId="97" fillId="0" borderId="0" xfId="6" applyFont="1"/>
    <xf numFmtId="0" fontId="97" fillId="112" borderId="0" xfId="6" applyFont="1" applyFill="1"/>
    <xf numFmtId="0" fontId="20" fillId="112" borderId="0" xfId="6" applyFont="1" applyFill="1"/>
    <xf numFmtId="0" fontId="98" fillId="0" borderId="0" xfId="6" applyFont="1" applyAlignment="1">
      <alignment horizontal="center"/>
    </xf>
    <xf numFmtId="164" fontId="20" fillId="0" borderId="0" xfId="6" applyNumberFormat="1" applyFont="1"/>
    <xf numFmtId="166" fontId="20" fillId="0" borderId="0" xfId="8" applyNumberFormat="1" applyFont="1" applyFill="1" applyBorder="1" applyAlignment="1">
      <alignment horizontal="center" vertical="center" wrapText="1"/>
    </xf>
    <xf numFmtId="5" fontId="20" fillId="0" borderId="0" xfId="8" applyNumberFormat="1" applyFont="1"/>
    <xf numFmtId="0" fontId="97" fillId="0" borderId="0" xfId="6" applyFont="1" applyAlignment="1">
      <alignment horizontal="center"/>
    </xf>
    <xf numFmtId="0" fontId="98" fillId="0" borderId="0" xfId="0" applyFont="1"/>
    <xf numFmtId="5" fontId="20" fillId="0" borderId="0" xfId="0" quotePrefix="1" applyNumberFormat="1" applyFont="1" applyAlignment="1">
      <alignment horizontal="center"/>
    </xf>
    <xf numFmtId="0" fontId="20" fillId="0" borderId="0" xfId="0" quotePrefix="1" applyFont="1" applyAlignment="1">
      <alignment horizontal="left"/>
    </xf>
    <xf numFmtId="39" fontId="0" fillId="0" borderId="0" xfId="0" applyNumberFormat="1"/>
    <xf numFmtId="10" fontId="2" fillId="0" borderId="0" xfId="1" applyNumberFormat="1" applyFont="1" applyFill="1"/>
    <xf numFmtId="37" fontId="0" fillId="0" borderId="0" xfId="0" applyNumberFormat="1"/>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0" fontId="0" fillId="0" borderId="0" xfId="0" applyAlignment="1">
      <alignment horizontal="center" vertical="center" wrapText="1"/>
    </xf>
    <xf numFmtId="3" fontId="20" fillId="0" borderId="0" xfId="1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6" fontId="0" fillId="0" borderId="0" xfId="0" applyNumberFormat="1"/>
    <xf numFmtId="0" fontId="20" fillId="11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20" fillId="0" borderId="0" xfId="6" applyFont="1" applyAlignment="1">
      <alignment horizontal="right"/>
    </xf>
    <xf numFmtId="0" fontId="102" fillId="0" borderId="0" xfId="6" applyFont="1" applyAlignment="1">
      <alignment horizontal="left"/>
    </xf>
    <xf numFmtId="0" fontId="97" fillId="0" borderId="0" xfId="6" applyFont="1" applyAlignment="1">
      <alignment horizontal="right"/>
    </xf>
    <xf numFmtId="0" fontId="102" fillId="112" borderId="0" xfId="6" applyFont="1" applyFill="1" applyAlignment="1">
      <alignment horizontal="left"/>
    </xf>
    <xf numFmtId="0" fontId="97" fillId="11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3" fontId="20" fillId="111" borderId="0" xfId="6" applyNumberFormat="1" applyFont="1" applyFill="1" applyAlignment="1">
      <alignment horizontal="center"/>
    </xf>
    <xf numFmtId="0" fontId="0" fillId="111" borderId="0" xfId="47" applyFont="1" applyFill="1"/>
    <xf numFmtId="193"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112" borderId="0" xfId="9" applyNumberFormat="1" applyFont="1" applyFill="1" applyBorder="1" applyAlignment="1">
      <alignment horizontal="center"/>
    </xf>
    <xf numFmtId="39" fontId="20" fillId="112" borderId="0" xfId="9" applyNumberFormat="1" applyFont="1" applyFill="1" applyBorder="1"/>
    <xf numFmtId="193" fontId="20" fillId="111" borderId="0" xfId="47" quotePrefix="1" applyNumberFormat="1" applyFont="1" applyFill="1" applyAlignment="1">
      <alignment horizontal="center"/>
    </xf>
    <xf numFmtId="0" fontId="20" fillId="111" borderId="0" xfId="0" applyFont="1" applyFill="1"/>
    <xf numFmtId="164" fontId="20" fillId="11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112" borderId="0" xfId="9" applyNumberFormat="1" applyFont="1" applyFill="1" applyBorder="1" applyAlignment="1">
      <alignment horizontal="left" indent="1"/>
    </xf>
    <xf numFmtId="0" fontId="20" fillId="11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0" fontId="20" fillId="0" borderId="0" xfId="9" applyNumberFormat="1" applyFont="1" applyBorder="1"/>
    <xf numFmtId="164" fontId="0" fillId="0" borderId="0" xfId="0" applyNumberFormat="1" applyAlignment="1">
      <alignment horizontal="right"/>
    </xf>
    <xf numFmtId="0" fontId="0" fillId="111" borderId="0" xfId="0" applyFill="1" applyAlignment="1">
      <alignment wrapText="1"/>
    </xf>
    <xf numFmtId="0" fontId="20" fillId="0" borderId="0" xfId="0" applyFont="1" applyAlignment="1">
      <alignment horizontal="right" indent="1"/>
    </xf>
    <xf numFmtId="0" fontId="20" fillId="0" borderId="0" xfId="7" applyFont="1"/>
    <xf numFmtId="0" fontId="97" fillId="0" borderId="0" xfId="7" applyFont="1" applyAlignment="1">
      <alignment horizontal="center"/>
    </xf>
    <xf numFmtId="0" fontId="20" fillId="111" borderId="0" xfId="7" applyFont="1" applyFill="1"/>
    <xf numFmtId="164" fontId="96" fillId="111" borderId="0" xfId="7" applyNumberFormat="1" applyFont="1" applyFill="1"/>
    <xf numFmtId="164" fontId="20" fillId="111" borderId="0" xfId="7" applyNumberFormat="1" applyFont="1" applyFill="1"/>
    <xf numFmtId="0" fontId="20" fillId="11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0" fontId="2" fillId="0" borderId="0" xfId="47" applyFont="1" applyAlignment="1">
      <alignment horizontal="center"/>
    </xf>
    <xf numFmtId="0" fontId="20" fillId="0" borderId="35" xfId="47" applyFont="1" applyBorder="1"/>
    <xf numFmtId="0" fontId="20" fillId="0" borderId="6" xfId="47" applyFont="1" applyBorder="1"/>
    <xf numFmtId="0" fontId="97" fillId="0" borderId="6" xfId="47" applyFont="1" applyBorder="1"/>
    <xf numFmtId="0" fontId="20" fillId="0" borderId="6" xfId="47" applyFont="1" applyBorder="1" applyAlignment="1">
      <alignment horizontal="right"/>
    </xf>
    <xf numFmtId="164" fontId="20" fillId="0" borderId="0" xfId="47" applyNumberFormat="1" applyFont="1" applyAlignment="1">
      <alignment horizontal="right"/>
    </xf>
    <xf numFmtId="0" fontId="97" fillId="0" borderId="0" xfId="47" applyFont="1" applyAlignment="1">
      <alignment horizontal="right"/>
    </xf>
    <xf numFmtId="0" fontId="0" fillId="111" borderId="0" xfId="0" quotePrefix="1" applyFill="1" applyAlignment="1">
      <alignment horizontal="center"/>
    </xf>
    <xf numFmtId="5" fontId="0" fillId="111" borderId="0" xfId="0" applyNumberFormat="1" applyFill="1"/>
    <xf numFmtId="5" fontId="2" fillId="0" borderId="0" xfId="0" applyNumberFormat="1" applyFont="1"/>
    <xf numFmtId="0" fontId="4" fillId="112" borderId="0" xfId="0" applyFont="1" applyFill="1" applyAlignment="1">
      <alignment horizontal="center"/>
    </xf>
    <xf numFmtId="164" fontId="20" fillId="0" borderId="0" xfId="9" applyNumberFormat="1" applyFont="1" applyFill="1" applyBorder="1" applyAlignment="1">
      <alignment horizontal="left" indent="1"/>
    </xf>
    <xf numFmtId="10" fontId="2" fillId="0" borderId="0" xfId="1" applyNumberFormat="1" applyFont="1"/>
    <xf numFmtId="10" fontId="2" fillId="112" borderId="0" xfId="1" applyNumberFormat="1" applyFont="1" applyFill="1"/>
    <xf numFmtId="10" fontId="2" fillId="0" borderId="0" xfId="0" applyNumberFormat="1" applyFont="1"/>
    <xf numFmtId="0" fontId="0" fillId="111" borderId="0" xfId="0" quotePrefix="1" applyFill="1"/>
    <xf numFmtId="167" fontId="0" fillId="0" borderId="0" xfId="1" applyNumberFormat="1" applyFont="1" applyFill="1"/>
    <xf numFmtId="167" fontId="0" fillId="111" borderId="0" xfId="1" applyNumberFormat="1" applyFont="1" applyFill="1"/>
    <xf numFmtId="0" fontId="20" fillId="0" borderId="0" xfId="0" applyFont="1" applyAlignment="1">
      <alignment horizontal="right"/>
    </xf>
    <xf numFmtId="10" fontId="20" fillId="0" borderId="0" xfId="1" applyNumberFormat="1" applyFont="1"/>
    <xf numFmtId="0" fontId="97" fillId="11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4" fillId="0" borderId="0" xfId="0" applyFont="1" applyAlignment="1">
      <alignment horizontal="left"/>
    </xf>
    <xf numFmtId="0" fontId="0" fillId="0" borderId="0" xfId="0" applyAlignment="1">
      <alignment horizontal="left" wrapText="1"/>
    </xf>
    <xf numFmtId="0" fontId="2" fillId="0" borderId="37" xfId="0" applyFont="1" applyBorder="1" applyAlignment="1">
      <alignment horizontal="center"/>
    </xf>
    <xf numFmtId="0" fontId="0" fillId="0" borderId="38" xfId="0" applyBorder="1"/>
    <xf numFmtId="0" fontId="0" fillId="0" borderId="39" xfId="0" applyBorder="1"/>
    <xf numFmtId="0" fontId="0" fillId="0" borderId="37" xfId="0" applyBorder="1"/>
    <xf numFmtId="5" fontId="20" fillId="0" borderId="0" xfId="0" applyNumberFormat="1" applyFont="1"/>
    <xf numFmtId="5" fontId="20" fillId="111" borderId="0" xfId="6" applyNumberFormat="1" applyFont="1" applyFill="1"/>
    <xf numFmtId="5" fontId="0" fillId="111" borderId="0" xfId="47" applyNumberFormat="1" applyFont="1" applyFill="1"/>
    <xf numFmtId="5" fontId="20" fillId="0" borderId="0" xfId="9" applyNumberFormat="1" applyFont="1" applyFill="1" applyBorder="1"/>
    <xf numFmtId="5" fontId="20" fillId="0" borderId="0" xfId="9" applyNumberFormat="1" applyFont="1" applyBorder="1"/>
    <xf numFmtId="5" fontId="20" fillId="111" borderId="0" xfId="9" applyNumberFormat="1" applyFont="1" applyFill="1" applyBorder="1"/>
    <xf numFmtId="5" fontId="0" fillId="111" borderId="0" xfId="9" applyNumberFormat="1" applyFont="1" applyFill="1" applyBorder="1"/>
    <xf numFmtId="7" fontId="20" fillId="0" borderId="0" xfId="1" applyNumberFormat="1" applyFont="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111" borderId="0" xfId="0" applyNumberFormat="1" applyFont="1" applyFill="1"/>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111" borderId="0" xfId="47" applyNumberFormat="1" applyFont="1" applyFill="1"/>
    <xf numFmtId="5" fontId="20" fillId="111" borderId="32" xfId="47" applyNumberFormat="1" applyFont="1" applyFill="1" applyBorder="1"/>
    <xf numFmtId="5" fontId="20" fillId="0" borderId="0" xfId="4" applyNumberFormat="1" applyFont="1" applyFill="1"/>
    <xf numFmtId="5" fontId="20" fillId="0" borderId="0" xfId="4" applyNumberFormat="1" applyFont="1"/>
    <xf numFmtId="5" fontId="20" fillId="111" borderId="0" xfId="8160" applyNumberFormat="1" applyFont="1" applyFill="1" applyBorder="1" applyProtection="1">
      <protection locked="0"/>
    </xf>
    <xf numFmtId="5" fontId="20" fillId="111" borderId="32" xfId="8160" applyNumberFormat="1" applyFont="1" applyFill="1" applyBorder="1" applyProtection="1">
      <protection locked="0"/>
    </xf>
    <xf numFmtId="5" fontId="20" fillId="111" borderId="0" xfId="0" applyNumberFormat="1" applyFont="1" applyFill="1" applyProtection="1">
      <protection locked="0"/>
    </xf>
    <xf numFmtId="5" fontId="20" fillId="111" borderId="0" xfId="0" applyNumberFormat="1" applyFont="1" applyFill="1" applyAlignment="1">
      <alignment horizontal="center"/>
    </xf>
    <xf numFmtId="5" fontId="97" fillId="0" borderId="0" xfId="0" applyNumberFormat="1" applyFont="1"/>
    <xf numFmtId="5" fontId="20" fillId="111" borderId="0" xfId="8" applyNumberFormat="1" applyFont="1" applyFill="1"/>
    <xf numFmtId="5" fontId="0" fillId="111" borderId="0" xfId="8" applyNumberFormat="1" applyFont="1" applyFill="1"/>
    <xf numFmtId="5" fontId="0" fillId="111" borderId="32" xfId="8" applyNumberFormat="1" applyFont="1" applyFill="1" applyBorder="1"/>
    <xf numFmtId="5" fontId="0" fillId="0" borderId="0" xfId="4" applyNumberFormat="1" applyFont="1" applyFill="1" applyBorder="1"/>
    <xf numFmtId="5" fontId="0" fillId="0" borderId="0" xfId="8" applyNumberFormat="1" applyFont="1"/>
    <xf numFmtId="5" fontId="20" fillId="111" borderId="0" xfId="9" applyNumberFormat="1" applyFont="1" applyFill="1" applyBorder="1" applyAlignment="1">
      <alignment horizontal="right"/>
    </xf>
    <xf numFmtId="5" fontId="20" fillId="111"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2" fillId="111" borderId="0" xfId="0" applyNumberFormat="1" applyFont="1" applyFill="1"/>
    <xf numFmtId="0" fontId="98" fillId="0" borderId="0" xfId="47" quotePrefix="1" applyFont="1" applyAlignment="1">
      <alignment horizontal="center" wrapText="1"/>
    </xf>
    <xf numFmtId="5" fontId="20" fillId="0" borderId="0" xfId="6" applyNumberFormat="1" applyFont="1"/>
    <xf numFmtId="5" fontId="0" fillId="0" borderId="0" xfId="9" applyNumberFormat="1" applyFont="1" applyFill="1" applyBorder="1"/>
    <xf numFmtId="0" fontId="97" fillId="0" borderId="0" xfId="0" applyFont="1" applyAlignment="1">
      <alignment horizontal="center" vertical="top"/>
    </xf>
    <xf numFmtId="166" fontId="20" fillId="0" borderId="0" xfId="0" applyNumberFormat="1" applyFont="1"/>
    <xf numFmtId="197" fontId="20" fillId="0" borderId="0" xfId="0" applyNumberFormat="1" applyFont="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2" fillId="0" borderId="0" xfId="0" applyFont="1" applyAlignment="1">
      <alignment horizontal="left" vertical="center"/>
    </xf>
    <xf numFmtId="0" fontId="97" fillId="0" borderId="0" xfId="47" applyFont="1" applyAlignment="1">
      <alignment horizontal="center"/>
    </xf>
    <xf numFmtId="0" fontId="0" fillId="111" borderId="37" xfId="0" applyFill="1" applyBorder="1"/>
    <xf numFmtId="0" fontId="0" fillId="0" borderId="32" xfId="0" applyBorder="1"/>
    <xf numFmtId="2" fontId="97" fillId="0" borderId="0" xfId="0" applyNumberFormat="1" applyFont="1" applyAlignment="1">
      <alignment horizontal="left"/>
    </xf>
    <xf numFmtId="2" fontId="98" fillId="0" borderId="0" xfId="0" applyNumberFormat="1" applyFont="1" applyAlignment="1">
      <alignment horizontal="left"/>
    </xf>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5" fontId="20" fillId="111" borderId="0" xfId="4" applyNumberFormat="1" applyFont="1" applyFill="1" applyBorder="1" applyAlignment="1">
      <alignment horizontal="right" indent="1"/>
    </xf>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39" fontId="97" fillId="0" borderId="0" xfId="31683" quotePrefix="1" applyNumberFormat="1" applyFont="1" applyAlignment="1">
      <alignment horizontal="center"/>
    </xf>
    <xf numFmtId="37" fontId="97" fillId="0" borderId="26" xfId="31683" applyNumberFormat="1" applyFont="1" applyBorder="1" applyAlignment="1">
      <alignment horizontal="center"/>
    </xf>
    <xf numFmtId="199"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199"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20" fillId="0" borderId="0" xfId="31683" applyNumberFormat="1" applyFont="1" applyAlignment="1">
      <alignment horizontal="center"/>
    </xf>
    <xf numFmtId="37" fontId="20" fillId="0" borderId="32" xfId="31683" applyNumberFormat="1" applyFont="1" applyBorder="1" applyAlignment="1">
      <alignment horizontal="right"/>
    </xf>
    <xf numFmtId="0" fontId="20" fillId="0" borderId="0" xfId="47" applyFont="1" applyAlignment="1">
      <alignment horizontal="fill"/>
    </xf>
    <xf numFmtId="0" fontId="20" fillId="0" borderId="32" xfId="16013" applyFont="1" applyBorder="1"/>
    <xf numFmtId="0" fontId="97" fillId="111" borderId="0" xfId="0" applyFont="1" applyFill="1" applyAlignment="1">
      <alignment horizontal="left"/>
    </xf>
    <xf numFmtId="37" fontId="0" fillId="0" borderId="32" xfId="0" applyNumberFormat="1" applyBorder="1"/>
    <xf numFmtId="5" fontId="20" fillId="111" borderId="0" xfId="7" applyNumberFormat="1" applyFont="1" applyFill="1"/>
    <xf numFmtId="5" fontId="96" fillId="111" borderId="0" xfId="7" applyNumberFormat="1" applyFont="1" applyFill="1"/>
    <xf numFmtId="5" fontId="20" fillId="0" borderId="0" xfId="7" applyNumberFormat="1" applyFont="1"/>
    <xf numFmtId="37" fontId="20" fillId="0" borderId="0" xfId="6" applyNumberFormat="1" applyFont="1"/>
    <xf numFmtId="0" fontId="20" fillId="0" borderId="0" xfId="6" applyFont="1" applyAlignment="1">
      <alignment horizontal="left"/>
    </xf>
    <xf numFmtId="0" fontId="20" fillId="0" borderId="0" xfId="0" applyFont="1" applyAlignment="1">
      <alignment horizontal="right" wrapText="1"/>
    </xf>
    <xf numFmtId="0" fontId="20" fillId="0" borderId="0" xfId="6" applyFont="1" applyAlignment="1">
      <alignment horizontal="left" wrapText="1"/>
    </xf>
    <xf numFmtId="6" fontId="100" fillId="0" borderId="0" xfId="0" applyNumberFormat="1" applyFont="1"/>
    <xf numFmtId="37" fontId="44" fillId="0" borderId="0" xfId="0" applyNumberFormat="1" applyFont="1" applyAlignment="1" applyProtection="1">
      <alignment horizontal="left"/>
      <protection locked="0"/>
    </xf>
    <xf numFmtId="0" fontId="0" fillId="0" borderId="39" xfId="0" applyBorder="1" applyAlignment="1">
      <alignment horizontal="center" wrapText="1"/>
    </xf>
    <xf numFmtId="0" fontId="0" fillId="113" borderId="32" xfId="0" applyFill="1" applyBorder="1"/>
    <xf numFmtId="0" fontId="20" fillId="0" borderId="0" xfId="24673" applyFont="1"/>
    <xf numFmtId="0" fontId="97" fillId="0" borderId="0" xfId="24673" applyFont="1" applyAlignment="1">
      <alignment horizontal="center"/>
    </xf>
    <xf numFmtId="0" fontId="98" fillId="0" borderId="0" xfId="24673" applyFont="1" applyAlignment="1">
      <alignment horizontal="centerContinuous"/>
    </xf>
    <xf numFmtId="0" fontId="98" fillId="0" borderId="0" xfId="24673" applyFont="1"/>
    <xf numFmtId="0" fontId="97" fillId="0" borderId="0" xfId="24673" applyFont="1"/>
    <xf numFmtId="0" fontId="98" fillId="0" borderId="0" xfId="24673" applyFont="1" applyAlignment="1">
      <alignment horizontal="center"/>
    </xf>
    <xf numFmtId="198" fontId="20" fillId="0" borderId="0" xfId="24673" applyNumberFormat="1" applyFont="1" applyAlignment="1">
      <alignment horizontal="center"/>
    </xf>
    <xf numFmtId="198" fontId="20" fillId="0" borderId="0" xfId="24673" applyNumberFormat="1" applyFont="1"/>
    <xf numFmtId="198" fontId="103" fillId="111" borderId="0" xfId="10" applyNumberFormat="1" applyFont="1" applyFill="1" applyAlignment="1">
      <alignment horizontal="center"/>
    </xf>
    <xf numFmtId="37" fontId="0" fillId="113" borderId="0" xfId="0" applyNumberFormat="1" applyFill="1"/>
    <xf numFmtId="37" fontId="0" fillId="0" borderId="0" xfId="4" applyNumberFormat="1" applyFont="1" applyFill="1" applyBorder="1"/>
    <xf numFmtId="37" fontId="0" fillId="113" borderId="32" xfId="0" applyNumberFormat="1" applyFill="1" applyBorder="1"/>
    <xf numFmtId="37" fontId="0" fillId="0" borderId="32" xfId="4" applyNumberFormat="1" applyFont="1" applyFill="1" applyBorder="1"/>
    <xf numFmtId="37" fontId="0" fillId="0" borderId="37" xfId="0" applyNumberFormat="1" applyBorder="1"/>
    <xf numFmtId="37" fontId="0" fillId="0" borderId="38" xfId="0" applyNumberFormat="1" applyBorder="1"/>
    <xf numFmtId="37" fontId="0" fillId="0" borderId="39" xfId="0" applyNumberFormat="1" applyBorder="1"/>
    <xf numFmtId="37" fontId="0" fillId="0" borderId="37" xfId="4" applyNumberFormat="1" applyFont="1" applyBorder="1"/>
    <xf numFmtId="37" fontId="0" fillId="0" borderId="38" xfId="4" applyNumberFormat="1" applyFont="1" applyBorder="1"/>
    <xf numFmtId="37" fontId="0" fillId="0" borderId="39" xfId="4" applyNumberFormat="1" applyFont="1" applyBorder="1"/>
    <xf numFmtId="37" fontId="0" fillId="0" borderId="37" xfId="4" applyNumberFormat="1" applyFont="1" applyFill="1" applyBorder="1"/>
    <xf numFmtId="37" fontId="0" fillId="0" borderId="38" xfId="4" applyNumberFormat="1" applyFont="1" applyFill="1" applyBorder="1"/>
    <xf numFmtId="37" fontId="0" fillId="0" borderId="39" xfId="4" applyNumberFormat="1" applyFont="1" applyFill="1" applyBorder="1"/>
    <xf numFmtId="166" fontId="0" fillId="0" borderId="0" xfId="0" applyNumberFormat="1"/>
    <xf numFmtId="37" fontId="0" fillId="0" borderId="36" xfId="0" applyNumberFormat="1" applyBorder="1"/>
    <xf numFmtId="37" fontId="0" fillId="0" borderId="34" xfId="0" applyNumberFormat="1" applyBorder="1"/>
    <xf numFmtId="0" fontId="0" fillId="0" borderId="0" xfId="0" applyAlignment="1">
      <alignment horizontal="right" wrapText="1"/>
    </xf>
    <xf numFmtId="0" fontId="0" fillId="113" borderId="0" xfId="0" applyFill="1"/>
    <xf numFmtId="0" fontId="2" fillId="0" borderId="0" xfId="0" applyFont="1" applyAlignment="1">
      <alignment horizontal="right" wrapText="1"/>
    </xf>
    <xf numFmtId="7" fontId="0" fillId="113" borderId="32" xfId="0" applyNumberFormat="1" applyFill="1" applyBorder="1"/>
    <xf numFmtId="0" fontId="0" fillId="0" borderId="32" xfId="0" applyBorder="1" applyAlignment="1">
      <alignment horizontal="right" wrapText="1"/>
    </xf>
    <xf numFmtId="0" fontId="2" fillId="0" borderId="32" xfId="0" applyFont="1" applyBorder="1"/>
    <xf numFmtId="200" fontId="0" fillId="0" borderId="0" xfId="0" applyNumberFormat="1"/>
    <xf numFmtId="10" fontId="0" fillId="0" borderId="0" xfId="1" applyNumberFormat="1" applyFont="1" applyFill="1" applyBorder="1"/>
    <xf numFmtId="199" fontId="0" fillId="113" borderId="0" xfId="0" applyNumberFormat="1" applyFill="1"/>
    <xf numFmtId="199" fontId="0" fillId="0" borderId="0" xfId="0" applyNumberFormat="1"/>
    <xf numFmtId="37" fontId="0" fillId="113" borderId="38" xfId="0" applyNumberFormat="1" applyFill="1" applyBorder="1" applyAlignment="1">
      <alignment horizontal="center"/>
    </xf>
    <xf numFmtId="37" fontId="0" fillId="113" borderId="37" xfId="0" applyNumberFormat="1" applyFill="1" applyBorder="1" applyAlignment="1">
      <alignment horizontal="center"/>
    </xf>
    <xf numFmtId="37" fontId="0" fillId="113" borderId="0" xfId="0" applyNumberFormat="1" applyFill="1" applyAlignment="1">
      <alignment horizontal="center"/>
    </xf>
    <xf numFmtId="0" fontId="0" fillId="113" borderId="37" xfId="0" applyFill="1" applyBorder="1" applyAlignment="1">
      <alignment horizontal="center"/>
    </xf>
    <xf numFmtId="0" fontId="0" fillId="113" borderId="38" xfId="0" applyFill="1" applyBorder="1" applyAlignment="1">
      <alignment horizontal="center"/>
    </xf>
    <xf numFmtId="37" fontId="0" fillId="113" borderId="39" xfId="0" applyNumberFormat="1" applyFill="1" applyBorder="1" applyAlignment="1">
      <alignment horizontal="center"/>
    </xf>
    <xf numFmtId="0" fontId="0" fillId="113" borderId="39" xfId="0" applyFill="1" applyBorder="1" applyAlignment="1">
      <alignment horizontal="center"/>
    </xf>
    <xf numFmtId="201" fontId="0" fillId="0" borderId="0" xfId="0" applyNumberFormat="1"/>
    <xf numFmtId="166" fontId="20" fillId="0" borderId="0" xfId="8" applyNumberFormat="1" applyFont="1" applyAlignment="1">
      <alignment horizontal="center"/>
    </xf>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20" fillId="0" borderId="0" xfId="6" quotePrefix="1" applyFont="1" applyAlignment="1">
      <alignment horizontal="left"/>
    </xf>
    <xf numFmtId="0" fontId="98" fillId="0" borderId="0" xfId="0" quotePrefix="1" applyFont="1" applyAlignment="1">
      <alignment horizontal="center" wrapText="1"/>
    </xf>
    <xf numFmtId="17" fontId="20" fillId="0" borderId="32" xfId="6" quotePrefix="1" applyNumberFormat="1" applyFont="1" applyBorder="1" applyAlignment="1">
      <alignment horizontal="left"/>
    </xf>
    <xf numFmtId="164" fontId="3" fillId="0" borderId="0" xfId="0" applyNumberFormat="1" applyFont="1"/>
    <xf numFmtId="0" fontId="97" fillId="0" borderId="0" xfId="6" quotePrefix="1" applyFont="1" applyAlignment="1">
      <alignment horizontal="left"/>
    </xf>
    <xf numFmtId="5" fontId="2" fillId="0" borderId="0" xfId="8" applyNumberFormat="1" applyFont="1"/>
    <xf numFmtId="0" fontId="20" fillId="0" borderId="0" xfId="0" quotePrefix="1" applyFont="1" applyAlignment="1">
      <alignment horizontal="center" vertical="center"/>
    </xf>
    <xf numFmtId="5" fontId="20" fillId="0" borderId="32" xfId="8" applyNumberFormat="1" applyFont="1" applyBorder="1"/>
    <xf numFmtId="0" fontId="0" fillId="112" borderId="0" xfId="0" applyFill="1" applyAlignment="1">
      <alignment horizontal="center"/>
    </xf>
    <xf numFmtId="5" fontId="20" fillId="0" borderId="0" xfId="0" applyNumberFormat="1" applyFont="1" applyAlignment="1">
      <alignment horizontal="right"/>
    </xf>
    <xf numFmtId="0" fontId="0" fillId="0" borderId="0" xfId="0" applyAlignment="1">
      <alignment horizontal="center" vertical="center"/>
    </xf>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0" fillId="0" borderId="0" xfId="49" applyNumberFormat="1" applyFont="1" applyAlignment="1">
      <alignment horizontal="right"/>
    </xf>
    <xf numFmtId="5" fontId="0" fillId="0" borderId="0" xfId="4" applyNumberFormat="1" applyFont="1" applyAlignment="1">
      <alignment horizontal="right"/>
    </xf>
    <xf numFmtId="7" fontId="2" fillId="0" borderId="32" xfId="0" applyNumberFormat="1" applyFont="1" applyBorder="1" applyAlignment="1">
      <alignment horizontal="center" wrapText="1"/>
    </xf>
    <xf numFmtId="0" fontId="2" fillId="113" borderId="32" xfId="0" applyFont="1" applyFill="1" applyBorder="1" applyAlignment="1">
      <alignment horizontal="center" wrapText="1"/>
    </xf>
    <xf numFmtId="0" fontId="2" fillId="113" borderId="32" xfId="0" applyFont="1" applyFill="1" applyBorder="1" applyAlignment="1">
      <alignment horizontal="center"/>
    </xf>
    <xf numFmtId="3" fontId="0" fillId="0" borderId="0" xfId="0" applyNumberFormat="1"/>
    <xf numFmtId="9" fontId="20" fillId="111" borderId="0" xfId="1" applyFont="1" applyFill="1"/>
    <xf numFmtId="202" fontId="0" fillId="0" borderId="0" xfId="0" applyNumberFormat="1"/>
    <xf numFmtId="198" fontId="0" fillId="0" borderId="0" xfId="0" applyNumberFormat="1"/>
    <xf numFmtId="9" fontId="20" fillId="0" borderId="0" xfId="1" applyFont="1"/>
    <xf numFmtId="0" fontId="97" fillId="111" borderId="0" xfId="0" applyFont="1" applyFill="1" applyAlignment="1">
      <alignment horizontal="right"/>
    </xf>
    <xf numFmtId="5" fontId="0" fillId="0" borderId="0" xfId="4" applyNumberFormat="1" applyFont="1" applyAlignment="1"/>
    <xf numFmtId="10" fontId="0" fillId="0" borderId="0" xfId="1" applyNumberFormat="1" applyFont="1" applyFill="1" applyAlignment="1">
      <alignment horizontal="center"/>
    </xf>
    <xf numFmtId="0" fontId="2" fillId="0" borderId="32" xfId="0" applyFont="1" applyBorder="1" applyAlignment="1">
      <alignment horizontal="right" wrapText="1"/>
    </xf>
    <xf numFmtId="0" fontId="2" fillId="0" borderId="41" xfId="0" applyFont="1" applyBorder="1"/>
    <xf numFmtId="0" fontId="2" fillId="0" borderId="6" xfId="0" applyFont="1" applyBorder="1" applyAlignment="1">
      <alignment horizontal="right"/>
    </xf>
    <xf numFmtId="0" fontId="0" fillId="0" borderId="36" xfId="0" applyBorder="1"/>
    <xf numFmtId="0" fontId="2" fillId="0" borderId="35" xfId="0" applyFont="1" applyBorder="1" applyAlignment="1">
      <alignment horizontal="right"/>
    </xf>
    <xf numFmtId="0" fontId="0" fillId="0" borderId="32" xfId="0" applyBorder="1" applyAlignment="1">
      <alignment horizontal="right"/>
    </xf>
    <xf numFmtId="0" fontId="0" fillId="0" borderId="34" xfId="0" applyBorder="1"/>
    <xf numFmtId="0" fontId="2" fillId="0" borderId="44" xfId="0" applyFont="1" applyBorder="1" applyAlignment="1">
      <alignment horizontal="center" wrapText="1"/>
    </xf>
    <xf numFmtId="0" fontId="2" fillId="0" borderId="45" xfId="0" applyFont="1" applyBorder="1" applyAlignment="1">
      <alignment horizontal="center" wrapText="1"/>
    </xf>
    <xf numFmtId="0" fontId="4" fillId="0" borderId="41" xfId="0" applyFont="1" applyBorder="1" applyAlignment="1">
      <alignment horizontal="center"/>
    </xf>
    <xf numFmtId="0" fontId="4" fillId="0" borderId="42" xfId="0" applyFont="1" applyBorder="1" applyAlignment="1">
      <alignment horizontal="center"/>
    </xf>
    <xf numFmtId="0" fontId="4" fillId="0" borderId="43" xfId="0" applyFont="1" applyBorder="1" applyAlignment="1">
      <alignment horizontal="center"/>
    </xf>
    <xf numFmtId="0" fontId="2" fillId="0" borderId="6" xfId="0" applyFont="1" applyBorder="1" applyAlignment="1">
      <alignment horizontal="center"/>
    </xf>
    <xf numFmtId="0" fontId="0" fillId="0" borderId="36" xfId="0" applyBorder="1" applyAlignment="1">
      <alignment horizontal="center"/>
    </xf>
    <xf numFmtId="0" fontId="0" fillId="0" borderId="6" xfId="0" applyBorder="1"/>
    <xf numFmtId="0" fontId="2" fillId="0" borderId="36" xfId="0" applyFont="1" applyBorder="1" applyAlignment="1">
      <alignment horizontal="center"/>
    </xf>
    <xf numFmtId="0" fontId="4" fillId="0" borderId="35" xfId="0" applyFont="1" applyBorder="1" applyAlignment="1">
      <alignment horizontal="center"/>
    </xf>
    <xf numFmtId="0" fontId="4" fillId="0" borderId="32" xfId="0" applyFont="1" applyBorder="1" applyAlignment="1">
      <alignment horizontal="center"/>
    </xf>
    <xf numFmtId="0" fontId="4" fillId="0" borderId="34" xfId="0" applyFont="1" applyBorder="1" applyAlignment="1">
      <alignment horizontal="center"/>
    </xf>
    <xf numFmtId="0" fontId="2" fillId="0" borderId="42" xfId="0" applyFont="1" applyBorder="1" applyAlignment="1">
      <alignment horizontal="center"/>
    </xf>
    <xf numFmtId="0" fontId="2" fillId="0" borderId="43" xfId="0" applyFont="1" applyBorder="1" applyAlignment="1">
      <alignment horizontal="center"/>
    </xf>
    <xf numFmtId="10" fontId="0" fillId="0" borderId="0" xfId="1" applyNumberFormat="1" applyFont="1" applyAlignment="1">
      <alignment horizontal="right"/>
    </xf>
    <xf numFmtId="166" fontId="20" fillId="0" borderId="0" xfId="11" applyNumberFormat="1" applyFont="1" applyAlignment="1">
      <alignment horizontal="center" vertical="center" wrapText="1"/>
    </xf>
    <xf numFmtId="5" fontId="20" fillId="111" borderId="0" xfId="9" applyNumberFormat="1" applyFont="1" applyFill="1" applyAlignment="1">
      <alignment horizontal="right"/>
    </xf>
    <xf numFmtId="10" fontId="0" fillId="0" borderId="0" xfId="0" applyNumberFormat="1" applyAlignment="1">
      <alignment horizontal="center"/>
    </xf>
    <xf numFmtId="0" fontId="2" fillId="112" borderId="0" xfId="0" applyFont="1" applyFill="1" applyAlignment="1">
      <alignment horizontal="center"/>
    </xf>
    <xf numFmtId="0" fontId="0" fillId="0" borderId="0" xfId="0" quotePrefix="1"/>
    <xf numFmtId="0" fontId="2" fillId="0" borderId="46" xfId="0" applyFont="1" applyBorder="1" applyAlignment="1">
      <alignment horizontal="center"/>
    </xf>
    <xf numFmtId="0" fontId="2" fillId="0" borderId="47" xfId="0" applyFont="1" applyBorder="1" applyAlignment="1">
      <alignment horizontal="center"/>
    </xf>
    <xf numFmtId="5" fontId="2" fillId="0" borderId="40" xfId="0" applyNumberFormat="1" applyFont="1" applyBorder="1"/>
    <xf numFmtId="5" fontId="0" fillId="111" borderId="0" xfId="0" applyNumberFormat="1" applyFill="1" applyAlignment="1">
      <alignment horizontal="right"/>
    </xf>
    <xf numFmtId="5" fontId="0" fillId="0" borderId="0" xfId="0" applyNumberFormat="1" applyAlignment="1">
      <alignment horizontal="right"/>
    </xf>
    <xf numFmtId="5" fontId="0" fillId="0" borderId="0" xfId="0" applyNumberFormat="1" applyAlignment="1">
      <alignment horizontal="left" wrapText="1"/>
    </xf>
    <xf numFmtId="10" fontId="2" fillId="0" borderId="0" xfId="0" applyNumberFormat="1" applyFont="1" applyAlignment="1">
      <alignment horizontal="center"/>
    </xf>
    <xf numFmtId="5" fontId="0" fillId="111" borderId="32" xfId="0" applyNumberFormat="1" applyFill="1" applyBorder="1"/>
    <xf numFmtId="10" fontId="103" fillId="0" borderId="0" xfId="1" applyNumberFormat="1" applyFont="1"/>
    <xf numFmtId="5" fontId="2" fillId="0" borderId="0" xfId="4" applyNumberFormat="1" applyFont="1" applyFill="1" applyBorder="1"/>
    <xf numFmtId="5" fontId="2" fillId="0" borderId="42" xfId="4" applyNumberFormat="1" applyFont="1" applyBorder="1"/>
    <xf numFmtId="10" fontId="0" fillId="0" borderId="0" xfId="4" applyNumberFormat="1" applyFont="1"/>
    <xf numFmtId="192" fontId="0" fillId="0" borderId="0" xfId="0" applyNumberFormat="1"/>
    <xf numFmtId="0" fontId="2" fillId="0" borderId="47" xfId="0" applyFont="1" applyBorder="1" applyAlignment="1">
      <alignment vertical="top"/>
    </xf>
    <xf numFmtId="0" fontId="2" fillId="0" borderId="0" xfId="0" applyFont="1" applyAlignment="1">
      <alignment vertical="top"/>
    </xf>
    <xf numFmtId="7" fontId="0" fillId="111" borderId="0" xfId="1" applyNumberFormat="1" applyFont="1" applyFill="1"/>
    <xf numFmtId="7" fontId="2" fillId="0" borderId="45" xfId="2" applyNumberFormat="1" applyFont="1" applyFill="1" applyBorder="1" applyAlignment="1">
      <alignment vertical="top"/>
    </xf>
    <xf numFmtId="7" fontId="2" fillId="0" borderId="45" xfId="0" applyNumberFormat="1" applyFont="1" applyBorder="1" applyAlignment="1">
      <alignment vertical="top"/>
    </xf>
    <xf numFmtId="7" fontId="0" fillId="0" borderId="0" xfId="0" applyNumberFormat="1" applyAlignment="1">
      <alignment vertical="top"/>
    </xf>
    <xf numFmtId="0" fontId="4" fillId="0" borderId="0" xfId="0" applyFont="1" applyAlignment="1">
      <alignment horizontal="center" vertical="top"/>
    </xf>
    <xf numFmtId="0" fontId="2" fillId="0" borderId="0" xfId="0" applyFont="1" applyAlignment="1">
      <alignment horizontal="center"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xf>
    <xf numFmtId="0" fontId="4" fillId="0" borderId="0" xfId="0" applyFont="1" applyAlignment="1">
      <alignment horizontal="center" vertical="top" wrapText="1"/>
    </xf>
    <xf numFmtId="7" fontId="0" fillId="0" borderId="0" xfId="1" applyNumberFormat="1" applyFont="1" applyFill="1"/>
    <xf numFmtId="0" fontId="0" fillId="113" borderId="0" xfId="0" applyFill="1" applyAlignment="1">
      <alignment vertical="top"/>
    </xf>
    <xf numFmtId="5" fontId="97" fillId="0" borderId="0" xfId="9" applyNumberFormat="1" applyFont="1" applyFill="1" applyBorder="1" applyAlignment="1">
      <alignment horizontal="right"/>
    </xf>
    <xf numFmtId="5" fontId="20" fillId="0" borderId="0" xfId="9" applyNumberFormat="1" applyFont="1" applyFill="1" applyBorder="1" applyAlignment="1">
      <alignment horizontal="right"/>
    </xf>
    <xf numFmtId="10" fontId="20" fillId="0" borderId="0" xfId="1" applyNumberFormat="1" applyFont="1" applyFill="1" applyBorder="1" applyAlignment="1">
      <alignment horizontal="center"/>
    </xf>
    <xf numFmtId="10" fontId="0" fillId="0" borderId="0" xfId="0" applyNumberFormat="1" applyAlignment="1">
      <alignment wrapText="1"/>
    </xf>
    <xf numFmtId="5" fontId="103" fillId="0" borderId="0" xfId="4" applyNumberFormat="1" applyFont="1"/>
    <xf numFmtId="9" fontId="20" fillId="0" borderId="0" xfId="8" applyNumberFormat="1" applyFont="1"/>
    <xf numFmtId="166" fontId="20" fillId="0" borderId="0" xfId="8" applyNumberFormat="1" applyFont="1" applyFill="1" applyAlignment="1">
      <alignment horizontal="center"/>
    </xf>
    <xf numFmtId="203" fontId="2" fillId="0" borderId="0" xfId="0" applyNumberFormat="1" applyFont="1"/>
    <xf numFmtId="37" fontId="2" fillId="0" borderId="0" xfId="0" applyNumberFormat="1" applyFont="1"/>
    <xf numFmtId="0" fontId="2" fillId="113" borderId="0" xfId="0" applyFont="1" applyFill="1" applyAlignment="1">
      <alignment horizontal="center"/>
    </xf>
    <xf numFmtId="0" fontId="2" fillId="113" borderId="45" xfId="0" applyFont="1" applyFill="1" applyBorder="1" applyAlignment="1">
      <alignment horizontal="center" wrapText="1"/>
    </xf>
    <xf numFmtId="0" fontId="2" fillId="113" borderId="0" xfId="0" applyFont="1" applyFill="1" applyAlignment="1">
      <alignment vertical="top"/>
    </xf>
    <xf numFmtId="0" fontId="97" fillId="0" borderId="46" xfId="0" applyFont="1" applyBorder="1" applyAlignment="1">
      <alignment horizontal="center" wrapText="1"/>
    </xf>
    <xf numFmtId="5" fontId="97" fillId="0" borderId="42" xfId="0" applyNumberFormat="1" applyFont="1" applyBorder="1"/>
    <xf numFmtId="43" fontId="0" fillId="0" borderId="0" xfId="4" applyFont="1"/>
    <xf numFmtId="5" fontId="0" fillId="0" borderId="36" xfId="0" applyNumberFormat="1" applyBorder="1"/>
    <xf numFmtId="0" fontId="0" fillId="0" borderId="34" xfId="0" applyBorder="1" applyAlignment="1">
      <alignment horizontal="right"/>
    </xf>
    <xf numFmtId="5" fontId="0" fillId="0" borderId="0" xfId="0" applyNumberFormat="1" applyAlignment="1">
      <alignment horizontal="center"/>
    </xf>
    <xf numFmtId="0" fontId="0" fillId="0" borderId="32" xfId="0" applyBorder="1" applyAlignment="1">
      <alignment horizontal="left"/>
    </xf>
    <xf numFmtId="37" fontId="0" fillId="0" borderId="0" xfId="0" applyNumberFormat="1" applyAlignment="1">
      <alignment horizontal="center"/>
    </xf>
    <xf numFmtId="203" fontId="0" fillId="0" borderId="0" xfId="0" applyNumberFormat="1"/>
    <xf numFmtId="0" fontId="0" fillId="0" borderId="37" xfId="0" applyBorder="1" applyAlignment="1">
      <alignment horizontal="left"/>
    </xf>
    <xf numFmtId="0" fontId="0" fillId="0" borderId="38" xfId="0" applyBorder="1" applyAlignment="1">
      <alignment horizontal="left"/>
    </xf>
    <xf numFmtId="0" fontId="0" fillId="0" borderId="39" xfId="0" applyBorder="1" applyAlignment="1">
      <alignment horizontal="left"/>
    </xf>
    <xf numFmtId="37" fontId="44" fillId="0" borderId="0" xfId="0" applyNumberFormat="1" applyFont="1" applyAlignment="1" applyProtection="1">
      <alignment wrapText="1"/>
      <protection locked="0"/>
    </xf>
    <xf numFmtId="5" fontId="0" fillId="113" borderId="0" xfId="0" applyNumberFormat="1" applyFill="1" applyAlignment="1">
      <alignment horizontal="right"/>
    </xf>
    <xf numFmtId="10" fontId="97" fillId="0" borderId="0" xfId="1" applyNumberFormat="1" applyFont="1" applyFill="1" applyBorder="1" applyProtection="1">
      <protection locked="0"/>
    </xf>
    <xf numFmtId="5" fontId="0" fillId="111" borderId="0" xfId="8" applyNumberFormat="1" applyFont="1" applyFill="1" applyBorder="1"/>
    <xf numFmtId="0" fontId="97" fillId="0" borderId="42" xfId="6" quotePrefix="1" applyFont="1" applyBorder="1" applyAlignment="1">
      <alignment horizontal="left"/>
    </xf>
    <xf numFmtId="5" fontId="2" fillId="0" borderId="42" xfId="8" applyNumberFormat="1" applyFont="1" applyBorder="1"/>
    <xf numFmtId="0" fontId="2" fillId="0" borderId="42" xfId="0" applyFont="1" applyBorder="1"/>
    <xf numFmtId="1" fontId="20" fillId="0" borderId="42" xfId="11" applyNumberFormat="1" applyFont="1" applyBorder="1" applyAlignment="1">
      <alignment horizontal="center"/>
    </xf>
    <xf numFmtId="5" fontId="20" fillId="111" borderId="0" xfId="9" applyNumberFormat="1" applyFont="1" applyFill="1"/>
    <xf numFmtId="5" fontId="20" fillId="0" borderId="40" xfId="9" applyNumberFormat="1" applyFont="1" applyFill="1" applyBorder="1"/>
    <xf numFmtId="0" fontId="97" fillId="0" borderId="41" xfId="47" applyFont="1" applyBorder="1"/>
    <xf numFmtId="0" fontId="20" fillId="0" borderId="42" xfId="47" applyFont="1" applyBorder="1"/>
    <xf numFmtId="0" fontId="98" fillId="0" borderId="42" xfId="47" applyFont="1" applyBorder="1" applyAlignment="1">
      <alignment horizontal="center"/>
    </xf>
    <xf numFmtId="0" fontId="98" fillId="0" borderId="43" xfId="47" applyFont="1" applyBorder="1" applyAlignment="1">
      <alignment horizontal="center"/>
    </xf>
    <xf numFmtId="164" fontId="20" fillId="0" borderId="36" xfId="47" applyNumberFormat="1" applyFont="1" applyBorder="1"/>
    <xf numFmtId="164" fontId="96" fillId="0" borderId="36" xfId="47" applyNumberFormat="1" applyFont="1" applyBorder="1"/>
    <xf numFmtId="5" fontId="97" fillId="0" borderId="42" xfId="47" applyNumberFormat="1" applyFont="1" applyBorder="1"/>
    <xf numFmtId="10" fontId="20" fillId="113" borderId="0" xfId="47" applyNumberFormat="1" applyFont="1" applyFill="1"/>
    <xf numFmtId="0" fontId="0" fillId="0" borderId="0" xfId="47" applyFont="1" applyAlignment="1">
      <alignment horizontal="left" indent="1"/>
    </xf>
    <xf numFmtId="10"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34" xfId="47" applyNumberFormat="1" applyFont="1" applyBorder="1"/>
    <xf numFmtId="0" fontId="20" fillId="0" borderId="42" xfId="47" applyFont="1" applyBorder="1" applyAlignment="1">
      <alignment horizontal="right"/>
    </xf>
    <xf numFmtId="164" fontId="20" fillId="0" borderId="42" xfId="47" applyNumberFormat="1" applyFont="1" applyBorder="1"/>
    <xf numFmtId="0" fontId="20" fillId="0" borderId="42" xfId="47" applyFont="1" applyBorder="1" applyAlignment="1">
      <alignment horizontal="left" indent="1"/>
    </xf>
    <xf numFmtId="164" fontId="20" fillId="0" borderId="43" xfId="47" applyNumberFormat="1" applyFont="1" applyBorder="1"/>
    <xf numFmtId="167" fontId="20" fillId="0" borderId="36" xfId="47" applyNumberFormat="1" applyFont="1" applyBorder="1"/>
    <xf numFmtId="5" fontId="97" fillId="0" borderId="44" xfId="47" applyNumberFormat="1" applyFont="1" applyBorder="1"/>
    <xf numFmtId="164" fontId="96" fillId="0" borderId="34" xfId="47" applyNumberFormat="1" applyFont="1" applyBorder="1"/>
    <xf numFmtId="164" fontId="97" fillId="0" borderId="0" xfId="47" applyNumberFormat="1" applyFont="1"/>
    <xf numFmtId="0" fontId="20" fillId="0" borderId="41" xfId="47" applyFont="1" applyBorder="1"/>
    <xf numFmtId="164" fontId="96" fillId="0" borderId="43" xfId="47" applyNumberFormat="1" applyFont="1" applyBorder="1"/>
    <xf numFmtId="0" fontId="2" fillId="0" borderId="0" xfId="16306" applyFont="1" applyAlignment="1">
      <alignment horizontal="center"/>
    </xf>
    <xf numFmtId="0" fontId="103" fillId="0" borderId="0" xfId="16306"/>
    <xf numFmtId="0" fontId="2" fillId="0" borderId="0" xfId="16306" applyFont="1" applyAlignment="1">
      <alignment horizontal="right"/>
    </xf>
    <xf numFmtId="37" fontId="103" fillId="0" borderId="0" xfId="16306" applyNumberFormat="1" applyAlignment="1">
      <alignment horizontal="center"/>
    </xf>
    <xf numFmtId="0" fontId="20" fillId="0" borderId="0" xfId="0" applyFont="1" applyAlignment="1">
      <alignment horizontal="left" vertical="center" wrapText="1"/>
    </xf>
    <xf numFmtId="0" fontId="20" fillId="0" borderId="0" xfId="31683" applyFont="1" applyAlignment="1">
      <alignment horizontal="center"/>
    </xf>
    <xf numFmtId="0" fontId="97" fillId="0" borderId="44" xfId="31683" applyFont="1" applyBorder="1" applyAlignment="1">
      <alignment horizontal="center"/>
    </xf>
    <xf numFmtId="37" fontId="97" fillId="0" borderId="0" xfId="31683" quotePrefix="1" applyNumberFormat="1" applyFont="1" applyAlignment="1">
      <alignment horizontal="center" wrapText="1"/>
    </xf>
    <xf numFmtId="0" fontId="20" fillId="113" borderId="0" xfId="11" applyFont="1" applyFill="1" applyAlignment="1">
      <alignment horizontal="left" vertical="center"/>
    </xf>
    <xf numFmtId="0" fontId="99" fillId="0" borderId="0" xfId="0" applyFont="1" applyAlignment="1">
      <alignment horizontal="center"/>
    </xf>
    <xf numFmtId="10" fontId="99" fillId="112" borderId="0" xfId="1" applyNumberFormat="1" applyFont="1" applyFill="1"/>
    <xf numFmtId="0" fontId="23" fillId="112" borderId="0" xfId="0" applyFont="1" applyFill="1"/>
    <xf numFmtId="0" fontId="108" fillId="0" borderId="0" xfId="0" applyFont="1" applyAlignment="1">
      <alignment horizontal="center"/>
    </xf>
    <xf numFmtId="0" fontId="97" fillId="113" borderId="32" xfId="0" applyFont="1" applyFill="1" applyBorder="1" applyAlignment="1">
      <alignment horizontal="center" wrapText="1"/>
    </xf>
    <xf numFmtId="10" fontId="99" fillId="0" borderId="0" xfId="1" applyNumberFormat="1" applyFont="1" applyFill="1"/>
    <xf numFmtId="9" fontId="0" fillId="0" borderId="0" xfId="1" applyFont="1"/>
    <xf numFmtId="0" fontId="97" fillId="0" borderId="32" xfId="0" applyFont="1" applyBorder="1" applyAlignment="1">
      <alignment horizontal="right"/>
    </xf>
    <xf numFmtId="37" fontId="20" fillId="0" borderId="32" xfId="0" applyNumberFormat="1" applyFont="1" applyBorder="1"/>
    <xf numFmtId="0" fontId="20" fillId="0" borderId="32" xfId="0" applyFont="1" applyBorder="1"/>
    <xf numFmtId="5" fontId="20" fillId="0" borderId="0" xfId="8" applyNumberFormat="1" applyFont="1" applyFill="1"/>
    <xf numFmtId="9" fontId="20" fillId="0" borderId="0" xfId="1" applyFont="1" applyFill="1"/>
    <xf numFmtId="0" fontId="99" fillId="0" borderId="0" xfId="16306" applyFont="1" applyAlignment="1">
      <alignment horizontal="center"/>
    </xf>
    <xf numFmtId="0" fontId="23" fillId="0" borderId="0" xfId="16306" applyFont="1"/>
    <xf numFmtId="37" fontId="23" fillId="0" borderId="0" xfId="16306" applyNumberFormat="1" applyFont="1"/>
    <xf numFmtId="0" fontId="2" fillId="113" borderId="34" xfId="0" applyFont="1" applyFill="1" applyBorder="1" applyAlignment="1">
      <alignment horizontal="center" vertical="top" wrapText="1"/>
    </xf>
    <xf numFmtId="203" fontId="0" fillId="0" borderId="0" xfId="4" applyNumberFormat="1" applyFont="1" applyFill="1"/>
    <xf numFmtId="5" fontId="20" fillId="111" borderId="33" xfId="0" applyNumberFormat="1" applyFont="1" applyFill="1" applyBorder="1"/>
    <xf numFmtId="0" fontId="99" fillId="0" borderId="0" xfId="0" applyFont="1" applyAlignment="1">
      <alignment wrapText="1"/>
    </xf>
    <xf numFmtId="5" fontId="0" fillId="0" borderId="0" xfId="8" applyNumberFormat="1" applyFont="1" applyFill="1"/>
    <xf numFmtId="5" fontId="97" fillId="0" borderId="0" xfId="0" applyNumberFormat="1" applyFont="1" applyProtection="1">
      <protection locked="0"/>
    </xf>
    <xf numFmtId="14" fontId="20" fillId="0" borderId="0" xfId="0" quotePrefix="1" applyNumberFormat="1" applyFont="1" applyAlignment="1">
      <alignment horizontal="right" vertical="center"/>
    </xf>
    <xf numFmtId="14" fontId="20" fillId="0" borderId="0" xfId="0" applyNumberFormat="1" applyFont="1" applyAlignment="1">
      <alignment horizontal="right" vertical="center"/>
    </xf>
    <xf numFmtId="194" fontId="20" fillId="0" borderId="0" xfId="1" applyNumberFormat="1" applyFont="1" applyFill="1" applyAlignment="1">
      <alignment horizontal="center"/>
    </xf>
    <xf numFmtId="164" fontId="99" fillId="0" borderId="32" xfId="6" applyNumberFormat="1" applyFont="1" applyBorder="1" applyAlignment="1">
      <alignment horizontal="center"/>
    </xf>
    <xf numFmtId="0" fontId="0" fillId="0" borderId="0" xfId="48" applyFont="1"/>
    <xf numFmtId="37" fontId="103" fillId="0" borderId="38" xfId="4" applyNumberFormat="1" applyFont="1" applyFill="1" applyBorder="1"/>
    <xf numFmtId="0" fontId="5" fillId="0" borderId="0" xfId="31688" applyFont="1" applyAlignment="1">
      <alignment horizontal="right" vertical="top"/>
    </xf>
    <xf numFmtId="0" fontId="5" fillId="0" borderId="0" xfId="31688" applyFont="1"/>
    <xf numFmtId="0" fontId="97" fillId="112" borderId="0" xfId="6" applyFont="1" applyFill="1" applyAlignment="1">
      <alignment horizontal="left"/>
    </xf>
    <xf numFmtId="166" fontId="97" fillId="0" borderId="0" xfId="4" applyNumberFormat="1" applyFont="1"/>
    <xf numFmtId="10" fontId="20" fillId="0" borderId="0" xfId="0" applyNumberFormat="1" applyFont="1"/>
    <xf numFmtId="10" fontId="20" fillId="0" borderId="32" xfId="1" applyNumberFormat="1" applyFont="1" applyBorder="1"/>
    <xf numFmtId="10" fontId="97" fillId="0" borderId="0" xfId="0" applyNumberFormat="1" applyFont="1"/>
    <xf numFmtId="5" fontId="97" fillId="0" borderId="0" xfId="4" applyNumberFormat="1" applyFont="1"/>
    <xf numFmtId="5" fontId="20" fillId="113" borderId="0" xfId="0" applyNumberFormat="1" applyFont="1" applyFill="1" applyAlignment="1">
      <alignment horizontal="center"/>
    </xf>
    <xf numFmtId="7" fontId="20" fillId="0" borderId="0" xfId="0" applyNumberFormat="1" applyFont="1"/>
    <xf numFmtId="0" fontId="20" fillId="0" borderId="32" xfId="0" applyFont="1" applyBorder="1" applyAlignment="1">
      <alignment horizontal="right"/>
    </xf>
    <xf numFmtId="0" fontId="97" fillId="0" borderId="0" xfId="0" applyFont="1" applyAlignment="1">
      <alignment horizontal="left"/>
    </xf>
    <xf numFmtId="37" fontId="5" fillId="0" borderId="6" xfId="0" applyNumberFormat="1" applyFont="1" applyBorder="1" applyAlignment="1" applyProtection="1">
      <alignment horizontal="left"/>
      <protection locked="0"/>
    </xf>
    <xf numFmtId="37" fontId="5" fillId="0" borderId="35" xfId="0" applyNumberFormat="1" applyFont="1" applyBorder="1" applyAlignment="1" applyProtection="1">
      <alignment horizontal="left"/>
      <protection locked="0"/>
    </xf>
    <xf numFmtId="37" fontId="5" fillId="0" borderId="0" xfId="0" applyNumberFormat="1" applyFont="1" applyAlignment="1" applyProtection="1">
      <alignment horizontal="left"/>
      <protection locked="0"/>
    </xf>
    <xf numFmtId="0" fontId="97" fillId="0" borderId="0" xfId="16306" applyFont="1"/>
    <xf numFmtId="0" fontId="98" fillId="0" borderId="0" xfId="16306" applyFont="1" applyAlignment="1">
      <alignment horizontal="center"/>
    </xf>
    <xf numFmtId="0" fontId="97" fillId="0" borderId="46" xfId="16306" applyFont="1" applyBorder="1" applyAlignment="1">
      <alignment horizontal="center" wrapText="1"/>
    </xf>
    <xf numFmtId="0" fontId="97" fillId="0" borderId="0" xfId="16306" applyFont="1" applyAlignment="1">
      <alignment horizontal="center"/>
    </xf>
    <xf numFmtId="0" fontId="20" fillId="0" borderId="37" xfId="16306" applyFont="1" applyBorder="1"/>
    <xf numFmtId="37" fontId="20" fillId="113" borderId="38" xfId="16306" applyNumberFormat="1" applyFont="1" applyFill="1" applyBorder="1" applyAlignment="1">
      <alignment horizontal="center"/>
    </xf>
    <xf numFmtId="37" fontId="20" fillId="113" borderId="37" xfId="16306" applyNumberFormat="1" applyFont="1" applyFill="1" applyBorder="1" applyAlignment="1">
      <alignment horizontal="center"/>
    </xf>
    <xf numFmtId="37" fontId="20" fillId="113" borderId="0" xfId="16306" applyNumberFormat="1" applyFont="1" applyFill="1" applyAlignment="1">
      <alignment horizontal="center"/>
    </xf>
    <xf numFmtId="0" fontId="20" fillId="113" borderId="37" xfId="16306" applyFont="1" applyFill="1" applyBorder="1" applyAlignment="1">
      <alignment horizontal="center"/>
    </xf>
    <xf numFmtId="0" fontId="20" fillId="0" borderId="38" xfId="16306" applyFont="1" applyBorder="1"/>
    <xf numFmtId="0" fontId="20" fillId="113" borderId="38" xfId="16306" applyFont="1" applyFill="1" applyBorder="1" applyAlignment="1">
      <alignment horizontal="center"/>
    </xf>
    <xf numFmtId="37" fontId="20" fillId="113" borderId="39" xfId="16306" applyNumberFormat="1" applyFont="1" applyFill="1" applyBorder="1" applyAlignment="1">
      <alignment horizontal="center"/>
    </xf>
    <xf numFmtId="0" fontId="20" fillId="113" borderId="39" xfId="16306" applyFont="1" applyFill="1" applyBorder="1" applyAlignment="1">
      <alignment horizontal="center"/>
    </xf>
    <xf numFmtId="0" fontId="97" fillId="0" borderId="46" xfId="16306" applyFont="1" applyBorder="1" applyAlignment="1">
      <alignment horizontal="right"/>
    </xf>
    <xf numFmtId="37" fontId="20" fillId="0" borderId="46" xfId="16306" applyNumberFormat="1" applyFont="1" applyBorder="1" applyAlignment="1">
      <alignment horizontal="center"/>
    </xf>
    <xf numFmtId="0" fontId="97" fillId="0" borderId="46" xfId="16306" applyFont="1" applyBorder="1" applyAlignment="1">
      <alignment horizontal="center"/>
    </xf>
    <xf numFmtId="0" fontId="97" fillId="112" borderId="0" xfId="0" applyFont="1" applyFill="1" applyAlignment="1">
      <alignment horizontal="left"/>
    </xf>
    <xf numFmtId="3" fontId="20" fillId="0" borderId="0" xfId="6" applyNumberFormat="1" applyFont="1" applyAlignment="1">
      <alignment horizontal="left" indent="1"/>
    </xf>
    <xf numFmtId="10" fontId="20" fillId="0" borderId="0" xfId="9" applyNumberFormat="1" applyFont="1" applyFill="1" applyBorder="1"/>
    <xf numFmtId="5" fontId="97" fillId="0" borderId="0" xfId="4" applyNumberFormat="1" applyFont="1" applyFill="1"/>
    <xf numFmtId="7" fontId="97" fillId="0" borderId="0" xfId="0" applyNumberFormat="1" applyFont="1" applyAlignment="1">
      <alignment horizontal="right"/>
    </xf>
    <xf numFmtId="5" fontId="20" fillId="113" borderId="0" xfId="4" applyNumberFormat="1" applyFont="1" applyFill="1"/>
    <xf numFmtId="5" fontId="20" fillId="0" borderId="32" xfId="4" applyNumberFormat="1" applyFont="1" applyFill="1" applyBorder="1"/>
    <xf numFmtId="5" fontId="20" fillId="0" borderId="0" xfId="0" applyNumberFormat="1" applyFont="1" applyAlignment="1">
      <alignment horizontal="left"/>
    </xf>
    <xf numFmtId="10" fontId="20" fillId="0" borderId="32" xfId="0" applyNumberFormat="1" applyFont="1" applyBorder="1"/>
    <xf numFmtId="5" fontId="97" fillId="0" borderId="42" xfId="4" applyNumberFormat="1" applyFont="1" applyFill="1" applyBorder="1"/>
    <xf numFmtId="0" fontId="97" fillId="113" borderId="0" xfId="0" applyFont="1" applyFill="1"/>
    <xf numFmtId="0" fontId="97" fillId="113" borderId="0" xfId="0" applyFont="1" applyFill="1" applyAlignment="1">
      <alignment horizontal="center"/>
    </xf>
    <xf numFmtId="0" fontId="20" fillId="113" borderId="0" xfId="0" applyFont="1" applyFill="1"/>
    <xf numFmtId="0" fontId="98" fillId="113" borderId="0" xfId="0" applyFont="1" applyFill="1" applyAlignment="1">
      <alignment horizontal="center"/>
    </xf>
    <xf numFmtId="5" fontId="20" fillId="113" borderId="0" xfId="0" applyNumberFormat="1" applyFont="1" applyFill="1" applyAlignment="1">
      <alignment horizontal="left"/>
    </xf>
    <xf numFmtId="10" fontId="20" fillId="113" borderId="32" xfId="1" applyNumberFormat="1" applyFont="1" applyFill="1" applyBorder="1"/>
    <xf numFmtId="10" fontId="20" fillId="113" borderId="32" xfId="0" applyNumberFormat="1" applyFont="1" applyFill="1" applyBorder="1"/>
    <xf numFmtId="0" fontId="20" fillId="113" borderId="0" xfId="0" applyFont="1" applyFill="1" applyAlignment="1">
      <alignment horizontal="left"/>
    </xf>
    <xf numFmtId="10" fontId="20" fillId="113" borderId="0" xfId="1" applyNumberFormat="1" applyFont="1" applyFill="1" applyBorder="1"/>
    <xf numFmtId="10" fontId="20" fillId="113" borderId="0" xfId="0" applyNumberFormat="1" applyFont="1" applyFill="1"/>
    <xf numFmtId="7" fontId="20" fillId="113" borderId="0" xfId="0" applyNumberFormat="1" applyFont="1" applyFill="1"/>
    <xf numFmtId="5" fontId="97" fillId="113" borderId="0" xfId="4" applyNumberFormat="1" applyFont="1" applyFill="1" applyBorder="1"/>
    <xf numFmtId="5" fontId="97" fillId="0" borderId="33" xfId="7" applyNumberFormat="1" applyFont="1" applyBorder="1" applyAlignment="1">
      <alignment vertical="center"/>
    </xf>
    <xf numFmtId="164" fontId="97" fillId="0" borderId="33" xfId="7" applyNumberFormat="1" applyFont="1" applyBorder="1" applyAlignment="1">
      <alignment vertical="center"/>
    </xf>
    <xf numFmtId="0" fontId="5" fillId="0" borderId="0" xfId="24911" applyFont="1"/>
    <xf numFmtId="0" fontId="5" fillId="0" borderId="0" xfId="24911" applyFont="1" applyAlignment="1">
      <alignment horizontal="center"/>
    </xf>
    <xf numFmtId="0" fontId="5" fillId="0" borderId="32" xfId="24911" applyFont="1" applyBorder="1" applyAlignment="1">
      <alignment horizontal="center"/>
    </xf>
    <xf numFmtId="0" fontId="5" fillId="0" borderId="32" xfId="24911" applyFont="1" applyBorder="1"/>
    <xf numFmtId="0" fontId="6" fillId="0" borderId="0" xfId="31688" applyFont="1" applyAlignment="1">
      <alignment horizontal="center"/>
    </xf>
    <xf numFmtId="0" fontId="20" fillId="0" borderId="0" xfId="31683" applyFont="1"/>
    <xf numFmtId="0" fontId="20" fillId="0" borderId="0" xfId="31683" quotePrefix="1" applyFont="1" applyAlignment="1">
      <alignment horizontal="center"/>
    </xf>
    <xf numFmtId="0" fontId="6" fillId="0" borderId="0" xfId="31688" applyFont="1" applyAlignment="1">
      <alignment horizontal="center" wrapText="1"/>
    </xf>
    <xf numFmtId="0" fontId="20" fillId="0" borderId="26" xfId="31683" applyFont="1" applyBorder="1"/>
    <xf numFmtId="14" fontId="20" fillId="0" borderId="26" xfId="31683" applyNumberFormat="1" applyFont="1" applyBorder="1" applyAlignment="1">
      <alignment horizontal="center"/>
    </xf>
    <xf numFmtId="198" fontId="20" fillId="0" borderId="26" xfId="31683" applyNumberFormat="1" applyFont="1" applyBorder="1" applyAlignment="1">
      <alignment horizontal="center"/>
    </xf>
    <xf numFmtId="0" fontId="98" fillId="0" borderId="0" xfId="24911" applyFont="1" applyAlignment="1">
      <alignment horizontal="center"/>
    </xf>
    <xf numFmtId="37" fontId="20" fillId="0" borderId="0" xfId="31683" applyNumberFormat="1" applyFont="1"/>
    <xf numFmtId="0" fontId="20" fillId="0" borderId="0" xfId="24911" applyFont="1"/>
    <xf numFmtId="0" fontId="20" fillId="0" borderId="32" xfId="31683" applyFont="1" applyBorder="1"/>
    <xf numFmtId="37" fontId="20" fillId="0" borderId="32" xfId="31683" applyNumberFormat="1" applyFont="1" applyBorder="1"/>
    <xf numFmtId="0" fontId="20" fillId="113" borderId="0" xfId="31683" applyFont="1" applyFill="1" applyAlignment="1">
      <alignment horizontal="left"/>
    </xf>
    <xf numFmtId="37" fontId="20" fillId="113" borderId="0" xfId="31683" applyNumberFormat="1" applyFont="1" applyFill="1"/>
    <xf numFmtId="0" fontId="20" fillId="113" borderId="0" xfId="31683" applyFont="1" applyFill="1" applyAlignment="1">
      <alignment horizontal="center"/>
    </xf>
    <xf numFmtId="0" fontId="20" fillId="0" borderId="0" xfId="31683" applyFont="1" applyAlignment="1">
      <alignment horizontal="right"/>
    </xf>
    <xf numFmtId="0" fontId="20" fillId="0" borderId="0" xfId="31688" applyFont="1" applyAlignment="1">
      <alignment horizontal="center"/>
    </xf>
    <xf numFmtId="0" fontId="20" fillId="0" borderId="0" xfId="24911" applyFont="1" applyAlignment="1">
      <alignment horizontal="center"/>
    </xf>
    <xf numFmtId="37" fontId="20" fillId="0" borderId="0" xfId="24911" applyNumberFormat="1" applyFont="1" applyAlignment="1">
      <alignment horizontal="center"/>
    </xf>
    <xf numFmtId="166" fontId="20" fillId="0" borderId="0" xfId="4" applyNumberFormat="1" applyFont="1" applyAlignment="1">
      <alignment horizontal="center"/>
    </xf>
    <xf numFmtId="0" fontId="5" fillId="0" borderId="0" xfId="31688" applyFont="1" applyAlignment="1">
      <alignment horizontal="center" vertical="top"/>
    </xf>
    <xf numFmtId="5" fontId="20" fillId="0" borderId="0" xfId="1" applyNumberFormat="1" applyFont="1" applyFill="1"/>
    <xf numFmtId="10" fontId="97" fillId="0" borderId="0" xfId="1" applyNumberFormat="1" applyFont="1" applyFill="1"/>
    <xf numFmtId="6" fontId="20" fillId="113" borderId="0" xfId="0" applyNumberFormat="1" applyFont="1" applyFill="1"/>
    <xf numFmtId="167" fontId="96" fillId="0" borderId="36" xfId="47" applyNumberFormat="1" applyFont="1" applyBorder="1"/>
    <xf numFmtId="0" fontId="2" fillId="113" borderId="46" xfId="0" applyFont="1" applyFill="1" applyBorder="1" applyAlignment="1">
      <alignment horizontal="center" wrapText="1"/>
    </xf>
    <xf numFmtId="0" fontId="97" fillId="113" borderId="46" xfId="0" applyFont="1" applyFill="1" applyBorder="1" applyAlignment="1">
      <alignment horizontal="center" vertical="top" wrapText="1"/>
    </xf>
    <xf numFmtId="0" fontId="103" fillId="0" borderId="0" xfId="30282"/>
    <xf numFmtId="0" fontId="2" fillId="0" borderId="0" xfId="30282" applyFont="1"/>
    <xf numFmtId="0" fontId="2" fillId="0" borderId="0" xfId="30282" applyFont="1" applyAlignment="1">
      <alignment horizontal="right"/>
    </xf>
    <xf numFmtId="0" fontId="97" fillId="111" borderId="0" xfId="30282" applyFont="1" applyFill="1"/>
    <xf numFmtId="0" fontId="2" fillId="0" borderId="0" xfId="30282" applyFont="1" applyAlignment="1">
      <alignment horizontal="center"/>
    </xf>
    <xf numFmtId="0" fontId="4" fillId="0" borderId="0" xfId="30282" applyFont="1" applyAlignment="1">
      <alignment horizontal="center"/>
    </xf>
    <xf numFmtId="0" fontId="4" fillId="112" borderId="0" xfId="30282" applyFont="1" applyFill="1" applyAlignment="1">
      <alignment horizontal="left"/>
    </xf>
    <xf numFmtId="0" fontId="4" fillId="112" borderId="0" xfId="30282" applyFont="1" applyFill="1" applyAlignment="1">
      <alignment horizontal="center"/>
    </xf>
    <xf numFmtId="5" fontId="0" fillId="0" borderId="0" xfId="31689" applyNumberFormat="1" applyFont="1"/>
    <xf numFmtId="0" fontId="103" fillId="0" borderId="0" xfId="30282" applyAlignment="1">
      <alignment horizontal="left"/>
    </xf>
    <xf numFmtId="5" fontId="103" fillId="0" borderId="0" xfId="30282" applyNumberFormat="1"/>
    <xf numFmtId="5" fontId="0" fillId="111" borderId="0" xfId="31689" applyNumberFormat="1" applyFont="1" applyFill="1"/>
    <xf numFmtId="0" fontId="103" fillId="111" borderId="0" xfId="30282" applyFill="1" applyAlignment="1">
      <alignment horizontal="left"/>
    </xf>
    <xf numFmtId="5" fontId="0" fillId="111" borderId="32" xfId="31689" applyNumberFormat="1" applyFont="1" applyFill="1" applyBorder="1"/>
    <xf numFmtId="5" fontId="2" fillId="0" borderId="0" xfId="31689" applyNumberFormat="1" applyFont="1"/>
    <xf numFmtId="165" fontId="20" fillId="0" borderId="0" xfId="8294" applyNumberFormat="1" applyFont="1" applyFill="1"/>
    <xf numFmtId="0" fontId="4" fillId="0" borderId="0" xfId="30282" applyFont="1" applyAlignment="1">
      <alignment horizontal="left"/>
    </xf>
    <xf numFmtId="0" fontId="103" fillId="0" borderId="0" xfId="30282" applyAlignment="1">
      <alignment horizontal="center"/>
    </xf>
    <xf numFmtId="0" fontId="2" fillId="0" borderId="0" xfId="30282" applyFont="1" applyAlignment="1">
      <alignment horizontal="left"/>
    </xf>
    <xf numFmtId="5" fontId="2" fillId="0" borderId="32" xfId="31689" applyNumberFormat="1" applyFont="1" applyFill="1" applyBorder="1"/>
    <xf numFmtId="5" fontId="0" fillId="0" borderId="0" xfId="31689" applyNumberFormat="1" applyFont="1" applyFill="1"/>
    <xf numFmtId="6" fontId="0" fillId="111" borderId="0" xfId="31689" applyNumberFormat="1" applyFont="1" applyFill="1" applyBorder="1"/>
    <xf numFmtId="5" fontId="0" fillId="111" borderId="0" xfId="31689" applyNumberFormat="1" applyFont="1" applyFill="1" applyBorder="1"/>
    <xf numFmtId="0" fontId="4" fillId="112" borderId="0" xfId="30282" applyFont="1" applyFill="1"/>
    <xf numFmtId="0" fontId="103" fillId="112" borderId="0" xfId="30282" applyFill="1"/>
    <xf numFmtId="10" fontId="0" fillId="0" borderId="0" xfId="31690" applyNumberFormat="1" applyFont="1"/>
    <xf numFmtId="166" fontId="0" fillId="0" borderId="0" xfId="31689" applyNumberFormat="1" applyFont="1"/>
    <xf numFmtId="0" fontId="4" fillId="0" borderId="0" xfId="30282" applyFont="1"/>
    <xf numFmtId="0" fontId="105" fillId="0" borderId="0" xfId="31685"/>
    <xf numFmtId="0" fontId="4" fillId="0" borderId="0" xfId="31685" applyFont="1" applyAlignment="1">
      <alignment horizontal="center"/>
    </xf>
    <xf numFmtId="0" fontId="2" fillId="0" borderId="0" xfId="31685" applyFont="1" applyAlignment="1">
      <alignment horizontal="center"/>
    </xf>
    <xf numFmtId="0" fontId="4" fillId="0" borderId="0" xfId="31685" applyFont="1" applyAlignment="1">
      <alignment horizontal="center" wrapText="1"/>
    </xf>
    <xf numFmtId="5" fontId="2" fillId="0" borderId="0" xfId="31685" applyNumberFormat="1" applyFont="1"/>
    <xf numFmtId="6" fontId="2" fillId="0" borderId="0" xfId="31685" applyNumberFormat="1" applyFont="1"/>
    <xf numFmtId="0" fontId="105" fillId="112" borderId="0" xfId="31685" applyFill="1"/>
    <xf numFmtId="6" fontId="105" fillId="0" borderId="0" xfId="31685" applyNumberFormat="1"/>
    <xf numFmtId="5" fontId="105" fillId="111" borderId="0" xfId="31685" applyNumberFormat="1" applyFill="1"/>
    <xf numFmtId="5" fontId="20" fillId="0" borderId="0" xfId="4" applyNumberFormat="1" applyFont="1" applyBorder="1"/>
    <xf numFmtId="0" fontId="0" fillId="0" borderId="0" xfId="30282" applyFont="1"/>
    <xf numFmtId="5" fontId="0" fillId="113" borderId="38" xfId="0" applyNumberFormat="1" applyFill="1" applyBorder="1" applyAlignment="1">
      <alignment horizontal="right"/>
    </xf>
    <xf numFmtId="5" fontId="0" fillId="113" borderId="39" xfId="0" applyNumberFormat="1" applyFill="1" applyBorder="1" applyAlignment="1">
      <alignment horizontal="right"/>
    </xf>
    <xf numFmtId="0" fontId="0" fillId="111" borderId="0" xfId="0" applyFill="1" applyAlignment="1">
      <alignment horizontal="right"/>
    </xf>
    <xf numFmtId="0" fontId="0" fillId="111" borderId="0" xfId="30282" applyFont="1" applyFill="1" applyAlignment="1">
      <alignment horizontal="left"/>
    </xf>
    <xf numFmtId="0" fontId="97" fillId="0" borderId="0" xfId="11" applyFont="1" applyAlignment="1">
      <alignment horizontal="center" wrapText="1"/>
    </xf>
    <xf numFmtId="6" fontId="20" fillId="0" borderId="0" xfId="0" applyNumberFormat="1" applyFont="1"/>
    <xf numFmtId="5" fontId="20" fillId="111" borderId="0" xfId="4" applyNumberFormat="1" applyFont="1" applyFill="1"/>
    <xf numFmtId="0" fontId="20" fillId="113" borderId="0" xfId="0" applyFont="1" applyFill="1" applyAlignment="1">
      <alignment horizontal="center"/>
    </xf>
    <xf numFmtId="0" fontId="0" fillId="0" borderId="42" xfId="0" applyBorder="1"/>
    <xf numFmtId="5" fontId="2" fillId="0" borderId="42" xfId="4" applyNumberFormat="1" applyFont="1" applyFill="1" applyBorder="1"/>
    <xf numFmtId="0" fontId="97" fillId="0" borderId="46" xfId="0" applyFont="1" applyBorder="1" applyAlignment="1">
      <alignment horizontal="center" vertical="center" wrapText="1"/>
    </xf>
    <xf numFmtId="0" fontId="97" fillId="0" borderId="46" xfId="0" applyFont="1" applyBorder="1" applyAlignment="1">
      <alignment horizontal="center" vertical="center"/>
    </xf>
    <xf numFmtId="164" fontId="97" fillId="0" borderId="46" xfId="0" applyNumberFormat="1" applyFont="1" applyBorder="1" applyAlignment="1">
      <alignment horizontal="center" vertical="center" wrapText="1"/>
    </xf>
    <xf numFmtId="169" fontId="97" fillId="0" borderId="46" xfId="0" applyNumberFormat="1" applyFont="1" applyBorder="1" applyAlignment="1">
      <alignment horizontal="center" vertical="center" wrapText="1"/>
    </xf>
    <xf numFmtId="0" fontId="20" fillId="0" borderId="42" xfId="0" applyFont="1" applyBorder="1"/>
    <xf numFmtId="0" fontId="97" fillId="0" borderId="42" xfId="0" applyFont="1" applyBorder="1" applyAlignment="1">
      <alignment horizontal="center" vertical="center" wrapText="1"/>
    </xf>
    <xf numFmtId="5" fontId="97" fillId="0" borderId="42" xfId="8" applyNumberFormat="1" applyFont="1" applyBorder="1"/>
    <xf numFmtId="0" fontId="97" fillId="0" borderId="42" xfId="0" applyFont="1" applyBorder="1"/>
    <xf numFmtId="9" fontId="97" fillId="0" borderId="42" xfId="1" applyFont="1" applyBorder="1"/>
    <xf numFmtId="0" fontId="97" fillId="0" borderId="42" xfId="6" applyFont="1" applyBorder="1" applyAlignment="1">
      <alignment horizontal="left"/>
    </xf>
    <xf numFmtId="0" fontId="2" fillId="113" borderId="46" xfId="0" applyFont="1" applyFill="1" applyBorder="1" applyAlignment="1">
      <alignment horizontal="center"/>
    </xf>
    <xf numFmtId="0" fontId="2" fillId="0" borderId="46" xfId="0" applyFont="1" applyBorder="1" applyAlignment="1">
      <alignment horizontal="center" wrapText="1"/>
    </xf>
    <xf numFmtId="37" fontId="5" fillId="0" borderId="41" xfId="0" applyNumberFormat="1" applyFont="1" applyBorder="1" applyAlignment="1" applyProtection="1">
      <alignment horizontal="left"/>
      <protection locked="0"/>
    </xf>
    <xf numFmtId="37" fontId="0" fillId="113" borderId="42" xfId="0" applyNumberFormat="1" applyFill="1" applyBorder="1"/>
    <xf numFmtId="37" fontId="0" fillId="0" borderId="42" xfId="4" applyNumberFormat="1" applyFont="1" applyFill="1" applyBorder="1"/>
    <xf numFmtId="0" fontId="2" fillId="0" borderId="46" xfId="0" applyFont="1" applyBorder="1" applyAlignment="1">
      <alignment horizontal="right"/>
    </xf>
    <xf numFmtId="37" fontId="0" fillId="0" borderId="46" xfId="0" applyNumberFormat="1" applyBorder="1" applyAlignment="1">
      <alignment horizontal="center"/>
    </xf>
    <xf numFmtId="5" fontId="0" fillId="0" borderId="46" xfId="0" applyNumberFormat="1" applyBorder="1" applyAlignment="1">
      <alignment horizontal="right"/>
    </xf>
    <xf numFmtId="5" fontId="0" fillId="0" borderId="42" xfId="8" applyNumberFormat="1" applyFont="1" applyBorder="1"/>
    <xf numFmtId="5" fontId="20" fillId="0" borderId="42" xfId="0" applyNumberFormat="1" applyFont="1" applyBorder="1" applyAlignment="1">
      <alignment horizontal="right"/>
    </xf>
    <xf numFmtId="5" fontId="97" fillId="0" borderId="42" xfId="9" applyNumberFormat="1" applyFont="1" applyBorder="1" applyAlignment="1">
      <alignment horizontal="right"/>
    </xf>
    <xf numFmtId="5" fontId="20" fillId="0" borderId="42" xfId="0" applyNumberFormat="1" applyFont="1" applyBorder="1"/>
    <xf numFmtId="5" fontId="20" fillId="0" borderId="42" xfId="9" applyNumberFormat="1" applyFont="1" applyBorder="1"/>
    <xf numFmtId="164" fontId="20" fillId="0" borderId="42" xfId="9" applyNumberFormat="1" applyFont="1" applyBorder="1"/>
    <xf numFmtId="164" fontId="20" fillId="0" borderId="42" xfId="9" applyNumberFormat="1" applyFont="1" applyFill="1" applyBorder="1"/>
    <xf numFmtId="5" fontId="20" fillId="0" borderId="42" xfId="9" applyNumberFormat="1" applyFont="1" applyFill="1" applyBorder="1"/>
    <xf numFmtId="10" fontId="2" fillId="0" borderId="42" xfId="0" applyNumberFormat="1" applyFont="1" applyBorder="1"/>
    <xf numFmtId="0" fontId="97" fillId="113" borderId="0" xfId="0" applyFont="1" applyFill="1" applyAlignment="1">
      <alignment horizontal="left" vertical="center"/>
    </xf>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43" xfId="0" applyBorder="1" applyAlignment="1">
      <alignment horizontal="left" wrapText="1"/>
    </xf>
    <xf numFmtId="0" fontId="0" fillId="0" borderId="34" xfId="0" applyBorder="1" applyAlignment="1">
      <alignment horizontal="left" wrapText="1"/>
    </xf>
    <xf numFmtId="0" fontId="0" fillId="0" borderId="0" xfId="0" applyAlignment="1">
      <alignment horizontal="left" wrapText="1"/>
    </xf>
    <xf numFmtId="37" fontId="44" fillId="0" borderId="0" xfId="0" applyNumberFormat="1" applyFont="1" applyAlignment="1" applyProtection="1">
      <alignment horizontal="left" wrapText="1"/>
      <protection locked="0"/>
    </xf>
    <xf numFmtId="0" fontId="2" fillId="0" borderId="0" xfId="0" applyFont="1" applyAlignment="1">
      <alignment horizontal="left" wrapText="1"/>
    </xf>
    <xf numFmtId="0" fontId="2" fillId="0" borderId="32" xfId="0" applyFont="1" applyBorder="1" applyAlignment="1">
      <alignment horizontal="center"/>
    </xf>
    <xf numFmtId="0" fontId="20" fillId="0" borderId="0" xfId="0" applyFont="1" applyAlignment="1">
      <alignment horizontal="left" wrapText="1"/>
    </xf>
    <xf numFmtId="37" fontId="6" fillId="0" borderId="0" xfId="0" applyNumberFormat="1" applyFont="1" applyAlignment="1" applyProtection="1">
      <alignment horizontal="left"/>
      <protection locked="0"/>
    </xf>
    <xf numFmtId="17" fontId="20" fillId="0" borderId="0" xfId="6" quotePrefix="1" applyNumberFormat="1" applyFont="1" applyAlignment="1">
      <alignment horizontal="left" wrapText="1"/>
    </xf>
    <xf numFmtId="0" fontId="97" fillId="0" borderId="0" xfId="0" applyFont="1" applyAlignment="1">
      <alignment horizontal="left" wrapText="1"/>
    </xf>
    <xf numFmtId="37" fontId="109" fillId="0" borderId="0" xfId="0" applyNumberFormat="1" applyFont="1" applyAlignment="1" applyProtection="1">
      <alignment horizontal="left" wrapText="1"/>
      <protection locked="0"/>
    </xf>
    <xf numFmtId="0" fontId="2" fillId="113" borderId="47" xfId="0" applyFont="1" applyFill="1" applyBorder="1" applyAlignment="1">
      <alignment horizontal="center" wrapText="1"/>
    </xf>
    <xf numFmtId="0" fontId="2" fillId="113" borderId="45" xfId="0" applyFont="1" applyFill="1" applyBorder="1" applyAlignment="1">
      <alignment horizontal="center" wrapText="1"/>
    </xf>
    <xf numFmtId="37" fontId="5" fillId="0" borderId="0" xfId="0" applyNumberFormat="1" applyFont="1" applyAlignment="1" applyProtection="1">
      <alignment horizontal="left" wrapText="1"/>
      <protection locked="0"/>
    </xf>
    <xf numFmtId="0" fontId="20" fillId="0" borderId="0" xfId="0" applyFont="1" applyAlignment="1">
      <alignment horizontal="left"/>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wrapText="1"/>
    </xf>
    <xf numFmtId="198" fontId="103" fillId="0" borderId="0" xfId="10" applyNumberFormat="1" applyFont="1" applyFill="1" applyAlignment="1">
      <alignment horizontal="left" wrapText="1"/>
    </xf>
    <xf numFmtId="0" fontId="97" fillId="0" borderId="0" xfId="24673" applyFont="1" applyAlignment="1">
      <alignment horizontal="center"/>
    </xf>
    <xf numFmtId="0" fontId="97" fillId="0" borderId="32" xfId="24673" applyFont="1" applyBorder="1" applyAlignment="1">
      <alignment horizontal="center"/>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0" fillId="0" borderId="0" xfId="0" applyAlignment="1">
      <alignment horizontal="left"/>
    </xf>
    <xf numFmtId="0" fontId="5" fillId="0" borderId="32" xfId="24911" applyFont="1" applyBorder="1" applyAlignment="1">
      <alignment horizontal="center"/>
    </xf>
    <xf numFmtId="0" fontId="110" fillId="0" borderId="44" xfId="0" applyFont="1" applyBorder="1" applyAlignment="1">
      <alignment horizontal="center" vertical="center" wrapText="1"/>
    </xf>
    <xf numFmtId="37" fontId="97" fillId="0" borderId="44" xfId="31683" applyNumberFormat="1" applyFont="1" applyBorder="1" applyAlignment="1">
      <alignment horizontal="center"/>
    </xf>
    <xf numFmtId="0" fontId="5" fillId="0" borderId="0" xfId="31688" applyFont="1" applyAlignment="1">
      <alignment horizontal="left" wrapText="1"/>
    </xf>
    <xf numFmtId="0" fontId="2" fillId="0" borderId="47" xfId="0" applyFont="1" applyBorder="1" applyAlignment="1">
      <alignment horizontal="center"/>
    </xf>
    <xf numFmtId="0" fontId="2" fillId="0" borderId="44" xfId="0" applyFont="1" applyBorder="1" applyAlignment="1">
      <alignment horizontal="center"/>
    </xf>
    <xf numFmtId="0" fontId="2" fillId="0" borderId="45" xfId="0" applyFont="1" applyBorder="1" applyAlignment="1">
      <alignment horizontal="center"/>
    </xf>
    <xf numFmtId="0" fontId="2" fillId="0" borderId="46" xfId="0" applyFont="1" applyBorder="1" applyAlignment="1">
      <alignment horizontal="center"/>
    </xf>
    <xf numFmtId="0" fontId="2" fillId="0" borderId="48" xfId="0" applyFont="1" applyBorder="1" applyAlignment="1">
      <alignment horizontal="center"/>
    </xf>
    <xf numFmtId="0" fontId="2" fillId="0" borderId="40" xfId="0" applyFont="1" applyBorder="1" applyAlignment="1">
      <alignment horizontal="right"/>
    </xf>
    <xf numFmtId="0" fontId="2" fillId="0" borderId="37" xfId="0" applyFont="1" applyBorder="1" applyAlignment="1">
      <alignment horizontal="center" wrapText="1"/>
    </xf>
    <xf numFmtId="0" fontId="2" fillId="0" borderId="39" xfId="0" applyFont="1" applyBorder="1" applyAlignment="1">
      <alignment horizontal="center" wrapText="1"/>
    </xf>
    <xf numFmtId="0" fontId="2" fillId="0" borderId="47" xfId="0" applyFont="1" applyBorder="1" applyAlignment="1">
      <alignment horizontal="center" wrapText="1"/>
    </xf>
    <xf numFmtId="0" fontId="2" fillId="0" borderId="44" xfId="0" applyFont="1" applyBorder="1" applyAlignment="1">
      <alignment horizontal="center" wrapText="1"/>
    </xf>
    <xf numFmtId="0" fontId="2" fillId="0" borderId="45" xfId="0" applyFont="1" applyBorder="1" applyAlignment="1">
      <alignment horizontal="center" wrapText="1"/>
    </xf>
    <xf numFmtId="0" fontId="0" fillId="0" borderId="0" xfId="0" applyAlignment="1">
      <alignment horizontal="left" vertical="top" wrapText="1"/>
    </xf>
    <xf numFmtId="0" fontId="2" fillId="0" borderId="0" xfId="0" applyFont="1" applyAlignment="1">
      <alignment horizontal="center" vertical="top"/>
    </xf>
    <xf numFmtId="0" fontId="0" fillId="113" borderId="0" xfId="0" applyFill="1" applyAlignment="1">
      <alignment horizontal="left" vertical="top" wrapText="1"/>
    </xf>
  </cellXfs>
  <cellStyles count="31691">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1" xfId="126" xr:uid="{00000000-0005-0000-0000-00007E00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3" xfId="139" xr:uid="{00000000-0005-0000-0000-00008B00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3" xfId="144" xr:uid="{00000000-0005-0000-0000-000090000000}"/>
    <cellStyle name="20% - Accent1 2 2 4 3" xfId="145" xr:uid="{00000000-0005-0000-0000-000091000000}"/>
    <cellStyle name="20% - Accent1 2 2 4 3 2" xfId="146" xr:uid="{00000000-0005-0000-0000-000092000000}"/>
    <cellStyle name="20% - Accent1 2 2 4 4" xfId="147" xr:uid="{00000000-0005-0000-0000-000093000000}"/>
    <cellStyle name="20% - Accent1 2 2 5" xfId="148" xr:uid="{00000000-0005-0000-0000-000094000000}"/>
    <cellStyle name="20% - Accent1 2 2 5 2" xfId="149" xr:uid="{00000000-0005-0000-0000-000095000000}"/>
    <cellStyle name="20% - Accent1 2 2 6" xfId="150" xr:uid="{00000000-0005-0000-0000-00009600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3" xfId="155" xr:uid="{00000000-0005-0000-0000-00009B00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3" xfId="160" xr:uid="{00000000-0005-0000-0000-0000A0000000}"/>
    <cellStyle name="20% - Accent1 2 3 3 3" xfId="161" xr:uid="{00000000-0005-0000-0000-0000A1000000}"/>
    <cellStyle name="20% - Accent1 2 3 3 3 2" xfId="162" xr:uid="{00000000-0005-0000-0000-0000A2000000}"/>
    <cellStyle name="20% - Accent1 2 3 3 4" xfId="163" xr:uid="{00000000-0005-0000-0000-0000A3000000}"/>
    <cellStyle name="20% - Accent1 2 3 4" xfId="164" xr:uid="{00000000-0005-0000-0000-0000A4000000}"/>
    <cellStyle name="20% - Accent1 2 3 4 2" xfId="165" xr:uid="{00000000-0005-0000-0000-0000A5000000}"/>
    <cellStyle name="20% - Accent1 2 3 5" xfId="166" xr:uid="{00000000-0005-0000-0000-0000A600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3" xfId="171" xr:uid="{00000000-0005-0000-0000-0000AB000000}"/>
    <cellStyle name="20% - Accent1 2 4 3" xfId="172" xr:uid="{00000000-0005-0000-0000-0000AC000000}"/>
    <cellStyle name="20% - Accent1 2 4 3 2" xfId="173" xr:uid="{00000000-0005-0000-0000-0000AD000000}"/>
    <cellStyle name="20% - Accent1 2 4 4" xfId="174" xr:uid="{00000000-0005-0000-0000-0000AE00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3" xfId="179" xr:uid="{00000000-0005-0000-0000-0000B300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3" xfId="184" xr:uid="{00000000-0005-0000-0000-0000B8000000}"/>
    <cellStyle name="20% - Accent1 2 5 3 3" xfId="185" xr:uid="{00000000-0005-0000-0000-0000B9000000}"/>
    <cellStyle name="20% - Accent1 2 5 3 3 2" xfId="186" xr:uid="{00000000-0005-0000-0000-0000BA000000}"/>
    <cellStyle name="20% - Accent1 2 5 3 4" xfId="187" xr:uid="{00000000-0005-0000-0000-0000BB000000}"/>
    <cellStyle name="20% - Accent1 2 5 4" xfId="188" xr:uid="{00000000-0005-0000-0000-0000BC000000}"/>
    <cellStyle name="20% - Accent1 2 5 4 2" xfId="189" xr:uid="{00000000-0005-0000-0000-0000BD000000}"/>
    <cellStyle name="20% - Accent1 2 5 5" xfId="190" xr:uid="{00000000-0005-0000-0000-0000BE000000}"/>
    <cellStyle name="20% - Accent1 2 6" xfId="191" xr:uid="{00000000-0005-0000-0000-0000BF000000}"/>
    <cellStyle name="20% - Accent1 2 6 2" xfId="192" xr:uid="{00000000-0005-0000-0000-0000C0000000}"/>
    <cellStyle name="20% - Accent1 2 6 2 2" xfId="193" xr:uid="{00000000-0005-0000-0000-0000C1000000}"/>
    <cellStyle name="20% - Accent1 2 6 3" xfId="194" xr:uid="{00000000-0005-0000-0000-0000C2000000}"/>
    <cellStyle name="20% - Accent1 2 7" xfId="195" xr:uid="{00000000-0005-0000-0000-0000C3000000}"/>
    <cellStyle name="20% - Accent1 2 7 2" xfId="196" xr:uid="{00000000-0005-0000-0000-0000C4000000}"/>
    <cellStyle name="20% - Accent1 2 7 2 2" xfId="197" xr:uid="{00000000-0005-0000-0000-0000C5000000}"/>
    <cellStyle name="20% - Accent1 2 7 3" xfId="198" xr:uid="{00000000-0005-0000-0000-0000C600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3" xfId="203" xr:uid="{00000000-0005-0000-0000-0000CB000000}"/>
    <cellStyle name="20% - Accent1 2 8 3" xfId="204" xr:uid="{00000000-0005-0000-0000-0000CC000000}"/>
    <cellStyle name="20% - Accent1 2 8 3 2" xfId="205" xr:uid="{00000000-0005-0000-0000-0000CD000000}"/>
    <cellStyle name="20% - Accent1 2 8 4" xfId="206" xr:uid="{00000000-0005-0000-0000-0000CE000000}"/>
    <cellStyle name="20% - Accent1 2 9" xfId="207" xr:uid="{00000000-0005-0000-0000-0000CF000000}"/>
    <cellStyle name="20% - Accent1 2 9 2" xfId="208" xr:uid="{00000000-0005-0000-0000-0000D000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3" xfId="213" xr:uid="{00000000-0005-0000-0000-0000D500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3" xfId="233" xr:uid="{00000000-0005-0000-0000-0000E900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3" xfId="238" xr:uid="{00000000-0005-0000-0000-0000EE000000}"/>
    <cellStyle name="20% - Accent1 5 3 3" xfId="239" xr:uid="{00000000-0005-0000-0000-0000EF000000}"/>
    <cellStyle name="20% - Accent1 5 3 3 2" xfId="240" xr:uid="{00000000-0005-0000-0000-0000F0000000}"/>
    <cellStyle name="20% - Accent1 5 3 4" xfId="241" xr:uid="{00000000-0005-0000-0000-0000F1000000}"/>
    <cellStyle name="20% - Accent1 5 4" xfId="242" xr:uid="{00000000-0005-0000-0000-0000F2000000}"/>
    <cellStyle name="20% - Accent1 5 4 2" xfId="243" xr:uid="{00000000-0005-0000-0000-0000F3000000}"/>
    <cellStyle name="20% - Accent1 5 5" xfId="244" xr:uid="{00000000-0005-0000-0000-0000F400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3" xfId="249" xr:uid="{00000000-0005-0000-0000-0000F9000000}"/>
    <cellStyle name="20% - Accent1 6 3" xfId="250" xr:uid="{00000000-0005-0000-0000-0000FA000000}"/>
    <cellStyle name="20% - Accent1 6 3 2" xfId="251" xr:uid="{00000000-0005-0000-0000-0000FB000000}"/>
    <cellStyle name="20% - Accent1 6 4" xfId="252" xr:uid="{00000000-0005-0000-0000-0000FC00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3" xfId="271" xr:uid="{00000000-0005-0000-0000-00000F01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3" xfId="276" xr:uid="{00000000-0005-0000-0000-000014010000}"/>
    <cellStyle name="20% - Accent2 2 2 4 3" xfId="277" xr:uid="{00000000-0005-0000-0000-000015010000}"/>
    <cellStyle name="20% - Accent2 2 2 4 3 2" xfId="278" xr:uid="{00000000-0005-0000-0000-000016010000}"/>
    <cellStyle name="20% - Accent2 2 2 4 4" xfId="279" xr:uid="{00000000-0005-0000-0000-000017010000}"/>
    <cellStyle name="20% - Accent2 2 2 5" xfId="280" xr:uid="{00000000-0005-0000-0000-000018010000}"/>
    <cellStyle name="20% - Accent2 2 2 5 2" xfId="281" xr:uid="{00000000-0005-0000-0000-000019010000}"/>
    <cellStyle name="20% - Accent2 2 2 6" xfId="282" xr:uid="{00000000-0005-0000-0000-00001A01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3" xfId="330" xr:uid="{00000000-0005-0000-0000-00004A01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3" xfId="335" xr:uid="{00000000-0005-0000-0000-00004F010000}"/>
    <cellStyle name="20% - Accent2 2 8 3" xfId="336" xr:uid="{00000000-0005-0000-0000-000050010000}"/>
    <cellStyle name="20% - Accent2 2 8 3 2" xfId="337" xr:uid="{00000000-0005-0000-0000-000051010000}"/>
    <cellStyle name="20% - Accent2 2 8 4" xfId="338" xr:uid="{00000000-0005-0000-0000-000052010000}"/>
    <cellStyle name="20% - Accent2 2 9" xfId="339" xr:uid="{00000000-0005-0000-0000-000053010000}"/>
    <cellStyle name="20% - Accent2 2 9 2" xfId="340" xr:uid="{00000000-0005-0000-0000-00005401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3" xfId="365" xr:uid="{00000000-0005-0000-0000-00006D01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3" xfId="370" xr:uid="{00000000-0005-0000-0000-000072010000}"/>
    <cellStyle name="20% - Accent2 5 3 3" xfId="371" xr:uid="{00000000-0005-0000-0000-000073010000}"/>
    <cellStyle name="20% - Accent2 5 3 3 2" xfId="372" xr:uid="{00000000-0005-0000-0000-000074010000}"/>
    <cellStyle name="20% - Accent2 5 3 4" xfId="373" xr:uid="{00000000-0005-0000-0000-000075010000}"/>
    <cellStyle name="20% - Accent2 5 4" xfId="374" xr:uid="{00000000-0005-0000-0000-000076010000}"/>
    <cellStyle name="20% - Accent2 5 4 2" xfId="375" xr:uid="{00000000-0005-0000-0000-000077010000}"/>
    <cellStyle name="20% - Accent2 5 5" xfId="376" xr:uid="{00000000-0005-0000-0000-00007801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1" xfId="390" xr:uid="{00000000-0005-0000-0000-00008601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3" xfId="403" xr:uid="{00000000-0005-0000-0000-00009301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3" xfId="408" xr:uid="{00000000-0005-0000-0000-000098010000}"/>
    <cellStyle name="20% - Accent3 2 2 4 3" xfId="409" xr:uid="{00000000-0005-0000-0000-000099010000}"/>
    <cellStyle name="20% - Accent3 2 2 4 3 2" xfId="410" xr:uid="{00000000-0005-0000-0000-00009A010000}"/>
    <cellStyle name="20% - Accent3 2 2 4 4" xfId="411" xr:uid="{00000000-0005-0000-0000-00009B010000}"/>
    <cellStyle name="20% - Accent3 2 2 5" xfId="412" xr:uid="{00000000-0005-0000-0000-00009C010000}"/>
    <cellStyle name="20% - Accent3 2 2 5 2" xfId="413" xr:uid="{00000000-0005-0000-0000-00009D010000}"/>
    <cellStyle name="20% - Accent3 2 2 6" xfId="414" xr:uid="{00000000-0005-0000-0000-00009E01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3" xfId="419" xr:uid="{00000000-0005-0000-0000-0000A301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3" xfId="425" xr:uid="{00000000-0005-0000-0000-0000A9010000}"/>
    <cellStyle name="20% - Accent3 2 3 3 3 2" xfId="426" xr:uid="{00000000-0005-0000-0000-0000AA010000}"/>
    <cellStyle name="20% - Accent3 2 3 3 4" xfId="427" xr:uid="{00000000-0005-0000-0000-0000AB010000}"/>
    <cellStyle name="20% - Accent3 2 3 4" xfId="428" xr:uid="{00000000-0005-0000-0000-0000AC010000}"/>
    <cellStyle name="20% - Accent3 2 3 4 2" xfId="429" xr:uid="{00000000-0005-0000-0000-0000AD010000}"/>
    <cellStyle name="20% - Accent3 2 3 5" xfId="430" xr:uid="{00000000-0005-0000-0000-0000AE01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2" xfId="31687" xr:uid="{C6F50C0A-8A0D-4AD4-8BEE-9F4AFBDD76AE}"/>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4 4" xfId="31689" xr:uid="{529A2CA6-E92A-4859-991C-3B03F118352F}"/>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1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4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8" xr:uid="{DA169398-488B-48BB-943C-FC154FCFC6B9}"/>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5" xfId="31685" xr:uid="{DF02BA6A-8C53-40FE-BD2C-25BA9EBC094C}"/>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57B0000}"/>
    <cellStyle name="Normal 8" xfId="74" xr:uid="{00000000-0005-0000-0000-00004A000000}"/>
    <cellStyle name="Normal 9" xfId="75" xr:uid="{00000000-0005-0000-0000-00004B000000}"/>
    <cellStyle name="Normal_ITC Model I Updated to May 1 2009 FLE's" xfId="31683" xr:uid="{47A39C80-E578-4B1A-93C1-DE1200529D5A}"/>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2 2" xfId="31690" xr:uid="{7168F8BA-2D3D-4A15-B752-92A663D6E601}"/>
    <cellStyle name="Percent 3" xfId="31684" xr:uid="{0CE7E799-8FEF-499D-8D1F-4DE80546C019}"/>
    <cellStyle name="Percent 4" xfId="31686" xr:uid="{D2DAEA61-DB73-47A7-BAC7-7D828DAA6408}"/>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ReadonlyDataCell" xfId="45" xr:uid="{00000000-0005-0000-0000-00002D000000}"/>
    <cellStyle name="SAPReadonlyDataTotalCell" xfId="46" xr:uid="{00000000-0005-0000-0000-00002E000000}"/>
  </cellStyles>
  <dxfs count="6">
    <dxf>
      <fill>
        <patternFill>
          <bgColor indexed="42"/>
        </patternFill>
      </fill>
    </dxf>
    <dxf>
      <fill>
        <patternFill>
          <bgColor indexed="42"/>
        </patternFill>
      </fill>
    </dxf>
    <dxf>
      <fill>
        <patternFill>
          <bgColor indexed="42"/>
        </patternFill>
      </fill>
    </dxf>
    <dxf>
      <fill>
        <patternFill>
          <bgColor indexed="42"/>
        </patternFill>
      </fill>
    </dxf>
    <dxf>
      <font>
        <color auto="1"/>
      </font>
    </dxf>
    <dxf>
      <font>
        <color rgb="FF9C0006"/>
      </font>
      <fill>
        <patternFill>
          <bgColor rgb="FFFFC7CE"/>
        </patternFill>
      </fill>
    </dxf>
  </dxfs>
  <tableStyles count="0" defaultTableStyle="TableStyleMedium2" defaultPivotStyle="PivotStyleLight16"/>
  <colors>
    <mruColors>
      <color rgb="FFFFE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customProperty" Target="../customProperty25.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28.bin"/><Relationship Id="rId2" Type="http://schemas.openxmlformats.org/officeDocument/2006/relationships/customProperty" Target="../customProperty27.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ustomProperty" Target="../customProperty30.bin"/><Relationship Id="rId2" Type="http://schemas.openxmlformats.org/officeDocument/2006/relationships/customProperty" Target="../customProperty29.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32.bin"/><Relationship Id="rId2" Type="http://schemas.openxmlformats.org/officeDocument/2006/relationships/customProperty" Target="../customProperty31.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34.bin"/><Relationship Id="rId2" Type="http://schemas.openxmlformats.org/officeDocument/2006/relationships/customProperty" Target="../customProperty33.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ustomProperty" Target="../customProperty36.bin"/><Relationship Id="rId2" Type="http://schemas.openxmlformats.org/officeDocument/2006/relationships/customProperty" Target="../customProperty35.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ustomProperty" Target="../customProperty38.bin"/><Relationship Id="rId2" Type="http://schemas.openxmlformats.org/officeDocument/2006/relationships/customProperty" Target="../customProperty37.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ustomProperty" Target="../customProperty41.bin"/><Relationship Id="rId2" Type="http://schemas.openxmlformats.org/officeDocument/2006/relationships/customProperty" Target="../customProperty40.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ustomProperty" Target="../customProperty45.bin"/><Relationship Id="rId2" Type="http://schemas.openxmlformats.org/officeDocument/2006/relationships/customProperty" Target="../customProperty4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ustomProperty" Target="../customProperty47.bin"/><Relationship Id="rId2" Type="http://schemas.openxmlformats.org/officeDocument/2006/relationships/customProperty" Target="../customProperty46.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ustomProperty" Target="../customProperty49.bin"/><Relationship Id="rId2" Type="http://schemas.openxmlformats.org/officeDocument/2006/relationships/customProperty" Target="../customProperty48.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ustomProperty" Target="../customProperty51.bin"/><Relationship Id="rId2" Type="http://schemas.openxmlformats.org/officeDocument/2006/relationships/customProperty" Target="../customProperty50.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ustomProperty" Target="../customProperty53.bin"/><Relationship Id="rId2" Type="http://schemas.openxmlformats.org/officeDocument/2006/relationships/customProperty" Target="../customProperty52.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ustomProperty" Target="../customProperty55.bin"/><Relationship Id="rId2" Type="http://schemas.openxmlformats.org/officeDocument/2006/relationships/customProperty" Target="../customProperty54.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ustomProperty" Target="../customProperty57.bin"/><Relationship Id="rId2" Type="http://schemas.openxmlformats.org/officeDocument/2006/relationships/customProperty" Target="../customProperty56.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ustomProperty" Target="../customProperty59.bin"/><Relationship Id="rId2" Type="http://schemas.openxmlformats.org/officeDocument/2006/relationships/customProperty" Target="../customProperty58.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60.bin"/><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5:G17"/>
  <sheetViews>
    <sheetView view="pageBreakPreview" topLeftCell="A4" zoomScale="130" zoomScaleNormal="100" zoomScaleSheetLayoutView="130" workbookViewId="0">
      <selection activeCell="D45" sqref="D45"/>
    </sheetView>
  </sheetViews>
  <sheetFormatPr defaultRowHeight="14.5"/>
  <sheetData>
    <row r="5" spans="1:7" ht="20">
      <c r="A5" s="718"/>
      <c r="B5" s="718"/>
      <c r="C5" s="718"/>
      <c r="D5" s="718"/>
      <c r="E5" s="718"/>
      <c r="F5" s="718"/>
    </row>
    <row r="6" spans="1:7" ht="20">
      <c r="A6" s="718"/>
      <c r="B6" s="718"/>
      <c r="C6" s="718"/>
      <c r="D6" s="718"/>
      <c r="E6" s="718"/>
      <c r="F6" s="718"/>
    </row>
    <row r="7" spans="1:7" ht="20">
      <c r="A7" s="718"/>
      <c r="B7" s="718"/>
      <c r="C7" s="718"/>
      <c r="D7" s="718"/>
      <c r="E7" s="718"/>
      <c r="F7" s="718"/>
    </row>
    <row r="8" spans="1:7" ht="20">
      <c r="A8" s="49"/>
      <c r="B8" s="49"/>
      <c r="C8" s="49"/>
      <c r="D8" s="49"/>
      <c r="E8" s="49"/>
      <c r="F8" s="49"/>
    </row>
    <row r="9" spans="1:7">
      <c r="A9" s="48"/>
      <c r="B9" s="48"/>
      <c r="C9" s="48"/>
      <c r="D9" s="48"/>
      <c r="E9" s="48"/>
      <c r="F9" s="48"/>
    </row>
    <row r="10" spans="1:7" ht="17.5">
      <c r="A10" s="719" t="s">
        <v>0</v>
      </c>
      <c r="B10" s="719"/>
      <c r="C10" s="719"/>
      <c r="D10" s="719"/>
      <c r="E10" s="719"/>
      <c r="F10" s="719"/>
      <c r="G10" s="719"/>
    </row>
    <row r="11" spans="1:7" ht="17.5">
      <c r="A11" s="719" t="s">
        <v>1</v>
      </c>
      <c r="B11" s="719"/>
      <c r="C11" s="719"/>
      <c r="D11" s="719"/>
      <c r="E11" s="719"/>
      <c r="F11" s="719"/>
      <c r="G11" s="719"/>
    </row>
    <row r="12" spans="1:7" ht="17.5">
      <c r="A12" s="50"/>
      <c r="B12" s="50"/>
      <c r="C12" s="50"/>
      <c r="D12" s="50"/>
      <c r="E12" s="50"/>
      <c r="F12" s="50"/>
    </row>
    <row r="13" spans="1:7" ht="17.5">
      <c r="A13" s="719" t="s">
        <v>2</v>
      </c>
      <c r="B13" s="719"/>
      <c r="C13" s="719"/>
      <c r="D13" s="719"/>
      <c r="E13" s="719"/>
      <c r="F13" s="719"/>
      <c r="G13" s="719"/>
    </row>
    <row r="14" spans="1:7" ht="17.5">
      <c r="A14" s="719" t="s">
        <v>3</v>
      </c>
      <c r="B14" s="719"/>
      <c r="C14" s="719"/>
      <c r="D14" s="719"/>
      <c r="E14" s="719"/>
      <c r="F14" s="719"/>
      <c r="G14" s="719"/>
    </row>
    <row r="15" spans="1:7" ht="20">
      <c r="A15" s="718"/>
      <c r="B15" s="718"/>
      <c r="C15" s="718"/>
      <c r="D15" s="718"/>
      <c r="E15" s="718"/>
      <c r="F15" s="718"/>
    </row>
    <row r="16" spans="1:7">
      <c r="A16" s="48"/>
      <c r="B16" s="48"/>
      <c r="C16" s="48"/>
      <c r="D16" s="48"/>
      <c r="E16" s="48"/>
      <c r="F16" s="48"/>
    </row>
    <row r="17" spans="1:6">
      <c r="A17" s="48"/>
      <c r="B17" s="48"/>
      <c r="C17" s="48"/>
      <c r="D17" s="48"/>
      <c r="E17" s="48"/>
      <c r="F17" s="48"/>
    </row>
  </sheetData>
  <mergeCells count="8">
    <mergeCell ref="A5:F5"/>
    <mergeCell ref="A6:F6"/>
    <mergeCell ref="A7:F7"/>
    <mergeCell ref="A15:F15"/>
    <mergeCell ref="A13:G13"/>
    <mergeCell ref="A14:G14"/>
    <mergeCell ref="A10:G10"/>
    <mergeCell ref="A11:G11"/>
  </mergeCells>
  <printOptions horizontalCentered="1"/>
  <pageMargins left="1" right="1" top="1" bottom="1" header="0.5" footer="0.5"/>
  <pageSetup fitToHeight="0" orientation="landscape" r:id="rId1"/>
  <customProperties>
    <customPr name="_pios_id" r:id="rId2"/>
    <customPr name="EpmWorksheetKeyString_GUID"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A53C9-E3D9-43FD-B59E-1F24872CBF24}">
  <sheetPr codeName="Sheet12">
    <pageSetUpPr fitToPage="1"/>
  </sheetPr>
  <dimension ref="A1:I95"/>
  <sheetViews>
    <sheetView view="pageBreakPreview" topLeftCell="A81" zoomScale="55" zoomScaleNormal="100" zoomScaleSheetLayoutView="55" zoomScalePageLayoutView="70" workbookViewId="0">
      <pane xSplit="2" topLeftCell="C1" activePane="topRight" state="frozen"/>
      <selection activeCell="D45" sqref="D45"/>
      <selection pane="topRight" activeCell="D45" sqref="D45"/>
    </sheetView>
  </sheetViews>
  <sheetFormatPr defaultColWidth="9.1796875" defaultRowHeight="14.5"/>
  <cols>
    <col min="1" max="1" width="5.453125" customWidth="1"/>
    <col min="2" max="2" width="16.81640625" style="8" customWidth="1"/>
    <col min="3" max="3" width="50.7265625" style="8" bestFit="1" customWidth="1"/>
    <col min="4" max="4" width="21.453125" style="8" customWidth="1"/>
    <col min="5" max="5" width="22.453125" style="8" customWidth="1"/>
    <col min="6" max="7" width="23.81640625" style="8" customWidth="1"/>
    <col min="8" max="8" width="39.1796875" style="8" bestFit="1" customWidth="1"/>
    <col min="9" max="9" width="5.453125" customWidth="1"/>
  </cols>
  <sheetData>
    <row r="1" spans="1:9">
      <c r="B1" s="105" t="s">
        <v>602</v>
      </c>
      <c r="E1" s="101"/>
      <c r="G1" s="86"/>
      <c r="H1" s="6" t="str">
        <f>CONCATENATE("Prior Year: ",'1-DRR'!$K$2)</f>
        <v>Prior Year: 2022</v>
      </c>
    </row>
    <row r="2" spans="1:9">
      <c r="B2" s="78" t="s">
        <v>122</v>
      </c>
      <c r="C2" s="78"/>
      <c r="G2" s="86"/>
      <c r="H2" s="86"/>
    </row>
    <row r="4" spans="1:9">
      <c r="B4" s="79" t="s">
        <v>603</v>
      </c>
      <c r="C4" s="103"/>
      <c r="D4" s="103"/>
      <c r="E4" s="102"/>
      <c r="F4" s="102"/>
      <c r="G4" s="102"/>
      <c r="H4" s="102"/>
    </row>
    <row r="5" spans="1:9">
      <c r="B5" t="s">
        <v>604</v>
      </c>
      <c r="C5"/>
      <c r="D5"/>
      <c r="E5"/>
      <c r="F5"/>
      <c r="G5"/>
      <c r="H5"/>
    </row>
    <row r="6" spans="1:9">
      <c r="B6"/>
      <c r="C6"/>
      <c r="D6"/>
      <c r="E6"/>
      <c r="F6"/>
      <c r="G6"/>
      <c r="H6"/>
    </row>
    <row r="7" spans="1:9">
      <c r="D7" s="83" t="s">
        <v>124</v>
      </c>
      <c r="E7" s="83" t="s">
        <v>125</v>
      </c>
      <c r="F7" s="83" t="s">
        <v>126</v>
      </c>
      <c r="G7" s="83" t="s">
        <v>127</v>
      </c>
      <c r="H7" s="83" t="s">
        <v>420</v>
      </c>
    </row>
    <row r="8" spans="1:9">
      <c r="A8" s="104"/>
      <c r="B8" s="104"/>
      <c r="C8" s="104"/>
      <c r="D8" s="104"/>
      <c r="E8" s="104"/>
      <c r="F8" s="104" t="s">
        <v>103</v>
      </c>
      <c r="G8" s="104" t="s">
        <v>605</v>
      </c>
      <c r="H8" s="104"/>
      <c r="I8" s="104"/>
    </row>
    <row r="9" spans="1:9">
      <c r="A9" s="104"/>
      <c r="B9" s="104"/>
      <c r="C9" s="104"/>
      <c r="D9" s="104"/>
      <c r="E9" s="104"/>
      <c r="F9" s="104" t="s">
        <v>425</v>
      </c>
      <c r="G9" s="104"/>
      <c r="H9" s="104"/>
      <c r="I9" s="104"/>
    </row>
    <row r="10" spans="1:9">
      <c r="B10" s="105"/>
      <c r="C10" s="105"/>
      <c r="D10" s="91" t="s">
        <v>606</v>
      </c>
      <c r="E10" s="91"/>
      <c r="F10" s="91"/>
      <c r="G10" s="84" t="s">
        <v>607</v>
      </c>
      <c r="H10" s="4"/>
    </row>
    <row r="11" spans="1:9">
      <c r="A11" s="80" t="s">
        <v>92</v>
      </c>
      <c r="B11" s="80" t="s">
        <v>608</v>
      </c>
      <c r="C11" s="80" t="s">
        <v>609</v>
      </c>
      <c r="D11" s="80" t="s">
        <v>138</v>
      </c>
      <c r="E11" s="80" t="s">
        <v>610</v>
      </c>
      <c r="F11" s="80" t="s">
        <v>611</v>
      </c>
      <c r="G11" s="80" t="s">
        <v>138</v>
      </c>
      <c r="H11" s="3" t="s">
        <v>612</v>
      </c>
      <c r="I11" s="80" t="str">
        <f t="shared" ref="I11:I27" si="0">A11</f>
        <v>Line</v>
      </c>
    </row>
    <row r="12" spans="1:9">
      <c r="A12" s="91">
        <v>100</v>
      </c>
      <c r="B12" s="18">
        <v>360</v>
      </c>
      <c r="C12" s="106" t="s">
        <v>613</v>
      </c>
      <c r="D12" s="271">
        <v>184423208</v>
      </c>
      <c r="E12" s="376" t="s">
        <v>614</v>
      </c>
      <c r="F12" s="271">
        <v>-2930898.349999994</v>
      </c>
      <c r="G12" s="121">
        <f>D12+F12</f>
        <v>181492309.65000001</v>
      </c>
      <c r="H12" s="467" t="s">
        <v>615</v>
      </c>
      <c r="I12" s="91">
        <f t="shared" si="0"/>
        <v>100</v>
      </c>
    </row>
    <row r="13" spans="1:9">
      <c r="A13" s="91">
        <f t="shared" ref="A13:A27" si="1">A12+1</f>
        <v>101</v>
      </c>
      <c r="B13" s="18">
        <v>361</v>
      </c>
      <c r="C13" s="106" t="s">
        <v>616</v>
      </c>
      <c r="D13" s="271">
        <v>345205292</v>
      </c>
      <c r="E13" s="376" t="s">
        <v>617</v>
      </c>
      <c r="F13" s="271">
        <v>-34499505.540000081</v>
      </c>
      <c r="G13" s="121">
        <f t="shared" ref="G13:G26" si="2">D13+F13</f>
        <v>310705786.45999992</v>
      </c>
      <c r="H13" s="467" t="s">
        <v>618</v>
      </c>
      <c r="I13" s="91">
        <f t="shared" si="0"/>
        <v>101</v>
      </c>
    </row>
    <row r="14" spans="1:9">
      <c r="A14" s="91">
        <f t="shared" si="1"/>
        <v>102</v>
      </c>
      <c r="B14" s="18">
        <v>362</v>
      </c>
      <c r="C14" s="106" t="s">
        <v>619</v>
      </c>
      <c r="D14" s="271">
        <v>4242858104</v>
      </c>
      <c r="E14" s="376" t="s">
        <v>620</v>
      </c>
      <c r="F14" s="271">
        <v>-67486119.230000019</v>
      </c>
      <c r="G14" s="121">
        <f t="shared" si="2"/>
        <v>4175371984.77</v>
      </c>
      <c r="H14" s="467" t="s">
        <v>621</v>
      </c>
      <c r="I14" s="91">
        <f t="shared" si="0"/>
        <v>102</v>
      </c>
    </row>
    <row r="15" spans="1:9">
      <c r="A15" s="91">
        <f t="shared" si="1"/>
        <v>103</v>
      </c>
      <c r="B15" s="18">
        <v>363</v>
      </c>
      <c r="C15" t="s">
        <v>622</v>
      </c>
      <c r="D15" s="271">
        <v>30390068</v>
      </c>
      <c r="E15" s="376" t="s">
        <v>623</v>
      </c>
      <c r="F15" s="271">
        <v>-0.51999999955296516</v>
      </c>
      <c r="G15" s="121">
        <f t="shared" si="2"/>
        <v>30390067.48</v>
      </c>
      <c r="H15" s="467" t="s">
        <v>624</v>
      </c>
      <c r="I15" s="91">
        <f t="shared" si="0"/>
        <v>103</v>
      </c>
    </row>
    <row r="16" spans="1:9">
      <c r="A16" s="91">
        <f t="shared" si="1"/>
        <v>104</v>
      </c>
      <c r="B16" s="18">
        <v>364</v>
      </c>
      <c r="C16" t="s">
        <v>625</v>
      </c>
      <c r="D16" s="271">
        <v>8225555765</v>
      </c>
      <c r="E16" s="376" t="s">
        <v>626</v>
      </c>
      <c r="F16" s="271">
        <v>-501190918.1500206</v>
      </c>
      <c r="G16" s="121">
        <f t="shared" si="2"/>
        <v>7724364846.8499794</v>
      </c>
      <c r="H16" s="467" t="s">
        <v>627</v>
      </c>
      <c r="I16" s="91">
        <f t="shared" si="0"/>
        <v>104</v>
      </c>
    </row>
    <row r="17" spans="1:9">
      <c r="A17" s="91">
        <f t="shared" si="1"/>
        <v>105</v>
      </c>
      <c r="B17" s="18">
        <v>365</v>
      </c>
      <c r="C17" t="s">
        <v>628</v>
      </c>
      <c r="D17" s="271">
        <v>6100331943</v>
      </c>
      <c r="E17" s="376" t="s">
        <v>629</v>
      </c>
      <c r="F17" s="271">
        <v>-455876679.32000351</v>
      </c>
      <c r="G17" s="121">
        <f t="shared" si="2"/>
        <v>5644455263.6799965</v>
      </c>
      <c r="H17" s="467" t="s">
        <v>630</v>
      </c>
      <c r="I17" s="91">
        <f t="shared" si="0"/>
        <v>105</v>
      </c>
    </row>
    <row r="18" spans="1:9">
      <c r="A18" s="91">
        <f t="shared" si="1"/>
        <v>106</v>
      </c>
      <c r="B18" s="18">
        <v>366</v>
      </c>
      <c r="C18" t="s">
        <v>631</v>
      </c>
      <c r="D18" s="271">
        <v>3887646998</v>
      </c>
      <c r="E18" s="376" t="s">
        <v>632</v>
      </c>
      <c r="F18" s="271">
        <v>-184847606.56998968</v>
      </c>
      <c r="G18" s="121">
        <f t="shared" si="2"/>
        <v>3702799391.4300103</v>
      </c>
      <c r="H18" s="467" t="s">
        <v>633</v>
      </c>
      <c r="I18" s="91">
        <f t="shared" si="0"/>
        <v>106</v>
      </c>
    </row>
    <row r="19" spans="1:9">
      <c r="A19" s="91">
        <f t="shared" si="1"/>
        <v>107</v>
      </c>
      <c r="B19" s="18">
        <v>367</v>
      </c>
      <c r="C19" t="s">
        <v>634</v>
      </c>
      <c r="D19" s="271">
        <v>6431801267</v>
      </c>
      <c r="E19" s="376" t="s">
        <v>635</v>
      </c>
      <c r="F19" s="271">
        <v>-240921775.37000084</v>
      </c>
      <c r="G19" s="121">
        <f t="shared" si="2"/>
        <v>6190879491.6299992</v>
      </c>
      <c r="H19" s="467" t="s">
        <v>636</v>
      </c>
      <c r="I19" s="91">
        <f t="shared" si="0"/>
        <v>107</v>
      </c>
    </row>
    <row r="20" spans="1:9">
      <c r="A20" s="91">
        <f t="shared" si="1"/>
        <v>108</v>
      </c>
      <c r="B20" s="18">
        <v>368</v>
      </c>
      <c r="C20" t="s">
        <v>637</v>
      </c>
      <c r="D20" s="271">
        <v>5661764376</v>
      </c>
      <c r="E20" s="376" t="s">
        <v>638</v>
      </c>
      <c r="F20" s="271">
        <v>-112352763.93000031</v>
      </c>
      <c r="G20" s="121">
        <f t="shared" si="2"/>
        <v>5549411612.0699997</v>
      </c>
      <c r="H20" s="467" t="s">
        <v>639</v>
      </c>
      <c r="I20" s="91">
        <f t="shared" si="0"/>
        <v>108</v>
      </c>
    </row>
    <row r="21" spans="1:9">
      <c r="A21" s="91">
        <f t="shared" si="1"/>
        <v>109</v>
      </c>
      <c r="B21" s="18">
        <v>369</v>
      </c>
      <c r="C21" t="s">
        <v>640</v>
      </c>
      <c r="D21" s="271">
        <v>4134693555</v>
      </c>
      <c r="E21" s="376" t="s">
        <v>641</v>
      </c>
      <c r="F21" s="271">
        <v>-29583229.369997501</v>
      </c>
      <c r="G21" s="121">
        <f t="shared" si="2"/>
        <v>4105110325.6300025</v>
      </c>
      <c r="H21" s="467" t="s">
        <v>642</v>
      </c>
      <c r="I21" s="91">
        <f t="shared" si="0"/>
        <v>109</v>
      </c>
    </row>
    <row r="22" spans="1:9">
      <c r="A22" s="91">
        <f t="shared" si="1"/>
        <v>110</v>
      </c>
      <c r="B22" s="18">
        <v>370</v>
      </c>
      <c r="C22" t="s">
        <v>643</v>
      </c>
      <c r="D22" s="271">
        <v>1438276111</v>
      </c>
      <c r="E22" s="376" t="s">
        <v>644</v>
      </c>
      <c r="F22" s="271">
        <v>-11388355.909999847</v>
      </c>
      <c r="G22" s="121">
        <f t="shared" si="2"/>
        <v>1426887755.0900002</v>
      </c>
      <c r="H22" s="467" t="s">
        <v>645</v>
      </c>
      <c r="I22" s="91">
        <f t="shared" si="0"/>
        <v>110</v>
      </c>
    </row>
    <row r="23" spans="1:9">
      <c r="A23" s="91">
        <f t="shared" si="1"/>
        <v>111</v>
      </c>
      <c r="B23" s="18">
        <v>371</v>
      </c>
      <c r="C23" t="s">
        <v>646</v>
      </c>
      <c r="D23" s="271">
        <v>32662362</v>
      </c>
      <c r="E23" s="376" t="s">
        <v>647</v>
      </c>
      <c r="F23" s="271">
        <v>-0.46000000089406967</v>
      </c>
      <c r="G23" s="121">
        <f t="shared" si="2"/>
        <v>32662361.539999999</v>
      </c>
      <c r="H23" s="467" t="s">
        <v>648</v>
      </c>
      <c r="I23" s="91">
        <f t="shared" si="0"/>
        <v>111</v>
      </c>
    </row>
    <row r="24" spans="1:9">
      <c r="A24" s="91">
        <f t="shared" si="1"/>
        <v>112</v>
      </c>
      <c r="B24" s="18">
        <v>372</v>
      </c>
      <c r="C24" t="s">
        <v>649</v>
      </c>
      <c r="D24" s="271">
        <v>895448</v>
      </c>
      <c r="E24" s="376" t="s">
        <v>650</v>
      </c>
      <c r="F24" s="271">
        <v>-0.16000000003259629</v>
      </c>
      <c r="G24" s="121">
        <f t="shared" si="2"/>
        <v>895447.84</v>
      </c>
      <c r="H24" s="467" t="s">
        <v>651</v>
      </c>
      <c r="I24" s="91">
        <f t="shared" si="0"/>
        <v>112</v>
      </c>
    </row>
    <row r="25" spans="1:9">
      <c r="A25" s="91">
        <f t="shared" si="1"/>
        <v>113</v>
      </c>
      <c r="B25" s="18">
        <v>373</v>
      </c>
      <c r="C25" t="s">
        <v>652</v>
      </c>
      <c r="D25" s="271">
        <v>325989163</v>
      </c>
      <c r="E25" s="376" t="s">
        <v>653</v>
      </c>
      <c r="F25" s="271">
        <v>-382823.96000003815</v>
      </c>
      <c r="G25" s="121">
        <f t="shared" si="2"/>
        <v>325606339.03999996</v>
      </c>
      <c r="H25" s="467" t="s">
        <v>654</v>
      </c>
      <c r="I25" s="91">
        <f t="shared" si="0"/>
        <v>113</v>
      </c>
    </row>
    <row r="26" spans="1:9">
      <c r="A26" s="91">
        <f t="shared" si="1"/>
        <v>114</v>
      </c>
      <c r="B26" s="18">
        <v>374</v>
      </c>
      <c r="C26" t="s">
        <v>655</v>
      </c>
      <c r="D26" s="271">
        <v>6515318</v>
      </c>
      <c r="E26" s="376" t="s">
        <v>656</v>
      </c>
      <c r="F26" s="121">
        <f>-D26</f>
        <v>-6515318</v>
      </c>
      <c r="G26" s="121">
        <f t="shared" si="2"/>
        <v>0</v>
      </c>
      <c r="H26" s="376"/>
      <c r="I26" s="91">
        <f t="shared" si="0"/>
        <v>114</v>
      </c>
    </row>
    <row r="27" spans="1:9">
      <c r="A27" s="91">
        <f t="shared" si="1"/>
        <v>115</v>
      </c>
      <c r="B27" s="694"/>
      <c r="C27" s="695" t="s">
        <v>657</v>
      </c>
      <c r="D27" s="696">
        <f>SUM(D12:D26)</f>
        <v>41049008978</v>
      </c>
      <c r="E27" s="697"/>
      <c r="F27" s="696">
        <f>SUM(F12:F26)</f>
        <v>-1647975994.8400126</v>
      </c>
      <c r="G27" s="696">
        <f>SUM(G12:G26)</f>
        <v>39401032983.159988</v>
      </c>
      <c r="H27" s="696"/>
      <c r="I27" s="91">
        <f t="shared" si="0"/>
        <v>115</v>
      </c>
    </row>
    <row r="28" spans="1:9">
      <c r="A28" s="100"/>
      <c r="B28" s="100"/>
      <c r="C28" s="100"/>
      <c r="D28" s="104"/>
      <c r="E28" s="100"/>
      <c r="F28" s="100"/>
      <c r="G28" s="104"/>
      <c r="H28" s="104"/>
      <c r="I28" s="100"/>
    </row>
    <row r="30" spans="1:9">
      <c r="B30" s="79" t="s">
        <v>658</v>
      </c>
      <c r="C30" s="103"/>
      <c r="D30" s="103"/>
      <c r="E30" s="102"/>
      <c r="F30" s="102"/>
      <c r="G30" s="102"/>
      <c r="H30" s="102"/>
    </row>
    <row r="31" spans="1:9">
      <c r="B31"/>
      <c r="C31"/>
      <c r="D31"/>
      <c r="E31"/>
      <c r="F31"/>
      <c r="G31"/>
      <c r="H31"/>
    </row>
    <row r="32" spans="1:9">
      <c r="D32" s="83" t="s">
        <v>124</v>
      </c>
      <c r="E32" s="83" t="s">
        <v>125</v>
      </c>
      <c r="F32" s="83" t="s">
        <v>126</v>
      </c>
      <c r="G32" s="83" t="s">
        <v>127</v>
      </c>
      <c r="H32" s="83" t="s">
        <v>420</v>
      </c>
    </row>
    <row r="33" spans="1:9">
      <c r="B33"/>
      <c r="C33"/>
      <c r="D33" s="21" t="s">
        <v>659</v>
      </c>
      <c r="E33" s="21" t="s">
        <v>426</v>
      </c>
      <c r="F33" s="21" t="s">
        <v>426</v>
      </c>
      <c r="G33" s="21" t="s">
        <v>426</v>
      </c>
      <c r="H33" s="21" t="s">
        <v>426</v>
      </c>
    </row>
    <row r="34" spans="1:9">
      <c r="B34"/>
      <c r="C34"/>
      <c r="D34"/>
      <c r="E34"/>
      <c r="F34"/>
      <c r="G34"/>
      <c r="H34"/>
    </row>
    <row r="35" spans="1:9">
      <c r="B35"/>
      <c r="C35"/>
      <c r="D35" s="84" t="s">
        <v>660</v>
      </c>
      <c r="E35" s="84" t="s">
        <v>434</v>
      </c>
      <c r="F35" s="84" t="s">
        <v>462</v>
      </c>
      <c r="G35" s="84" t="s">
        <v>661</v>
      </c>
      <c r="H35" s="84" t="s">
        <v>661</v>
      </c>
      <c r="I35" s="8"/>
    </row>
    <row r="36" spans="1:9">
      <c r="A36" s="80" t="s">
        <v>92</v>
      </c>
      <c r="B36" s="80" t="s">
        <v>608</v>
      </c>
      <c r="C36" s="80" t="s">
        <v>609</v>
      </c>
      <c r="D36" s="80" t="s">
        <v>662</v>
      </c>
      <c r="E36" s="80" t="s">
        <v>661</v>
      </c>
      <c r="F36" s="80" t="s">
        <v>661</v>
      </c>
      <c r="G36" s="80" t="s">
        <v>643</v>
      </c>
      <c r="H36" s="80" t="s">
        <v>663</v>
      </c>
      <c r="I36" s="80" t="str">
        <f t="shared" ref="I36:I51" si="3">A36</f>
        <v>Line</v>
      </c>
    </row>
    <row r="37" spans="1:9">
      <c r="A37" s="91">
        <v>200</v>
      </c>
      <c r="B37" s="18">
        <v>360</v>
      </c>
      <c r="C37" s="106" t="s">
        <v>664</v>
      </c>
      <c r="D37" s="538">
        <f>G12</f>
        <v>181492309.65000001</v>
      </c>
      <c r="E37" s="539" cm="1">
        <f t="array" ref="E37">SUM(E62:E74/(SUM(E62:F74)))</f>
        <v>0.50715769737207173</v>
      </c>
      <c r="F37" s="539">
        <f>1-E37</f>
        <v>0.49284230262792827</v>
      </c>
      <c r="G37" s="539"/>
      <c r="H37" s="539"/>
      <c r="I37" s="91">
        <f t="shared" si="3"/>
        <v>200</v>
      </c>
    </row>
    <row r="38" spans="1:9">
      <c r="A38" s="91">
        <f t="shared" ref="A38:A51" si="4">A37+1</f>
        <v>201</v>
      </c>
      <c r="B38" s="18">
        <v>361</v>
      </c>
      <c r="C38" s="106" t="s">
        <v>616</v>
      </c>
      <c r="D38" s="121">
        <f t="shared" ref="D38:D50" si="5">G13</f>
        <v>310705786.45999992</v>
      </c>
      <c r="E38" s="400">
        <v>1</v>
      </c>
      <c r="F38" s="400"/>
      <c r="G38" s="400"/>
      <c r="H38" s="400"/>
      <c r="I38" s="91">
        <f t="shared" si="3"/>
        <v>201</v>
      </c>
    </row>
    <row r="39" spans="1:9">
      <c r="A39" s="91">
        <f t="shared" si="4"/>
        <v>202</v>
      </c>
      <c r="B39" s="18">
        <v>362</v>
      </c>
      <c r="C39" s="106" t="s">
        <v>619</v>
      </c>
      <c r="D39" s="121">
        <f t="shared" si="5"/>
        <v>4175371984.77</v>
      </c>
      <c r="E39" s="400">
        <v>1</v>
      </c>
      <c r="F39" s="400"/>
      <c r="G39" s="400"/>
      <c r="H39" s="400"/>
      <c r="I39" s="91">
        <f t="shared" si="3"/>
        <v>202</v>
      </c>
    </row>
    <row r="40" spans="1:9">
      <c r="A40" s="91">
        <f t="shared" si="4"/>
        <v>203</v>
      </c>
      <c r="B40" s="18">
        <v>363</v>
      </c>
      <c r="C40" s="8" t="s">
        <v>622</v>
      </c>
      <c r="D40" s="121">
        <f t="shared" si="5"/>
        <v>30390067.48</v>
      </c>
      <c r="E40" s="400">
        <v>1</v>
      </c>
      <c r="F40" s="400"/>
      <c r="G40" s="400"/>
      <c r="H40" s="400"/>
      <c r="I40" s="91">
        <f t="shared" si="3"/>
        <v>203</v>
      </c>
    </row>
    <row r="41" spans="1:9">
      <c r="A41" s="91">
        <f t="shared" si="4"/>
        <v>204</v>
      </c>
      <c r="B41" s="18">
        <v>364</v>
      </c>
      <c r="C41" s="8" t="s">
        <v>665</v>
      </c>
      <c r="D41" s="121">
        <f t="shared" si="5"/>
        <v>7724364846.8499794</v>
      </c>
      <c r="E41" s="400">
        <v>0.79230860393458169</v>
      </c>
      <c r="F41" s="400">
        <v>0.20769139606541834</v>
      </c>
      <c r="G41" s="400"/>
      <c r="H41" s="400"/>
      <c r="I41" s="91">
        <f t="shared" si="3"/>
        <v>204</v>
      </c>
    </row>
    <row r="42" spans="1:9">
      <c r="A42" s="91">
        <f t="shared" si="4"/>
        <v>205</v>
      </c>
      <c r="B42" s="18">
        <v>365</v>
      </c>
      <c r="C42" s="8" t="s">
        <v>666</v>
      </c>
      <c r="D42" s="121">
        <f t="shared" si="5"/>
        <v>5644455263.6799965</v>
      </c>
      <c r="E42" s="400">
        <v>0.79230860393458169</v>
      </c>
      <c r="F42" s="400">
        <v>0.20769139606541834</v>
      </c>
      <c r="G42" s="400"/>
      <c r="H42" s="400"/>
      <c r="I42" s="91">
        <f t="shared" si="3"/>
        <v>205</v>
      </c>
    </row>
    <row r="43" spans="1:9">
      <c r="A43" s="91">
        <f t="shared" si="4"/>
        <v>206</v>
      </c>
      <c r="B43" s="18">
        <v>366</v>
      </c>
      <c r="C43" s="8" t="s">
        <v>667</v>
      </c>
      <c r="D43" s="121">
        <f t="shared" si="5"/>
        <v>3702799391.4300103</v>
      </c>
      <c r="E43" s="400">
        <v>0.39176356725064171</v>
      </c>
      <c r="F43" s="400">
        <v>0.60823643274935824</v>
      </c>
      <c r="G43" s="400"/>
      <c r="H43" s="400"/>
      <c r="I43" s="91">
        <f t="shared" si="3"/>
        <v>206</v>
      </c>
    </row>
    <row r="44" spans="1:9">
      <c r="A44" s="91">
        <f t="shared" si="4"/>
        <v>207</v>
      </c>
      <c r="B44" s="18">
        <v>367</v>
      </c>
      <c r="C44" s="8" t="s">
        <v>668</v>
      </c>
      <c r="D44" s="121">
        <f t="shared" si="5"/>
        <v>6190879491.6299992</v>
      </c>
      <c r="E44" s="400">
        <v>0.39176356725064171</v>
      </c>
      <c r="F44" s="400">
        <v>0.60823643274935824</v>
      </c>
      <c r="G44" s="400"/>
      <c r="H44" s="400"/>
      <c r="I44" s="91">
        <f t="shared" si="3"/>
        <v>207</v>
      </c>
    </row>
    <row r="45" spans="1:9">
      <c r="A45" s="91">
        <f t="shared" si="4"/>
        <v>208</v>
      </c>
      <c r="B45" s="18">
        <v>368</v>
      </c>
      <c r="C45" t="s">
        <v>637</v>
      </c>
      <c r="D45" s="121">
        <f t="shared" si="5"/>
        <v>5549411612.0699997</v>
      </c>
      <c r="E45" s="400"/>
      <c r="F45" s="400">
        <v>1</v>
      </c>
      <c r="G45" s="400"/>
      <c r="H45" s="400"/>
      <c r="I45" s="91">
        <f t="shared" si="3"/>
        <v>208</v>
      </c>
    </row>
    <row r="46" spans="1:9">
      <c r="A46" s="91">
        <f t="shared" si="4"/>
        <v>209</v>
      </c>
      <c r="B46" s="18">
        <v>369</v>
      </c>
      <c r="C46" t="s">
        <v>640</v>
      </c>
      <c r="D46" s="121">
        <f t="shared" si="5"/>
        <v>4105110325.6300025</v>
      </c>
      <c r="E46" s="400"/>
      <c r="F46" s="400">
        <v>1</v>
      </c>
      <c r="G46" s="400"/>
      <c r="H46" s="400"/>
      <c r="I46" s="91">
        <f t="shared" si="3"/>
        <v>209</v>
      </c>
    </row>
    <row r="47" spans="1:9">
      <c r="A47" s="91">
        <f t="shared" si="4"/>
        <v>210</v>
      </c>
      <c r="B47" s="18">
        <v>370</v>
      </c>
      <c r="C47" t="s">
        <v>643</v>
      </c>
      <c r="D47" s="121">
        <f t="shared" si="5"/>
        <v>1426887755.0900002</v>
      </c>
      <c r="E47" s="400"/>
      <c r="F47" s="400"/>
      <c r="G47" s="400">
        <v>1</v>
      </c>
      <c r="H47" s="400"/>
      <c r="I47" s="91">
        <f t="shared" si="3"/>
        <v>210</v>
      </c>
    </row>
    <row r="48" spans="1:9">
      <c r="A48" s="91">
        <f t="shared" si="4"/>
        <v>211</v>
      </c>
      <c r="B48" s="18">
        <v>371</v>
      </c>
      <c r="C48" t="s">
        <v>646</v>
      </c>
      <c r="D48" s="121">
        <f t="shared" si="5"/>
        <v>32662361.539999999</v>
      </c>
      <c r="E48" s="400"/>
      <c r="F48" s="400"/>
      <c r="G48" s="400">
        <v>1</v>
      </c>
      <c r="H48" s="400"/>
      <c r="I48" s="91">
        <f t="shared" si="3"/>
        <v>211</v>
      </c>
    </row>
    <row r="49" spans="1:9">
      <c r="A49" s="91">
        <f t="shared" si="4"/>
        <v>212</v>
      </c>
      <c r="B49" s="18">
        <v>372</v>
      </c>
      <c r="C49" t="s">
        <v>649</v>
      </c>
      <c r="D49" s="121">
        <f t="shared" si="5"/>
        <v>895447.84</v>
      </c>
      <c r="E49" s="400"/>
      <c r="F49" s="400"/>
      <c r="G49" s="400">
        <v>1</v>
      </c>
      <c r="H49" s="400"/>
      <c r="I49" s="91">
        <f t="shared" si="3"/>
        <v>212</v>
      </c>
    </row>
    <row r="50" spans="1:9">
      <c r="A50" s="91">
        <f t="shared" si="4"/>
        <v>213</v>
      </c>
      <c r="B50" s="18">
        <v>373</v>
      </c>
      <c r="C50" t="s">
        <v>652</v>
      </c>
      <c r="D50" s="121">
        <f t="shared" si="5"/>
        <v>325606339.03999996</v>
      </c>
      <c r="E50" s="400"/>
      <c r="F50" s="400"/>
      <c r="G50" s="400"/>
      <c r="H50" s="400">
        <v>1</v>
      </c>
      <c r="I50" s="91">
        <f t="shared" si="3"/>
        <v>213</v>
      </c>
    </row>
    <row r="51" spans="1:9">
      <c r="A51" s="91">
        <f t="shared" si="4"/>
        <v>214</v>
      </c>
      <c r="B51" s="694"/>
      <c r="C51" s="695" t="s">
        <v>657</v>
      </c>
      <c r="D51" s="696">
        <f>SUM(D37:D50)</f>
        <v>39401032983.159988</v>
      </c>
      <c r="E51" s="698"/>
      <c r="F51" s="698"/>
      <c r="G51" s="698"/>
      <c r="H51" s="698"/>
      <c r="I51" s="91">
        <f t="shared" si="3"/>
        <v>214</v>
      </c>
    </row>
    <row r="52" spans="1:9">
      <c r="B52"/>
      <c r="C52"/>
      <c r="D52" s="399"/>
      <c r="E52" s="401"/>
      <c r="F52" s="402"/>
      <c r="G52" s="402"/>
      <c r="H52" s="402"/>
      <c r="I52" s="8"/>
    </row>
    <row r="53" spans="1:9">
      <c r="B53"/>
      <c r="C53"/>
      <c r="D53" s="399"/>
      <c r="E53" s="401"/>
      <c r="F53" s="402"/>
      <c r="G53" s="402"/>
      <c r="H53" s="402"/>
      <c r="I53" s="8"/>
    </row>
    <row r="54" spans="1:9">
      <c r="B54" s="79" t="s">
        <v>669</v>
      </c>
      <c r="C54" s="103"/>
      <c r="D54" s="103"/>
      <c r="E54" s="102"/>
      <c r="F54" s="102"/>
      <c r="G54" s="102"/>
      <c r="H54" s="102"/>
    </row>
    <row r="55" spans="1:9">
      <c r="B55"/>
      <c r="C55"/>
      <c r="D55"/>
      <c r="E55"/>
      <c r="F55"/>
      <c r="G55"/>
      <c r="H55"/>
    </row>
    <row r="56" spans="1:9">
      <c r="D56" s="83" t="s">
        <v>124</v>
      </c>
      <c r="E56" s="83" t="s">
        <v>125</v>
      </c>
      <c r="F56" s="83" t="s">
        <v>126</v>
      </c>
      <c r="G56" s="83" t="s">
        <v>127</v>
      </c>
      <c r="H56" s="83" t="s">
        <v>420</v>
      </c>
    </row>
    <row r="57" spans="1:9">
      <c r="B57"/>
      <c r="C57"/>
      <c r="D57" s="21" t="s">
        <v>659</v>
      </c>
      <c r="E57" s="21" t="s">
        <v>670</v>
      </c>
      <c r="F57" s="21" t="s">
        <v>671</v>
      </c>
      <c r="G57" s="21" t="s">
        <v>672</v>
      </c>
      <c r="H57" s="21" t="s">
        <v>673</v>
      </c>
    </row>
    <row r="58" spans="1:9">
      <c r="B58"/>
      <c r="C58"/>
      <c r="D58"/>
      <c r="E58"/>
      <c r="F58"/>
      <c r="G58"/>
      <c r="H58"/>
    </row>
    <row r="59" spans="1:9">
      <c r="B59"/>
      <c r="C59"/>
      <c r="D59" s="84" t="s">
        <v>660</v>
      </c>
      <c r="E59" s="84" t="s">
        <v>434</v>
      </c>
      <c r="F59" s="84" t="s">
        <v>462</v>
      </c>
      <c r="G59" s="84" t="s">
        <v>661</v>
      </c>
      <c r="H59" s="84" t="s">
        <v>661</v>
      </c>
      <c r="I59" s="8"/>
    </row>
    <row r="60" spans="1:9">
      <c r="A60" s="80" t="s">
        <v>92</v>
      </c>
      <c r="B60" s="80" t="s">
        <v>608</v>
      </c>
      <c r="C60" s="80" t="s">
        <v>609</v>
      </c>
      <c r="D60" s="80" t="s">
        <v>662</v>
      </c>
      <c r="E60" s="80" t="s">
        <v>661</v>
      </c>
      <c r="F60" s="80" t="s">
        <v>661</v>
      </c>
      <c r="G60" s="80" t="s">
        <v>643</v>
      </c>
      <c r="H60" s="80" t="s">
        <v>663</v>
      </c>
      <c r="I60" s="80" t="str">
        <f t="shared" ref="I60:I75" si="6">A60</f>
        <v>Line</v>
      </c>
    </row>
    <row r="61" spans="1:9" s="8" customFormat="1">
      <c r="A61" s="91">
        <v>300</v>
      </c>
      <c r="B61" s="18">
        <v>360</v>
      </c>
      <c r="C61" s="106" t="s">
        <v>613</v>
      </c>
      <c r="D61" s="121">
        <f>G12</f>
        <v>181492309.65000001</v>
      </c>
      <c r="E61" s="121">
        <f>$D61*E37</f>
        <v>92045221.852833033</v>
      </c>
      <c r="F61" s="121">
        <f t="shared" ref="F61:H61" si="7">$D61*F37</f>
        <v>89447087.797166973</v>
      </c>
      <c r="G61" s="121">
        <f t="shared" si="7"/>
        <v>0</v>
      </c>
      <c r="H61" s="121">
        <f t="shared" si="7"/>
        <v>0</v>
      </c>
      <c r="I61" s="91">
        <f t="shared" si="6"/>
        <v>300</v>
      </c>
    </row>
    <row r="62" spans="1:9">
      <c r="A62" s="91">
        <f t="shared" ref="A62:A75" si="8">A61+1</f>
        <v>301</v>
      </c>
      <c r="B62" s="18">
        <v>361</v>
      </c>
      <c r="C62" s="106" t="s">
        <v>616</v>
      </c>
      <c r="D62" s="121">
        <f t="shared" ref="D62:D74" si="9">G13</f>
        <v>310705786.45999992</v>
      </c>
      <c r="E62" s="121">
        <f t="shared" ref="E62:H74" si="10">$D62*E38</f>
        <v>310705786.45999992</v>
      </c>
      <c r="F62" s="121">
        <f t="shared" si="10"/>
        <v>0</v>
      </c>
      <c r="G62" s="121">
        <f t="shared" si="10"/>
        <v>0</v>
      </c>
      <c r="H62" s="121">
        <f t="shared" si="10"/>
        <v>0</v>
      </c>
      <c r="I62" s="91">
        <f t="shared" si="6"/>
        <v>301</v>
      </c>
    </row>
    <row r="63" spans="1:9">
      <c r="A63" s="91">
        <f t="shared" si="8"/>
        <v>302</v>
      </c>
      <c r="B63" s="18">
        <v>362</v>
      </c>
      <c r="C63" s="106" t="s">
        <v>619</v>
      </c>
      <c r="D63" s="121">
        <f t="shared" si="9"/>
        <v>4175371984.77</v>
      </c>
      <c r="E63" s="121">
        <f t="shared" si="10"/>
        <v>4175371984.77</v>
      </c>
      <c r="F63" s="121">
        <f t="shared" si="10"/>
        <v>0</v>
      </c>
      <c r="G63" s="121">
        <f t="shared" si="10"/>
        <v>0</v>
      </c>
      <c r="H63" s="121">
        <f t="shared" si="10"/>
        <v>0</v>
      </c>
      <c r="I63" s="91">
        <f t="shared" si="6"/>
        <v>302</v>
      </c>
    </row>
    <row r="64" spans="1:9">
      <c r="A64" s="91">
        <f t="shared" si="8"/>
        <v>303</v>
      </c>
      <c r="B64" s="18">
        <v>363</v>
      </c>
      <c r="C64" t="s">
        <v>622</v>
      </c>
      <c r="D64" s="121">
        <f t="shared" si="9"/>
        <v>30390067.48</v>
      </c>
      <c r="E64" s="121">
        <f t="shared" si="10"/>
        <v>30390067.48</v>
      </c>
      <c r="F64" s="121">
        <f t="shared" si="10"/>
        <v>0</v>
      </c>
      <c r="G64" s="121">
        <f t="shared" si="10"/>
        <v>0</v>
      </c>
      <c r="H64" s="121">
        <f t="shared" si="10"/>
        <v>0</v>
      </c>
      <c r="I64" s="91">
        <f t="shared" si="6"/>
        <v>303</v>
      </c>
    </row>
    <row r="65" spans="1:9">
      <c r="A65" s="91">
        <f t="shared" si="8"/>
        <v>304</v>
      </c>
      <c r="B65" s="18">
        <v>364</v>
      </c>
      <c r="C65" t="s">
        <v>625</v>
      </c>
      <c r="D65" s="121">
        <f t="shared" si="9"/>
        <v>7724364846.8499794</v>
      </c>
      <c r="E65" s="121">
        <f t="shared" si="10"/>
        <v>6120080728.0890665</v>
      </c>
      <c r="F65" s="121">
        <f t="shared" si="10"/>
        <v>1604284118.7609136</v>
      </c>
      <c r="G65" s="121">
        <f t="shared" si="10"/>
        <v>0</v>
      </c>
      <c r="H65" s="121">
        <f t="shared" si="10"/>
        <v>0</v>
      </c>
      <c r="I65" s="91">
        <f t="shared" si="6"/>
        <v>304</v>
      </c>
    </row>
    <row r="66" spans="1:9">
      <c r="A66" s="91">
        <f t="shared" si="8"/>
        <v>305</v>
      </c>
      <c r="B66" s="18">
        <v>365</v>
      </c>
      <c r="C66" t="s">
        <v>628</v>
      </c>
      <c r="D66" s="121">
        <f t="shared" si="9"/>
        <v>5644455263.6799965</v>
      </c>
      <c r="E66" s="121">
        <f t="shared" si="10"/>
        <v>4472150469.937499</v>
      </c>
      <c r="F66" s="121">
        <f t="shared" si="10"/>
        <v>1172304793.7424974</v>
      </c>
      <c r="G66" s="121">
        <f t="shared" si="10"/>
        <v>0</v>
      </c>
      <c r="H66" s="121">
        <f t="shared" si="10"/>
        <v>0</v>
      </c>
      <c r="I66" s="91">
        <f t="shared" si="6"/>
        <v>305</v>
      </c>
    </row>
    <row r="67" spans="1:9">
      <c r="A67" s="91">
        <f t="shared" si="8"/>
        <v>306</v>
      </c>
      <c r="B67" s="18">
        <v>366</v>
      </c>
      <c r="C67" t="s">
        <v>631</v>
      </c>
      <c r="D67" s="121">
        <f t="shared" si="9"/>
        <v>3702799391.4300103</v>
      </c>
      <c r="E67" s="121">
        <f t="shared" si="10"/>
        <v>1450621898.400126</v>
      </c>
      <c r="F67" s="121">
        <f t="shared" si="10"/>
        <v>2252177493.0298839</v>
      </c>
      <c r="G67" s="121">
        <f t="shared" si="10"/>
        <v>0</v>
      </c>
      <c r="H67" s="121">
        <f t="shared" si="10"/>
        <v>0</v>
      </c>
      <c r="I67" s="91">
        <f t="shared" si="6"/>
        <v>306</v>
      </c>
    </row>
    <row r="68" spans="1:9">
      <c r="A68" s="91">
        <f t="shared" si="8"/>
        <v>307</v>
      </c>
      <c r="B68" s="18">
        <v>367</v>
      </c>
      <c r="C68" t="s">
        <v>634</v>
      </c>
      <c r="D68" s="121">
        <f t="shared" si="9"/>
        <v>6190879491.6299992</v>
      </c>
      <c r="E68" s="121">
        <f t="shared" si="10"/>
        <v>2425361034.0598078</v>
      </c>
      <c r="F68" s="121">
        <f t="shared" si="10"/>
        <v>3765518457.5701909</v>
      </c>
      <c r="G68" s="121">
        <f t="shared" si="10"/>
        <v>0</v>
      </c>
      <c r="H68" s="121">
        <f t="shared" si="10"/>
        <v>0</v>
      </c>
      <c r="I68" s="91">
        <f t="shared" si="6"/>
        <v>307</v>
      </c>
    </row>
    <row r="69" spans="1:9">
      <c r="A69" s="91">
        <f t="shared" si="8"/>
        <v>308</v>
      </c>
      <c r="B69" s="18">
        <v>368</v>
      </c>
      <c r="C69" t="s">
        <v>637</v>
      </c>
      <c r="D69" s="121">
        <f t="shared" si="9"/>
        <v>5549411612.0699997</v>
      </c>
      <c r="E69" s="121">
        <f t="shared" si="10"/>
        <v>0</v>
      </c>
      <c r="F69" s="121">
        <f t="shared" si="10"/>
        <v>5549411612.0699997</v>
      </c>
      <c r="G69" s="121">
        <f t="shared" si="10"/>
        <v>0</v>
      </c>
      <c r="H69" s="121">
        <f t="shared" si="10"/>
        <v>0</v>
      </c>
      <c r="I69" s="91">
        <f t="shared" si="6"/>
        <v>308</v>
      </c>
    </row>
    <row r="70" spans="1:9">
      <c r="A70" s="91">
        <f t="shared" si="8"/>
        <v>309</v>
      </c>
      <c r="B70" s="18">
        <v>369</v>
      </c>
      <c r="C70" t="s">
        <v>640</v>
      </c>
      <c r="D70" s="121">
        <f t="shared" si="9"/>
        <v>4105110325.6300025</v>
      </c>
      <c r="E70" s="121">
        <f t="shared" si="10"/>
        <v>0</v>
      </c>
      <c r="F70" s="121">
        <f t="shared" si="10"/>
        <v>4105110325.6300025</v>
      </c>
      <c r="G70" s="121">
        <f t="shared" si="10"/>
        <v>0</v>
      </c>
      <c r="H70" s="121">
        <f t="shared" si="10"/>
        <v>0</v>
      </c>
      <c r="I70" s="91">
        <f t="shared" si="6"/>
        <v>309</v>
      </c>
    </row>
    <row r="71" spans="1:9">
      <c r="A71" s="91">
        <f t="shared" si="8"/>
        <v>310</v>
      </c>
      <c r="B71" s="18">
        <v>370</v>
      </c>
      <c r="C71" t="s">
        <v>643</v>
      </c>
      <c r="D71" s="121">
        <f t="shared" si="9"/>
        <v>1426887755.0900002</v>
      </c>
      <c r="E71" s="121">
        <f t="shared" si="10"/>
        <v>0</v>
      </c>
      <c r="F71" s="121">
        <f t="shared" si="10"/>
        <v>0</v>
      </c>
      <c r="G71" s="121">
        <f t="shared" si="10"/>
        <v>1426887755.0900002</v>
      </c>
      <c r="H71" s="121">
        <f t="shared" si="10"/>
        <v>0</v>
      </c>
      <c r="I71" s="91">
        <f t="shared" si="6"/>
        <v>310</v>
      </c>
    </row>
    <row r="72" spans="1:9">
      <c r="A72" s="91">
        <f t="shared" si="8"/>
        <v>311</v>
      </c>
      <c r="B72" s="18">
        <v>371</v>
      </c>
      <c r="C72" t="s">
        <v>646</v>
      </c>
      <c r="D72" s="121">
        <f t="shared" si="9"/>
        <v>32662361.539999999</v>
      </c>
      <c r="E72" s="121">
        <f t="shared" si="10"/>
        <v>0</v>
      </c>
      <c r="F72" s="121">
        <f t="shared" si="10"/>
        <v>0</v>
      </c>
      <c r="G72" s="121">
        <f t="shared" si="10"/>
        <v>32662361.539999999</v>
      </c>
      <c r="H72" s="121">
        <f t="shared" si="10"/>
        <v>0</v>
      </c>
      <c r="I72" s="91">
        <f t="shared" si="6"/>
        <v>311</v>
      </c>
    </row>
    <row r="73" spans="1:9">
      <c r="A73" s="91">
        <f t="shared" si="8"/>
        <v>312</v>
      </c>
      <c r="B73" s="18">
        <v>372</v>
      </c>
      <c r="C73" t="s">
        <v>649</v>
      </c>
      <c r="D73" s="121">
        <f t="shared" si="9"/>
        <v>895447.84</v>
      </c>
      <c r="E73" s="121">
        <f t="shared" si="10"/>
        <v>0</v>
      </c>
      <c r="F73" s="121">
        <f t="shared" si="10"/>
        <v>0</v>
      </c>
      <c r="G73" s="121">
        <f t="shared" si="10"/>
        <v>895447.84</v>
      </c>
      <c r="H73" s="121">
        <f t="shared" si="10"/>
        <v>0</v>
      </c>
      <c r="I73" s="91">
        <f t="shared" si="6"/>
        <v>312</v>
      </c>
    </row>
    <row r="74" spans="1:9">
      <c r="A74" s="91">
        <f t="shared" si="8"/>
        <v>313</v>
      </c>
      <c r="B74" s="18">
        <v>373</v>
      </c>
      <c r="C74" t="s">
        <v>652</v>
      </c>
      <c r="D74" s="121">
        <f t="shared" si="9"/>
        <v>325606339.03999996</v>
      </c>
      <c r="E74" s="121">
        <f t="shared" si="10"/>
        <v>0</v>
      </c>
      <c r="F74" s="121">
        <f t="shared" si="10"/>
        <v>0</v>
      </c>
      <c r="G74" s="121">
        <f t="shared" si="10"/>
        <v>0</v>
      </c>
      <c r="H74" s="121">
        <f t="shared" si="10"/>
        <v>325606339.03999996</v>
      </c>
      <c r="I74" s="91">
        <f t="shared" si="6"/>
        <v>313</v>
      </c>
    </row>
    <row r="75" spans="1:9">
      <c r="A75" s="91">
        <f t="shared" si="8"/>
        <v>314</v>
      </c>
      <c r="B75" s="694"/>
      <c r="C75" s="695" t="s">
        <v>657</v>
      </c>
      <c r="D75" s="696">
        <f>SUM(D61:D74)</f>
        <v>39401032983.159988</v>
      </c>
      <c r="E75" s="696">
        <f t="shared" ref="E75:H75" si="11">SUM(E61:E74)</f>
        <v>19076727191.049332</v>
      </c>
      <c r="F75" s="696">
        <f t="shared" si="11"/>
        <v>18538253888.600655</v>
      </c>
      <c r="G75" s="696">
        <f t="shared" si="11"/>
        <v>1460445564.47</v>
      </c>
      <c r="H75" s="696">
        <f t="shared" si="11"/>
        <v>325606339.03999996</v>
      </c>
      <c r="I75" s="91">
        <f t="shared" si="6"/>
        <v>314</v>
      </c>
    </row>
    <row r="76" spans="1:9">
      <c r="B76"/>
      <c r="G76" s="18" t="s">
        <v>427</v>
      </c>
      <c r="H76" s="18" t="s">
        <v>428</v>
      </c>
      <c r="I76" s="8"/>
    </row>
    <row r="77" spans="1:9">
      <c r="B77"/>
      <c r="I77" s="8"/>
    </row>
    <row r="78" spans="1:9">
      <c r="B78" s="79" t="s">
        <v>674</v>
      </c>
      <c r="C78" s="103"/>
      <c r="D78" s="103"/>
      <c r="E78" s="102"/>
      <c r="F78" s="102"/>
      <c r="G78" s="102"/>
      <c r="H78" s="102"/>
    </row>
    <row r="79" spans="1:9">
      <c r="B79"/>
      <c r="C79"/>
      <c r="D79"/>
      <c r="E79"/>
      <c r="F79"/>
      <c r="G79"/>
      <c r="H79"/>
    </row>
    <row r="80" spans="1:9">
      <c r="E80" s="83" t="s">
        <v>124</v>
      </c>
      <c r="F80" s="83" t="s">
        <v>125</v>
      </c>
      <c r="G80" s="83" t="s">
        <v>126</v>
      </c>
      <c r="H80" s="83" t="s">
        <v>127</v>
      </c>
    </row>
    <row r="81" spans="1:9" ht="29">
      <c r="B81"/>
      <c r="C81"/>
      <c r="E81" s="133" t="s">
        <v>675</v>
      </c>
      <c r="F81" s="133" t="s">
        <v>676</v>
      </c>
      <c r="G81" s="133" t="s">
        <v>677</v>
      </c>
      <c r="H81" s="133" t="s">
        <v>678</v>
      </c>
    </row>
    <row r="82" spans="1:9">
      <c r="B82"/>
      <c r="C82"/>
      <c r="E82"/>
      <c r="F82"/>
      <c r="G82"/>
      <c r="H82"/>
    </row>
    <row r="83" spans="1:9">
      <c r="B83"/>
      <c r="C83"/>
      <c r="E83" s="84" t="s">
        <v>434</v>
      </c>
      <c r="F83" s="84" t="s">
        <v>462</v>
      </c>
      <c r="G83" s="84" t="s">
        <v>661</v>
      </c>
      <c r="H83" s="84" t="s">
        <v>661</v>
      </c>
      <c r="I83" s="8"/>
    </row>
    <row r="84" spans="1:9">
      <c r="A84" s="80" t="s">
        <v>92</v>
      </c>
      <c r="B84" s="80" t="s">
        <v>441</v>
      </c>
      <c r="C84" s="80" t="s">
        <v>7</v>
      </c>
      <c r="E84" s="80" t="s">
        <v>661</v>
      </c>
      <c r="F84" s="80" t="s">
        <v>661</v>
      </c>
      <c r="G84" s="80" t="s">
        <v>643</v>
      </c>
      <c r="H84" s="80" t="s">
        <v>663</v>
      </c>
      <c r="I84" s="80" t="str">
        <f t="shared" ref="I84:I85" si="12">A84</f>
        <v>Line</v>
      </c>
    </row>
    <row r="85" spans="1:9">
      <c r="A85" s="91">
        <v>400</v>
      </c>
      <c r="B85" s="140">
        <f>'1-DRR'!$K$2</f>
        <v>2022</v>
      </c>
      <c r="C85" s="18" t="s">
        <v>679</v>
      </c>
      <c r="E85" s="231">
        <f>E75/$D$75</f>
        <v>0.48416819932621386</v>
      </c>
      <c r="F85" s="231">
        <f>F75/$D$75</f>
        <v>0.47050172254427719</v>
      </c>
      <c r="G85" s="231">
        <f>G75/$D$75</f>
        <v>3.7066174511064087E-2</v>
      </c>
      <c r="H85" s="231">
        <f>H75/$D$75</f>
        <v>8.2639036184448313E-3</v>
      </c>
      <c r="I85" s="91">
        <f t="shared" si="12"/>
        <v>400</v>
      </c>
    </row>
    <row r="86" spans="1:9">
      <c r="A86" s="91"/>
      <c r="B86" s="18"/>
      <c r="C86" s="106"/>
      <c r="D86" s="121"/>
      <c r="E86" s="403"/>
      <c r="F86" s="466"/>
      <c r="G86" s="121"/>
      <c r="H86" s="121"/>
      <c r="I86" s="91"/>
    </row>
    <row r="87" spans="1:9">
      <c r="B87" s="7" t="s">
        <v>598</v>
      </c>
    </row>
    <row r="88" spans="1:9">
      <c r="B88" s="727" t="s">
        <v>680</v>
      </c>
      <c r="C88" s="727"/>
      <c r="D88" s="727"/>
      <c r="E88" s="727"/>
      <c r="F88" s="727"/>
      <c r="G88" s="727"/>
      <c r="H88" s="727"/>
    </row>
    <row r="89" spans="1:9">
      <c r="B89" s="727" t="s">
        <v>681</v>
      </c>
      <c r="C89" s="727"/>
      <c r="D89" s="727"/>
      <c r="E89" s="727"/>
      <c r="F89" s="727"/>
      <c r="G89" s="727"/>
      <c r="H89" s="727"/>
    </row>
    <row r="90" spans="1:9">
      <c r="B90" s="727" t="s">
        <v>682</v>
      </c>
      <c r="C90" s="727"/>
      <c r="D90" s="727"/>
      <c r="E90" s="727"/>
      <c r="F90" s="727"/>
      <c r="G90" s="727"/>
      <c r="H90" s="727"/>
    </row>
    <row r="91" spans="1:9">
      <c r="B91" s="727" t="s">
        <v>683</v>
      </c>
      <c r="C91" s="727"/>
      <c r="D91" s="727"/>
      <c r="E91" s="727"/>
      <c r="F91" s="727"/>
      <c r="G91" s="727"/>
      <c r="H91" s="727"/>
    </row>
    <row r="92" spans="1:9">
      <c r="B92" s="727" t="s">
        <v>684</v>
      </c>
      <c r="C92" s="727"/>
      <c r="D92" s="727"/>
      <c r="E92" s="727"/>
      <c r="F92" s="727"/>
      <c r="G92" s="727"/>
      <c r="H92" s="727"/>
    </row>
    <row r="93" spans="1:9">
      <c r="B93" s="727" t="s">
        <v>685</v>
      </c>
      <c r="C93" s="727"/>
      <c r="D93" s="727"/>
      <c r="E93" s="727"/>
      <c r="F93" s="727"/>
      <c r="G93" s="727"/>
      <c r="H93" s="727"/>
    </row>
    <row r="94" spans="1:9">
      <c r="B94" s="727" t="s">
        <v>686</v>
      </c>
      <c r="C94" s="727"/>
      <c r="D94" s="727"/>
      <c r="E94" s="727"/>
      <c r="F94" s="727"/>
      <c r="G94" s="727"/>
      <c r="H94" s="727"/>
    </row>
    <row r="95" spans="1:9">
      <c r="B95" s="8" t="s">
        <v>687</v>
      </c>
    </row>
  </sheetData>
  <mergeCells count="7">
    <mergeCell ref="B94:H94"/>
    <mergeCell ref="B93:H93"/>
    <mergeCell ref="B88:H88"/>
    <mergeCell ref="B89:H89"/>
    <mergeCell ref="B90:H90"/>
    <mergeCell ref="B91:H91"/>
    <mergeCell ref="B92:H92"/>
  </mergeCells>
  <printOptions horizontalCentered="1"/>
  <pageMargins left="1" right="1" top="1" bottom="1" header="0.5" footer="0.5"/>
  <pageSetup scale="55"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53" max="8" man="1"/>
  </rowBreaks>
  <customProperties>
    <customPr name="_pios_id" r:id="rId2"/>
    <customPr name="EpmWorksheetKeyString_GUID" r:id="rId3"/>
  </customProperties>
  <ignoredErrors>
    <ignoredError sqref="E85:H85" evalErro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6001-0A06-4C66-9E2D-81D4A183DD11}">
  <sheetPr codeName="Sheet13">
    <pageSetUpPr fitToPage="1"/>
  </sheetPr>
  <dimension ref="A1:AG138"/>
  <sheetViews>
    <sheetView view="pageBreakPreview" topLeftCell="A61" zoomScale="40" zoomScaleNormal="89" zoomScaleSheetLayoutView="40" zoomScalePageLayoutView="70" workbookViewId="0">
      <selection activeCell="D45" sqref="D45"/>
    </sheetView>
  </sheetViews>
  <sheetFormatPr defaultColWidth="8.81640625" defaultRowHeight="14.5"/>
  <cols>
    <col min="1" max="1" width="4.7265625" style="21" bestFit="1" customWidth="1"/>
    <col min="2" max="2" width="14" customWidth="1"/>
    <col min="3" max="3" width="14.453125" customWidth="1"/>
    <col min="4" max="4" width="22.7265625" customWidth="1"/>
    <col min="5" max="5" width="22.81640625" customWidth="1"/>
    <col min="6" max="29" width="20.453125" customWidth="1"/>
    <col min="30" max="30" width="4.7265625" style="21" bestFit="1" customWidth="1"/>
    <col min="32" max="32" width="16.7265625" bestFit="1" customWidth="1"/>
    <col min="33" max="33" width="29.453125" customWidth="1"/>
  </cols>
  <sheetData>
    <row r="1" spans="1:33">
      <c r="B1" s="2" t="s">
        <v>688</v>
      </c>
      <c r="C1" s="2"/>
      <c r="H1" s="101"/>
      <c r="N1" s="8"/>
      <c r="AC1" s="6" t="str">
        <f>CONCATENATE("Prior Year: ",'1-DRR'!$K$2)</f>
        <v>Prior Year: 2022</v>
      </c>
    </row>
    <row r="2" spans="1:33">
      <c r="B2" s="78" t="s">
        <v>122</v>
      </c>
      <c r="C2" s="38"/>
      <c r="AC2" s="4"/>
    </row>
    <row r="3" spans="1:33">
      <c r="A3" s="80"/>
      <c r="B3" s="105"/>
      <c r="AD3" s="80"/>
    </row>
    <row r="4" spans="1:33">
      <c r="B4" s="45" t="s">
        <v>689</v>
      </c>
      <c r="C4" s="45"/>
      <c r="D4" s="43"/>
      <c r="E4" s="43"/>
      <c r="F4" s="43"/>
      <c r="G4" s="43"/>
      <c r="H4" s="43"/>
      <c r="I4" s="43"/>
      <c r="J4" s="43"/>
      <c r="K4" s="43"/>
      <c r="L4" s="43"/>
      <c r="M4" s="43"/>
      <c r="N4" s="43"/>
      <c r="O4" s="43"/>
      <c r="P4" s="43"/>
      <c r="Q4" s="43"/>
      <c r="R4" s="43"/>
      <c r="S4" s="43"/>
      <c r="T4" s="43"/>
      <c r="U4" s="43"/>
      <c r="V4" s="43"/>
      <c r="W4" s="43"/>
      <c r="X4" s="43"/>
      <c r="Y4" s="43"/>
      <c r="Z4" s="43"/>
      <c r="AA4" s="43"/>
      <c r="AB4" s="43"/>
      <c r="AC4" s="43"/>
    </row>
    <row r="5" spans="1:33">
      <c r="A5" s="4"/>
      <c r="B5" s="377" t="s">
        <v>690</v>
      </c>
      <c r="C5" s="8"/>
      <c r="M5" s="8"/>
      <c r="N5" s="21"/>
      <c r="O5" s="378"/>
    </row>
    <row r="6" spans="1:33">
      <c r="A6" s="4"/>
      <c r="B6" s="377" t="s">
        <v>691</v>
      </c>
      <c r="C6" s="8"/>
      <c r="M6" s="8"/>
      <c r="N6" s="21"/>
      <c r="O6" s="378"/>
    </row>
    <row r="7" spans="1:33">
      <c r="A7" s="4"/>
      <c r="B7" s="377"/>
      <c r="C7" s="8"/>
      <c r="M7" s="8"/>
      <c r="N7" s="21"/>
      <c r="O7" s="378"/>
    </row>
    <row r="8" spans="1:33">
      <c r="A8" s="4"/>
      <c r="D8" s="83" t="s">
        <v>124</v>
      </c>
      <c r="E8" s="83" t="s">
        <v>125</v>
      </c>
      <c r="F8" s="83" t="s">
        <v>126</v>
      </c>
      <c r="G8" s="83" t="s">
        <v>127</v>
      </c>
      <c r="H8" s="83" t="s">
        <v>420</v>
      </c>
      <c r="I8" s="83" t="s">
        <v>421</v>
      </c>
      <c r="J8" s="83" t="s">
        <v>422</v>
      </c>
      <c r="K8" s="83" t="s">
        <v>423</v>
      </c>
      <c r="L8" s="83" t="s">
        <v>424</v>
      </c>
      <c r="M8" s="83" t="s">
        <v>692</v>
      </c>
      <c r="N8" s="83" t="s">
        <v>693</v>
      </c>
      <c r="O8" s="83" t="s">
        <v>694</v>
      </c>
      <c r="P8" s="83" t="s">
        <v>695</v>
      </c>
      <c r="Q8" s="83" t="s">
        <v>696</v>
      </c>
      <c r="R8" s="83" t="s">
        <v>697</v>
      </c>
      <c r="S8" s="83" t="s">
        <v>698</v>
      </c>
      <c r="T8" s="83" t="s">
        <v>699</v>
      </c>
      <c r="U8" s="83" t="s">
        <v>700</v>
      </c>
      <c r="V8" s="83" t="s">
        <v>701</v>
      </c>
      <c r="W8" s="83" t="s">
        <v>702</v>
      </c>
      <c r="X8" s="83" t="s">
        <v>703</v>
      </c>
      <c r="Y8" s="83" t="s">
        <v>704</v>
      </c>
      <c r="Z8" s="83" t="s">
        <v>705</v>
      </c>
      <c r="AA8" s="83" t="s">
        <v>706</v>
      </c>
      <c r="AB8" s="83" t="s">
        <v>707</v>
      </c>
      <c r="AC8" s="83" t="s">
        <v>708</v>
      </c>
    </row>
    <row r="9" spans="1:33">
      <c r="B9" s="4"/>
      <c r="C9" s="4"/>
      <c r="D9" s="379"/>
      <c r="E9" s="379"/>
      <c r="F9" s="379"/>
      <c r="G9" s="379"/>
      <c r="H9" s="379"/>
      <c r="I9" s="379"/>
      <c r="J9" s="379"/>
      <c r="K9" s="379"/>
      <c r="L9" s="379"/>
      <c r="M9" s="379"/>
      <c r="N9" s="379"/>
      <c r="O9" s="379"/>
      <c r="P9" s="379"/>
      <c r="Q9" s="379"/>
      <c r="R9" s="379"/>
      <c r="S9" s="379"/>
      <c r="T9" s="379"/>
      <c r="U9" s="379"/>
      <c r="V9" s="379"/>
      <c r="W9" s="379"/>
      <c r="X9" s="379"/>
      <c r="Y9" s="379"/>
      <c r="Z9" s="379"/>
      <c r="AA9" s="379"/>
      <c r="AB9" s="379"/>
      <c r="AC9" s="133" t="s">
        <v>709</v>
      </c>
    </row>
    <row r="10" spans="1:33">
      <c r="B10" s="4"/>
      <c r="C10" s="4"/>
      <c r="L10" s="107"/>
      <c r="R10" s="21"/>
      <c r="S10" s="21"/>
      <c r="T10" s="21"/>
      <c r="AC10" s="21"/>
    </row>
    <row r="11" spans="1:33">
      <c r="C11" s="90" t="s">
        <v>710</v>
      </c>
      <c r="D11" s="84">
        <v>360</v>
      </c>
      <c r="E11" s="84">
        <v>360</v>
      </c>
      <c r="F11" s="84">
        <v>361</v>
      </c>
      <c r="G11" s="84">
        <v>361</v>
      </c>
      <c r="H11" s="84">
        <v>362</v>
      </c>
      <c r="I11" s="84">
        <v>363</v>
      </c>
      <c r="J11" s="84">
        <v>363</v>
      </c>
      <c r="K11" s="84">
        <v>364</v>
      </c>
      <c r="L11" s="84">
        <v>365</v>
      </c>
      <c r="M11" s="84">
        <v>366</v>
      </c>
      <c r="N11" s="84">
        <v>367</v>
      </c>
      <c r="O11" s="84">
        <v>368</v>
      </c>
      <c r="P11" s="84">
        <v>368</v>
      </c>
      <c r="Q11" s="84">
        <v>369</v>
      </c>
      <c r="R11" s="84">
        <v>369</v>
      </c>
      <c r="S11" s="84">
        <v>370</v>
      </c>
      <c r="T11" s="84">
        <v>370</v>
      </c>
      <c r="U11" s="84">
        <v>371</v>
      </c>
      <c r="V11" s="84">
        <v>371</v>
      </c>
      <c r="W11" s="84">
        <v>371</v>
      </c>
      <c r="X11" s="84">
        <v>372</v>
      </c>
      <c r="Y11" s="84">
        <v>373</v>
      </c>
      <c r="Z11" s="84">
        <v>373</v>
      </c>
      <c r="AA11" s="84">
        <v>373</v>
      </c>
      <c r="AB11" s="84">
        <v>373</v>
      </c>
    </row>
    <row r="12" spans="1:33">
      <c r="A12" s="80" t="s">
        <v>92</v>
      </c>
      <c r="B12" s="80" t="s">
        <v>440</v>
      </c>
      <c r="C12" s="80" t="s">
        <v>441</v>
      </c>
      <c r="D12" s="83" t="s">
        <v>711</v>
      </c>
      <c r="E12" s="83" t="s">
        <v>712</v>
      </c>
      <c r="F12" s="83" t="s">
        <v>713</v>
      </c>
      <c r="G12" s="83" t="s">
        <v>714</v>
      </c>
      <c r="H12" s="83" t="s">
        <v>715</v>
      </c>
      <c r="I12" s="83" t="s">
        <v>716</v>
      </c>
      <c r="J12" s="83" t="s">
        <v>717</v>
      </c>
      <c r="K12" s="83" t="s">
        <v>718</v>
      </c>
      <c r="L12" s="83" t="s">
        <v>719</v>
      </c>
      <c r="M12" s="83" t="s">
        <v>720</v>
      </c>
      <c r="N12" s="83" t="s">
        <v>721</v>
      </c>
      <c r="O12" s="83" t="s">
        <v>722</v>
      </c>
      <c r="P12" s="83" t="s">
        <v>723</v>
      </c>
      <c r="Q12" s="83" t="s">
        <v>724</v>
      </c>
      <c r="R12" s="83" t="s">
        <v>725</v>
      </c>
      <c r="S12" s="83" t="s">
        <v>726</v>
      </c>
      <c r="T12" s="83" t="s">
        <v>727</v>
      </c>
      <c r="U12" s="83" t="s">
        <v>728</v>
      </c>
      <c r="V12" s="83" t="s">
        <v>729</v>
      </c>
      <c r="W12" s="83" t="s">
        <v>730</v>
      </c>
      <c r="X12" s="83" t="s">
        <v>731</v>
      </c>
      <c r="Y12" s="83" t="s">
        <v>732</v>
      </c>
      <c r="Z12" s="83" t="s">
        <v>733</v>
      </c>
      <c r="AA12" s="83" t="s">
        <v>734</v>
      </c>
      <c r="AB12" s="83" t="s">
        <v>735</v>
      </c>
      <c r="AC12" s="80" t="s">
        <v>736</v>
      </c>
      <c r="AD12" s="80" t="str">
        <f t="shared" ref="AD12:AD26" si="0">A12</f>
        <v>Line</v>
      </c>
    </row>
    <row r="13" spans="1:33">
      <c r="A13" s="91">
        <v>100</v>
      </c>
      <c r="B13" s="377" t="s">
        <v>449</v>
      </c>
      <c r="C13" s="140">
        <f>'1-DRR'!$K$2-1</f>
        <v>2021</v>
      </c>
      <c r="D13" s="271">
        <v>59464647.179999985</v>
      </c>
      <c r="E13" s="271">
        <v>119812208.97999997</v>
      </c>
      <c r="F13" s="271">
        <v>278198099.20000023</v>
      </c>
      <c r="G13" s="271">
        <v>24754226.169999987</v>
      </c>
      <c r="H13" s="271">
        <v>3992385140.6099925</v>
      </c>
      <c r="I13" s="271">
        <v>333686.91000000003</v>
      </c>
      <c r="J13" s="271">
        <v>30056380.57</v>
      </c>
      <c r="K13" s="271">
        <v>6898451289.1799974</v>
      </c>
      <c r="L13" s="271">
        <v>5426690745.5600014</v>
      </c>
      <c r="M13" s="271">
        <v>3540727070.150001</v>
      </c>
      <c r="N13" s="271">
        <v>5775958001.0899973</v>
      </c>
      <c r="O13" s="271">
        <v>3573807357.6999989</v>
      </c>
      <c r="P13" s="271">
        <v>1431524018.4900002</v>
      </c>
      <c r="Q13" s="271">
        <v>1030954038.3700004</v>
      </c>
      <c r="R13" s="271">
        <v>2879007578.7600017</v>
      </c>
      <c r="S13" s="271">
        <v>108537189.00000006</v>
      </c>
      <c r="T13" s="271">
        <v>1252530966.6099999</v>
      </c>
      <c r="U13" s="271">
        <v>27313911.41</v>
      </c>
      <c r="V13" s="271">
        <v>10228.049999999999</v>
      </c>
      <c r="W13" s="271">
        <v>3938094.8000000007</v>
      </c>
      <c r="X13" s="271">
        <v>895447.84</v>
      </c>
      <c r="Y13" s="271">
        <v>15075275.959999999</v>
      </c>
      <c r="Z13" s="271">
        <v>57967487.010000028</v>
      </c>
      <c r="AA13" s="271">
        <v>168646372.07999992</v>
      </c>
      <c r="AB13" s="271">
        <v>74563569.629999965</v>
      </c>
      <c r="AC13" s="24">
        <f t="shared" ref="AC13:AC25" si="1">SUM(D13:AB13)</f>
        <v>36771603031.309998</v>
      </c>
      <c r="AD13" s="91">
        <f t="shared" si="0"/>
        <v>100</v>
      </c>
      <c r="AF13" s="24"/>
      <c r="AG13" s="12"/>
    </row>
    <row r="14" spans="1:33">
      <c r="A14" s="91">
        <f>A13+1</f>
        <v>101</v>
      </c>
      <c r="B14" s="377" t="s">
        <v>451</v>
      </c>
      <c r="C14" s="140">
        <f>'1-DRR'!$K$2</f>
        <v>2022</v>
      </c>
      <c r="D14" s="271">
        <v>59484019.499999985</v>
      </c>
      <c r="E14" s="271">
        <v>119816408.50999999</v>
      </c>
      <c r="F14" s="271">
        <v>278109800.04666686</v>
      </c>
      <c r="G14" s="271">
        <v>24755922.130000003</v>
      </c>
      <c r="H14" s="271">
        <v>4002093884.53583</v>
      </c>
      <c r="I14" s="271">
        <v>333686.91000000003</v>
      </c>
      <c r="J14" s="271">
        <v>30056380.57</v>
      </c>
      <c r="K14" s="271">
        <v>6946357587.222496</v>
      </c>
      <c r="L14" s="271">
        <v>5456249958.97083</v>
      </c>
      <c r="M14" s="271">
        <v>3551230201.2925005</v>
      </c>
      <c r="N14" s="271">
        <v>5802735728.5458374</v>
      </c>
      <c r="O14" s="271">
        <v>3597216144.344995</v>
      </c>
      <c r="P14" s="271">
        <v>1447121583.3400002</v>
      </c>
      <c r="Q14" s="271">
        <v>1037281644.9516672</v>
      </c>
      <c r="R14" s="271">
        <v>2887052908.4725022</v>
      </c>
      <c r="S14" s="271">
        <v>109479008.16999997</v>
      </c>
      <c r="T14" s="271">
        <v>1257451532.8600004</v>
      </c>
      <c r="U14" s="271">
        <v>27313911.41</v>
      </c>
      <c r="V14" s="271">
        <v>10228.049999999999</v>
      </c>
      <c r="W14" s="271">
        <v>3937893.6000000006</v>
      </c>
      <c r="X14" s="271">
        <v>895447.84</v>
      </c>
      <c r="Y14" s="271">
        <v>15095107.119999992</v>
      </c>
      <c r="Z14" s="271">
        <v>58027770.409166686</v>
      </c>
      <c r="AA14" s="271">
        <v>168801781.72916657</v>
      </c>
      <c r="AB14" s="271">
        <v>74869441.98999998</v>
      </c>
      <c r="AC14" s="24">
        <f t="shared" si="1"/>
        <v>36955777982.521652</v>
      </c>
      <c r="AD14" s="91">
        <f t="shared" si="0"/>
        <v>101</v>
      </c>
      <c r="AF14" s="24"/>
      <c r="AG14" s="12"/>
    </row>
    <row r="15" spans="1:33">
      <c r="A15" s="91">
        <f t="shared" ref="A15:A26" si="2">A14+1</f>
        <v>102</v>
      </c>
      <c r="B15" s="377" t="s">
        <v>452</v>
      </c>
      <c r="C15" s="140">
        <f>'1-DRR'!$K$2</f>
        <v>2022</v>
      </c>
      <c r="D15" s="271">
        <v>59496583.199999988</v>
      </c>
      <c r="E15" s="271">
        <v>119822866.04999997</v>
      </c>
      <c r="F15" s="271">
        <v>278198729.28333348</v>
      </c>
      <c r="G15" s="271">
        <v>24763546.310000002</v>
      </c>
      <c r="H15" s="271">
        <v>4006431750.9616599</v>
      </c>
      <c r="I15" s="271">
        <v>333686.91000000003</v>
      </c>
      <c r="J15" s="271">
        <v>30056380.57</v>
      </c>
      <c r="K15" s="271">
        <v>7014965018.8550014</v>
      </c>
      <c r="L15" s="271">
        <v>5469988152.1816626</v>
      </c>
      <c r="M15" s="271">
        <v>3569673319.2550011</v>
      </c>
      <c r="N15" s="271">
        <v>5845550112.84167</v>
      </c>
      <c r="O15" s="271">
        <v>3617887732.1399965</v>
      </c>
      <c r="P15" s="271">
        <v>1465789598.3600006</v>
      </c>
      <c r="Q15" s="271">
        <v>1042458611.293334</v>
      </c>
      <c r="R15" s="271">
        <v>2899793954.3149977</v>
      </c>
      <c r="S15" s="271">
        <v>111074903.86000001</v>
      </c>
      <c r="T15" s="271">
        <v>1260509165.6600003</v>
      </c>
      <c r="U15" s="271">
        <v>27313911.41</v>
      </c>
      <c r="V15" s="271">
        <v>10228.049999999999</v>
      </c>
      <c r="W15" s="271">
        <v>3943689.3500000006</v>
      </c>
      <c r="X15" s="271">
        <v>895447.84</v>
      </c>
      <c r="Y15" s="271">
        <v>15129713.939999994</v>
      </c>
      <c r="Z15" s="271">
        <v>58437054.878333345</v>
      </c>
      <c r="AA15" s="271">
        <v>169310800.82833326</v>
      </c>
      <c r="AB15" s="271">
        <v>75316816.589999959</v>
      </c>
      <c r="AC15" s="24">
        <f t="shared" si="1"/>
        <v>37167151774.933327</v>
      </c>
      <c r="AD15" s="91">
        <f t="shared" si="0"/>
        <v>102</v>
      </c>
      <c r="AF15" s="24"/>
      <c r="AG15" s="12"/>
    </row>
    <row r="16" spans="1:33">
      <c r="A16" s="91">
        <f t="shared" si="2"/>
        <v>103</v>
      </c>
      <c r="B16" s="377" t="s">
        <v>453</v>
      </c>
      <c r="C16" s="140">
        <f>'1-DRR'!$K$2</f>
        <v>2022</v>
      </c>
      <c r="D16" s="271">
        <v>59511868.679999985</v>
      </c>
      <c r="E16" s="271">
        <v>119862366.49999997</v>
      </c>
      <c r="F16" s="271">
        <v>278909459.2100001</v>
      </c>
      <c r="G16" s="271">
        <v>24767400.339999989</v>
      </c>
      <c r="H16" s="271">
        <v>4033125073.8174949</v>
      </c>
      <c r="I16" s="271">
        <v>333686.91000000003</v>
      </c>
      <c r="J16" s="271">
        <v>89006.370000001043</v>
      </c>
      <c r="K16" s="271">
        <v>7221451352.3675013</v>
      </c>
      <c r="L16" s="271">
        <v>5497945010.8724947</v>
      </c>
      <c r="M16" s="271">
        <v>3585151654.8975005</v>
      </c>
      <c r="N16" s="271">
        <v>5874395018.8875008</v>
      </c>
      <c r="O16" s="271">
        <v>3647428586.724997</v>
      </c>
      <c r="P16" s="271">
        <v>1484612039.8600006</v>
      </c>
      <c r="Q16" s="271">
        <v>1049891296.335</v>
      </c>
      <c r="R16" s="271">
        <v>2914826109.7375011</v>
      </c>
      <c r="S16" s="271">
        <v>112030929.33</v>
      </c>
      <c r="T16" s="271">
        <v>1269391458.8100009</v>
      </c>
      <c r="U16" s="271">
        <v>27313911.41</v>
      </c>
      <c r="V16" s="271">
        <v>10228.049999999999</v>
      </c>
      <c r="W16" s="271">
        <v>4068778.44</v>
      </c>
      <c r="X16" s="271">
        <v>895447.84</v>
      </c>
      <c r="Y16" s="271">
        <v>15215154.119999992</v>
      </c>
      <c r="Z16" s="271">
        <v>58553515.117500022</v>
      </c>
      <c r="AA16" s="271">
        <v>169566676.6074999</v>
      </c>
      <c r="AB16" s="271">
        <v>75479328.969999969</v>
      </c>
      <c r="AC16" s="24">
        <f t="shared" si="1"/>
        <v>37524825360.204994</v>
      </c>
      <c r="AD16" s="91">
        <f t="shared" si="0"/>
        <v>103</v>
      </c>
      <c r="AF16" s="24"/>
      <c r="AG16" s="12"/>
    </row>
    <row r="17" spans="1:33">
      <c r="A17" s="91">
        <f t="shared" si="2"/>
        <v>104</v>
      </c>
      <c r="B17" s="377" t="s">
        <v>454</v>
      </c>
      <c r="C17" s="140">
        <f>'1-DRR'!$K$2</f>
        <v>2022</v>
      </c>
      <c r="D17" s="271">
        <v>59512119.319999985</v>
      </c>
      <c r="E17" s="271">
        <v>120080243.14999998</v>
      </c>
      <c r="F17" s="271">
        <v>280301622.30666685</v>
      </c>
      <c r="G17" s="271">
        <v>24813024.340000004</v>
      </c>
      <c r="H17" s="271">
        <v>4061940126.0333266</v>
      </c>
      <c r="I17" s="271">
        <v>333686.91000000003</v>
      </c>
      <c r="J17" s="271">
        <v>30056380.57</v>
      </c>
      <c r="K17" s="271">
        <v>7274827835.5199909</v>
      </c>
      <c r="L17" s="271">
        <v>5531121754.5133305</v>
      </c>
      <c r="M17" s="271">
        <v>3605453365.9800034</v>
      </c>
      <c r="N17" s="271">
        <v>5903784583.2733355</v>
      </c>
      <c r="O17" s="271">
        <v>3673980783.0299983</v>
      </c>
      <c r="P17" s="271">
        <v>1503966492.5199997</v>
      </c>
      <c r="Q17" s="271">
        <v>1054146286.1366676</v>
      </c>
      <c r="R17" s="271">
        <v>2929465084.8200002</v>
      </c>
      <c r="S17" s="271">
        <v>113403166.15000004</v>
      </c>
      <c r="T17" s="271">
        <v>1275065864.6200001</v>
      </c>
      <c r="U17" s="271">
        <v>27313911.41</v>
      </c>
      <c r="V17" s="271">
        <v>10228.049999999999</v>
      </c>
      <c r="W17" s="271">
        <v>4068265.8600000008</v>
      </c>
      <c r="X17" s="271">
        <v>895447.84</v>
      </c>
      <c r="Y17" s="271">
        <v>15234455.469999993</v>
      </c>
      <c r="Z17" s="271">
        <v>58665268.086666688</v>
      </c>
      <c r="AA17" s="271">
        <v>169837506.4866665</v>
      </c>
      <c r="AB17" s="271">
        <v>75547599.409999982</v>
      </c>
      <c r="AC17" s="24">
        <f t="shared" si="1"/>
        <v>37793825101.806671</v>
      </c>
      <c r="AD17" s="91">
        <f t="shared" si="0"/>
        <v>104</v>
      </c>
      <c r="AF17" s="24"/>
      <c r="AG17" s="12"/>
    </row>
    <row r="18" spans="1:33">
      <c r="A18" s="91">
        <f t="shared" si="2"/>
        <v>105</v>
      </c>
      <c r="B18" s="377" t="s">
        <v>455</v>
      </c>
      <c r="C18" s="140">
        <f>'1-DRR'!$K$2</f>
        <v>2022</v>
      </c>
      <c r="D18" s="271">
        <v>59514176.719999984</v>
      </c>
      <c r="E18" s="271">
        <v>120383016.60999997</v>
      </c>
      <c r="F18" s="271">
        <v>280789680.96333355</v>
      </c>
      <c r="G18" s="271">
        <v>24825709.269999996</v>
      </c>
      <c r="H18" s="271">
        <v>4081615942.5291605</v>
      </c>
      <c r="I18" s="271">
        <v>335713.39</v>
      </c>
      <c r="J18" s="271">
        <v>30056380.57</v>
      </c>
      <c r="K18" s="271">
        <v>7361850753.8424931</v>
      </c>
      <c r="L18" s="271">
        <v>5570978247.394166</v>
      </c>
      <c r="M18" s="271">
        <v>3652719182.652503</v>
      </c>
      <c r="N18" s="271">
        <v>5976131822.7691679</v>
      </c>
      <c r="O18" s="271">
        <v>3709444190.6949992</v>
      </c>
      <c r="P18" s="271">
        <v>1532024387.1200004</v>
      </c>
      <c r="Q18" s="271">
        <v>1062814077.388334</v>
      </c>
      <c r="R18" s="271">
        <v>2949306823.0924988</v>
      </c>
      <c r="S18" s="271">
        <v>115646270.63999999</v>
      </c>
      <c r="T18" s="271">
        <v>1283012456.9700003</v>
      </c>
      <c r="U18" s="271">
        <v>27313911.41</v>
      </c>
      <c r="V18" s="271">
        <v>10228.049999999999</v>
      </c>
      <c r="W18" s="271">
        <v>4068265.8600000003</v>
      </c>
      <c r="X18" s="271">
        <v>895447.84</v>
      </c>
      <c r="Y18" s="271">
        <v>15261896.839999994</v>
      </c>
      <c r="Z18" s="271">
        <v>58937871.375833333</v>
      </c>
      <c r="AA18" s="271">
        <v>170044023.62583321</v>
      </c>
      <c r="AB18" s="271">
        <v>75796041.699999943</v>
      </c>
      <c r="AC18" s="24">
        <f t="shared" si="1"/>
        <v>38163776519.318314</v>
      </c>
      <c r="AD18" s="91">
        <f t="shared" si="0"/>
        <v>105</v>
      </c>
      <c r="AF18" s="24"/>
      <c r="AG18" s="12"/>
    </row>
    <row r="19" spans="1:33">
      <c r="A19" s="91">
        <f t="shared" si="2"/>
        <v>106</v>
      </c>
      <c r="B19" s="377" t="s">
        <v>737</v>
      </c>
      <c r="C19" s="140">
        <f>'1-DRR'!$K$2</f>
        <v>2022</v>
      </c>
      <c r="D19" s="271">
        <v>59492763.25999999</v>
      </c>
      <c r="E19" s="271">
        <v>120788716.36999996</v>
      </c>
      <c r="F19" s="271">
        <v>282124177.68000025</v>
      </c>
      <c r="G19" s="271">
        <v>24828472.339999989</v>
      </c>
      <c r="H19" s="271">
        <v>4121826806.0649967</v>
      </c>
      <c r="I19" s="271">
        <v>338909.24</v>
      </c>
      <c r="J19" s="271">
        <v>30056380.57</v>
      </c>
      <c r="K19" s="271">
        <v>7436633108.5649939</v>
      </c>
      <c r="L19" s="271">
        <v>5596206757.5149918</v>
      </c>
      <c r="M19" s="271">
        <v>3680518913.0650029</v>
      </c>
      <c r="N19" s="271">
        <v>6033634036.4249954</v>
      </c>
      <c r="O19" s="271">
        <v>3747273015.0100002</v>
      </c>
      <c r="P19" s="271">
        <v>1556013714.7900004</v>
      </c>
      <c r="Q19" s="271">
        <v>1069810226.9300019</v>
      </c>
      <c r="R19" s="271">
        <v>2967969618.8849998</v>
      </c>
      <c r="S19" s="271">
        <v>116879296.98999999</v>
      </c>
      <c r="T19" s="271">
        <v>1287059481.6600001</v>
      </c>
      <c r="U19" s="271">
        <v>27313911.41</v>
      </c>
      <c r="V19" s="271">
        <v>10228.049999999999</v>
      </c>
      <c r="W19" s="271">
        <v>4068265.8600000003</v>
      </c>
      <c r="X19" s="271">
        <v>895447.84</v>
      </c>
      <c r="Y19" s="271">
        <v>15301364.689999986</v>
      </c>
      <c r="Z19" s="271">
        <v>59043671.675000019</v>
      </c>
      <c r="AA19" s="271">
        <v>170231768.2649999</v>
      </c>
      <c r="AB19" s="271">
        <v>75832338.609999955</v>
      </c>
      <c r="AC19" s="24">
        <f t="shared" si="1"/>
        <v>38484151391.759995</v>
      </c>
      <c r="AD19" s="91">
        <f t="shared" si="0"/>
        <v>106</v>
      </c>
      <c r="AF19" s="24"/>
      <c r="AG19" s="12"/>
    </row>
    <row r="20" spans="1:33">
      <c r="A20" s="91">
        <f t="shared" si="2"/>
        <v>107</v>
      </c>
      <c r="B20" s="377" t="s">
        <v>457</v>
      </c>
      <c r="C20" s="140">
        <f>'1-DRR'!$K$2</f>
        <v>2022</v>
      </c>
      <c r="D20" s="271">
        <v>59494605.499999993</v>
      </c>
      <c r="E20" s="271">
        <v>120935127.07999995</v>
      </c>
      <c r="F20" s="271">
        <v>283454115.93666679</v>
      </c>
      <c r="G20" s="271">
        <v>24817999.309999995</v>
      </c>
      <c r="H20" s="271">
        <v>4133579207.9108286</v>
      </c>
      <c r="I20" s="271">
        <v>377328.30000000005</v>
      </c>
      <c r="J20" s="271">
        <v>30056380.57</v>
      </c>
      <c r="K20" s="271">
        <v>7500857568.5874805</v>
      </c>
      <c r="L20" s="271">
        <v>5626898542.1258287</v>
      </c>
      <c r="M20" s="271">
        <v>3692008232.0775027</v>
      </c>
      <c r="N20" s="271">
        <v>6058095933.320838</v>
      </c>
      <c r="O20" s="271">
        <v>3766104281.1449995</v>
      </c>
      <c r="P20" s="271">
        <v>1574082407.9199996</v>
      </c>
      <c r="Q20" s="271">
        <v>1075753311.2416685</v>
      </c>
      <c r="R20" s="271">
        <v>2978252921.6074982</v>
      </c>
      <c r="S20" s="271">
        <v>117688643.51000002</v>
      </c>
      <c r="T20" s="271">
        <v>1289871045.0300004</v>
      </c>
      <c r="U20" s="271">
        <v>27313911.41</v>
      </c>
      <c r="V20" s="271">
        <v>10228.049999999999</v>
      </c>
      <c r="W20" s="271">
        <v>4068265.8600000003</v>
      </c>
      <c r="X20" s="271">
        <v>895447.84</v>
      </c>
      <c r="Y20" s="271">
        <v>15095456.069999993</v>
      </c>
      <c r="Z20" s="271">
        <v>59103532.604166701</v>
      </c>
      <c r="AA20" s="271">
        <v>170388325.65416661</v>
      </c>
      <c r="AB20" s="271">
        <v>75970078.769999951</v>
      </c>
      <c r="AC20" s="24">
        <f t="shared" si="1"/>
        <v>38685172897.431648</v>
      </c>
      <c r="AD20" s="91">
        <f t="shared" si="0"/>
        <v>107</v>
      </c>
      <c r="AF20" s="24"/>
      <c r="AG20" s="12"/>
    </row>
    <row r="21" spans="1:33">
      <c r="A21" s="91">
        <f t="shared" si="2"/>
        <v>108</v>
      </c>
      <c r="B21" s="377" t="s">
        <v>458</v>
      </c>
      <c r="C21" s="140">
        <f>'1-DRR'!$K$2</f>
        <v>2022</v>
      </c>
      <c r="D21" s="271">
        <v>59518202.319999985</v>
      </c>
      <c r="E21" s="271">
        <v>121348979.58999997</v>
      </c>
      <c r="F21" s="271">
        <v>283692538.37333333</v>
      </c>
      <c r="G21" s="271">
        <v>24810254.25</v>
      </c>
      <c r="H21" s="271">
        <v>4143904672.0066609</v>
      </c>
      <c r="I21" s="271">
        <v>404380.9</v>
      </c>
      <c r="J21" s="271">
        <v>30056380.57</v>
      </c>
      <c r="K21" s="271">
        <v>7590426390.5599928</v>
      </c>
      <c r="L21" s="271">
        <v>5664624814.0166597</v>
      </c>
      <c r="M21" s="271">
        <v>3720190871.0400019</v>
      </c>
      <c r="N21" s="271">
        <v>6111503981.2766657</v>
      </c>
      <c r="O21" s="271">
        <v>3799470275.4099946</v>
      </c>
      <c r="P21" s="271">
        <v>1603281184.5700004</v>
      </c>
      <c r="Q21" s="271">
        <v>1083847203.9533353</v>
      </c>
      <c r="R21" s="271">
        <v>2991800945.8800001</v>
      </c>
      <c r="S21" s="271">
        <v>118679748.32000005</v>
      </c>
      <c r="T21" s="271">
        <v>1295280666.1000004</v>
      </c>
      <c r="U21" s="271">
        <v>27313911.41</v>
      </c>
      <c r="V21" s="271">
        <v>10945.98</v>
      </c>
      <c r="W21" s="271">
        <v>4068265.8600000003</v>
      </c>
      <c r="X21" s="271">
        <v>895447.84</v>
      </c>
      <c r="Y21" s="271">
        <v>15173622.83</v>
      </c>
      <c r="Z21" s="271">
        <v>59288361.573333353</v>
      </c>
      <c r="AA21" s="271">
        <v>170661147.13333324</v>
      </c>
      <c r="AB21" s="271">
        <v>76258989.419999972</v>
      </c>
      <c r="AC21" s="24">
        <f t="shared" si="1"/>
        <v>38996512181.183311</v>
      </c>
      <c r="AD21" s="91">
        <f t="shared" si="0"/>
        <v>108</v>
      </c>
      <c r="AF21" s="24"/>
      <c r="AG21" s="12"/>
    </row>
    <row r="22" spans="1:33">
      <c r="A22" s="91">
        <f t="shared" si="2"/>
        <v>109</v>
      </c>
      <c r="B22" s="377" t="s">
        <v>459</v>
      </c>
      <c r="C22" s="140">
        <f>'1-DRR'!$K$2</f>
        <v>2022</v>
      </c>
      <c r="D22" s="271">
        <v>59526193.600000001</v>
      </c>
      <c r="E22" s="271">
        <v>121732021.22</v>
      </c>
      <c r="F22" s="271">
        <v>284372657.20999998</v>
      </c>
      <c r="G22" s="271">
        <v>24828003.079999994</v>
      </c>
      <c r="H22" s="271">
        <v>4155708439.8825002</v>
      </c>
      <c r="I22" s="271">
        <v>444047.13</v>
      </c>
      <c r="J22" s="271">
        <v>30056380.57</v>
      </c>
      <c r="K22" s="271">
        <v>7717781979.2025003</v>
      </c>
      <c r="L22" s="271">
        <v>5700330305.8575001</v>
      </c>
      <c r="M22" s="271">
        <v>3755473095.3625002</v>
      </c>
      <c r="N22" s="271">
        <v>6176642272.5325003</v>
      </c>
      <c r="O22" s="271">
        <v>3831245383.1150002</v>
      </c>
      <c r="P22" s="271">
        <v>1626113937.3</v>
      </c>
      <c r="Q22" s="271">
        <v>1090550487.5450001</v>
      </c>
      <c r="R22" s="271">
        <v>3007381997.1325002</v>
      </c>
      <c r="S22" s="271">
        <v>119684833.60000001</v>
      </c>
      <c r="T22" s="271">
        <v>1299831692.6800001</v>
      </c>
      <c r="U22" s="271">
        <v>27313911.41</v>
      </c>
      <c r="V22" s="271">
        <v>25902.78</v>
      </c>
      <c r="W22" s="271">
        <v>4068265.86</v>
      </c>
      <c r="X22" s="271">
        <v>895447.84</v>
      </c>
      <c r="Y22" s="271">
        <v>15239191.969999999</v>
      </c>
      <c r="Z22" s="271">
        <v>59422558.392499998</v>
      </c>
      <c r="AA22" s="271">
        <v>170995983.4325</v>
      </c>
      <c r="AB22" s="271">
        <v>76387013.609999999</v>
      </c>
      <c r="AC22" s="24">
        <f t="shared" si="1"/>
        <v>39356052002.31501</v>
      </c>
      <c r="AD22" s="91">
        <f t="shared" si="0"/>
        <v>109</v>
      </c>
      <c r="AF22" s="24"/>
      <c r="AG22" s="12"/>
    </row>
    <row r="23" spans="1:33">
      <c r="A23" s="91">
        <f t="shared" si="2"/>
        <v>110</v>
      </c>
      <c r="B23" s="377" t="s">
        <v>460</v>
      </c>
      <c r="C23" s="140">
        <f>'1-DRR'!$K$2</f>
        <v>2022</v>
      </c>
      <c r="D23" s="271">
        <v>59580159.899999991</v>
      </c>
      <c r="E23" s="271">
        <v>121926669.33999999</v>
      </c>
      <c r="F23" s="271">
        <v>285634376.216667</v>
      </c>
      <c r="G23" s="271">
        <v>24896137.120000001</v>
      </c>
      <c r="H23" s="271">
        <v>4173296745.3583293</v>
      </c>
      <c r="I23" s="271">
        <v>469816.61</v>
      </c>
      <c r="J23" s="271">
        <v>30056380.57</v>
      </c>
      <c r="K23" s="271">
        <v>7917637708.0349913</v>
      </c>
      <c r="L23" s="271">
        <v>5756420326.7083254</v>
      </c>
      <c r="M23" s="271">
        <v>3786822696.974999</v>
      </c>
      <c r="N23" s="271">
        <v>6272556264.258337</v>
      </c>
      <c r="O23" s="271">
        <v>3890014670.2399993</v>
      </c>
      <c r="P23" s="271">
        <v>1657162643.5099993</v>
      </c>
      <c r="Q23" s="271">
        <v>1104191890.2966688</v>
      </c>
      <c r="R23" s="271">
        <v>3001099371.8850002</v>
      </c>
      <c r="S23" s="271">
        <v>121074151.89000009</v>
      </c>
      <c r="T23" s="271">
        <v>1302467006.5</v>
      </c>
      <c r="U23" s="271">
        <v>27313911.41</v>
      </c>
      <c r="V23" s="271">
        <v>126771.33</v>
      </c>
      <c r="W23" s="271">
        <v>4901899.82</v>
      </c>
      <c r="X23" s="271">
        <v>895447.84</v>
      </c>
      <c r="Y23" s="271">
        <v>15334216.030000009</v>
      </c>
      <c r="Z23" s="271">
        <v>59642506.891666681</v>
      </c>
      <c r="AA23" s="271">
        <v>171319609.56166655</v>
      </c>
      <c r="AB23" s="271">
        <v>76845484.569999993</v>
      </c>
      <c r="AC23" s="24">
        <f t="shared" si="1"/>
        <v>39861686862.866646</v>
      </c>
      <c r="AD23" s="91">
        <f t="shared" si="0"/>
        <v>110</v>
      </c>
      <c r="AF23" s="24"/>
      <c r="AG23" s="12"/>
    </row>
    <row r="24" spans="1:33">
      <c r="A24" s="91">
        <f t="shared" si="2"/>
        <v>111</v>
      </c>
      <c r="B24" s="377" t="s">
        <v>461</v>
      </c>
      <c r="C24" s="140">
        <f>'1-DRR'!$K$2</f>
        <v>2022</v>
      </c>
      <c r="D24" s="271">
        <v>59538386.5</v>
      </c>
      <c r="E24" s="271">
        <v>121893356.61</v>
      </c>
      <c r="F24" s="271">
        <v>284921462.68333334</v>
      </c>
      <c r="G24" s="271">
        <v>24846763.23</v>
      </c>
      <c r="H24" s="271">
        <v>4155621793.6041665</v>
      </c>
      <c r="I24" s="271">
        <v>467860.28</v>
      </c>
      <c r="J24" s="271">
        <v>30056380.57</v>
      </c>
      <c r="K24" s="271">
        <v>7786362819.8175001</v>
      </c>
      <c r="L24" s="271">
        <v>5734089039.7891665</v>
      </c>
      <c r="M24" s="271">
        <v>3758381944.1175003</v>
      </c>
      <c r="N24" s="271">
        <v>6208822259.104167</v>
      </c>
      <c r="O24" s="271">
        <v>3856497365.875</v>
      </c>
      <c r="P24" s="271">
        <v>1640172859.22</v>
      </c>
      <c r="Q24" s="271">
        <v>1098993268.4983335</v>
      </c>
      <c r="R24" s="271">
        <v>2988622040.1675</v>
      </c>
      <c r="S24" s="271">
        <v>120377423.68000001</v>
      </c>
      <c r="T24" s="271">
        <v>1299947371.1900001</v>
      </c>
      <c r="U24" s="271">
        <v>27313911.41</v>
      </c>
      <c r="V24" s="271">
        <v>37864.660000000003</v>
      </c>
      <c r="W24" s="271">
        <v>4068336.2</v>
      </c>
      <c r="X24" s="271">
        <v>895447.84</v>
      </c>
      <c r="Y24" s="271">
        <v>15306984.719999999</v>
      </c>
      <c r="Z24" s="271">
        <v>59576170.350833334</v>
      </c>
      <c r="AA24" s="271">
        <v>171213195.63083333</v>
      </c>
      <c r="AB24" s="271">
        <v>76691943.840000004</v>
      </c>
      <c r="AC24" s="24">
        <f t="shared" si="1"/>
        <v>39524716249.588341</v>
      </c>
      <c r="AD24" s="91">
        <f t="shared" si="0"/>
        <v>111</v>
      </c>
      <c r="AE24" s="355"/>
      <c r="AF24" s="24"/>
      <c r="AG24" s="12"/>
    </row>
    <row r="25" spans="1:33">
      <c r="A25" s="91">
        <f t="shared" si="2"/>
        <v>112</v>
      </c>
      <c r="B25" s="377" t="s">
        <v>449</v>
      </c>
      <c r="C25" s="140">
        <f>'1-DRR'!$K$2</f>
        <v>2022</v>
      </c>
      <c r="D25" s="271">
        <v>59508774.07</v>
      </c>
      <c r="E25" s="271">
        <v>121983535.58</v>
      </c>
      <c r="F25" s="271">
        <v>285665173.86999995</v>
      </c>
      <c r="G25" s="271">
        <v>25040612.589999996</v>
      </c>
      <c r="H25" s="271">
        <v>4175371984.77</v>
      </c>
      <c r="I25" s="271">
        <v>333686.90999999997</v>
      </c>
      <c r="J25" s="271">
        <v>30056380.57</v>
      </c>
      <c r="K25" s="271">
        <v>7724364846.8499794</v>
      </c>
      <c r="L25" s="271">
        <v>5644455263.6799965</v>
      </c>
      <c r="M25" s="271">
        <v>3702799391.4300103</v>
      </c>
      <c r="N25" s="271">
        <v>6190879491.6299992</v>
      </c>
      <c r="O25" s="271">
        <v>3890434496.6099997</v>
      </c>
      <c r="P25" s="271">
        <v>1658977115.4599998</v>
      </c>
      <c r="Q25" s="271">
        <v>1108493999.8400023</v>
      </c>
      <c r="R25" s="271">
        <v>2996616325.79</v>
      </c>
      <c r="S25" s="271">
        <v>121734702.18000011</v>
      </c>
      <c r="T25" s="271">
        <v>1305153052.9100001</v>
      </c>
      <c r="U25" s="271">
        <v>27313911.41</v>
      </c>
      <c r="V25" s="271">
        <v>444891.25</v>
      </c>
      <c r="W25" s="271">
        <v>4903558.88</v>
      </c>
      <c r="X25" s="271">
        <v>895447.84</v>
      </c>
      <c r="Y25" s="271">
        <v>15372771.969999999</v>
      </c>
      <c r="Z25" s="271">
        <v>59688022.959999993</v>
      </c>
      <c r="AA25" s="271">
        <v>173589853.18000001</v>
      </c>
      <c r="AB25" s="271">
        <v>76955690.930000007</v>
      </c>
      <c r="AC25" s="24">
        <f t="shared" si="1"/>
        <v>39401032983.159996</v>
      </c>
      <c r="AD25" s="91">
        <f t="shared" si="0"/>
        <v>112</v>
      </c>
      <c r="AE25" s="355"/>
      <c r="AF25" s="24"/>
      <c r="AG25" s="12"/>
    </row>
    <row r="26" spans="1:33">
      <c r="A26" s="91">
        <f t="shared" si="2"/>
        <v>113</v>
      </c>
      <c r="B26" s="699" t="s">
        <v>738</v>
      </c>
      <c r="C26" s="489"/>
      <c r="D26" s="696">
        <f>SUM(D13:D25)/13</f>
        <v>59510961.519230761</v>
      </c>
      <c r="E26" s="696">
        <f t="shared" ref="E26:AB26" si="3">SUM(E13:E25)/13</f>
        <v>120798885.81461534</v>
      </c>
      <c r="F26" s="696">
        <f t="shared" si="3"/>
        <v>281874760.99846172</v>
      </c>
      <c r="G26" s="696">
        <f t="shared" si="3"/>
        <v>24826774.652307689</v>
      </c>
      <c r="H26" s="696">
        <f t="shared" si="3"/>
        <v>4095146274.4680719</v>
      </c>
      <c r="I26" s="696">
        <f t="shared" si="3"/>
        <v>372321.33153846156</v>
      </c>
      <c r="J26" s="696">
        <f t="shared" si="3"/>
        <v>27751197.939230766</v>
      </c>
      <c r="K26" s="696">
        <f t="shared" si="3"/>
        <v>7414766789.1234541</v>
      </c>
      <c r="L26" s="696">
        <f t="shared" si="3"/>
        <v>5590461455.3219204</v>
      </c>
      <c r="M26" s="696">
        <f t="shared" si="3"/>
        <v>3661626918.3303862</v>
      </c>
      <c r="N26" s="696">
        <f t="shared" si="3"/>
        <v>6017745346.6119242</v>
      </c>
      <c r="O26" s="696">
        <f t="shared" si="3"/>
        <v>3738523406.3107677</v>
      </c>
      <c r="P26" s="696">
        <f t="shared" si="3"/>
        <v>1552372460.1892307</v>
      </c>
      <c r="Q26" s="696">
        <f t="shared" si="3"/>
        <v>1069937410.983078</v>
      </c>
      <c r="R26" s="696">
        <f t="shared" si="3"/>
        <v>2953168898.5034618</v>
      </c>
      <c r="S26" s="696">
        <f t="shared" si="3"/>
        <v>115868482.10153848</v>
      </c>
      <c r="T26" s="696">
        <f t="shared" si="3"/>
        <v>1282890135.5076926</v>
      </c>
      <c r="U26" s="696">
        <f t="shared" si="3"/>
        <v>27313911.410000008</v>
      </c>
      <c r="V26" s="696">
        <f t="shared" si="3"/>
        <v>56015.415384615386</v>
      </c>
      <c r="W26" s="696">
        <f t="shared" si="3"/>
        <v>4167065.0961538469</v>
      </c>
      <c r="X26" s="696">
        <f t="shared" si="3"/>
        <v>895447.84</v>
      </c>
      <c r="Y26" s="696">
        <f t="shared" si="3"/>
        <v>15218093.209999995</v>
      </c>
      <c r="Z26" s="696">
        <f t="shared" si="3"/>
        <v>58950291.640384629</v>
      </c>
      <c r="AA26" s="696">
        <f t="shared" si="3"/>
        <v>170354388.01653841</v>
      </c>
      <c r="AB26" s="696">
        <f t="shared" si="3"/>
        <v>75885718.310769215</v>
      </c>
      <c r="AC26" s="696">
        <f t="shared" ref="AC26" si="4">SUM(AC13:AC25)/13</f>
        <v>38360483410.646141</v>
      </c>
      <c r="AD26" s="91">
        <f t="shared" si="0"/>
        <v>113</v>
      </c>
      <c r="AE26" s="355"/>
      <c r="AF26" s="24"/>
      <c r="AG26" s="12"/>
    </row>
    <row r="27" spans="1:33">
      <c r="A27" s="18"/>
      <c r="B27" s="8"/>
      <c r="C27" s="8"/>
      <c r="D27" s="8"/>
      <c r="E27" s="8"/>
      <c r="F27" s="8"/>
      <c r="G27" s="8"/>
      <c r="H27" s="8"/>
      <c r="I27" s="8"/>
      <c r="J27" s="8"/>
      <c r="K27" s="8"/>
      <c r="L27" s="8"/>
      <c r="M27" s="8"/>
      <c r="N27" s="8"/>
      <c r="O27" s="8"/>
      <c r="P27" s="8"/>
      <c r="Q27" s="8"/>
      <c r="AD27" s="91"/>
    </row>
    <row r="28" spans="1:33">
      <c r="A28" s="18"/>
      <c r="B28" s="8"/>
      <c r="C28" s="8"/>
      <c r="D28" s="8"/>
      <c r="E28" s="8"/>
      <c r="F28" s="8"/>
      <c r="G28" s="8"/>
      <c r="H28" s="8"/>
      <c r="I28" s="8"/>
      <c r="J28" s="8"/>
      <c r="K28" s="8"/>
      <c r="L28" s="8"/>
      <c r="M28" s="8"/>
      <c r="N28" s="8"/>
      <c r="O28" s="8"/>
      <c r="P28" s="8"/>
      <c r="Q28" s="8"/>
      <c r="V28" s="19"/>
      <c r="W28" s="19"/>
      <c r="AD28" s="91"/>
    </row>
    <row r="29" spans="1:33">
      <c r="B29" s="45" t="s">
        <v>739</v>
      </c>
      <c r="C29" s="45"/>
      <c r="D29" s="103"/>
      <c r="E29" s="103"/>
      <c r="F29" s="43"/>
      <c r="G29" s="43"/>
      <c r="H29" s="43"/>
      <c r="I29" s="103"/>
      <c r="J29" s="103"/>
      <c r="K29" s="103"/>
      <c r="L29" s="103"/>
      <c r="M29" s="103"/>
      <c r="N29" s="103"/>
      <c r="O29" s="103"/>
      <c r="P29" s="103"/>
      <c r="Q29" s="103"/>
      <c r="R29" s="43"/>
      <c r="S29" s="43"/>
      <c r="T29" s="43"/>
      <c r="U29" s="43"/>
      <c r="V29" s="43"/>
      <c r="W29" s="43"/>
      <c r="X29" s="43"/>
      <c r="Y29" s="43"/>
      <c r="Z29" s="43"/>
      <c r="AA29" s="43"/>
      <c r="AB29" s="43"/>
      <c r="AC29" s="43"/>
    </row>
    <row r="30" spans="1:33">
      <c r="B30" s="377" t="s">
        <v>740</v>
      </c>
      <c r="C30" s="2"/>
      <c r="D30" s="8"/>
      <c r="E30" s="8"/>
      <c r="I30" s="8"/>
      <c r="J30" s="8"/>
      <c r="K30" s="8"/>
      <c r="L30" s="8"/>
      <c r="M30" s="8"/>
      <c r="N30" s="8"/>
      <c r="O30" s="8"/>
      <c r="P30" s="8"/>
      <c r="Q30" s="8"/>
    </row>
    <row r="31" spans="1:33">
      <c r="C31" s="2"/>
      <c r="D31" s="8"/>
      <c r="E31" s="8"/>
      <c r="I31" s="8"/>
      <c r="J31" s="8"/>
      <c r="K31" s="8"/>
      <c r="L31" s="8"/>
      <c r="M31" s="8"/>
      <c r="N31" s="8"/>
      <c r="O31" s="8"/>
      <c r="P31" s="8"/>
      <c r="Q31" s="8"/>
    </row>
    <row r="32" spans="1:33">
      <c r="C32" s="2"/>
      <c r="D32" s="8"/>
      <c r="E32" s="8"/>
      <c r="I32" s="8"/>
      <c r="J32" s="8"/>
      <c r="K32" s="8"/>
      <c r="L32" s="8"/>
      <c r="M32" s="8"/>
      <c r="N32" s="8"/>
      <c r="O32" s="8"/>
      <c r="P32" s="8"/>
      <c r="Q32" s="8"/>
    </row>
    <row r="33" spans="1:30">
      <c r="A33" s="4"/>
      <c r="D33" s="83" t="s">
        <v>124</v>
      </c>
      <c r="E33" s="83" t="s">
        <v>125</v>
      </c>
      <c r="F33" s="83" t="s">
        <v>126</v>
      </c>
      <c r="G33" s="83" t="s">
        <v>127</v>
      </c>
      <c r="H33" s="83" t="s">
        <v>420</v>
      </c>
      <c r="I33" s="83" t="s">
        <v>421</v>
      </c>
      <c r="J33" s="83" t="s">
        <v>422</v>
      </c>
      <c r="K33" s="83" t="s">
        <v>423</v>
      </c>
      <c r="L33" s="83" t="s">
        <v>424</v>
      </c>
      <c r="M33" s="83" t="s">
        <v>692</v>
      </c>
      <c r="N33" s="83" t="s">
        <v>693</v>
      </c>
      <c r="O33" s="83" t="s">
        <v>694</v>
      </c>
      <c r="P33" s="83" t="s">
        <v>695</v>
      </c>
      <c r="Q33" s="83" t="s">
        <v>696</v>
      </c>
      <c r="R33" s="83" t="s">
        <v>697</v>
      </c>
      <c r="S33" s="83" t="s">
        <v>698</v>
      </c>
      <c r="T33" s="83" t="s">
        <v>699</v>
      </c>
      <c r="U33" s="83" t="s">
        <v>700</v>
      </c>
      <c r="V33" s="83" t="s">
        <v>701</v>
      </c>
      <c r="W33" s="83" t="s">
        <v>702</v>
      </c>
      <c r="X33" s="83" t="s">
        <v>703</v>
      </c>
      <c r="Y33" s="83" t="s">
        <v>704</v>
      </c>
      <c r="Z33" s="83" t="s">
        <v>705</v>
      </c>
      <c r="AA33" s="83" t="s">
        <v>706</v>
      </c>
      <c r="AB33" s="83" t="s">
        <v>707</v>
      </c>
      <c r="AC33" s="83" t="s">
        <v>708</v>
      </c>
    </row>
    <row r="34" spans="1:30" ht="43.5">
      <c r="B34" s="4"/>
      <c r="C34" s="4"/>
      <c r="D34" s="379" t="s">
        <v>741</v>
      </c>
      <c r="E34" s="379" t="s">
        <v>742</v>
      </c>
      <c r="F34" s="379" t="s">
        <v>743</v>
      </c>
      <c r="G34" s="379" t="s">
        <v>744</v>
      </c>
      <c r="H34" s="379" t="s">
        <v>745</v>
      </c>
      <c r="I34" s="379" t="s">
        <v>746</v>
      </c>
      <c r="J34" s="379" t="s">
        <v>747</v>
      </c>
      <c r="K34" s="379" t="s">
        <v>748</v>
      </c>
      <c r="L34" s="379" t="s">
        <v>749</v>
      </c>
      <c r="M34" s="379" t="s">
        <v>750</v>
      </c>
      <c r="N34" s="379" t="s">
        <v>751</v>
      </c>
      <c r="O34" s="379" t="s">
        <v>752</v>
      </c>
      <c r="P34" s="379" t="s">
        <v>753</v>
      </c>
      <c r="Q34" s="379" t="s">
        <v>754</v>
      </c>
      <c r="R34" s="379" t="s">
        <v>755</v>
      </c>
      <c r="S34" s="379" t="s">
        <v>756</v>
      </c>
      <c r="T34" s="379" t="s">
        <v>757</v>
      </c>
      <c r="U34" s="379" t="s">
        <v>758</v>
      </c>
      <c r="V34" s="379" t="s">
        <v>759</v>
      </c>
      <c r="W34" s="379" t="s">
        <v>760</v>
      </c>
      <c r="X34" s="379" t="s">
        <v>761</v>
      </c>
      <c r="Y34" s="379" t="s">
        <v>762</v>
      </c>
      <c r="Z34" s="379" t="s">
        <v>763</v>
      </c>
      <c r="AA34" s="379" t="s">
        <v>764</v>
      </c>
      <c r="AB34" s="379" t="s">
        <v>765</v>
      </c>
      <c r="AC34" s="133" t="s">
        <v>709</v>
      </c>
    </row>
    <row r="35" spans="1:30">
      <c r="B35" s="4"/>
      <c r="C35" s="4"/>
      <c r="L35" s="107"/>
      <c r="R35" s="21"/>
      <c r="S35" s="21"/>
      <c r="T35" s="21"/>
      <c r="AC35" s="21"/>
    </row>
    <row r="36" spans="1:30">
      <c r="A36" s="91"/>
      <c r="B36" s="91"/>
      <c r="C36" s="90" t="s">
        <v>710</v>
      </c>
      <c r="D36" s="84">
        <v>360</v>
      </c>
      <c r="E36" s="84">
        <v>360</v>
      </c>
      <c r="F36" s="84">
        <v>361</v>
      </c>
      <c r="G36" s="84">
        <v>361</v>
      </c>
      <c r="H36" s="84">
        <v>362</v>
      </c>
      <c r="I36" s="84">
        <v>363</v>
      </c>
      <c r="J36" s="84">
        <v>363</v>
      </c>
      <c r="K36" s="84">
        <v>364</v>
      </c>
      <c r="L36" s="84">
        <v>365</v>
      </c>
      <c r="M36" s="84">
        <v>366</v>
      </c>
      <c r="N36" s="84">
        <v>367</v>
      </c>
      <c r="O36" s="84">
        <v>368</v>
      </c>
      <c r="P36" s="84">
        <v>368</v>
      </c>
      <c r="Q36" s="84">
        <v>369</v>
      </c>
      <c r="R36" s="84">
        <v>369</v>
      </c>
      <c r="S36" s="84">
        <v>370</v>
      </c>
      <c r="T36" s="84">
        <v>370</v>
      </c>
      <c r="U36" s="84">
        <v>371</v>
      </c>
      <c r="V36" s="84">
        <v>371</v>
      </c>
      <c r="W36" s="84">
        <v>371</v>
      </c>
      <c r="X36" s="84">
        <v>372</v>
      </c>
      <c r="Y36" s="84">
        <v>373</v>
      </c>
      <c r="Z36" s="84">
        <v>373</v>
      </c>
      <c r="AA36" s="84">
        <v>373</v>
      </c>
      <c r="AB36" s="84">
        <v>373</v>
      </c>
    </row>
    <row r="37" spans="1:30">
      <c r="A37" s="80" t="s">
        <v>92</v>
      </c>
      <c r="B37" s="80" t="s">
        <v>440</v>
      </c>
      <c r="C37" s="80" t="s">
        <v>441</v>
      </c>
      <c r="D37" s="83" t="s">
        <v>711</v>
      </c>
      <c r="E37" s="83" t="s">
        <v>712</v>
      </c>
      <c r="F37" s="83" t="s">
        <v>713</v>
      </c>
      <c r="G37" s="83" t="s">
        <v>714</v>
      </c>
      <c r="H37" s="83" t="s">
        <v>715</v>
      </c>
      <c r="I37" s="83" t="s">
        <v>716</v>
      </c>
      <c r="J37" s="83" t="s">
        <v>717</v>
      </c>
      <c r="K37" s="83" t="s">
        <v>718</v>
      </c>
      <c r="L37" s="83" t="s">
        <v>719</v>
      </c>
      <c r="M37" s="83" t="s">
        <v>720</v>
      </c>
      <c r="N37" s="83" t="s">
        <v>721</v>
      </c>
      <c r="O37" s="83" t="s">
        <v>722</v>
      </c>
      <c r="P37" s="83" t="s">
        <v>723</v>
      </c>
      <c r="Q37" s="83" t="s">
        <v>724</v>
      </c>
      <c r="R37" s="83" t="s">
        <v>725</v>
      </c>
      <c r="S37" s="83" t="s">
        <v>726</v>
      </c>
      <c r="T37" s="83" t="s">
        <v>727</v>
      </c>
      <c r="U37" s="83" t="s">
        <v>728</v>
      </c>
      <c r="V37" s="83" t="s">
        <v>729</v>
      </c>
      <c r="W37" s="83" t="s">
        <v>730</v>
      </c>
      <c r="X37" s="83" t="s">
        <v>731</v>
      </c>
      <c r="Y37" s="83" t="s">
        <v>732</v>
      </c>
      <c r="Z37" s="83" t="s">
        <v>733</v>
      </c>
      <c r="AA37" s="83" t="s">
        <v>734</v>
      </c>
      <c r="AB37" s="83" t="s">
        <v>735</v>
      </c>
      <c r="AC37" s="80" t="s">
        <v>736</v>
      </c>
      <c r="AD37" s="80" t="str">
        <f t="shared" ref="AD37:AD51" si="5">A37</f>
        <v>Line</v>
      </c>
    </row>
    <row r="38" spans="1:30">
      <c r="A38" s="91">
        <v>200</v>
      </c>
      <c r="B38" s="377" t="s">
        <v>449</v>
      </c>
      <c r="C38" s="140">
        <f>'1-DRR'!$K$2-1</f>
        <v>2021</v>
      </c>
      <c r="D38" s="275">
        <f>D$13*'6-PlantJurisdiction'!$E$37</f>
        <v>30157953.538851451</v>
      </c>
      <c r="E38" s="275">
        <f>E$13*'6-PlantJurisdiction'!$E$37</f>
        <v>60763684.023358241</v>
      </c>
      <c r="F38" s="275">
        <f>F$13*'6-PlantJurisdiction'!$E$38</f>
        <v>278198099.20000023</v>
      </c>
      <c r="G38" s="275">
        <f>G$13*'6-PlantJurisdiction'!$E$38</f>
        <v>24754226.169999987</v>
      </c>
      <c r="H38" s="275">
        <f>H$13*'6-PlantJurisdiction'!$E$39</f>
        <v>3992385140.6099925</v>
      </c>
      <c r="I38" s="275">
        <f>I$13*'6-PlantJurisdiction'!$E$40</f>
        <v>333686.91000000003</v>
      </c>
      <c r="J38" s="275">
        <f>J$13*'6-PlantJurisdiction'!$E$40</f>
        <v>30056380.57</v>
      </c>
      <c r="K38" s="275">
        <f>K$13*'6-PlantJurisdiction'!$E$41</f>
        <v>5465702310.2409191</v>
      </c>
      <c r="L38" s="275">
        <f>L$13*'6-PlantJurisdiction'!$E$42</f>
        <v>4299613768.5993586</v>
      </c>
      <c r="M38" s="275">
        <f>M$13*'6-PlantJurisdiction'!$E$43</f>
        <v>1387127867.6628776</v>
      </c>
      <c r="N38" s="275">
        <f>N$13*'6-PlantJurisdiction'!$E$44</f>
        <v>2262809910.7969031</v>
      </c>
      <c r="O38" s="275">
        <f>O$13*'6-PlantJurisdiction'!$E$45</f>
        <v>0</v>
      </c>
      <c r="P38" s="275">
        <f>P$13*'6-PlantJurisdiction'!$E$45</f>
        <v>0</v>
      </c>
      <c r="Q38" s="275">
        <f>Q$13*'6-PlantJurisdiction'!$E$46</f>
        <v>0</v>
      </c>
      <c r="R38" s="275">
        <f>R$13*'6-PlantJurisdiction'!$E$46</f>
        <v>0</v>
      </c>
      <c r="S38" s="275">
        <f>S$13*'6-PlantJurisdiction'!$E$47</f>
        <v>0</v>
      </c>
      <c r="T38" s="275">
        <f>T$13*'6-PlantJurisdiction'!$E$47</f>
        <v>0</v>
      </c>
      <c r="U38" s="275">
        <f>U$13*'6-PlantJurisdiction'!$E$48</f>
        <v>0</v>
      </c>
      <c r="V38" s="275">
        <f>V$13*'6-PlantJurisdiction'!$E$48</f>
        <v>0</v>
      </c>
      <c r="W38" s="275">
        <f>W$13*'6-PlantJurisdiction'!$E$48</f>
        <v>0</v>
      </c>
      <c r="X38" s="275">
        <f>X$13*'6-PlantJurisdiction'!$E$49</f>
        <v>0</v>
      </c>
      <c r="Y38" s="275">
        <f>Y$13*'6-PlantJurisdiction'!$E$50</f>
        <v>0</v>
      </c>
      <c r="Z38" s="275">
        <f>Z$13*'6-PlantJurisdiction'!$E$50</f>
        <v>0</v>
      </c>
      <c r="AA38" s="275">
        <f>AA$13*'6-PlantJurisdiction'!$E$50</f>
        <v>0</v>
      </c>
      <c r="AB38" s="275">
        <f>AB$13*'6-PlantJurisdiction'!$E$50</f>
        <v>0</v>
      </c>
      <c r="AC38" s="24">
        <f t="shared" ref="AC38:AC50" si="6">SUM(D38:AB38)</f>
        <v>17831903028.322262</v>
      </c>
      <c r="AD38" s="91">
        <f t="shared" si="5"/>
        <v>200</v>
      </c>
    </row>
    <row r="39" spans="1:30">
      <c r="A39" s="91">
        <f>A38+1</f>
        <v>201</v>
      </c>
      <c r="B39" s="377" t="s">
        <v>451</v>
      </c>
      <c r="C39" s="140">
        <f>'1-DRR'!$K$2</f>
        <v>2022</v>
      </c>
      <c r="D39" s="275">
        <f>D$14*'6-PlantJurisdiction'!$E$37</f>
        <v>30167778.360055406</v>
      </c>
      <c r="E39" s="275">
        <f>E$14*'6-PlantJurisdiction'!$E$37</f>
        <v>60765813.847323097</v>
      </c>
      <c r="F39" s="275">
        <f>F$14*'6-PlantJurisdiction'!$E$38</f>
        <v>278109800.04666686</v>
      </c>
      <c r="G39" s="275">
        <f>G$14*'6-PlantJurisdiction'!$E$38</f>
        <v>24755922.130000003</v>
      </c>
      <c r="H39" s="275">
        <f>H$14*'6-PlantJurisdiction'!$E$39</f>
        <v>4002093884.53583</v>
      </c>
      <c r="I39" s="275">
        <f>I$14*'6-PlantJurisdiction'!$E$40</f>
        <v>333686.91000000003</v>
      </c>
      <c r="J39" s="275">
        <f>J$14*'6-PlantJurisdiction'!$E$40</f>
        <v>30056380.57</v>
      </c>
      <c r="K39" s="275">
        <f>K$14*'6-PlantJurisdiction'!$E$41</f>
        <v>5503658882.3626451</v>
      </c>
      <c r="L39" s="275">
        <f>L$14*'6-PlantJurisdiction'!$E$42</f>
        <v>4323033787.7102966</v>
      </c>
      <c r="M39" s="275">
        <f>M$14*'6-PlantJurisdiction'!$E$43</f>
        <v>1391242611.7865644</v>
      </c>
      <c r="N39" s="275">
        <f>N$14*'6-PlantJurisdiction'!$E$44</f>
        <v>2273300448.8278685</v>
      </c>
      <c r="O39" s="275">
        <f>O$14*'6-PlantJurisdiction'!$E$45</f>
        <v>0</v>
      </c>
      <c r="P39" s="275">
        <f>P$14*'6-PlantJurisdiction'!$E$45</f>
        <v>0</v>
      </c>
      <c r="Q39" s="275">
        <f>Q$14*'6-PlantJurisdiction'!$E$46</f>
        <v>0</v>
      </c>
      <c r="R39" s="275">
        <f>R$14*'6-PlantJurisdiction'!$E$46</f>
        <v>0</v>
      </c>
      <c r="S39" s="275">
        <f>S$14*'6-PlantJurisdiction'!$E$47</f>
        <v>0</v>
      </c>
      <c r="T39" s="275">
        <f>T$14*'6-PlantJurisdiction'!$E$47</f>
        <v>0</v>
      </c>
      <c r="U39" s="275">
        <f>U$14*'6-PlantJurisdiction'!$E$48</f>
        <v>0</v>
      </c>
      <c r="V39" s="275">
        <f>V$14*'6-PlantJurisdiction'!$E$48</f>
        <v>0</v>
      </c>
      <c r="W39" s="275">
        <f>W$14*'6-PlantJurisdiction'!$E$48</f>
        <v>0</v>
      </c>
      <c r="X39" s="275">
        <f>X$14*'6-PlantJurisdiction'!$E$49</f>
        <v>0</v>
      </c>
      <c r="Y39" s="275">
        <f>Y$14*'6-PlantJurisdiction'!$E$50</f>
        <v>0</v>
      </c>
      <c r="Z39" s="275">
        <f>Z$14*'6-PlantJurisdiction'!$E$50</f>
        <v>0</v>
      </c>
      <c r="AA39" s="275">
        <f>AA$14*'6-PlantJurisdiction'!$E$50</f>
        <v>0</v>
      </c>
      <c r="AB39" s="275">
        <f>AB$14*'6-PlantJurisdiction'!$E$50</f>
        <v>0</v>
      </c>
      <c r="AC39" s="24">
        <f t="shared" si="6"/>
        <v>17917518997.08725</v>
      </c>
      <c r="AD39" s="91">
        <f t="shared" si="5"/>
        <v>201</v>
      </c>
    </row>
    <row r="40" spans="1:30">
      <c r="A40" s="91">
        <f t="shared" ref="A40:A51" si="7">A39+1</f>
        <v>202</v>
      </c>
      <c r="B40" s="377" t="s">
        <v>452</v>
      </c>
      <c r="C40" s="140">
        <f>'1-DRR'!$K$2</f>
        <v>2022</v>
      </c>
      <c r="D40" s="275">
        <f>D$15*'6-PlantJurisdiction'!$E$37</f>
        <v>30174150.137217879</v>
      </c>
      <c r="E40" s="275">
        <f>E$15*'6-PlantJurisdiction'!$E$37</f>
        <v>60769088.838440172</v>
      </c>
      <c r="F40" s="275">
        <f>F$15*'6-PlantJurisdiction'!$E$38</f>
        <v>278198729.28333348</v>
      </c>
      <c r="G40" s="275">
        <f>G$15*'6-PlantJurisdiction'!$E$38</f>
        <v>24763546.310000002</v>
      </c>
      <c r="H40" s="275">
        <f>H$15*'6-PlantJurisdiction'!$E$39</f>
        <v>4006431750.9616599</v>
      </c>
      <c r="I40" s="275">
        <f>I$15*'6-PlantJurisdiction'!$E$40</f>
        <v>333686.91000000003</v>
      </c>
      <c r="J40" s="275">
        <f>J$15*'6-PlantJurisdiction'!$E$40</f>
        <v>30056380.57</v>
      </c>
      <c r="K40" s="275">
        <f>K$15*'6-PlantJurisdiction'!$E$41</f>
        <v>5558017140.7389326</v>
      </c>
      <c r="L40" s="275">
        <f>L$15*'6-PlantJurisdiction'!$E$42</f>
        <v>4333918676.393755</v>
      </c>
      <c r="M40" s="275">
        <f>M$15*'6-PlantJurisdiction'!$E$43</f>
        <v>1398467953.470778</v>
      </c>
      <c r="N40" s="275">
        <f>N$15*'6-PlantJurisdiction'!$E$44</f>
        <v>2290073564.7492437</v>
      </c>
      <c r="O40" s="275">
        <f>O$15*'6-PlantJurisdiction'!$E$45</f>
        <v>0</v>
      </c>
      <c r="P40" s="275">
        <f>P$15*'6-PlantJurisdiction'!$E$45</f>
        <v>0</v>
      </c>
      <c r="Q40" s="275">
        <f>Q$15*'6-PlantJurisdiction'!$E$46</f>
        <v>0</v>
      </c>
      <c r="R40" s="275">
        <f>R$15*'6-PlantJurisdiction'!$E$46</f>
        <v>0</v>
      </c>
      <c r="S40" s="275">
        <f>S$15*'6-PlantJurisdiction'!$E$47</f>
        <v>0</v>
      </c>
      <c r="T40" s="275">
        <f>T$15*'6-PlantJurisdiction'!$E$47</f>
        <v>0</v>
      </c>
      <c r="U40" s="275">
        <f>U$15*'6-PlantJurisdiction'!$E$48</f>
        <v>0</v>
      </c>
      <c r="V40" s="275">
        <f>V$15*'6-PlantJurisdiction'!$E$48</f>
        <v>0</v>
      </c>
      <c r="W40" s="275">
        <f>W$15*'6-PlantJurisdiction'!$E$48</f>
        <v>0</v>
      </c>
      <c r="X40" s="275">
        <f>X$15*'6-PlantJurisdiction'!$E$49</f>
        <v>0</v>
      </c>
      <c r="Y40" s="275">
        <f>Y$15*'6-PlantJurisdiction'!$E$50</f>
        <v>0</v>
      </c>
      <c r="Z40" s="275">
        <f>Z$15*'6-PlantJurisdiction'!$E$50</f>
        <v>0</v>
      </c>
      <c r="AA40" s="275">
        <f>AA$15*'6-PlantJurisdiction'!$E$50</f>
        <v>0</v>
      </c>
      <c r="AB40" s="275">
        <f>AB$15*'6-PlantJurisdiction'!$E$50</f>
        <v>0</v>
      </c>
      <c r="AC40" s="24">
        <f t="shared" si="6"/>
        <v>18011204668.363361</v>
      </c>
      <c r="AD40" s="91">
        <f t="shared" si="5"/>
        <v>202</v>
      </c>
    </row>
    <row r="41" spans="1:30">
      <c r="A41" s="91">
        <f t="shared" si="7"/>
        <v>203</v>
      </c>
      <c r="B41" s="377" t="s">
        <v>453</v>
      </c>
      <c r="C41" s="140">
        <f>'1-DRR'!$K$2</f>
        <v>2022</v>
      </c>
      <c r="D41" s="275">
        <f>D$16*'6-PlantJurisdiction'!$E$37</f>
        <v>30181902.286057904</v>
      </c>
      <c r="E41" s="275">
        <f>E$16*'6-PlantJurisdiction'!$E$37</f>
        <v>60789121.79570733</v>
      </c>
      <c r="F41" s="275">
        <f>F$16*'6-PlantJurisdiction'!$E$38</f>
        <v>278909459.2100001</v>
      </c>
      <c r="G41" s="275">
        <f>G$16*'6-PlantJurisdiction'!$E$38</f>
        <v>24767400.339999989</v>
      </c>
      <c r="H41" s="275">
        <f>H$16*'6-PlantJurisdiction'!$E$39</f>
        <v>4033125073.8174949</v>
      </c>
      <c r="I41" s="275">
        <f>I$16*'6-PlantJurisdiction'!$E$40</f>
        <v>333686.91000000003</v>
      </c>
      <c r="J41" s="275">
        <f>J$16*'6-PlantJurisdiction'!$E$40</f>
        <v>89006.370000001043</v>
      </c>
      <c r="K41" s="275">
        <f>K$16*'6-PlantJurisdiction'!$E$41</f>
        <v>5721618039.3757915</v>
      </c>
      <c r="L41" s="275">
        <f>L$16*'6-PlantJurisdiction'!$E$42</f>
        <v>4356069136.0734844</v>
      </c>
      <c r="M41" s="275">
        <f>M$16*'6-PlantJurisdiction'!$E$43</f>
        <v>1404531801.4571865</v>
      </c>
      <c r="N41" s="275">
        <f>N$16*'6-PlantJurisdiction'!$E$44</f>
        <v>2301373948.0387683</v>
      </c>
      <c r="O41" s="275">
        <f>O$16*'6-PlantJurisdiction'!$E$45</f>
        <v>0</v>
      </c>
      <c r="P41" s="275">
        <f>P$16*'6-PlantJurisdiction'!$E$45</f>
        <v>0</v>
      </c>
      <c r="Q41" s="275">
        <f>Q$16*'6-PlantJurisdiction'!$E$46</f>
        <v>0</v>
      </c>
      <c r="R41" s="275">
        <f>R$16*'6-PlantJurisdiction'!$E$46</f>
        <v>0</v>
      </c>
      <c r="S41" s="275">
        <f>S$16*'6-PlantJurisdiction'!$E$47</f>
        <v>0</v>
      </c>
      <c r="T41" s="275">
        <f>T$16*'6-PlantJurisdiction'!$E$47</f>
        <v>0</v>
      </c>
      <c r="U41" s="275">
        <f>U$16*'6-PlantJurisdiction'!$E$48</f>
        <v>0</v>
      </c>
      <c r="V41" s="275">
        <f>V$16*'6-PlantJurisdiction'!$E$48</f>
        <v>0</v>
      </c>
      <c r="W41" s="275">
        <f>W$16*'6-PlantJurisdiction'!$E$48</f>
        <v>0</v>
      </c>
      <c r="X41" s="275">
        <f>X$16*'6-PlantJurisdiction'!$E$49</f>
        <v>0</v>
      </c>
      <c r="Y41" s="275">
        <f>Y$16*'6-PlantJurisdiction'!$E$50</f>
        <v>0</v>
      </c>
      <c r="Z41" s="275">
        <f>Z$16*'6-PlantJurisdiction'!$E$50</f>
        <v>0</v>
      </c>
      <c r="AA41" s="275">
        <f>AA$16*'6-PlantJurisdiction'!$E$50</f>
        <v>0</v>
      </c>
      <c r="AB41" s="275">
        <f>AB$16*'6-PlantJurisdiction'!$E$50</f>
        <v>0</v>
      </c>
      <c r="AC41" s="24">
        <f t="shared" si="6"/>
        <v>18211788575.674488</v>
      </c>
      <c r="AD41" s="91">
        <f t="shared" si="5"/>
        <v>203</v>
      </c>
    </row>
    <row r="42" spans="1:30">
      <c r="A42" s="91">
        <f t="shared" si="7"/>
        <v>204</v>
      </c>
      <c r="B42" s="377" t="s">
        <v>454</v>
      </c>
      <c r="C42" s="140">
        <f>'1-DRR'!$K$2</f>
        <v>2022</v>
      </c>
      <c r="D42" s="275">
        <f>D$17*'6-PlantJurisdiction'!$E$37</f>
        <v>30182029.400063176</v>
      </c>
      <c r="E42" s="275">
        <f>E$17*'6-PlantJurisdiction'!$E$37</f>
        <v>60899619.615832478</v>
      </c>
      <c r="F42" s="275">
        <f>F$17*'6-PlantJurisdiction'!$E$38</f>
        <v>280301622.30666685</v>
      </c>
      <c r="G42" s="275">
        <f>G$17*'6-PlantJurisdiction'!$E$38</f>
        <v>24813024.340000004</v>
      </c>
      <c r="H42" s="275">
        <f>H$17*'6-PlantJurisdiction'!$E$39</f>
        <v>4061940126.0333266</v>
      </c>
      <c r="I42" s="275">
        <f>I$17*'6-PlantJurisdiction'!$E$40</f>
        <v>333686.91000000003</v>
      </c>
      <c r="J42" s="275">
        <f>J$17*'6-PlantJurisdiction'!$E$40</f>
        <v>30056380.57</v>
      </c>
      <c r="K42" s="275">
        <f>K$17*'6-PlantJurisdiction'!$E$41</f>
        <v>5763908686.2252789</v>
      </c>
      <c r="L42" s="275">
        <f>L$17*'6-PlantJurisdiction'!$E$42</f>
        <v>4382355355.5106506</v>
      </c>
      <c r="M42" s="275">
        <f>M$17*'6-PlantJurisdiction'!$E$43</f>
        <v>1412485272.2121596</v>
      </c>
      <c r="N42" s="275">
        <f>N$17*'6-PlantJurisdiction'!$E$44</f>
        <v>2312887708.6225052</v>
      </c>
      <c r="O42" s="275">
        <f>O$17*'6-PlantJurisdiction'!$E$45</f>
        <v>0</v>
      </c>
      <c r="P42" s="275">
        <f>P$17*'6-PlantJurisdiction'!$E$45</f>
        <v>0</v>
      </c>
      <c r="Q42" s="275">
        <f>Q$17*'6-PlantJurisdiction'!$E$46</f>
        <v>0</v>
      </c>
      <c r="R42" s="275">
        <f>R$17*'6-PlantJurisdiction'!$E$46</f>
        <v>0</v>
      </c>
      <c r="S42" s="275">
        <f>S$17*'6-PlantJurisdiction'!$E$47</f>
        <v>0</v>
      </c>
      <c r="T42" s="275">
        <f>T$17*'6-PlantJurisdiction'!$E$47</f>
        <v>0</v>
      </c>
      <c r="U42" s="275">
        <f>U$17*'6-PlantJurisdiction'!$E$48</f>
        <v>0</v>
      </c>
      <c r="V42" s="275">
        <f>V$17*'6-PlantJurisdiction'!$E$48</f>
        <v>0</v>
      </c>
      <c r="W42" s="275">
        <f>W$17*'6-PlantJurisdiction'!$E$48</f>
        <v>0</v>
      </c>
      <c r="X42" s="275">
        <f>X$17*'6-PlantJurisdiction'!$E$49</f>
        <v>0</v>
      </c>
      <c r="Y42" s="275">
        <f>Y$17*'6-PlantJurisdiction'!$E$50</f>
        <v>0</v>
      </c>
      <c r="Z42" s="275">
        <f>Z$17*'6-PlantJurisdiction'!$E$50</f>
        <v>0</v>
      </c>
      <c r="AA42" s="275">
        <f>AA$17*'6-PlantJurisdiction'!$E$50</f>
        <v>0</v>
      </c>
      <c r="AB42" s="275">
        <f>AB$17*'6-PlantJurisdiction'!$E$50</f>
        <v>0</v>
      </c>
      <c r="AC42" s="24">
        <f t="shared" si="6"/>
        <v>18360163511.746483</v>
      </c>
      <c r="AD42" s="91">
        <f t="shared" si="5"/>
        <v>204</v>
      </c>
    </row>
    <row r="43" spans="1:30">
      <c r="A43" s="91">
        <f t="shared" si="7"/>
        <v>205</v>
      </c>
      <c r="B43" s="377" t="s">
        <v>455</v>
      </c>
      <c r="C43" s="140">
        <f>'1-DRR'!$K$2</f>
        <v>2022</v>
      </c>
      <c r="D43" s="275">
        <f>D$18*'6-PlantJurisdiction'!$E$37</f>
        <v>30183072.826309748</v>
      </c>
      <c r="E43" s="275">
        <f>E$18*'6-PlantJurisdiction'!$E$37</f>
        <v>61053173.506631449</v>
      </c>
      <c r="F43" s="275">
        <f>F$18*'6-PlantJurisdiction'!$E$38</f>
        <v>280789680.96333355</v>
      </c>
      <c r="G43" s="275">
        <f>G$18*'6-PlantJurisdiction'!$E$38</f>
        <v>24825709.269999996</v>
      </c>
      <c r="H43" s="275">
        <f>H$18*'6-PlantJurisdiction'!$E$39</f>
        <v>4081615942.5291605</v>
      </c>
      <c r="I43" s="275">
        <f>I$18*'6-PlantJurisdiction'!$E$40</f>
        <v>335713.39</v>
      </c>
      <c r="J43" s="275">
        <f>J$18*'6-PlantJurisdiction'!$E$40</f>
        <v>30056380.57</v>
      </c>
      <c r="K43" s="275">
        <f>K$18*'6-PlantJurisdiction'!$E$41</f>
        <v>5832857693.1516933</v>
      </c>
      <c r="L43" s="275">
        <f>L$18*'6-PlantJurisdiction'!$E$42</f>
        <v>4413933997.742794</v>
      </c>
      <c r="M43" s="275">
        <f>M$18*'6-PlantJurisdiction'!$E$43</f>
        <v>1431002297.1607928</v>
      </c>
      <c r="N43" s="275">
        <f>N$18*'6-PlantJurisdiction'!$E$44</f>
        <v>2341230721.2481289</v>
      </c>
      <c r="O43" s="275">
        <f>O$18*'6-PlantJurisdiction'!$E$45</f>
        <v>0</v>
      </c>
      <c r="P43" s="275">
        <f>P$18*'6-PlantJurisdiction'!$E$45</f>
        <v>0</v>
      </c>
      <c r="Q43" s="275">
        <f>Q$18*'6-PlantJurisdiction'!$E$46</f>
        <v>0</v>
      </c>
      <c r="R43" s="275">
        <f>R$18*'6-PlantJurisdiction'!$E$46</f>
        <v>0</v>
      </c>
      <c r="S43" s="275">
        <f>S$18*'6-PlantJurisdiction'!$E$47</f>
        <v>0</v>
      </c>
      <c r="T43" s="275">
        <f>T$18*'6-PlantJurisdiction'!$E$47</f>
        <v>0</v>
      </c>
      <c r="U43" s="275">
        <f>U$18*'6-PlantJurisdiction'!$E$48</f>
        <v>0</v>
      </c>
      <c r="V43" s="275">
        <f>V$18*'6-PlantJurisdiction'!$E$48</f>
        <v>0</v>
      </c>
      <c r="W43" s="275">
        <f>W$18*'6-PlantJurisdiction'!$E$48</f>
        <v>0</v>
      </c>
      <c r="X43" s="275">
        <f>X$18*'6-PlantJurisdiction'!$E$49</f>
        <v>0</v>
      </c>
      <c r="Y43" s="275">
        <f>Y$18*'6-PlantJurisdiction'!$E$50</f>
        <v>0</v>
      </c>
      <c r="Z43" s="275">
        <f>Z$18*'6-PlantJurisdiction'!$E$50</f>
        <v>0</v>
      </c>
      <c r="AA43" s="275">
        <f>AA$18*'6-PlantJurisdiction'!$E$50</f>
        <v>0</v>
      </c>
      <c r="AB43" s="275">
        <f>AB$18*'6-PlantJurisdiction'!$E$50</f>
        <v>0</v>
      </c>
      <c r="AC43" s="24">
        <f t="shared" si="6"/>
        <v>18527884382.358845</v>
      </c>
      <c r="AD43" s="91">
        <f t="shared" si="5"/>
        <v>205</v>
      </c>
    </row>
    <row r="44" spans="1:30">
      <c r="A44" s="91">
        <f t="shared" si="7"/>
        <v>206</v>
      </c>
      <c r="B44" s="377" t="s">
        <v>737</v>
      </c>
      <c r="C44" s="140">
        <f>'1-DRR'!$K$2</f>
        <v>2022</v>
      </c>
      <c r="D44" s="275">
        <f>D$19*'6-PlantJurisdiction'!$E$37</f>
        <v>30172212.825243384</v>
      </c>
      <c r="E44" s="275">
        <f>E$19*'6-PlantJurisdiction'!$E$37</f>
        <v>61258927.262737446</v>
      </c>
      <c r="F44" s="275">
        <f>F$19*'6-PlantJurisdiction'!$E$38</f>
        <v>282124177.68000025</v>
      </c>
      <c r="G44" s="275">
        <f>G$19*'6-PlantJurisdiction'!$E$38</f>
        <v>24828472.339999989</v>
      </c>
      <c r="H44" s="275">
        <f>H$19*'6-PlantJurisdiction'!$E$39</f>
        <v>4121826806.0649967</v>
      </c>
      <c r="I44" s="275">
        <f>I$19*'6-PlantJurisdiction'!$E$40</f>
        <v>338909.24</v>
      </c>
      <c r="J44" s="275">
        <f>J$19*'6-PlantJurisdiction'!$E$40</f>
        <v>30056380.57</v>
      </c>
      <c r="K44" s="275">
        <f>K$19*'6-PlantJurisdiction'!$E$41</f>
        <v>5892108396.2208185</v>
      </c>
      <c r="L44" s="275">
        <f>L$19*'6-PlantJurisdiction'!$E$42</f>
        <v>4433922763.3759756</v>
      </c>
      <c r="M44" s="275">
        <f>M$19*'6-PlantJurisdiction'!$E$43</f>
        <v>1441893218.7158</v>
      </c>
      <c r="N44" s="275">
        <f>N$19*'6-PlantJurisdiction'!$E$44</f>
        <v>2363757993.5947447</v>
      </c>
      <c r="O44" s="275">
        <f>O$19*'6-PlantJurisdiction'!$E$45</f>
        <v>0</v>
      </c>
      <c r="P44" s="275">
        <f>P$19*'6-PlantJurisdiction'!$E$45</f>
        <v>0</v>
      </c>
      <c r="Q44" s="275">
        <f>Q$19*'6-PlantJurisdiction'!$E$46</f>
        <v>0</v>
      </c>
      <c r="R44" s="275">
        <f>R$19*'6-PlantJurisdiction'!$E$46</f>
        <v>0</v>
      </c>
      <c r="S44" s="275">
        <f>S$19*'6-PlantJurisdiction'!$E$47</f>
        <v>0</v>
      </c>
      <c r="T44" s="275">
        <f>T$19*'6-PlantJurisdiction'!$E$47</f>
        <v>0</v>
      </c>
      <c r="U44" s="275">
        <f>U$19*'6-PlantJurisdiction'!$E$48</f>
        <v>0</v>
      </c>
      <c r="V44" s="275">
        <f>V$19*'6-PlantJurisdiction'!$E$48</f>
        <v>0</v>
      </c>
      <c r="W44" s="275">
        <f>W$19*'6-PlantJurisdiction'!$E$48</f>
        <v>0</v>
      </c>
      <c r="X44" s="275">
        <f>X$19*'6-PlantJurisdiction'!$E$49</f>
        <v>0</v>
      </c>
      <c r="Y44" s="275">
        <f>Y$19*'6-PlantJurisdiction'!$E$50</f>
        <v>0</v>
      </c>
      <c r="Z44" s="275">
        <f>Z$19*'6-PlantJurisdiction'!$E$50</f>
        <v>0</v>
      </c>
      <c r="AA44" s="275">
        <f>AA$19*'6-PlantJurisdiction'!$E$50</f>
        <v>0</v>
      </c>
      <c r="AB44" s="275">
        <f>AB$19*'6-PlantJurisdiction'!$E$50</f>
        <v>0</v>
      </c>
      <c r="AC44" s="24">
        <f t="shared" si="6"/>
        <v>18682288257.890316</v>
      </c>
      <c r="AD44" s="91">
        <f t="shared" si="5"/>
        <v>206</v>
      </c>
    </row>
    <row r="45" spans="1:30">
      <c r="A45" s="91">
        <f t="shared" si="7"/>
        <v>207</v>
      </c>
      <c r="B45" s="377" t="s">
        <v>457</v>
      </c>
      <c r="C45" s="140">
        <f>'1-DRR'!$K$2</f>
        <v>2022</v>
      </c>
      <c r="D45" s="275">
        <f>D20*'6-PlantJurisdiction'!$E$37</f>
        <v>30173147.13143979</v>
      </c>
      <c r="E45" s="275">
        <f>E20*'6-PlantJurisdiction'!$E$37</f>
        <v>61333180.581291653</v>
      </c>
      <c r="F45" s="275">
        <f>F$20*'6-PlantJurisdiction'!$E$38</f>
        <v>283454115.93666679</v>
      </c>
      <c r="G45" s="275">
        <f>G$20*'6-PlantJurisdiction'!$E$38</f>
        <v>24817999.309999995</v>
      </c>
      <c r="H45" s="275">
        <f>H$20*'6-PlantJurisdiction'!$E$39</f>
        <v>4133579207.9108286</v>
      </c>
      <c r="I45" s="275">
        <f>I$20*'6-PlantJurisdiction'!$E$40</f>
        <v>377328.30000000005</v>
      </c>
      <c r="J45" s="275">
        <f>J$20*'6-PlantJurisdiction'!$E$40</f>
        <v>30056380.57</v>
      </c>
      <c r="K45" s="275">
        <f>K$20*'6-PlantJurisdiction'!$E$41</f>
        <v>5942993988.4796877</v>
      </c>
      <c r="L45" s="275">
        <f>L$20*'6-PlantJurisdiction'!$E$42</f>
        <v>4458240128.3932486</v>
      </c>
      <c r="M45" s="275">
        <f>M$20*'6-PlantJurisdiction'!$E$43</f>
        <v>1446394315.3174176</v>
      </c>
      <c r="N45" s="275">
        <f>N$20*'6-PlantJurisdiction'!$E$44</f>
        <v>2373341273.5843773</v>
      </c>
      <c r="O45" s="275">
        <f>O$20*'6-PlantJurisdiction'!$E$45</f>
        <v>0</v>
      </c>
      <c r="P45" s="275">
        <f>P$20*'6-PlantJurisdiction'!$E$45</f>
        <v>0</v>
      </c>
      <c r="Q45" s="275">
        <f>Q$20*'6-PlantJurisdiction'!$E$46</f>
        <v>0</v>
      </c>
      <c r="R45" s="275">
        <f>R$20*'6-PlantJurisdiction'!$E$46</f>
        <v>0</v>
      </c>
      <c r="S45" s="275">
        <f>S$20*'6-PlantJurisdiction'!$E$47</f>
        <v>0</v>
      </c>
      <c r="T45" s="275">
        <f>T$20*'6-PlantJurisdiction'!$E$47</f>
        <v>0</v>
      </c>
      <c r="U45" s="275">
        <f>U$20*'6-PlantJurisdiction'!$E$48</f>
        <v>0</v>
      </c>
      <c r="V45" s="275">
        <f>V$20*'6-PlantJurisdiction'!$E$48</f>
        <v>0</v>
      </c>
      <c r="W45" s="275">
        <f>W$20*'6-PlantJurisdiction'!$E$48</f>
        <v>0</v>
      </c>
      <c r="X45" s="275">
        <f>X$20*'6-PlantJurisdiction'!$E$49</f>
        <v>0</v>
      </c>
      <c r="Y45" s="275">
        <f>Y$20*'6-PlantJurisdiction'!$E$50</f>
        <v>0</v>
      </c>
      <c r="Z45" s="275">
        <f>Z$20*'6-PlantJurisdiction'!$E$50</f>
        <v>0</v>
      </c>
      <c r="AA45" s="275">
        <f>AA$20*'6-PlantJurisdiction'!$E$50</f>
        <v>0</v>
      </c>
      <c r="AB45" s="275">
        <f>AB$20*'6-PlantJurisdiction'!$E$50</f>
        <v>0</v>
      </c>
      <c r="AC45" s="24">
        <f t="shared" si="6"/>
        <v>18784761065.514957</v>
      </c>
      <c r="AD45" s="91">
        <f t="shared" si="5"/>
        <v>207</v>
      </c>
    </row>
    <row r="46" spans="1:30">
      <c r="A46" s="91">
        <f t="shared" si="7"/>
        <v>208</v>
      </c>
      <c r="B46" s="377" t="s">
        <v>458</v>
      </c>
      <c r="C46" s="140">
        <f>'1-DRR'!$K$2</f>
        <v>2022</v>
      </c>
      <c r="D46" s="275">
        <f>D$21*'6-PlantJurisdiction'!$E$37</f>
        <v>30185114.440336291</v>
      </c>
      <c r="E46" s="275">
        <f>E$21*'6-PlantJurisdiction'!$E$37</f>
        <v>61543069.067314915</v>
      </c>
      <c r="F46" s="275">
        <f>F$21*'6-PlantJurisdiction'!$E$38</f>
        <v>283692538.37333333</v>
      </c>
      <c r="G46" s="275">
        <f>G$21*'6-PlantJurisdiction'!$E$38</f>
        <v>24810254.25</v>
      </c>
      <c r="H46" s="275">
        <f>H$21*'6-PlantJurisdiction'!$E$39</f>
        <v>4143904672.0066609</v>
      </c>
      <c r="I46" s="275">
        <f>I$21*'6-PlantJurisdiction'!$E$40</f>
        <v>404380.9</v>
      </c>
      <c r="J46" s="275">
        <f>J$21*'6-PlantJurisdiction'!$E$40</f>
        <v>30056380.57</v>
      </c>
      <c r="K46" s="275">
        <f>K$21*'6-PlantJurisdiction'!$E$41</f>
        <v>6013960136.7727938</v>
      </c>
      <c r="L46" s="275">
        <f>L$21*'6-PlantJurisdiction'!$E$42</f>
        <v>4488130978.2067289</v>
      </c>
      <c r="M46" s="275">
        <f>M$21*'6-PlantJurisdiction'!$E$43</f>
        <v>1457435246.4919031</v>
      </c>
      <c r="N46" s="275">
        <f>N$21*'6-PlantJurisdiction'!$E$44</f>
        <v>2394264600.9714456</v>
      </c>
      <c r="O46" s="275">
        <f>O$21*'6-PlantJurisdiction'!$E$45</f>
        <v>0</v>
      </c>
      <c r="P46" s="275">
        <f>P$21*'6-PlantJurisdiction'!$E$45</f>
        <v>0</v>
      </c>
      <c r="Q46" s="275">
        <f>Q$21*'6-PlantJurisdiction'!$E$46</f>
        <v>0</v>
      </c>
      <c r="R46" s="275">
        <f>R$21*'6-PlantJurisdiction'!$E$46</f>
        <v>0</v>
      </c>
      <c r="S46" s="275">
        <f>S$21*'6-PlantJurisdiction'!$E$47</f>
        <v>0</v>
      </c>
      <c r="T46" s="275">
        <f>T$21*'6-PlantJurisdiction'!$E$47</f>
        <v>0</v>
      </c>
      <c r="U46" s="275">
        <f>U$21*'6-PlantJurisdiction'!$E$48</f>
        <v>0</v>
      </c>
      <c r="V46" s="275">
        <f>V$21*'6-PlantJurisdiction'!$E$48</f>
        <v>0</v>
      </c>
      <c r="W46" s="275">
        <f>W$21*'6-PlantJurisdiction'!$E$48</f>
        <v>0</v>
      </c>
      <c r="X46" s="275">
        <f>X$21*'6-PlantJurisdiction'!$E$49</f>
        <v>0</v>
      </c>
      <c r="Y46" s="275">
        <f>Y$21*'6-PlantJurisdiction'!$E$50</f>
        <v>0</v>
      </c>
      <c r="Z46" s="275">
        <f>Z$21*'6-PlantJurisdiction'!$E$50</f>
        <v>0</v>
      </c>
      <c r="AA46" s="275">
        <f>AA$21*'6-PlantJurisdiction'!$E$50</f>
        <v>0</v>
      </c>
      <c r="AB46" s="275">
        <f>AB$21*'6-PlantJurisdiction'!$E$50</f>
        <v>0</v>
      </c>
      <c r="AC46" s="24">
        <f t="shared" si="6"/>
        <v>18928387372.050518</v>
      </c>
      <c r="AD46" s="91">
        <f t="shared" si="5"/>
        <v>208</v>
      </c>
    </row>
    <row r="47" spans="1:30">
      <c r="A47" s="91">
        <f t="shared" si="7"/>
        <v>209</v>
      </c>
      <c r="B47" s="377" t="s">
        <v>459</v>
      </c>
      <c r="C47" s="140">
        <f>'1-DRR'!$K$2</f>
        <v>2022</v>
      </c>
      <c r="D47" s="275">
        <f>D$22*'6-PlantJurisdiction'!$E$37</f>
        <v>30189167.279500153</v>
      </c>
      <c r="E47" s="275">
        <f>E$22*'6-PlantJurisdiction'!$E$37</f>
        <v>61737331.578383371</v>
      </c>
      <c r="F47" s="275">
        <f>F$22*'6-PlantJurisdiction'!$E$38</f>
        <v>284372657.20999998</v>
      </c>
      <c r="G47" s="275">
        <f>G$22*'6-PlantJurisdiction'!$E$38</f>
        <v>24828003.079999994</v>
      </c>
      <c r="H47" s="275">
        <f>H$22*'6-PlantJurisdiction'!$E$39</f>
        <v>4155708439.8825002</v>
      </c>
      <c r="I47" s="275">
        <f>I$22*'6-PlantJurisdiction'!$E$40</f>
        <v>444047.13</v>
      </c>
      <c r="J47" s="275">
        <f>J$22*'6-PlantJurisdiction'!$E$40</f>
        <v>30056380.57</v>
      </c>
      <c r="K47" s="275">
        <f>K$22*'6-PlantJurisdiction'!$E$41</f>
        <v>6114865065.4134054</v>
      </c>
      <c r="L47" s="275">
        <f>L$22*'6-PlantJurisdiction'!$E$42</f>
        <v>4516420746.5999432</v>
      </c>
      <c r="M47" s="275">
        <f>M$22*'6-PlantJurisdiction'!$E$43</f>
        <v>1471257536.5530224</v>
      </c>
      <c r="N47" s="275">
        <f>N$22*'6-PlantJurisdiction'!$E$44</f>
        <v>2419783410.3184428</v>
      </c>
      <c r="O47" s="275">
        <f>O$22*'6-PlantJurisdiction'!$E$45</f>
        <v>0</v>
      </c>
      <c r="P47" s="275">
        <f>P$22*'6-PlantJurisdiction'!$E$45</f>
        <v>0</v>
      </c>
      <c r="Q47" s="275">
        <f>Q$22*'6-PlantJurisdiction'!$E$46</f>
        <v>0</v>
      </c>
      <c r="R47" s="275">
        <f>R$22*'6-PlantJurisdiction'!$E$46</f>
        <v>0</v>
      </c>
      <c r="S47" s="275">
        <f>S$22*'6-PlantJurisdiction'!$E$47</f>
        <v>0</v>
      </c>
      <c r="T47" s="275">
        <f>T$22*'6-PlantJurisdiction'!$E$47</f>
        <v>0</v>
      </c>
      <c r="U47" s="275">
        <f>U$22*'6-PlantJurisdiction'!$E$48</f>
        <v>0</v>
      </c>
      <c r="V47" s="275">
        <f>V$22*'6-PlantJurisdiction'!$E$48</f>
        <v>0</v>
      </c>
      <c r="W47" s="275">
        <f>W$22*'6-PlantJurisdiction'!$E$48</f>
        <v>0</v>
      </c>
      <c r="X47" s="275">
        <f>X$22*'6-PlantJurisdiction'!$E$49</f>
        <v>0</v>
      </c>
      <c r="Y47" s="275">
        <f>Y$22*'6-PlantJurisdiction'!$E$50</f>
        <v>0</v>
      </c>
      <c r="Z47" s="275">
        <f>Z$22*'6-PlantJurisdiction'!$E$50</f>
        <v>0</v>
      </c>
      <c r="AA47" s="275">
        <f>AA$22*'6-PlantJurisdiction'!$E$50</f>
        <v>0</v>
      </c>
      <c r="AB47" s="275">
        <f>AB$22*'6-PlantJurisdiction'!$E$50</f>
        <v>0</v>
      </c>
      <c r="AC47" s="24">
        <f t="shared" si="6"/>
        <v>19109662785.615196</v>
      </c>
      <c r="AD47" s="91">
        <f t="shared" si="5"/>
        <v>209</v>
      </c>
    </row>
    <row r="48" spans="1:30">
      <c r="A48" s="91">
        <f t="shared" si="7"/>
        <v>210</v>
      </c>
      <c r="B48" s="377" t="s">
        <v>460</v>
      </c>
      <c r="C48" s="140">
        <f>'1-DRR'!$K$2</f>
        <v>2022</v>
      </c>
      <c r="D48" s="275">
        <f>D$23*'6-PlantJurisdiction'!$E$37</f>
        <v>30216536.703943837</v>
      </c>
      <c r="E48" s="275">
        <f>E$23*'6-PlantJurisdiction'!$E$37</f>
        <v>61836048.870720372</v>
      </c>
      <c r="F48" s="275">
        <f>F$23*'6-PlantJurisdiction'!$E$38</f>
        <v>285634376.216667</v>
      </c>
      <c r="G48" s="275">
        <f>G$23*'6-PlantJurisdiction'!$E$38</f>
        <v>24896137.120000001</v>
      </c>
      <c r="H48" s="275">
        <f>H$23*'6-PlantJurisdiction'!$E$39</f>
        <v>4173296745.3583293</v>
      </c>
      <c r="I48" s="275">
        <f>I$23*'6-PlantJurisdiction'!$E$40</f>
        <v>469816.61</v>
      </c>
      <c r="J48" s="275">
        <f>J$23*'6-PlantJurisdiction'!$E$40</f>
        <v>30056380.57</v>
      </c>
      <c r="K48" s="275">
        <f>K$23*'6-PlantJurisdiction'!$E$41</f>
        <v>6273212478.9130049</v>
      </c>
      <c r="L48" s="275">
        <f>L$23*'6-PlantJurisdiction'!$E$42</f>
        <v>4560861352.714922</v>
      </c>
      <c r="M48" s="275">
        <f>M$23*'6-PlantJurisdiction'!$E$43</f>
        <v>1483539168.3126214</v>
      </c>
      <c r="N48" s="275">
        <f>N$23*'6-PlantJurisdiction'!$E$44</f>
        <v>2457359017.8662047</v>
      </c>
      <c r="O48" s="275">
        <f>O$23*'6-PlantJurisdiction'!$E$45</f>
        <v>0</v>
      </c>
      <c r="P48" s="275">
        <f>P$23*'6-PlantJurisdiction'!$E$45</f>
        <v>0</v>
      </c>
      <c r="Q48" s="275">
        <f>Q$23*'6-PlantJurisdiction'!$E$46</f>
        <v>0</v>
      </c>
      <c r="R48" s="275">
        <f>R$23*'6-PlantJurisdiction'!$E$46</f>
        <v>0</v>
      </c>
      <c r="S48" s="275">
        <f>S$23*'6-PlantJurisdiction'!$E$47</f>
        <v>0</v>
      </c>
      <c r="T48" s="275">
        <f>T$23*'6-PlantJurisdiction'!$E$47</f>
        <v>0</v>
      </c>
      <c r="U48" s="275">
        <f>U$23*'6-PlantJurisdiction'!$E$48</f>
        <v>0</v>
      </c>
      <c r="V48" s="275">
        <f>V$23*'6-PlantJurisdiction'!$E$48</f>
        <v>0</v>
      </c>
      <c r="W48" s="275">
        <f>W$23*'6-PlantJurisdiction'!$E$48</f>
        <v>0</v>
      </c>
      <c r="X48" s="275">
        <f>X$23*'6-PlantJurisdiction'!$E$49</f>
        <v>0</v>
      </c>
      <c r="Y48" s="275">
        <f>Y$23*'6-PlantJurisdiction'!$E$50</f>
        <v>0</v>
      </c>
      <c r="Z48" s="275">
        <f>Z$23*'6-PlantJurisdiction'!$E$50</f>
        <v>0</v>
      </c>
      <c r="AA48" s="275">
        <f>AA$23*'6-PlantJurisdiction'!$E$50</f>
        <v>0</v>
      </c>
      <c r="AB48" s="275">
        <f>AB$23*'6-PlantJurisdiction'!$E$50</f>
        <v>0</v>
      </c>
      <c r="AC48" s="24">
        <f t="shared" si="6"/>
        <v>19381378059.256413</v>
      </c>
      <c r="AD48" s="91">
        <f t="shared" si="5"/>
        <v>210</v>
      </c>
    </row>
    <row r="49" spans="1:30">
      <c r="A49" s="91">
        <f t="shared" si="7"/>
        <v>211</v>
      </c>
      <c r="B49" s="377" t="s">
        <v>461</v>
      </c>
      <c r="C49" s="140">
        <f>'1-DRR'!$K$2</f>
        <v>2022</v>
      </c>
      <c r="D49" s="275">
        <f>D$24*'6-PlantJurisdiction'!$E$37</f>
        <v>30195351.00258844</v>
      </c>
      <c r="E49" s="275">
        <f>E$24*'6-PlantJurisdiction'!$E$37</f>
        <v>61819154.063280396</v>
      </c>
      <c r="F49" s="275">
        <f>F$24*'6-PlantJurisdiction'!$E$38</f>
        <v>284921462.68333334</v>
      </c>
      <c r="G49" s="275">
        <f>G$24*'6-PlantJurisdiction'!$E$38</f>
        <v>24846763.23</v>
      </c>
      <c r="H49" s="275">
        <f>H$24*'6-PlantJurisdiction'!$E$39</f>
        <v>4155621793.6041665</v>
      </c>
      <c r="I49" s="275">
        <f>I$24*'6-PlantJurisdiction'!$E$40</f>
        <v>467860.28</v>
      </c>
      <c r="J49" s="275">
        <f>J$24*'6-PlantJurisdiction'!$E$40</f>
        <v>30056380.57</v>
      </c>
      <c r="K49" s="275">
        <f>K$24*'6-PlantJurisdiction'!$E$41</f>
        <v>6169202255.497736</v>
      </c>
      <c r="L49" s="275">
        <f>L$24*'6-PlantJurisdiction'!$E$42</f>
        <v>4543168081.9519405</v>
      </c>
      <c r="M49" s="275">
        <f>M$24*'6-PlantJurisdiction'!$E$43</f>
        <v>1472397117.5178738</v>
      </c>
      <c r="N49" s="275">
        <f>N$24*'6-PlantJurisdiction'!$E$44</f>
        <v>2432390356.6518364</v>
      </c>
      <c r="O49" s="275">
        <f>O$24*'6-PlantJurisdiction'!$E$45</f>
        <v>0</v>
      </c>
      <c r="P49" s="275">
        <f>P$24*'6-PlantJurisdiction'!$E$45</f>
        <v>0</v>
      </c>
      <c r="Q49" s="275">
        <f>Q$24*'6-PlantJurisdiction'!$E$46</f>
        <v>0</v>
      </c>
      <c r="R49" s="275">
        <f>R$24*'6-PlantJurisdiction'!$E$46</f>
        <v>0</v>
      </c>
      <c r="S49" s="275">
        <f>S$24*'6-PlantJurisdiction'!$E$47</f>
        <v>0</v>
      </c>
      <c r="T49" s="275">
        <f>T$24*'6-PlantJurisdiction'!$E$47</f>
        <v>0</v>
      </c>
      <c r="U49" s="275">
        <f>U$24*'6-PlantJurisdiction'!$E$48</f>
        <v>0</v>
      </c>
      <c r="V49" s="275">
        <f>V$24*'6-PlantJurisdiction'!$E$48</f>
        <v>0</v>
      </c>
      <c r="W49" s="275">
        <f>W$24*'6-PlantJurisdiction'!$E$48</f>
        <v>0</v>
      </c>
      <c r="X49" s="275">
        <f>X$24*'6-PlantJurisdiction'!$E$49</f>
        <v>0</v>
      </c>
      <c r="Y49" s="275">
        <f>Y$24*'6-PlantJurisdiction'!$E$50</f>
        <v>0</v>
      </c>
      <c r="Z49" s="275">
        <f>Z$24*'6-PlantJurisdiction'!$E$50</f>
        <v>0</v>
      </c>
      <c r="AA49" s="275">
        <f>AA$24*'6-PlantJurisdiction'!$E$50</f>
        <v>0</v>
      </c>
      <c r="AB49" s="275">
        <f>AB$24*'6-PlantJurisdiction'!$E$50</f>
        <v>0</v>
      </c>
      <c r="AC49" s="24">
        <f t="shared" si="6"/>
        <v>19205086577.052753</v>
      </c>
      <c r="AD49" s="91">
        <f t="shared" si="5"/>
        <v>211</v>
      </c>
    </row>
    <row r="50" spans="1:30">
      <c r="A50" s="91">
        <f t="shared" si="7"/>
        <v>212</v>
      </c>
      <c r="B50" s="377" t="s">
        <v>449</v>
      </c>
      <c r="C50" s="140">
        <f>'1-DRR'!$K$2</f>
        <v>2022</v>
      </c>
      <c r="D50" s="275">
        <f>D$25*'6-PlantJurisdiction'!$E$37</f>
        <v>30180332.830776051</v>
      </c>
      <c r="E50" s="275">
        <f>E$25*'6-PlantJurisdiction'!$E$37</f>
        <v>61864889.022056982</v>
      </c>
      <c r="F50" s="275">
        <f>F$25*'6-PlantJurisdiction'!$E$38</f>
        <v>285665173.86999995</v>
      </c>
      <c r="G50" s="275">
        <f>G$25*'6-PlantJurisdiction'!$E$38</f>
        <v>25040612.589999996</v>
      </c>
      <c r="H50" s="275">
        <f>H$25*'6-PlantJurisdiction'!$E$39</f>
        <v>4175371984.77</v>
      </c>
      <c r="I50" s="275">
        <f>I$25*'6-PlantJurisdiction'!$E$40</f>
        <v>333686.90999999997</v>
      </c>
      <c r="J50" s="275">
        <f>J$25*'6-PlantJurisdiction'!$E$40</f>
        <v>30056380.57</v>
      </c>
      <c r="K50" s="275">
        <f>K$25*'6-PlantJurisdiction'!$E$41</f>
        <v>6120080728.0890665</v>
      </c>
      <c r="L50" s="275">
        <f>L$25*'6-PlantJurisdiction'!$E$42</f>
        <v>4472150469.937499</v>
      </c>
      <c r="M50" s="275">
        <f>M$25*'6-PlantJurisdiction'!$E$43</f>
        <v>1450621898.400126</v>
      </c>
      <c r="N50" s="275">
        <f>N$25*'6-PlantJurisdiction'!$E$44</f>
        <v>2425361034.0598078</v>
      </c>
      <c r="O50" s="275">
        <f>O$25*'6-PlantJurisdiction'!$E$45</f>
        <v>0</v>
      </c>
      <c r="P50" s="275">
        <f>P$25*'6-PlantJurisdiction'!$E$45</f>
        <v>0</v>
      </c>
      <c r="Q50" s="275">
        <f>Q$25*'6-PlantJurisdiction'!$E$46</f>
        <v>0</v>
      </c>
      <c r="R50" s="275">
        <f>R$25*'6-PlantJurisdiction'!$E$46</f>
        <v>0</v>
      </c>
      <c r="S50" s="275">
        <f>S$25*'6-PlantJurisdiction'!$E$47</f>
        <v>0</v>
      </c>
      <c r="T50" s="275">
        <f>T$25*'6-PlantJurisdiction'!$E$47</f>
        <v>0</v>
      </c>
      <c r="U50" s="275">
        <f>U$25*'6-PlantJurisdiction'!$E$48</f>
        <v>0</v>
      </c>
      <c r="V50" s="275">
        <f>V$25*'6-PlantJurisdiction'!$E$48</f>
        <v>0</v>
      </c>
      <c r="W50" s="275">
        <f>W$25*'6-PlantJurisdiction'!$E$48</f>
        <v>0</v>
      </c>
      <c r="X50" s="275">
        <f>X$25*'6-PlantJurisdiction'!$E$49</f>
        <v>0</v>
      </c>
      <c r="Y50" s="275">
        <f>Y$25*'6-PlantJurisdiction'!$E$50</f>
        <v>0</v>
      </c>
      <c r="Z50" s="275">
        <f>Z$25*'6-PlantJurisdiction'!$E$50</f>
        <v>0</v>
      </c>
      <c r="AA50" s="275">
        <f>AA$25*'6-PlantJurisdiction'!$E$50</f>
        <v>0</v>
      </c>
      <c r="AB50" s="275">
        <f>AB$25*'6-PlantJurisdiction'!$E$50</f>
        <v>0</v>
      </c>
      <c r="AC50" s="24">
        <f t="shared" si="6"/>
        <v>19076727191.049332</v>
      </c>
      <c r="AD50" s="91">
        <f t="shared" si="5"/>
        <v>212</v>
      </c>
    </row>
    <row r="51" spans="1:30">
      <c r="A51" s="91">
        <f t="shared" si="7"/>
        <v>213</v>
      </c>
      <c r="B51" s="699" t="s">
        <v>738</v>
      </c>
      <c r="C51" s="489"/>
      <c r="D51" s="696">
        <f>SUM(D38:D50)/13</f>
        <v>30181442.212491035</v>
      </c>
      <c r="E51" s="696">
        <f t="shared" ref="E51:AC51" si="8">SUM(E38:E50)/13</f>
        <v>61264084.774852142</v>
      </c>
      <c r="F51" s="696">
        <f t="shared" si="8"/>
        <v>281874760.99846172</v>
      </c>
      <c r="G51" s="696">
        <f t="shared" si="8"/>
        <v>24826774.652307689</v>
      </c>
      <c r="H51" s="696">
        <f t="shared" si="8"/>
        <v>4095146274.4680719</v>
      </c>
      <c r="I51" s="696">
        <f t="shared" si="8"/>
        <v>372321.33153846156</v>
      </c>
      <c r="J51" s="696">
        <f t="shared" si="8"/>
        <v>27751197.939230766</v>
      </c>
      <c r="K51" s="696">
        <f t="shared" si="8"/>
        <v>5874783523.1909065</v>
      </c>
      <c r="L51" s="696">
        <f t="shared" si="8"/>
        <v>4429370711.0161991</v>
      </c>
      <c r="M51" s="696">
        <f t="shared" si="8"/>
        <v>1434492023.4660864</v>
      </c>
      <c r="N51" s="696">
        <f t="shared" si="8"/>
        <v>2357533383.7946367</v>
      </c>
      <c r="O51" s="696">
        <f t="shared" si="8"/>
        <v>0</v>
      </c>
      <c r="P51" s="696">
        <f t="shared" si="8"/>
        <v>0</v>
      </c>
      <c r="Q51" s="696">
        <f t="shared" si="8"/>
        <v>0</v>
      </c>
      <c r="R51" s="696">
        <f t="shared" si="8"/>
        <v>0</v>
      </c>
      <c r="S51" s="696">
        <f t="shared" si="8"/>
        <v>0</v>
      </c>
      <c r="T51" s="696">
        <f t="shared" si="8"/>
        <v>0</v>
      </c>
      <c r="U51" s="696">
        <f t="shared" si="8"/>
        <v>0</v>
      </c>
      <c r="V51" s="696">
        <f t="shared" si="8"/>
        <v>0</v>
      </c>
      <c r="W51" s="696">
        <f t="shared" si="8"/>
        <v>0</v>
      </c>
      <c r="X51" s="696">
        <f t="shared" si="8"/>
        <v>0</v>
      </c>
      <c r="Y51" s="696">
        <f t="shared" si="8"/>
        <v>0</v>
      </c>
      <c r="Z51" s="696">
        <f t="shared" si="8"/>
        <v>0</v>
      </c>
      <c r="AA51" s="696">
        <f t="shared" si="8"/>
        <v>0</v>
      </c>
      <c r="AB51" s="696">
        <f t="shared" si="8"/>
        <v>0</v>
      </c>
      <c r="AC51" s="696">
        <f t="shared" si="8"/>
        <v>18617596497.844784</v>
      </c>
      <c r="AD51" s="91">
        <f t="shared" si="5"/>
        <v>213</v>
      </c>
    </row>
    <row r="52" spans="1:30">
      <c r="A52" s="18"/>
      <c r="B52" s="8"/>
      <c r="C52" s="8"/>
      <c r="D52" s="8"/>
      <c r="E52" s="8"/>
      <c r="F52" s="8"/>
      <c r="G52" s="8"/>
      <c r="H52" s="8"/>
      <c r="I52" s="8"/>
      <c r="J52" s="8"/>
      <c r="K52" s="8"/>
      <c r="L52" s="8"/>
      <c r="M52" s="8"/>
      <c r="N52" s="8"/>
      <c r="O52" s="8"/>
      <c r="P52" s="8"/>
      <c r="Q52" s="8"/>
      <c r="AD52" s="91"/>
    </row>
    <row r="53" spans="1:30">
      <c r="A53" s="18"/>
      <c r="B53" s="8"/>
      <c r="C53" s="8"/>
      <c r="D53" s="8"/>
      <c r="E53" s="8"/>
      <c r="F53" s="8"/>
      <c r="G53" s="8"/>
      <c r="H53" s="8"/>
      <c r="I53" s="8"/>
      <c r="J53" s="8"/>
      <c r="K53" s="8"/>
      <c r="L53" s="8"/>
      <c r="M53" s="8"/>
      <c r="N53" s="8"/>
      <c r="O53" s="8"/>
      <c r="P53" s="8"/>
      <c r="Q53" s="8"/>
      <c r="AD53" s="91"/>
    </row>
    <row r="54" spans="1:30">
      <c r="B54" s="45" t="s">
        <v>766</v>
      </c>
      <c r="C54" s="45"/>
      <c r="D54" s="103"/>
      <c r="E54" s="103"/>
      <c r="F54" s="103"/>
      <c r="G54" s="103"/>
      <c r="H54" s="43"/>
      <c r="I54" s="103"/>
      <c r="J54" s="103"/>
      <c r="K54" s="103"/>
      <c r="L54" s="103"/>
      <c r="M54" s="103"/>
      <c r="N54" s="103"/>
      <c r="O54" s="103"/>
      <c r="P54" s="103"/>
      <c r="Q54" s="103"/>
      <c r="R54" s="43"/>
      <c r="S54" s="43"/>
      <c r="T54" s="43"/>
      <c r="U54" s="43"/>
      <c r="V54" s="43"/>
      <c r="W54" s="43"/>
      <c r="X54" s="43"/>
      <c r="Y54" s="43"/>
      <c r="Z54" s="43"/>
      <c r="AA54" s="43"/>
      <c r="AB54" s="43"/>
      <c r="AC54" s="43"/>
    </row>
    <row r="55" spans="1:30">
      <c r="B55" s="377" t="s">
        <v>740</v>
      </c>
      <c r="C55" s="2"/>
      <c r="D55" s="8"/>
      <c r="E55" s="8"/>
      <c r="I55" s="8"/>
      <c r="J55" s="8"/>
      <c r="K55" s="8"/>
      <c r="L55" s="8"/>
      <c r="M55" s="8"/>
      <c r="N55" s="8"/>
      <c r="O55" s="8"/>
      <c r="P55" s="8"/>
      <c r="Q55" s="8"/>
    </row>
    <row r="56" spans="1:30">
      <c r="C56" s="2"/>
      <c r="D56" s="8"/>
      <c r="E56" s="8"/>
      <c r="F56" s="8"/>
      <c r="G56" s="8"/>
      <c r="I56" s="8"/>
      <c r="J56" s="8"/>
      <c r="K56" s="8"/>
      <c r="L56" s="8"/>
      <c r="M56" s="8"/>
      <c r="N56" s="8"/>
      <c r="O56" s="8"/>
      <c r="P56" s="8"/>
      <c r="Q56" s="8"/>
    </row>
    <row r="57" spans="1:30">
      <c r="B57" s="377"/>
      <c r="C57" s="2"/>
      <c r="D57" s="8"/>
      <c r="E57" s="8"/>
      <c r="F57" s="8"/>
      <c r="G57" s="8"/>
      <c r="I57" s="8"/>
      <c r="J57" s="8"/>
      <c r="K57" s="8"/>
      <c r="L57" s="8"/>
      <c r="M57" s="8"/>
      <c r="N57" s="8"/>
      <c r="O57" s="8"/>
      <c r="P57" s="8"/>
      <c r="Q57" s="8"/>
    </row>
    <row r="58" spans="1:30">
      <c r="A58" s="4"/>
      <c r="D58" s="83" t="s">
        <v>124</v>
      </c>
      <c r="E58" s="83" t="s">
        <v>125</v>
      </c>
      <c r="F58" s="83" t="s">
        <v>126</v>
      </c>
      <c r="G58" s="83" t="s">
        <v>127</v>
      </c>
      <c r="H58" s="83" t="s">
        <v>420</v>
      </c>
      <c r="I58" s="83" t="s">
        <v>421</v>
      </c>
      <c r="J58" s="83" t="s">
        <v>422</v>
      </c>
      <c r="K58" s="83" t="s">
        <v>423</v>
      </c>
      <c r="L58" s="83" t="s">
        <v>424</v>
      </c>
      <c r="M58" s="83" t="s">
        <v>692</v>
      </c>
      <c r="N58" s="83" t="s">
        <v>693</v>
      </c>
      <c r="O58" s="83" t="s">
        <v>694</v>
      </c>
      <c r="P58" s="83" t="s">
        <v>695</v>
      </c>
      <c r="Q58" s="83" t="s">
        <v>696</v>
      </c>
      <c r="R58" s="83" t="s">
        <v>697</v>
      </c>
      <c r="S58" s="83" t="s">
        <v>698</v>
      </c>
      <c r="T58" s="83" t="s">
        <v>699</v>
      </c>
      <c r="U58" s="83" t="s">
        <v>700</v>
      </c>
      <c r="V58" s="83" t="s">
        <v>701</v>
      </c>
      <c r="W58" s="83" t="s">
        <v>702</v>
      </c>
      <c r="X58" s="83" t="s">
        <v>703</v>
      </c>
      <c r="Y58" s="83" t="s">
        <v>704</v>
      </c>
      <c r="Z58" s="83" t="s">
        <v>705</v>
      </c>
      <c r="AA58" s="83" t="s">
        <v>706</v>
      </c>
      <c r="AB58" s="83" t="s">
        <v>707</v>
      </c>
      <c r="AC58" s="83" t="s">
        <v>708</v>
      </c>
      <c r="AD58" s="91"/>
    </row>
    <row r="59" spans="1:30" ht="43.5">
      <c r="B59" s="4"/>
      <c r="C59" s="4"/>
      <c r="D59" s="379" t="s">
        <v>767</v>
      </c>
      <c r="E59" s="379" t="s">
        <v>768</v>
      </c>
      <c r="F59" s="379" t="s">
        <v>769</v>
      </c>
      <c r="G59" s="379" t="s">
        <v>770</v>
      </c>
      <c r="H59" s="379" t="s">
        <v>771</v>
      </c>
      <c r="I59" s="379" t="s">
        <v>772</v>
      </c>
      <c r="J59" s="379" t="s">
        <v>773</v>
      </c>
      <c r="K59" s="379" t="s">
        <v>774</v>
      </c>
      <c r="L59" s="379" t="s">
        <v>775</v>
      </c>
      <c r="M59" s="379" t="s">
        <v>776</v>
      </c>
      <c r="N59" s="379" t="s">
        <v>777</v>
      </c>
      <c r="O59" s="379" t="s">
        <v>778</v>
      </c>
      <c r="P59" s="379" t="s">
        <v>779</v>
      </c>
      <c r="Q59" s="379" t="s">
        <v>780</v>
      </c>
      <c r="R59" s="379" t="s">
        <v>781</v>
      </c>
      <c r="S59" s="379" t="s">
        <v>782</v>
      </c>
      <c r="T59" s="379" t="s">
        <v>783</v>
      </c>
      <c r="U59" s="379" t="s">
        <v>784</v>
      </c>
      <c r="V59" s="379" t="s">
        <v>785</v>
      </c>
      <c r="W59" s="379" t="s">
        <v>786</v>
      </c>
      <c r="X59" s="379" t="s">
        <v>787</v>
      </c>
      <c r="Y59" s="379" t="s">
        <v>788</v>
      </c>
      <c r="Z59" s="379" t="s">
        <v>789</v>
      </c>
      <c r="AA59" s="379" t="s">
        <v>790</v>
      </c>
      <c r="AB59" s="379" t="s">
        <v>791</v>
      </c>
      <c r="AC59" s="133" t="s">
        <v>709</v>
      </c>
      <c r="AD59" s="91"/>
    </row>
    <row r="60" spans="1:30">
      <c r="B60" s="4"/>
      <c r="C60" s="4"/>
      <c r="L60" s="107"/>
      <c r="R60" s="21"/>
      <c r="S60" s="21"/>
      <c r="T60" s="21"/>
      <c r="AC60" s="21"/>
      <c r="AD60" s="91"/>
    </row>
    <row r="61" spans="1:30">
      <c r="A61" s="91"/>
      <c r="B61" s="91"/>
      <c r="C61" s="90" t="s">
        <v>710</v>
      </c>
      <c r="D61" s="84">
        <v>360</v>
      </c>
      <c r="E61" s="84">
        <v>360</v>
      </c>
      <c r="F61" s="84">
        <v>361</v>
      </c>
      <c r="G61" s="84">
        <v>361</v>
      </c>
      <c r="H61" s="84">
        <v>362</v>
      </c>
      <c r="I61" s="84">
        <v>363</v>
      </c>
      <c r="J61" s="84">
        <v>363</v>
      </c>
      <c r="K61" s="84">
        <v>364</v>
      </c>
      <c r="L61" s="84">
        <v>365</v>
      </c>
      <c r="M61" s="84">
        <v>366</v>
      </c>
      <c r="N61" s="84">
        <v>367</v>
      </c>
      <c r="O61" s="84">
        <v>368</v>
      </c>
      <c r="P61" s="84">
        <v>368</v>
      </c>
      <c r="Q61" s="84">
        <v>369</v>
      </c>
      <c r="R61" s="84">
        <v>369</v>
      </c>
      <c r="S61" s="84">
        <v>370</v>
      </c>
      <c r="T61" s="84">
        <v>370</v>
      </c>
      <c r="U61" s="84">
        <v>371</v>
      </c>
      <c r="V61" s="84">
        <v>371</v>
      </c>
      <c r="W61" s="84">
        <v>371</v>
      </c>
      <c r="X61" s="84">
        <v>372</v>
      </c>
      <c r="Y61" s="84">
        <v>373</v>
      </c>
      <c r="Z61" s="84">
        <v>373</v>
      </c>
      <c r="AA61" s="84">
        <v>373</v>
      </c>
      <c r="AB61" s="84">
        <v>373</v>
      </c>
      <c r="AD61" s="91"/>
    </row>
    <row r="62" spans="1:30">
      <c r="A62" s="80" t="s">
        <v>92</v>
      </c>
      <c r="B62" s="80" t="s">
        <v>440</v>
      </c>
      <c r="C62" s="80" t="s">
        <v>441</v>
      </c>
      <c r="D62" s="83" t="s">
        <v>711</v>
      </c>
      <c r="E62" s="83" t="s">
        <v>712</v>
      </c>
      <c r="F62" s="83" t="s">
        <v>713</v>
      </c>
      <c r="G62" s="83" t="s">
        <v>714</v>
      </c>
      <c r="H62" s="83" t="s">
        <v>715</v>
      </c>
      <c r="I62" s="83" t="s">
        <v>716</v>
      </c>
      <c r="J62" s="83" t="s">
        <v>717</v>
      </c>
      <c r="K62" s="83" t="s">
        <v>718</v>
      </c>
      <c r="L62" s="83" t="s">
        <v>719</v>
      </c>
      <c r="M62" s="83" t="s">
        <v>720</v>
      </c>
      <c r="N62" s="83" t="s">
        <v>721</v>
      </c>
      <c r="O62" s="83" t="s">
        <v>722</v>
      </c>
      <c r="P62" s="83" t="s">
        <v>723</v>
      </c>
      <c r="Q62" s="83" t="s">
        <v>724</v>
      </c>
      <c r="R62" s="83" t="s">
        <v>725</v>
      </c>
      <c r="S62" s="83" t="s">
        <v>726</v>
      </c>
      <c r="T62" s="83" t="s">
        <v>727</v>
      </c>
      <c r="U62" s="83" t="s">
        <v>728</v>
      </c>
      <c r="V62" s="83" t="s">
        <v>729</v>
      </c>
      <c r="W62" s="83" t="s">
        <v>730</v>
      </c>
      <c r="X62" s="83" t="s">
        <v>731</v>
      </c>
      <c r="Y62" s="83" t="s">
        <v>732</v>
      </c>
      <c r="Z62" s="83" t="s">
        <v>733</v>
      </c>
      <c r="AA62" s="83" t="s">
        <v>734</v>
      </c>
      <c r="AB62" s="83" t="s">
        <v>735</v>
      </c>
      <c r="AC62" s="80" t="s">
        <v>736</v>
      </c>
      <c r="AD62" s="80" t="str">
        <f t="shared" ref="AD62:AD76" si="9">A62</f>
        <v>Line</v>
      </c>
    </row>
    <row r="63" spans="1:30">
      <c r="A63" s="91">
        <v>300</v>
      </c>
      <c r="B63" s="377" t="s">
        <v>449</v>
      </c>
      <c r="C63" s="140">
        <f>'1-DRR'!$K$2-1</f>
        <v>2021</v>
      </c>
      <c r="D63" s="275">
        <f>D$13*'6-PlantJurisdiction'!$F$37</f>
        <v>29306693.641148534</v>
      </c>
      <c r="E63" s="275">
        <f>E$13*'6-PlantJurisdiction'!$F$37</f>
        <v>59048524.956641734</v>
      </c>
      <c r="F63" s="275">
        <f>F$13*'6-PlantJurisdiction'!$F$38</f>
        <v>0</v>
      </c>
      <c r="G63" s="275">
        <f>G$13*'6-PlantJurisdiction'!$F$38</f>
        <v>0</v>
      </c>
      <c r="H63" s="275">
        <f>H$13*'6-PlantJurisdiction'!$F$39</f>
        <v>0</v>
      </c>
      <c r="I63" s="275">
        <f>I$13*'6-PlantJurisdiction'!$F$40</f>
        <v>0</v>
      </c>
      <c r="J63" s="275">
        <f>J$13*'6-PlantJurisdiction'!$F$40</f>
        <v>0</v>
      </c>
      <c r="K63" s="275">
        <f>K$13*'6-PlantJurisdiction'!$F$41</f>
        <v>1432748978.9390786</v>
      </c>
      <c r="L63" s="275">
        <f>L$13*'6-PlantJurisdiction'!$F$42</f>
        <v>1127076976.9606426</v>
      </c>
      <c r="M63" s="275">
        <f>M$13*'6-PlantJurisdiction'!$F$43</f>
        <v>2153599202.4871235</v>
      </c>
      <c r="N63" s="275">
        <f>N$13*'6-PlantJurisdiction'!$F$44</f>
        <v>3513148090.2930937</v>
      </c>
      <c r="O63" s="275">
        <f>O$13*'6-PlantJurisdiction'!$F$45</f>
        <v>3573807357.6999989</v>
      </c>
      <c r="P63" s="275">
        <f>P$13*'6-PlantJurisdiction'!$F$45</f>
        <v>1431524018.4900002</v>
      </c>
      <c r="Q63" s="275">
        <f>Q$13*'6-PlantJurisdiction'!$F$46</f>
        <v>1030954038.3700004</v>
      </c>
      <c r="R63" s="275">
        <f>R$13*'6-PlantJurisdiction'!$F$46</f>
        <v>2879007578.7600017</v>
      </c>
      <c r="S63" s="275">
        <f>S$13*'6-PlantJurisdiction'!$F$47</f>
        <v>0</v>
      </c>
      <c r="T63" s="275">
        <f>T$13*'6-PlantJurisdiction'!$F$47</f>
        <v>0</v>
      </c>
      <c r="U63" s="275">
        <f>U$13*'6-PlantJurisdiction'!$F$48</f>
        <v>0</v>
      </c>
      <c r="V63" s="275">
        <f>V$13*'6-PlantJurisdiction'!$F$48</f>
        <v>0</v>
      </c>
      <c r="W63" s="275">
        <f>W$13*'6-PlantJurisdiction'!$F$48</f>
        <v>0</v>
      </c>
      <c r="X63" s="275">
        <f>X$13*'6-PlantJurisdiction'!$F$49</f>
        <v>0</v>
      </c>
      <c r="Y63" s="275">
        <f>Y$13*'6-PlantJurisdiction'!$F$50</f>
        <v>0</v>
      </c>
      <c r="Z63" s="275">
        <f>Z$13*'6-PlantJurisdiction'!$F$50</f>
        <v>0</v>
      </c>
      <c r="AA63" s="275">
        <f>AA$13*'6-PlantJurisdiction'!$F$50</f>
        <v>0</v>
      </c>
      <c r="AB63" s="275">
        <f>AB$13*'6-PlantJurisdiction'!$F$50</f>
        <v>0</v>
      </c>
      <c r="AC63" s="24">
        <f t="shared" ref="AC63:AC75" si="10">SUM(D63:AB63)</f>
        <v>17230221460.597729</v>
      </c>
      <c r="AD63" s="91">
        <f t="shared" si="9"/>
        <v>300</v>
      </c>
    </row>
    <row r="64" spans="1:30">
      <c r="A64" s="91">
        <f>A63+1</f>
        <v>301</v>
      </c>
      <c r="B64" s="377" t="s">
        <v>451</v>
      </c>
      <c r="C64" s="140">
        <f>'1-DRR'!$K$2</f>
        <v>2022</v>
      </c>
      <c r="D64" s="275">
        <f>D$14*'6-PlantJurisdiction'!$F$37</f>
        <v>29316241.139944579</v>
      </c>
      <c r="E64" s="275">
        <f>E$14*'6-PlantJurisdiction'!$F$37</f>
        <v>59050594.662676893</v>
      </c>
      <c r="F64" s="275">
        <f>F$14*'6-PlantJurisdiction'!$F$38</f>
        <v>0</v>
      </c>
      <c r="G64" s="275">
        <f>G$14*'6-PlantJurisdiction'!$F$38</f>
        <v>0</v>
      </c>
      <c r="H64" s="275">
        <f>H$14*'6-PlantJurisdiction'!$F$39</f>
        <v>0</v>
      </c>
      <c r="I64" s="275">
        <f>I$14*'6-PlantJurisdiction'!$F$40</f>
        <v>0</v>
      </c>
      <c r="J64" s="275">
        <f>J$14*'6-PlantJurisdiction'!$F$40</f>
        <v>0</v>
      </c>
      <c r="K64" s="275">
        <f>K$14*'6-PlantJurisdiction'!$F$41</f>
        <v>1442698704.8598511</v>
      </c>
      <c r="L64" s="275">
        <f>L$14*'6-PlantJurisdiction'!$F$42</f>
        <v>1133216171.2605331</v>
      </c>
      <c r="M64" s="275">
        <f>M$14*'6-PlantJurisdiction'!$F$43</f>
        <v>2159987589.5059357</v>
      </c>
      <c r="N64" s="275">
        <f>N$14*'6-PlantJurisdiction'!$F$44</f>
        <v>3529435279.7179685</v>
      </c>
      <c r="O64" s="275">
        <f>O$14*'6-PlantJurisdiction'!$F$45</f>
        <v>3597216144.344995</v>
      </c>
      <c r="P64" s="275">
        <f>P$14*'6-PlantJurisdiction'!$F$45</f>
        <v>1447121583.3400002</v>
      </c>
      <c r="Q64" s="275">
        <f>Q$14*'6-PlantJurisdiction'!$F$46</f>
        <v>1037281644.9516672</v>
      </c>
      <c r="R64" s="275">
        <f>R$14*'6-PlantJurisdiction'!$F$46</f>
        <v>2887052908.4725022</v>
      </c>
      <c r="S64" s="275">
        <f>S$14*'6-PlantJurisdiction'!$F$47</f>
        <v>0</v>
      </c>
      <c r="T64" s="275">
        <f>T$14*'6-PlantJurisdiction'!$F$47</f>
        <v>0</v>
      </c>
      <c r="U64" s="275">
        <f>U$14*'6-PlantJurisdiction'!$F$48</f>
        <v>0</v>
      </c>
      <c r="V64" s="275">
        <f>V$14*'6-PlantJurisdiction'!$F$48</f>
        <v>0</v>
      </c>
      <c r="W64" s="275">
        <f>W$14*'6-PlantJurisdiction'!$F$48</f>
        <v>0</v>
      </c>
      <c r="X64" s="275">
        <f>X$14*'6-PlantJurisdiction'!$F$49</f>
        <v>0</v>
      </c>
      <c r="Y64" s="275">
        <f>Y$14*'6-PlantJurisdiction'!$F$50</f>
        <v>0</v>
      </c>
      <c r="Z64" s="275">
        <f>Z$14*'6-PlantJurisdiction'!$F$50</f>
        <v>0</v>
      </c>
      <c r="AA64" s="275">
        <f>AA$14*'6-PlantJurisdiction'!$F$50</f>
        <v>0</v>
      </c>
      <c r="AB64" s="275">
        <f>AB$14*'6-PlantJurisdiction'!$F$50</f>
        <v>0</v>
      </c>
      <c r="AC64" s="24">
        <f t="shared" si="10"/>
        <v>17322376862.256077</v>
      </c>
      <c r="AD64" s="91">
        <f t="shared" si="9"/>
        <v>301</v>
      </c>
    </row>
    <row r="65" spans="1:30">
      <c r="A65" s="91">
        <f t="shared" ref="A65:A76" si="11">A64+1</f>
        <v>302</v>
      </c>
      <c r="B65" s="377" t="s">
        <v>452</v>
      </c>
      <c r="C65" s="140">
        <f>'1-DRR'!$K$2</f>
        <v>2022</v>
      </c>
      <c r="D65" s="275">
        <f>D$15*'6-PlantJurisdiction'!$F$37</f>
        <v>29322433.062782109</v>
      </c>
      <c r="E65" s="275">
        <f>E$15*'6-PlantJurisdiction'!$F$37</f>
        <v>59053777.211559795</v>
      </c>
      <c r="F65" s="275">
        <f>F$15*'6-PlantJurisdiction'!$F$38</f>
        <v>0</v>
      </c>
      <c r="G65" s="275">
        <f>G$15*'6-PlantJurisdiction'!$F$38</f>
        <v>0</v>
      </c>
      <c r="H65" s="275">
        <f>H$15*'6-PlantJurisdiction'!$F$39</f>
        <v>0</v>
      </c>
      <c r="I65" s="275">
        <f>I$15*'6-PlantJurisdiction'!$F$40</f>
        <v>0</v>
      </c>
      <c r="J65" s="275">
        <f>J$15*'6-PlantJurisdiction'!$F$40</f>
        <v>0</v>
      </c>
      <c r="K65" s="275">
        <f>K$15*'6-PlantJurisdiction'!$F$41</f>
        <v>1456947878.1160688</v>
      </c>
      <c r="L65" s="275">
        <f>L$15*'6-PlantJurisdiction'!$F$42</f>
        <v>1136069475.7879074</v>
      </c>
      <c r="M65" s="275">
        <f>M$15*'6-PlantJurisdiction'!$F$43</f>
        <v>2171205365.7842231</v>
      </c>
      <c r="N65" s="275">
        <f>N$15*'6-PlantJurisdiction'!$F$44</f>
        <v>3555476548.0924258</v>
      </c>
      <c r="O65" s="275">
        <f>O$15*'6-PlantJurisdiction'!$F$45</f>
        <v>3617887732.1399965</v>
      </c>
      <c r="P65" s="275">
        <f>P$15*'6-PlantJurisdiction'!$F$45</f>
        <v>1465789598.3600006</v>
      </c>
      <c r="Q65" s="275">
        <f>Q$15*'6-PlantJurisdiction'!$F$46</f>
        <v>1042458611.293334</v>
      </c>
      <c r="R65" s="275">
        <f>R$15*'6-PlantJurisdiction'!$F$46</f>
        <v>2899793954.3149977</v>
      </c>
      <c r="S65" s="275">
        <f>S$15*'6-PlantJurisdiction'!$F$47</f>
        <v>0</v>
      </c>
      <c r="T65" s="275">
        <f>T$15*'6-PlantJurisdiction'!$F$47</f>
        <v>0</v>
      </c>
      <c r="U65" s="275">
        <f>U$15*'6-PlantJurisdiction'!$F$48</f>
        <v>0</v>
      </c>
      <c r="V65" s="275">
        <f>V$15*'6-PlantJurisdiction'!$F$48</f>
        <v>0</v>
      </c>
      <c r="W65" s="275">
        <f>W$15*'6-PlantJurisdiction'!$F$48</f>
        <v>0</v>
      </c>
      <c r="X65" s="275">
        <f>X$15*'6-PlantJurisdiction'!$F$49</f>
        <v>0</v>
      </c>
      <c r="Y65" s="275">
        <f>Y$15*'6-PlantJurisdiction'!$F$50</f>
        <v>0</v>
      </c>
      <c r="Z65" s="275">
        <f>Z$15*'6-PlantJurisdiction'!$F$50</f>
        <v>0</v>
      </c>
      <c r="AA65" s="275">
        <f>AA$15*'6-PlantJurisdiction'!$F$50</f>
        <v>0</v>
      </c>
      <c r="AB65" s="275">
        <f>AB$15*'6-PlantJurisdiction'!$F$50</f>
        <v>0</v>
      </c>
      <c r="AC65" s="24">
        <f t="shared" si="10"/>
        <v>17434005374.1633</v>
      </c>
      <c r="AD65" s="91">
        <f t="shared" si="9"/>
        <v>302</v>
      </c>
    </row>
    <row r="66" spans="1:30">
      <c r="A66" s="91">
        <f t="shared" si="11"/>
        <v>303</v>
      </c>
      <c r="B66" s="377" t="s">
        <v>453</v>
      </c>
      <c r="C66" s="140">
        <f>'1-DRR'!$K$2</f>
        <v>2022</v>
      </c>
      <c r="D66" s="275">
        <f>D$16*'6-PlantJurisdiction'!$F$37</f>
        <v>29329966.39394208</v>
      </c>
      <c r="E66" s="275">
        <f>E$16*'6-PlantJurisdiction'!$F$37</f>
        <v>59073244.70429264</v>
      </c>
      <c r="F66" s="275">
        <f>F$16*'6-PlantJurisdiction'!$F$38</f>
        <v>0</v>
      </c>
      <c r="G66" s="275">
        <f>G$16*'6-PlantJurisdiction'!$F$38</f>
        <v>0</v>
      </c>
      <c r="H66" s="275">
        <f>H$16*'6-PlantJurisdiction'!$F$39</f>
        <v>0</v>
      </c>
      <c r="I66" s="275">
        <f>I$16*'6-PlantJurisdiction'!$F$40</f>
        <v>0</v>
      </c>
      <c r="J66" s="275">
        <f>J$16*'6-PlantJurisdiction'!$F$40</f>
        <v>0</v>
      </c>
      <c r="K66" s="275">
        <f>K$16*'6-PlantJurisdiction'!$F$41</f>
        <v>1499833312.9917095</v>
      </c>
      <c r="L66" s="275">
        <f>L$16*'6-PlantJurisdiction'!$F$42</f>
        <v>1141875874.79901</v>
      </c>
      <c r="M66" s="275">
        <f>M$16*'6-PlantJurisdiction'!$F$43</f>
        <v>2180619853.4403138</v>
      </c>
      <c r="N66" s="275">
        <f>N$16*'6-PlantJurisdiction'!$F$44</f>
        <v>3573021070.8487325</v>
      </c>
      <c r="O66" s="275">
        <f>O$16*'6-PlantJurisdiction'!$F$45</f>
        <v>3647428586.724997</v>
      </c>
      <c r="P66" s="275">
        <f>P$16*'6-PlantJurisdiction'!$F$45</f>
        <v>1484612039.8600006</v>
      </c>
      <c r="Q66" s="275">
        <f>Q$16*'6-PlantJurisdiction'!$F$46</f>
        <v>1049891296.335</v>
      </c>
      <c r="R66" s="275">
        <f>R$16*'6-PlantJurisdiction'!$F$46</f>
        <v>2914826109.7375011</v>
      </c>
      <c r="S66" s="275">
        <f>S$16*'6-PlantJurisdiction'!$F$47</f>
        <v>0</v>
      </c>
      <c r="T66" s="275">
        <f>T$16*'6-PlantJurisdiction'!$F$47</f>
        <v>0</v>
      </c>
      <c r="U66" s="275">
        <f>U$16*'6-PlantJurisdiction'!$F$48</f>
        <v>0</v>
      </c>
      <c r="V66" s="275">
        <f>V$16*'6-PlantJurisdiction'!$F$48</f>
        <v>0</v>
      </c>
      <c r="W66" s="275">
        <f>W$16*'6-PlantJurisdiction'!$F$48</f>
        <v>0</v>
      </c>
      <c r="X66" s="275">
        <f>X$16*'6-PlantJurisdiction'!$F$49</f>
        <v>0</v>
      </c>
      <c r="Y66" s="275">
        <f>Y$16*'6-PlantJurisdiction'!$F$50</f>
        <v>0</v>
      </c>
      <c r="Z66" s="275">
        <f>Z$16*'6-PlantJurisdiction'!$F$50</f>
        <v>0</v>
      </c>
      <c r="AA66" s="275">
        <f>AA$16*'6-PlantJurisdiction'!$F$50</f>
        <v>0</v>
      </c>
      <c r="AB66" s="275">
        <f>AB$16*'6-PlantJurisdiction'!$F$50</f>
        <v>0</v>
      </c>
      <c r="AC66" s="24">
        <f t="shared" si="10"/>
        <v>17580511355.835495</v>
      </c>
      <c r="AD66" s="91">
        <f t="shared" si="9"/>
        <v>303</v>
      </c>
    </row>
    <row r="67" spans="1:30">
      <c r="A67" s="91">
        <f t="shared" si="11"/>
        <v>304</v>
      </c>
      <c r="B67" s="377" t="s">
        <v>454</v>
      </c>
      <c r="C67" s="140">
        <f>'1-DRR'!$K$2</f>
        <v>2022</v>
      </c>
      <c r="D67" s="275">
        <f>D$17*'6-PlantJurisdiction'!$F$37</f>
        <v>29330089.91993681</v>
      </c>
      <c r="E67" s="275">
        <f>E$17*'6-PlantJurisdiction'!$F$37</f>
        <v>59180623.534167498</v>
      </c>
      <c r="F67" s="275">
        <f>F$17*'6-PlantJurisdiction'!$F$38</f>
        <v>0</v>
      </c>
      <c r="G67" s="275">
        <f>G$17*'6-PlantJurisdiction'!$F$38</f>
        <v>0</v>
      </c>
      <c r="H67" s="275">
        <f>H$17*'6-PlantJurisdiction'!$F$39</f>
        <v>0</v>
      </c>
      <c r="I67" s="275">
        <f>I$17*'6-PlantJurisdiction'!$F$40</f>
        <v>0</v>
      </c>
      <c r="J67" s="275">
        <f>J$17*'6-PlantJurisdiction'!$F$40</f>
        <v>0</v>
      </c>
      <c r="K67" s="275">
        <f>K$17*'6-PlantJurisdiction'!$F$41</f>
        <v>1510919149.2947125</v>
      </c>
      <c r="L67" s="275">
        <f>L$17*'6-PlantJurisdiction'!$F$42</f>
        <v>1148766399.0026796</v>
      </c>
      <c r="M67" s="275">
        <f>M$17*'6-PlantJurisdiction'!$F$43</f>
        <v>2192968093.7678437</v>
      </c>
      <c r="N67" s="275">
        <f>N$17*'6-PlantJurisdiction'!$F$44</f>
        <v>3590896874.6508303</v>
      </c>
      <c r="O67" s="275">
        <f>O$17*'6-PlantJurisdiction'!$F$45</f>
        <v>3673980783.0299983</v>
      </c>
      <c r="P67" s="275">
        <f>P$17*'6-PlantJurisdiction'!$F$45</f>
        <v>1503966492.5199997</v>
      </c>
      <c r="Q67" s="275">
        <f>Q$17*'6-PlantJurisdiction'!$F$46</f>
        <v>1054146286.1366676</v>
      </c>
      <c r="R67" s="275">
        <f>R$17*'6-PlantJurisdiction'!$F$46</f>
        <v>2929465084.8200002</v>
      </c>
      <c r="S67" s="275">
        <f>S$17*'6-PlantJurisdiction'!$F$47</f>
        <v>0</v>
      </c>
      <c r="T67" s="275">
        <f>T$17*'6-PlantJurisdiction'!$F$47</f>
        <v>0</v>
      </c>
      <c r="U67" s="275">
        <f>U$17*'6-PlantJurisdiction'!$F$48</f>
        <v>0</v>
      </c>
      <c r="V67" s="275">
        <f>V$17*'6-PlantJurisdiction'!$F$48</f>
        <v>0</v>
      </c>
      <c r="W67" s="275">
        <f>W$17*'6-PlantJurisdiction'!$F$48</f>
        <v>0</v>
      </c>
      <c r="X67" s="275">
        <f>X$17*'6-PlantJurisdiction'!$F$49</f>
        <v>0</v>
      </c>
      <c r="Y67" s="275">
        <f>Y$17*'6-PlantJurisdiction'!$F$50</f>
        <v>0</v>
      </c>
      <c r="Z67" s="275">
        <f>Z$17*'6-PlantJurisdiction'!$F$50</f>
        <v>0</v>
      </c>
      <c r="AA67" s="275">
        <f>AA$17*'6-PlantJurisdiction'!$F$50</f>
        <v>0</v>
      </c>
      <c r="AB67" s="275">
        <f>AB$17*'6-PlantJurisdiction'!$F$50</f>
        <v>0</v>
      </c>
      <c r="AC67" s="24">
        <f t="shared" si="10"/>
        <v>17693619876.676838</v>
      </c>
      <c r="AD67" s="91">
        <f t="shared" si="9"/>
        <v>304</v>
      </c>
    </row>
    <row r="68" spans="1:30">
      <c r="A68" s="91">
        <f t="shared" si="11"/>
        <v>305</v>
      </c>
      <c r="B68" s="377" t="s">
        <v>455</v>
      </c>
      <c r="C68" s="140">
        <f>'1-DRR'!$K$2</f>
        <v>2022</v>
      </c>
      <c r="D68" s="275">
        <f>D$18*'6-PlantJurisdiction'!$F$37</f>
        <v>29331103.893690236</v>
      </c>
      <c r="E68" s="275">
        <f>E$18*'6-PlantJurisdiction'!$F$37</f>
        <v>59329843.103368521</v>
      </c>
      <c r="F68" s="275">
        <f>F$18*'6-PlantJurisdiction'!$F$38</f>
        <v>0</v>
      </c>
      <c r="G68" s="275">
        <f>G$18*'6-PlantJurisdiction'!$F$38</f>
        <v>0</v>
      </c>
      <c r="H68" s="275">
        <f>H$18*'6-PlantJurisdiction'!$F$39</f>
        <v>0</v>
      </c>
      <c r="I68" s="275">
        <f>I$18*'6-PlantJurisdiction'!$F$40</f>
        <v>0</v>
      </c>
      <c r="J68" s="275">
        <f>J$18*'6-PlantJurisdiction'!$F$40</f>
        <v>0</v>
      </c>
      <c r="K68" s="275">
        <f>K$18*'6-PlantJurisdiction'!$F$41</f>
        <v>1528993060.6907997</v>
      </c>
      <c r="L68" s="275">
        <f>L$18*'6-PlantJurisdiction'!$F$42</f>
        <v>1157044249.6513717</v>
      </c>
      <c r="M68" s="275">
        <f>M$18*'6-PlantJurisdiction'!$F$43</f>
        <v>2221716885.4917097</v>
      </c>
      <c r="N68" s="275">
        <f>N$18*'6-PlantJurisdiction'!$F$44</f>
        <v>3634901101.5210385</v>
      </c>
      <c r="O68" s="275">
        <f>O$18*'6-PlantJurisdiction'!$F$45</f>
        <v>3709444190.6949992</v>
      </c>
      <c r="P68" s="275">
        <f>P$18*'6-PlantJurisdiction'!$F$45</f>
        <v>1532024387.1200004</v>
      </c>
      <c r="Q68" s="275">
        <f>Q$18*'6-PlantJurisdiction'!$F$46</f>
        <v>1062814077.388334</v>
      </c>
      <c r="R68" s="275">
        <f>R$18*'6-PlantJurisdiction'!$F$46</f>
        <v>2949306823.0924988</v>
      </c>
      <c r="S68" s="275">
        <f>S$18*'6-PlantJurisdiction'!$F$47</f>
        <v>0</v>
      </c>
      <c r="T68" s="275">
        <f>T$18*'6-PlantJurisdiction'!$F$47</f>
        <v>0</v>
      </c>
      <c r="U68" s="275">
        <f>U$18*'6-PlantJurisdiction'!$F$48</f>
        <v>0</v>
      </c>
      <c r="V68" s="275">
        <f>V$18*'6-PlantJurisdiction'!$F$48</f>
        <v>0</v>
      </c>
      <c r="W68" s="275">
        <f>W$18*'6-PlantJurisdiction'!$F$48</f>
        <v>0</v>
      </c>
      <c r="X68" s="275">
        <f>X$18*'6-PlantJurisdiction'!$F$49</f>
        <v>0</v>
      </c>
      <c r="Y68" s="275">
        <f>Y$18*'6-PlantJurisdiction'!$F$50</f>
        <v>0</v>
      </c>
      <c r="Z68" s="275">
        <f>Z$18*'6-PlantJurisdiction'!$F$50</f>
        <v>0</v>
      </c>
      <c r="AA68" s="275">
        <f>AA$18*'6-PlantJurisdiction'!$F$50</f>
        <v>0</v>
      </c>
      <c r="AB68" s="275">
        <f>AB$18*'6-PlantJurisdiction'!$F$50</f>
        <v>0</v>
      </c>
      <c r="AC68" s="24">
        <f t="shared" si="10"/>
        <v>17884905722.647812</v>
      </c>
      <c r="AD68" s="91">
        <f t="shared" si="9"/>
        <v>305</v>
      </c>
    </row>
    <row r="69" spans="1:30">
      <c r="A69" s="91">
        <f t="shared" si="11"/>
        <v>306</v>
      </c>
      <c r="B69" s="377" t="s">
        <v>737</v>
      </c>
      <c r="C69" s="140">
        <f>'1-DRR'!$K$2</f>
        <v>2022</v>
      </c>
      <c r="D69" s="275">
        <f>D$19*'6-PlantJurisdiction'!$F$37</f>
        <v>29320550.434756607</v>
      </c>
      <c r="E69" s="275">
        <f>E$19*'6-PlantJurisdiction'!$F$37</f>
        <v>59529789.107262515</v>
      </c>
      <c r="F69" s="275">
        <f>F$19*'6-PlantJurisdiction'!$F$38</f>
        <v>0</v>
      </c>
      <c r="G69" s="275">
        <f>G$19*'6-PlantJurisdiction'!$F$38</f>
        <v>0</v>
      </c>
      <c r="H69" s="275">
        <f>H$19*'6-PlantJurisdiction'!$F$39</f>
        <v>0</v>
      </c>
      <c r="I69" s="275">
        <f>I$19*'6-PlantJurisdiction'!$F$40</f>
        <v>0</v>
      </c>
      <c r="J69" s="275">
        <f>J$19*'6-PlantJurisdiction'!$F$40</f>
        <v>0</v>
      </c>
      <c r="K69" s="275">
        <f>K$19*'6-PlantJurisdiction'!$F$41</f>
        <v>1544524712.3441753</v>
      </c>
      <c r="L69" s="275">
        <f>L$19*'6-PlantJurisdiction'!$F$42</f>
        <v>1162283994.1390166</v>
      </c>
      <c r="M69" s="275">
        <f>M$19*'6-PlantJurisdiction'!$F$43</f>
        <v>2238625694.3492026</v>
      </c>
      <c r="N69" s="275">
        <f>N$19*'6-PlantJurisdiction'!$F$44</f>
        <v>3669876042.8302507</v>
      </c>
      <c r="O69" s="275">
        <f>O$19*'6-PlantJurisdiction'!$F$45</f>
        <v>3747273015.0100002</v>
      </c>
      <c r="P69" s="275">
        <f>P$19*'6-PlantJurisdiction'!$F$45</f>
        <v>1556013714.7900004</v>
      </c>
      <c r="Q69" s="275">
        <f>Q$19*'6-PlantJurisdiction'!$F$46</f>
        <v>1069810226.9300019</v>
      </c>
      <c r="R69" s="275">
        <f>R$19*'6-PlantJurisdiction'!$F$46</f>
        <v>2967969618.8849998</v>
      </c>
      <c r="S69" s="275">
        <f>S$19*'6-PlantJurisdiction'!$F$47</f>
        <v>0</v>
      </c>
      <c r="T69" s="275">
        <f>T$19*'6-PlantJurisdiction'!$F$47</f>
        <v>0</v>
      </c>
      <c r="U69" s="275">
        <f>U$19*'6-PlantJurisdiction'!$F$48</f>
        <v>0</v>
      </c>
      <c r="V69" s="275">
        <f>V$19*'6-PlantJurisdiction'!$F$48</f>
        <v>0</v>
      </c>
      <c r="W69" s="275">
        <f>W$19*'6-PlantJurisdiction'!$F$48</f>
        <v>0</v>
      </c>
      <c r="X69" s="275">
        <f>X$19*'6-PlantJurisdiction'!$F$49</f>
        <v>0</v>
      </c>
      <c r="Y69" s="275">
        <f>Y$19*'6-PlantJurisdiction'!$F$50</f>
        <v>0</v>
      </c>
      <c r="Z69" s="275">
        <f>Z$19*'6-PlantJurisdiction'!$F$50</f>
        <v>0</v>
      </c>
      <c r="AA69" s="275">
        <f>AA$19*'6-PlantJurisdiction'!$F$50</f>
        <v>0</v>
      </c>
      <c r="AB69" s="275">
        <f>AB$19*'6-PlantJurisdiction'!$F$50</f>
        <v>0</v>
      </c>
      <c r="AC69" s="24">
        <f t="shared" si="10"/>
        <v>18045227358.819668</v>
      </c>
      <c r="AD69" s="91">
        <f t="shared" si="9"/>
        <v>306</v>
      </c>
    </row>
    <row r="70" spans="1:30">
      <c r="A70" s="91">
        <f t="shared" si="11"/>
        <v>307</v>
      </c>
      <c r="B70" s="377" t="s">
        <v>457</v>
      </c>
      <c r="C70" s="140">
        <f>'1-DRR'!$K$2</f>
        <v>2022</v>
      </c>
      <c r="D70" s="275">
        <f>D$20*'6-PlantJurisdiction'!$F$37</f>
        <v>29321458.368560202</v>
      </c>
      <c r="E70" s="547">
        <f>E20*'6-PlantJurisdiction'!$F$37</f>
        <v>59601946.4987083</v>
      </c>
      <c r="F70" s="275">
        <f>F$20*'6-PlantJurisdiction'!$F$38</f>
        <v>0</v>
      </c>
      <c r="G70" s="275">
        <f>G$20*'6-PlantJurisdiction'!$F$38</f>
        <v>0</v>
      </c>
      <c r="H70" s="275">
        <f>H$20*'6-PlantJurisdiction'!$F$39</f>
        <v>0</v>
      </c>
      <c r="I70" s="275">
        <f>I$20*'6-PlantJurisdiction'!$F$40</f>
        <v>0</v>
      </c>
      <c r="J70" s="275">
        <f>J$20*'6-PlantJurisdiction'!$F$40</f>
        <v>0</v>
      </c>
      <c r="K70" s="275">
        <f>K$20*'6-PlantJurisdiction'!$F$41</f>
        <v>1557863580.1077933</v>
      </c>
      <c r="L70" s="275">
        <f>L$20*'6-PlantJurisdiction'!$F$42</f>
        <v>1168658413.7325804</v>
      </c>
      <c r="M70" s="275">
        <f>M$20*'6-PlantJurisdiction'!$F$43</f>
        <v>2245613916.7600851</v>
      </c>
      <c r="N70" s="275">
        <f>N$20*'6-PlantJurisdiction'!$F$44</f>
        <v>3684754659.7364607</v>
      </c>
      <c r="O70" s="275">
        <f>O$20*'6-PlantJurisdiction'!$F$45</f>
        <v>3766104281.1449995</v>
      </c>
      <c r="P70" s="275">
        <f>P$20*'6-PlantJurisdiction'!$F$45</f>
        <v>1574082407.9199996</v>
      </c>
      <c r="Q70" s="275">
        <f>Q$20*'6-PlantJurisdiction'!$F$46</f>
        <v>1075753311.2416685</v>
      </c>
      <c r="R70" s="275">
        <f>R$20*'6-PlantJurisdiction'!$F$46</f>
        <v>2978252921.6074982</v>
      </c>
      <c r="S70" s="275">
        <f>S$20*'6-PlantJurisdiction'!$F$47</f>
        <v>0</v>
      </c>
      <c r="T70" s="275">
        <f>T$20*'6-PlantJurisdiction'!$F$47</f>
        <v>0</v>
      </c>
      <c r="U70" s="275">
        <f>U$20*'6-PlantJurisdiction'!$F$48</f>
        <v>0</v>
      </c>
      <c r="V70" s="275">
        <f>V$20*'6-PlantJurisdiction'!$F$48</f>
        <v>0</v>
      </c>
      <c r="W70" s="275">
        <f>W$20*'6-PlantJurisdiction'!$F$48</f>
        <v>0</v>
      </c>
      <c r="X70" s="275">
        <f>X$20*'6-PlantJurisdiction'!$F$49</f>
        <v>0</v>
      </c>
      <c r="Y70" s="275">
        <f>Y$20*'6-PlantJurisdiction'!$F$50</f>
        <v>0</v>
      </c>
      <c r="Z70" s="275">
        <f>Z$20*'6-PlantJurisdiction'!$F$50</f>
        <v>0</v>
      </c>
      <c r="AA70" s="275">
        <f>AA$20*'6-PlantJurisdiction'!$F$50</f>
        <v>0</v>
      </c>
      <c r="AB70" s="275">
        <f>AB$20*'6-PlantJurisdiction'!$F$50</f>
        <v>0</v>
      </c>
      <c r="AC70" s="24">
        <f t="shared" si="10"/>
        <v>18140006897.118355</v>
      </c>
      <c r="AD70" s="91">
        <f t="shared" si="9"/>
        <v>307</v>
      </c>
    </row>
    <row r="71" spans="1:30">
      <c r="A71" s="91">
        <f t="shared" si="11"/>
        <v>308</v>
      </c>
      <c r="B71" s="377" t="s">
        <v>458</v>
      </c>
      <c r="C71" s="140">
        <f>'1-DRR'!$K$2</f>
        <v>2022</v>
      </c>
      <c r="D71" s="275">
        <f>D$21*'6-PlantJurisdiction'!$F$37</f>
        <v>29333087.879663695</v>
      </c>
      <c r="E71" s="275">
        <f>E$21*'6-PlantJurisdiction'!$F$37</f>
        <v>59805910.522685058</v>
      </c>
      <c r="F71" s="275">
        <f>F$21*'6-PlantJurisdiction'!$F$38</f>
        <v>0</v>
      </c>
      <c r="G71" s="275">
        <f>G$21*'6-PlantJurisdiction'!$F$38</f>
        <v>0</v>
      </c>
      <c r="H71" s="275">
        <f>H$21*'6-PlantJurisdiction'!$F$39</f>
        <v>0</v>
      </c>
      <c r="I71" s="275">
        <f>I$21*'6-PlantJurisdiction'!$F$40</f>
        <v>0</v>
      </c>
      <c r="J71" s="275">
        <f>J$21*'6-PlantJurisdiction'!$F$40</f>
        <v>0</v>
      </c>
      <c r="K71" s="275">
        <f>K$21*'6-PlantJurisdiction'!$F$41</f>
        <v>1576466253.7871993</v>
      </c>
      <c r="L71" s="275">
        <f>L$21*'6-PlantJurisdiction'!$F$42</f>
        <v>1176493835.8099308</v>
      </c>
      <c r="M71" s="275">
        <f>M$21*'6-PlantJurisdiction'!$F$43</f>
        <v>2262755624.5480986</v>
      </c>
      <c r="N71" s="275">
        <f>N$21*'6-PlantJurisdiction'!$F$44</f>
        <v>3717239380.3052197</v>
      </c>
      <c r="O71" s="275">
        <f>O$21*'6-PlantJurisdiction'!$F$45</f>
        <v>3799470275.4099946</v>
      </c>
      <c r="P71" s="275">
        <f>P$21*'6-PlantJurisdiction'!$F$45</f>
        <v>1603281184.5700004</v>
      </c>
      <c r="Q71" s="275">
        <f>Q$21*'6-PlantJurisdiction'!$F$46</f>
        <v>1083847203.9533353</v>
      </c>
      <c r="R71" s="275">
        <f>R$21*'6-PlantJurisdiction'!$F$46</f>
        <v>2991800945.8800001</v>
      </c>
      <c r="S71" s="275">
        <f>S$21*'6-PlantJurisdiction'!$F$47</f>
        <v>0</v>
      </c>
      <c r="T71" s="275">
        <f>T$21*'6-PlantJurisdiction'!$F$47</f>
        <v>0</v>
      </c>
      <c r="U71" s="275">
        <f>U$21*'6-PlantJurisdiction'!$F$48</f>
        <v>0</v>
      </c>
      <c r="V71" s="275">
        <f>V$21*'6-PlantJurisdiction'!$F$48</f>
        <v>0</v>
      </c>
      <c r="W71" s="275">
        <f>W$21*'6-PlantJurisdiction'!$F$48</f>
        <v>0</v>
      </c>
      <c r="X71" s="275">
        <f>X$21*'6-PlantJurisdiction'!$F$49</f>
        <v>0</v>
      </c>
      <c r="Y71" s="275">
        <f>Y$21*'6-PlantJurisdiction'!$F$50</f>
        <v>0</v>
      </c>
      <c r="Z71" s="275">
        <f>Z$21*'6-PlantJurisdiction'!$F$50</f>
        <v>0</v>
      </c>
      <c r="AA71" s="275">
        <f>AA$21*'6-PlantJurisdiction'!$F$50</f>
        <v>0</v>
      </c>
      <c r="AB71" s="275">
        <f>AB$21*'6-PlantJurisdiction'!$F$50</f>
        <v>0</v>
      </c>
      <c r="AC71" s="24">
        <f t="shared" si="10"/>
        <v>18300493702.666126</v>
      </c>
      <c r="AD71" s="91">
        <f t="shared" si="9"/>
        <v>308</v>
      </c>
    </row>
    <row r="72" spans="1:30">
      <c r="A72" s="91">
        <f t="shared" si="11"/>
        <v>309</v>
      </c>
      <c r="B72" s="377" t="s">
        <v>459</v>
      </c>
      <c r="C72" s="140">
        <f>'1-DRR'!$K$2</f>
        <v>2022</v>
      </c>
      <c r="D72" s="275">
        <f>D$22*'6-PlantJurisdiction'!$F$37</f>
        <v>29337026.320499849</v>
      </c>
      <c r="E72" s="275">
        <f>E$22*'6-PlantJurisdiction'!$F$37</f>
        <v>59994689.641616628</v>
      </c>
      <c r="F72" s="275">
        <f>F$22*'6-PlantJurisdiction'!$F$38</f>
        <v>0</v>
      </c>
      <c r="G72" s="275">
        <f>G$22*'6-PlantJurisdiction'!$F$38</f>
        <v>0</v>
      </c>
      <c r="H72" s="275">
        <f>H$22*'6-PlantJurisdiction'!$F$39</f>
        <v>0</v>
      </c>
      <c r="I72" s="275">
        <f>I$22*'6-PlantJurisdiction'!$F$40</f>
        <v>0</v>
      </c>
      <c r="J72" s="275">
        <f>J$22*'6-PlantJurisdiction'!$F$40</f>
        <v>0</v>
      </c>
      <c r="K72" s="275">
        <f>K$22*'6-PlantJurisdiction'!$F$41</f>
        <v>1602916913.7890947</v>
      </c>
      <c r="L72" s="275">
        <f>L$22*'6-PlantJurisdiction'!$F$42</f>
        <v>1183909559.2575574</v>
      </c>
      <c r="M72" s="275">
        <f>M$22*'6-PlantJurisdiction'!$F$43</f>
        <v>2284215558.8094773</v>
      </c>
      <c r="N72" s="275">
        <f>N$22*'6-PlantJurisdiction'!$F$44</f>
        <v>3756858862.2140574</v>
      </c>
      <c r="O72" s="275">
        <f>O$22*'6-PlantJurisdiction'!$F$45</f>
        <v>3831245383.1150002</v>
      </c>
      <c r="P72" s="275">
        <f>P$22*'6-PlantJurisdiction'!$F$45</f>
        <v>1626113937.3</v>
      </c>
      <c r="Q72" s="275">
        <f>Q$22*'6-PlantJurisdiction'!$F$46</f>
        <v>1090550487.5450001</v>
      </c>
      <c r="R72" s="275">
        <f>R$22*'6-PlantJurisdiction'!$F$46</f>
        <v>3007381997.1325002</v>
      </c>
      <c r="S72" s="275">
        <f>S$22*'6-PlantJurisdiction'!$F$47</f>
        <v>0</v>
      </c>
      <c r="T72" s="275">
        <f>T$22*'6-PlantJurisdiction'!$F$47</f>
        <v>0</v>
      </c>
      <c r="U72" s="275">
        <f>U$22*'6-PlantJurisdiction'!$F$48</f>
        <v>0</v>
      </c>
      <c r="V72" s="275">
        <f>V$22*'6-PlantJurisdiction'!$F$48</f>
        <v>0</v>
      </c>
      <c r="W72" s="275">
        <f>W$22*'6-PlantJurisdiction'!$F$48</f>
        <v>0</v>
      </c>
      <c r="X72" s="275">
        <f>X$22*'6-PlantJurisdiction'!$F$49</f>
        <v>0</v>
      </c>
      <c r="Y72" s="275">
        <f>Y$22*'6-PlantJurisdiction'!$F$50</f>
        <v>0</v>
      </c>
      <c r="Z72" s="275">
        <f>Z$22*'6-PlantJurisdiction'!$F$50</f>
        <v>0</v>
      </c>
      <c r="AA72" s="275">
        <f>AA$22*'6-PlantJurisdiction'!$F$50</f>
        <v>0</v>
      </c>
      <c r="AB72" s="275">
        <f>AB$22*'6-PlantJurisdiction'!$F$50</f>
        <v>0</v>
      </c>
      <c r="AC72" s="24">
        <f t="shared" si="10"/>
        <v>18472524415.124802</v>
      </c>
      <c r="AD72" s="91">
        <f t="shared" si="9"/>
        <v>309</v>
      </c>
    </row>
    <row r="73" spans="1:30">
      <c r="A73" s="91">
        <f t="shared" si="11"/>
        <v>310</v>
      </c>
      <c r="B73" s="377" t="s">
        <v>460</v>
      </c>
      <c r="C73" s="140">
        <f>'1-DRR'!$K$2</f>
        <v>2022</v>
      </c>
      <c r="D73" s="275">
        <f>D$23*'6-PlantJurisdiction'!$F$37</f>
        <v>29363623.196056154</v>
      </c>
      <c r="E73" s="275">
        <f>E$23*'6-PlantJurisdiction'!$F$37</f>
        <v>60090620.469279617</v>
      </c>
      <c r="F73" s="275">
        <f>F$23*'6-PlantJurisdiction'!$F$38</f>
        <v>0</v>
      </c>
      <c r="G73" s="275">
        <f>G$23*'6-PlantJurisdiction'!$F$38</f>
        <v>0</v>
      </c>
      <c r="H73" s="275">
        <f>H$23*'6-PlantJurisdiction'!$F$39</f>
        <v>0</v>
      </c>
      <c r="I73" s="275">
        <f>I$23*'6-PlantJurisdiction'!$F$40</f>
        <v>0</v>
      </c>
      <c r="J73" s="275">
        <f>J$23*'6-PlantJurisdiction'!$F$40</f>
        <v>0</v>
      </c>
      <c r="K73" s="275">
        <f>K$23*'6-PlantJurisdiction'!$F$41</f>
        <v>1644425229.1219864</v>
      </c>
      <c r="L73" s="275">
        <f>L$23*'6-PlantJurisdiction'!$F$42</f>
        <v>1195558973.9934037</v>
      </c>
      <c r="M73" s="275">
        <f>M$23*'6-PlantJurisdiction'!$F$43</f>
        <v>2303283528.6623774</v>
      </c>
      <c r="N73" s="275">
        <f>N$23*'6-PlantJurisdiction'!$F$44</f>
        <v>3815197246.3921318</v>
      </c>
      <c r="O73" s="275">
        <f>O$23*'6-PlantJurisdiction'!$F$45</f>
        <v>3890014670.2399993</v>
      </c>
      <c r="P73" s="275">
        <f>P$23*'6-PlantJurisdiction'!$F$45</f>
        <v>1657162643.5099993</v>
      </c>
      <c r="Q73" s="275">
        <f>Q$23*'6-PlantJurisdiction'!$F$46</f>
        <v>1104191890.2966688</v>
      </c>
      <c r="R73" s="275">
        <f>R$23*'6-PlantJurisdiction'!$F$46</f>
        <v>3001099371.8850002</v>
      </c>
      <c r="S73" s="275">
        <f>S$23*'6-PlantJurisdiction'!$F$47</f>
        <v>0</v>
      </c>
      <c r="T73" s="275">
        <f>T$23*'6-PlantJurisdiction'!$F$47</f>
        <v>0</v>
      </c>
      <c r="U73" s="275">
        <f>U$23*'6-PlantJurisdiction'!$F$48</f>
        <v>0</v>
      </c>
      <c r="V73" s="275">
        <f>V$23*'6-PlantJurisdiction'!$F$48</f>
        <v>0</v>
      </c>
      <c r="W73" s="275">
        <f>W$23*'6-PlantJurisdiction'!$F$48</f>
        <v>0</v>
      </c>
      <c r="X73" s="275">
        <f>X$23*'6-PlantJurisdiction'!$F$49</f>
        <v>0</v>
      </c>
      <c r="Y73" s="275">
        <f>Y$23*'6-PlantJurisdiction'!$F$50</f>
        <v>0</v>
      </c>
      <c r="Z73" s="275">
        <f>Z$23*'6-PlantJurisdiction'!$F$50</f>
        <v>0</v>
      </c>
      <c r="AA73" s="275">
        <f>AA$23*'6-PlantJurisdiction'!$F$50</f>
        <v>0</v>
      </c>
      <c r="AB73" s="275">
        <f>AB$23*'6-PlantJurisdiction'!$F$50</f>
        <v>0</v>
      </c>
      <c r="AC73" s="24">
        <f t="shared" si="10"/>
        <v>18700387797.766907</v>
      </c>
      <c r="AD73" s="91">
        <f t="shared" si="9"/>
        <v>310</v>
      </c>
    </row>
    <row r="74" spans="1:30">
      <c r="A74" s="91">
        <f t="shared" si="11"/>
        <v>311</v>
      </c>
      <c r="B74" s="377" t="s">
        <v>461</v>
      </c>
      <c r="C74" s="140">
        <f>'1-DRR'!$K$2</f>
        <v>2022</v>
      </c>
      <c r="D74" s="275">
        <f>D$24*'6-PlantJurisdiction'!$F$37</f>
        <v>29343035.49741156</v>
      </c>
      <c r="E74" s="275">
        <f>E$24*'6-PlantJurisdiction'!$F$37</f>
        <v>60074202.546719603</v>
      </c>
      <c r="F74" s="275">
        <f>F$24*'6-PlantJurisdiction'!$F$38</f>
        <v>0</v>
      </c>
      <c r="G74" s="275">
        <f>G$24*'6-PlantJurisdiction'!$F$38</f>
        <v>0</v>
      </c>
      <c r="H74" s="275">
        <f>H$24*'6-PlantJurisdiction'!$F$39</f>
        <v>0</v>
      </c>
      <c r="I74" s="275">
        <f>I$24*'6-PlantJurisdiction'!$F$40</f>
        <v>0</v>
      </c>
      <c r="J74" s="275">
        <f>J$24*'6-PlantJurisdiction'!$F$40</f>
        <v>0</v>
      </c>
      <c r="K74" s="275">
        <f>K$24*'6-PlantJurisdiction'!$F$41</f>
        <v>1617160564.3197639</v>
      </c>
      <c r="L74" s="275">
        <f>L$24*'6-PlantJurisdiction'!$F$42</f>
        <v>1190920957.8372262</v>
      </c>
      <c r="M74" s="275">
        <f>M$24*'6-PlantJurisdiction'!$F$43</f>
        <v>2285984826.5996261</v>
      </c>
      <c r="N74" s="275">
        <f>N$24*'6-PlantJurisdiction'!$F$44</f>
        <v>3776431902.4523301</v>
      </c>
      <c r="O74" s="275">
        <f>O$24*'6-PlantJurisdiction'!$F$45</f>
        <v>3856497365.875</v>
      </c>
      <c r="P74" s="275">
        <f>P$24*'6-PlantJurisdiction'!$F$45</f>
        <v>1640172859.22</v>
      </c>
      <c r="Q74" s="275">
        <f>Q$24*'6-PlantJurisdiction'!$F$46</f>
        <v>1098993268.4983335</v>
      </c>
      <c r="R74" s="275">
        <f>R$24*'6-PlantJurisdiction'!$F$46</f>
        <v>2988622040.1675</v>
      </c>
      <c r="S74" s="275">
        <f>S$24*'6-PlantJurisdiction'!$F$47</f>
        <v>0</v>
      </c>
      <c r="T74" s="275">
        <f>T$24*'6-PlantJurisdiction'!$F$47</f>
        <v>0</v>
      </c>
      <c r="U74" s="275">
        <f>U$24*'6-PlantJurisdiction'!$F$48</f>
        <v>0</v>
      </c>
      <c r="V74" s="275">
        <f>V$24*'6-PlantJurisdiction'!$F$48</f>
        <v>0</v>
      </c>
      <c r="W74" s="275">
        <f>W$24*'6-PlantJurisdiction'!$F$48</f>
        <v>0</v>
      </c>
      <c r="X74" s="275">
        <f>X$24*'6-PlantJurisdiction'!$F$49</f>
        <v>0</v>
      </c>
      <c r="Y74" s="275">
        <f>Y$24*'6-PlantJurisdiction'!$F$50</f>
        <v>0</v>
      </c>
      <c r="Z74" s="275">
        <f>Z$24*'6-PlantJurisdiction'!$F$50</f>
        <v>0</v>
      </c>
      <c r="AA74" s="275">
        <f>AA$24*'6-PlantJurisdiction'!$F$50</f>
        <v>0</v>
      </c>
      <c r="AB74" s="275">
        <f>AB$24*'6-PlantJurisdiction'!$F$50</f>
        <v>0</v>
      </c>
      <c r="AC74" s="24">
        <f t="shared" si="10"/>
        <v>18544201023.013908</v>
      </c>
      <c r="AD74" s="91">
        <f t="shared" si="9"/>
        <v>311</v>
      </c>
    </row>
    <row r="75" spans="1:30">
      <c r="A75" s="91">
        <f t="shared" si="11"/>
        <v>312</v>
      </c>
      <c r="B75" s="377" t="s">
        <v>449</v>
      </c>
      <c r="C75" s="140">
        <f>'1-DRR'!$K$2</f>
        <v>2022</v>
      </c>
      <c r="D75" s="275">
        <f>D$25*'6-PlantJurisdiction'!$F$37</f>
        <v>29328441.23922395</v>
      </c>
      <c r="E75" s="275">
        <f>E$25*'6-PlantJurisdiction'!$F$37</f>
        <v>60118646.557943016</v>
      </c>
      <c r="F75" s="275">
        <f>F$25*'6-PlantJurisdiction'!$F$38</f>
        <v>0</v>
      </c>
      <c r="G75" s="275">
        <f>G$25*'6-PlantJurisdiction'!$F$38</f>
        <v>0</v>
      </c>
      <c r="H75" s="275">
        <f>H$25*'6-PlantJurisdiction'!$F$39</f>
        <v>0</v>
      </c>
      <c r="I75" s="275">
        <f>I$25*'6-PlantJurisdiction'!$F$40</f>
        <v>0</v>
      </c>
      <c r="J75" s="275">
        <f>J$25*'6-PlantJurisdiction'!$F$40</f>
        <v>0</v>
      </c>
      <c r="K75" s="275">
        <f>K$25*'6-PlantJurisdiction'!$F$41</f>
        <v>1604284118.7609136</v>
      </c>
      <c r="L75" s="275">
        <f>L$25*'6-PlantJurisdiction'!$F$42</f>
        <v>1172304793.7424974</v>
      </c>
      <c r="M75" s="275">
        <f>M$25*'6-PlantJurisdiction'!$F$43</f>
        <v>2252177493.0298839</v>
      </c>
      <c r="N75" s="275">
        <f>N$25*'6-PlantJurisdiction'!$F$44</f>
        <v>3765518457.5701909</v>
      </c>
      <c r="O75" s="275">
        <f>O$25*'6-PlantJurisdiction'!$F$45</f>
        <v>3890434496.6099997</v>
      </c>
      <c r="P75" s="275">
        <f>P$25*'6-PlantJurisdiction'!$F$45</f>
        <v>1658977115.4599998</v>
      </c>
      <c r="Q75" s="275">
        <f>Q$25*'6-PlantJurisdiction'!$F$46</f>
        <v>1108493999.8400023</v>
      </c>
      <c r="R75" s="275">
        <f>R$25*'6-PlantJurisdiction'!$F$46</f>
        <v>2996616325.79</v>
      </c>
      <c r="S75" s="275">
        <f>S$25*'6-PlantJurisdiction'!$F$47</f>
        <v>0</v>
      </c>
      <c r="T75" s="275">
        <f>T$25*'6-PlantJurisdiction'!$F$47</f>
        <v>0</v>
      </c>
      <c r="U75" s="275">
        <f>U$25*'6-PlantJurisdiction'!$F$48</f>
        <v>0</v>
      </c>
      <c r="V75" s="275">
        <f>V$25*'6-PlantJurisdiction'!$F$48</f>
        <v>0</v>
      </c>
      <c r="W75" s="275">
        <f>W$25*'6-PlantJurisdiction'!$F$48</f>
        <v>0</v>
      </c>
      <c r="X75" s="275">
        <f>X$25*'6-PlantJurisdiction'!$F$49</f>
        <v>0</v>
      </c>
      <c r="Y75" s="275">
        <f>Y$25*'6-PlantJurisdiction'!$F$50</f>
        <v>0</v>
      </c>
      <c r="Z75" s="275">
        <f>Z$25*'6-PlantJurisdiction'!$F$50</f>
        <v>0</v>
      </c>
      <c r="AA75" s="275">
        <f>AA$25*'6-PlantJurisdiction'!$F$50</f>
        <v>0</v>
      </c>
      <c r="AB75" s="275">
        <f>AB$25*'6-PlantJurisdiction'!$F$50</f>
        <v>0</v>
      </c>
      <c r="AC75" s="24">
        <f t="shared" si="10"/>
        <v>18538253888.600651</v>
      </c>
      <c r="AD75" s="91">
        <f t="shared" si="9"/>
        <v>312</v>
      </c>
    </row>
    <row r="76" spans="1:30">
      <c r="A76" s="91">
        <f t="shared" si="11"/>
        <v>313</v>
      </c>
      <c r="B76" s="699" t="s">
        <v>738</v>
      </c>
      <c r="C76" s="489"/>
      <c r="D76" s="696">
        <f>SUM(D63:D75)/13</f>
        <v>29329519.306739721</v>
      </c>
      <c r="E76" s="696">
        <f t="shared" ref="E76:AC76" si="12">SUM(E63:E75)/13</f>
        <v>59534801.039763212</v>
      </c>
      <c r="F76" s="696">
        <f t="shared" si="12"/>
        <v>0</v>
      </c>
      <c r="G76" s="696">
        <f t="shared" si="12"/>
        <v>0</v>
      </c>
      <c r="H76" s="696">
        <f t="shared" si="12"/>
        <v>0</v>
      </c>
      <c r="I76" s="696">
        <f t="shared" si="12"/>
        <v>0</v>
      </c>
      <c r="J76" s="696">
        <f t="shared" si="12"/>
        <v>0</v>
      </c>
      <c r="K76" s="696">
        <f t="shared" si="12"/>
        <v>1539983265.93255</v>
      </c>
      <c r="L76" s="696">
        <f t="shared" si="12"/>
        <v>1161090744.3057199</v>
      </c>
      <c r="M76" s="696">
        <f t="shared" si="12"/>
        <v>2227134894.8643003</v>
      </c>
      <c r="N76" s="696">
        <f t="shared" si="12"/>
        <v>3660211962.8172865</v>
      </c>
      <c r="O76" s="696">
        <f t="shared" si="12"/>
        <v>3738523406.3107677</v>
      </c>
      <c r="P76" s="696">
        <f t="shared" si="12"/>
        <v>1552372460.1892307</v>
      </c>
      <c r="Q76" s="696">
        <f t="shared" si="12"/>
        <v>1069937410.983078</v>
      </c>
      <c r="R76" s="696">
        <f t="shared" si="12"/>
        <v>2953168898.5034618</v>
      </c>
      <c r="S76" s="696">
        <f t="shared" si="12"/>
        <v>0</v>
      </c>
      <c r="T76" s="696">
        <f t="shared" si="12"/>
        <v>0</v>
      </c>
      <c r="U76" s="696">
        <f t="shared" si="12"/>
        <v>0</v>
      </c>
      <c r="V76" s="696">
        <f t="shared" si="12"/>
        <v>0</v>
      </c>
      <c r="W76" s="696">
        <f t="shared" si="12"/>
        <v>0</v>
      </c>
      <c r="X76" s="696">
        <f t="shared" si="12"/>
        <v>0</v>
      </c>
      <c r="Y76" s="696">
        <f t="shared" si="12"/>
        <v>0</v>
      </c>
      <c r="Z76" s="696">
        <f t="shared" si="12"/>
        <v>0</v>
      </c>
      <c r="AA76" s="696">
        <f t="shared" si="12"/>
        <v>0</v>
      </c>
      <c r="AB76" s="696">
        <f t="shared" si="12"/>
        <v>0</v>
      </c>
      <c r="AC76" s="696">
        <f t="shared" si="12"/>
        <v>17991287364.252895</v>
      </c>
      <c r="AD76" s="91">
        <f t="shared" si="9"/>
        <v>313</v>
      </c>
    </row>
    <row r="77" spans="1:30">
      <c r="A77" s="91"/>
      <c r="B77" s="380"/>
      <c r="C77" s="380"/>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D77" s="91"/>
    </row>
    <row r="78" spans="1:30">
      <c r="A78" s="91"/>
      <c r="B78" s="380"/>
      <c r="C78" s="380"/>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D78" s="91"/>
    </row>
    <row r="79" spans="1:30">
      <c r="B79" s="45" t="s">
        <v>792</v>
      </c>
      <c r="C79" s="45"/>
      <c r="D79" s="103"/>
      <c r="E79" s="103"/>
      <c r="F79" s="103"/>
      <c r="G79" s="103"/>
      <c r="H79" s="103"/>
      <c r="I79" s="43"/>
      <c r="J79" s="43"/>
      <c r="K79" s="43"/>
      <c r="L79" s="103"/>
      <c r="M79" s="103"/>
      <c r="N79" s="103"/>
      <c r="O79" s="103"/>
      <c r="P79" s="103"/>
      <c r="Q79" s="103"/>
      <c r="R79" s="43"/>
      <c r="S79" s="43"/>
      <c r="T79" s="43"/>
      <c r="U79" s="43"/>
      <c r="V79" s="43"/>
      <c r="W79" s="43"/>
      <c r="X79" s="43"/>
      <c r="Y79" s="43"/>
      <c r="Z79" s="43"/>
      <c r="AA79" s="43"/>
      <c r="AB79" s="43"/>
      <c r="AC79" s="43"/>
    </row>
    <row r="80" spans="1:30">
      <c r="B80" s="377" t="s">
        <v>793</v>
      </c>
      <c r="C80" s="377"/>
      <c r="D80" s="377"/>
      <c r="E80" s="377"/>
      <c r="F80" s="377"/>
      <c r="G80" s="377"/>
      <c r="H80" s="377"/>
      <c r="I80" s="377"/>
      <c r="J80" s="377"/>
      <c r="K80" s="377"/>
      <c r="L80" s="377"/>
      <c r="M80" s="377"/>
      <c r="N80" s="377"/>
      <c r="O80" s="377"/>
      <c r="P80" s="377"/>
      <c r="Q80" s="377"/>
      <c r="R80" s="377"/>
      <c r="S80" s="377"/>
      <c r="T80" s="377"/>
      <c r="U80" s="377"/>
      <c r="V80" s="377"/>
      <c r="W80" s="377"/>
      <c r="X80" s="377"/>
      <c r="Y80" s="377"/>
      <c r="Z80" s="377"/>
      <c r="AA80" s="377"/>
      <c r="AB80" s="377"/>
      <c r="AC80" s="377"/>
    </row>
    <row r="81" spans="1:30">
      <c r="B81" s="377"/>
      <c r="C81" s="377"/>
      <c r="D81" s="377"/>
      <c r="E81" s="377"/>
      <c r="F81" s="377"/>
      <c r="G81" s="377"/>
      <c r="H81" s="377"/>
      <c r="I81" s="377"/>
      <c r="J81" s="377"/>
      <c r="K81" s="377"/>
      <c r="L81" s="377"/>
      <c r="M81" s="377"/>
      <c r="N81" s="377"/>
      <c r="O81" s="377"/>
      <c r="P81" s="377"/>
      <c r="Q81" s="377"/>
      <c r="R81" s="377"/>
      <c r="S81" s="377"/>
      <c r="T81" s="377"/>
      <c r="U81" s="377"/>
      <c r="V81" s="377"/>
      <c r="W81" s="377"/>
      <c r="X81" s="377"/>
      <c r="Y81" s="377"/>
      <c r="Z81" s="377"/>
      <c r="AA81" s="377"/>
      <c r="AB81" s="377"/>
      <c r="AC81" s="377"/>
    </row>
    <row r="82" spans="1:30">
      <c r="A82" s="4"/>
      <c r="D82" s="83" t="s">
        <v>124</v>
      </c>
      <c r="E82" s="83" t="s">
        <v>125</v>
      </c>
      <c r="F82" s="83" t="s">
        <v>126</v>
      </c>
      <c r="G82" s="83"/>
      <c r="H82" s="83"/>
      <c r="I82" s="83"/>
      <c r="J82" s="83"/>
      <c r="K82" s="83"/>
      <c r="L82" s="83"/>
      <c r="M82" s="83"/>
      <c r="N82" s="83"/>
      <c r="O82" s="83"/>
      <c r="P82" s="83"/>
      <c r="AC82" s="91"/>
      <c r="AD82"/>
    </row>
    <row r="83" spans="1:30" ht="43.5">
      <c r="B83" s="91"/>
      <c r="C83" s="91"/>
      <c r="D83" s="100" t="s">
        <v>103</v>
      </c>
      <c r="E83" s="133" t="s">
        <v>794</v>
      </c>
      <c r="F83" s="133" t="s">
        <v>795</v>
      </c>
      <c r="AC83" s="91"/>
      <c r="AD83"/>
    </row>
    <row r="84" spans="1:30">
      <c r="B84" s="91"/>
      <c r="C84" s="91"/>
      <c r="D84" s="100"/>
      <c r="E84" s="100"/>
      <c r="AC84" s="91"/>
      <c r="AD84"/>
    </row>
    <row r="85" spans="1:30">
      <c r="B85" s="91"/>
      <c r="C85" s="91"/>
      <c r="D85" s="84" t="s">
        <v>796</v>
      </c>
      <c r="E85" s="4" t="s">
        <v>434</v>
      </c>
      <c r="F85" s="4" t="s">
        <v>462</v>
      </c>
      <c r="AC85" s="91"/>
      <c r="AD85"/>
    </row>
    <row r="86" spans="1:30">
      <c r="A86" s="80" t="s">
        <v>92</v>
      </c>
      <c r="B86" s="80" t="s">
        <v>440</v>
      </c>
      <c r="C86" s="80" t="s">
        <v>441</v>
      </c>
      <c r="D86" s="381" t="s">
        <v>797</v>
      </c>
      <c r="E86" s="3" t="s">
        <v>661</v>
      </c>
      <c r="F86" s="3" t="s">
        <v>661</v>
      </c>
      <c r="G86" s="83"/>
      <c r="H86" s="83"/>
      <c r="I86" s="83"/>
      <c r="J86" s="83"/>
      <c r="K86" s="83"/>
      <c r="L86" s="83"/>
      <c r="M86" s="83"/>
      <c r="N86" s="83"/>
      <c r="O86" s="83"/>
      <c r="P86" s="80"/>
      <c r="AD86" s="80" t="str">
        <f>A86</f>
        <v>Line</v>
      </c>
    </row>
    <row r="87" spans="1:30">
      <c r="A87" s="91">
        <v>400</v>
      </c>
      <c r="B87" s="377" t="s">
        <v>449</v>
      </c>
      <c r="C87" s="140">
        <f>'1-DRR'!$K$2-1</f>
        <v>2021</v>
      </c>
      <c r="D87" s="272">
        <v>1048285668.3300002</v>
      </c>
      <c r="E87" s="121">
        <f>$D87*'6-PlantJurisdiction'!E$85</f>
        <v>507546584.4148128</v>
      </c>
      <c r="F87" s="121">
        <f>$D87*'6-PlantJurisdiction'!F$85</f>
        <v>493220212.66774392</v>
      </c>
      <c r="G87" s="111" t="str">
        <f>"See RY"&amp;'1-DRR'!K1-1&amp;" Model, 7-PlantInService, L. 401, col 1"</f>
        <v>See RY2023 Model, 7-PlantInService, L. 401, col 1</v>
      </c>
      <c r="H87" s="111"/>
      <c r="I87" s="111"/>
      <c r="J87" s="111"/>
      <c r="K87" s="111"/>
      <c r="L87" s="111"/>
      <c r="M87" s="111"/>
      <c r="N87" s="111"/>
      <c r="O87" s="111"/>
      <c r="P87" s="11"/>
      <c r="AD87" s="91">
        <f>A87</f>
        <v>400</v>
      </c>
    </row>
    <row r="88" spans="1:30">
      <c r="A88" s="91">
        <f>+A87+1</f>
        <v>401</v>
      </c>
      <c r="B88" s="382" t="s">
        <v>449</v>
      </c>
      <c r="C88" s="140">
        <f>'1-DRR'!$K$2</f>
        <v>2022</v>
      </c>
      <c r="D88" s="273">
        <v>1118517396.5000002</v>
      </c>
      <c r="E88" s="121">
        <f>$D88*'6-PlantJurisdiction'!E$85</f>
        <v>541550553.77844989</v>
      </c>
      <c r="F88" s="121">
        <f>$D88*'6-PlantJurisdiction'!F$85</f>
        <v>526264361.74899042</v>
      </c>
      <c r="G88" s="111" t="s">
        <v>798</v>
      </c>
      <c r="H88" s="383"/>
      <c r="I88" s="383"/>
      <c r="J88" s="383"/>
      <c r="K88" s="383"/>
      <c r="L88" s="383"/>
      <c r="M88" s="383"/>
      <c r="N88" s="383"/>
      <c r="O88" s="383"/>
      <c r="P88" s="383"/>
      <c r="AD88" s="91">
        <f>A88</f>
        <v>401</v>
      </c>
    </row>
    <row r="89" spans="1:30">
      <c r="A89" s="91">
        <f t="shared" ref="A89" si="13">A88+1</f>
        <v>402</v>
      </c>
      <c r="B89" s="384" t="s">
        <v>799</v>
      </c>
      <c r="C89" s="489"/>
      <c r="D89" s="385">
        <f>AVERAGE(D87:D88)</f>
        <v>1083401532.4150002</v>
      </c>
      <c r="E89" s="490">
        <f>AVERAGE(E87:E88)</f>
        <v>524548569.09663135</v>
      </c>
      <c r="F89" s="490">
        <f>AVERAGE(F87:F88)</f>
        <v>509742287.20836717</v>
      </c>
      <c r="G89" s="11" t="str">
        <f>"(Line "&amp;$A87&amp;" + Line "&amp;$A88&amp;")/2"</f>
        <v>(Line 400 + Line 401)/2</v>
      </c>
      <c r="H89" s="11"/>
      <c r="I89" s="11"/>
      <c r="J89" s="11"/>
      <c r="K89" s="11"/>
      <c r="L89" s="11"/>
      <c r="M89" s="11"/>
      <c r="N89" s="11"/>
      <c r="O89" s="11"/>
      <c r="P89" s="11"/>
      <c r="AD89" s="91">
        <f>A89</f>
        <v>402</v>
      </c>
    </row>
    <row r="90" spans="1:30">
      <c r="A90" s="91"/>
      <c r="B90" s="380"/>
      <c r="C90" s="380"/>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D90" s="91"/>
    </row>
    <row r="91" spans="1:30">
      <c r="A91" s="91"/>
      <c r="B91" s="380"/>
      <c r="C91" s="380"/>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D91" s="91"/>
    </row>
    <row r="92" spans="1:30">
      <c r="B92" s="45" t="s">
        <v>800</v>
      </c>
      <c r="C92" s="45"/>
      <c r="D92" s="103"/>
      <c r="E92" s="103"/>
      <c r="F92" s="103"/>
      <c r="G92" s="103"/>
      <c r="H92" s="103"/>
      <c r="I92" s="103"/>
      <c r="J92" s="103"/>
      <c r="K92" s="103"/>
      <c r="L92" s="103"/>
      <c r="M92" s="43"/>
      <c r="N92" s="103"/>
      <c r="O92" s="103"/>
      <c r="P92" s="103"/>
      <c r="Q92" s="103"/>
      <c r="R92" s="43"/>
      <c r="S92" s="43"/>
      <c r="T92" s="43"/>
      <c r="U92" s="43"/>
      <c r="V92" s="43"/>
      <c r="W92" s="43"/>
      <c r="X92" s="43"/>
      <c r="Y92" s="43"/>
      <c r="Z92" s="43"/>
      <c r="AA92" s="43"/>
      <c r="AB92" s="43"/>
      <c r="AC92" s="43"/>
    </row>
    <row r="93" spans="1:30">
      <c r="A93" s="18"/>
      <c r="B93" s="729" t="s">
        <v>801</v>
      </c>
      <c r="C93" s="729"/>
      <c r="D93" s="729"/>
      <c r="E93" s="729"/>
      <c r="F93" s="729"/>
      <c r="G93" s="729"/>
      <c r="H93" s="729"/>
      <c r="I93" s="729"/>
      <c r="J93" s="729"/>
      <c r="K93" s="729"/>
      <c r="L93" s="729"/>
      <c r="M93" s="729"/>
      <c r="N93" s="729"/>
      <c r="O93" s="377"/>
      <c r="P93" s="377"/>
      <c r="Q93" s="377"/>
      <c r="R93" s="377"/>
      <c r="S93" s="377"/>
      <c r="T93" s="377"/>
      <c r="U93" s="377"/>
      <c r="V93" s="377"/>
      <c r="W93" s="377"/>
      <c r="X93" s="377"/>
      <c r="Y93" s="377"/>
      <c r="Z93" s="377"/>
      <c r="AA93" s="377"/>
      <c r="AB93" s="377"/>
      <c r="AC93" s="377"/>
      <c r="AD93" s="91"/>
    </row>
    <row r="94" spans="1:30">
      <c r="A94" s="18"/>
      <c r="B94" s="729"/>
      <c r="C94" s="729"/>
      <c r="D94" s="729"/>
      <c r="E94" s="729"/>
      <c r="F94" s="729"/>
      <c r="G94" s="729"/>
      <c r="H94" s="729"/>
      <c r="I94" s="729"/>
      <c r="J94" s="729"/>
      <c r="K94" s="729"/>
      <c r="L94" s="729"/>
      <c r="M94" s="729"/>
      <c r="N94" s="729"/>
      <c r="O94" s="8"/>
      <c r="AC94" s="91"/>
      <c r="AD94"/>
    </row>
    <row r="95" spans="1:30">
      <c r="A95" s="4"/>
      <c r="D95" s="83" t="s">
        <v>124</v>
      </c>
      <c r="E95" s="83" t="s">
        <v>125</v>
      </c>
      <c r="F95" s="83" t="s">
        <v>126</v>
      </c>
      <c r="G95" s="83" t="s">
        <v>127</v>
      </c>
      <c r="H95" s="83" t="s">
        <v>420</v>
      </c>
      <c r="J95" s="83"/>
      <c r="K95" s="83"/>
      <c r="L95" s="83"/>
      <c r="M95" s="83"/>
      <c r="N95" s="83"/>
      <c r="O95" s="83"/>
      <c r="P95" s="83"/>
      <c r="AC95" s="91"/>
      <c r="AD95"/>
    </row>
    <row r="96" spans="1:30" ht="43.5">
      <c r="B96" s="91"/>
      <c r="C96" s="91"/>
      <c r="D96" s="133" t="s">
        <v>425</v>
      </c>
      <c r="E96" s="386" t="str">
        <f>"24-Allocators, Line " &amp; '24-Allocators'!$A$24</f>
        <v>24-Allocators, Line 113</v>
      </c>
      <c r="F96" s="386" t="s">
        <v>802</v>
      </c>
      <c r="G96" s="133" t="s">
        <v>803</v>
      </c>
      <c r="H96" s="133" t="s">
        <v>804</v>
      </c>
      <c r="AC96" s="91"/>
      <c r="AD96"/>
    </row>
    <row r="97" spans="1:30">
      <c r="B97" s="91"/>
      <c r="C97" s="91"/>
      <c r="D97" s="83"/>
      <c r="F97" s="100"/>
      <c r="AC97" s="91"/>
      <c r="AD97"/>
    </row>
    <row r="98" spans="1:30">
      <c r="B98" s="91"/>
      <c r="C98" s="91"/>
      <c r="D98" s="84"/>
      <c r="E98" s="4" t="s">
        <v>805</v>
      </c>
      <c r="F98" s="4" t="s">
        <v>806</v>
      </c>
      <c r="AC98" s="91"/>
      <c r="AD98"/>
    </row>
    <row r="99" spans="1:30">
      <c r="B99" s="91"/>
      <c r="C99" s="91"/>
      <c r="D99" s="84" t="s">
        <v>807</v>
      </c>
      <c r="E99" s="4" t="s">
        <v>661</v>
      </c>
      <c r="F99" s="4" t="s">
        <v>661</v>
      </c>
      <c r="G99" s="4" t="s">
        <v>434</v>
      </c>
      <c r="H99" s="4" t="s">
        <v>462</v>
      </c>
      <c r="AC99" s="91"/>
      <c r="AD99"/>
    </row>
    <row r="100" spans="1:30">
      <c r="A100" s="80" t="s">
        <v>92</v>
      </c>
      <c r="B100" s="80" t="s">
        <v>440</v>
      </c>
      <c r="C100" s="80" t="s">
        <v>441</v>
      </c>
      <c r="D100" s="110" t="s">
        <v>808</v>
      </c>
      <c r="E100" s="110" t="s">
        <v>809</v>
      </c>
      <c r="F100" s="381" t="s">
        <v>810</v>
      </c>
      <c r="G100" s="3" t="s">
        <v>661</v>
      </c>
      <c r="H100" s="3" t="s">
        <v>661</v>
      </c>
      <c r="J100" s="83"/>
      <c r="K100" s="83"/>
      <c r="L100" s="83"/>
      <c r="M100" s="83"/>
      <c r="N100" s="83"/>
      <c r="O100" s="83"/>
      <c r="P100" s="80"/>
      <c r="AD100" s="80" t="str">
        <f>A100</f>
        <v>Line</v>
      </c>
    </row>
    <row r="101" spans="1:30">
      <c r="A101" s="91">
        <v>500</v>
      </c>
      <c r="B101" s="377" t="s">
        <v>449</v>
      </c>
      <c r="C101" s="140">
        <f>'1-DRR'!$K$2-1</f>
        <v>2021</v>
      </c>
      <c r="D101" s="272">
        <v>3180271854.7399983</v>
      </c>
      <c r="E101" s="19">
        <f>'24-Allocators'!$C$24</f>
        <v>0.30581601944770853</v>
      </c>
      <c r="F101" s="265">
        <f>+E101*D101</f>
        <v>972578079.37816739</v>
      </c>
      <c r="G101" s="121">
        <f>$F101*'6-PlantJurisdiction'!E$85</f>
        <v>470891377.39667481</v>
      </c>
      <c r="H101" s="121">
        <f>$F101*'6-PlantJurisdiction'!F$85</f>
        <v>457599661.65623254</v>
      </c>
      <c r="I101" t="str">
        <f>"See RY"&amp;'1-DRR'!K1-1&amp;" Model, 7-PlantInService, L. 501, col 1"</f>
        <v>See RY2023 Model, 7-PlantInService, L. 501, col 1</v>
      </c>
      <c r="J101" s="111"/>
      <c r="K101" s="111"/>
      <c r="L101" s="111"/>
      <c r="M101" s="111"/>
      <c r="N101" s="111"/>
      <c r="O101" s="111"/>
      <c r="P101" s="11"/>
      <c r="AD101" s="91">
        <f>A101</f>
        <v>500</v>
      </c>
    </row>
    <row r="102" spans="1:30">
      <c r="A102" s="91">
        <f>+A101+1</f>
        <v>501</v>
      </c>
      <c r="B102" s="382" t="s">
        <v>449</v>
      </c>
      <c r="C102" s="140">
        <f>'1-DRR'!$K$2</f>
        <v>2022</v>
      </c>
      <c r="D102" s="273">
        <v>3604255746.5999975</v>
      </c>
      <c r="E102" s="19">
        <f>'24-Allocators'!$C$24</f>
        <v>0.30581601944770853</v>
      </c>
      <c r="F102" s="387">
        <f>+E102*D102</f>
        <v>1102239145.4967401</v>
      </c>
      <c r="G102" s="121">
        <f>$F102*'6-PlantJurisdiction'!E$85</f>
        <v>533669142.30202132</v>
      </c>
      <c r="H102" s="121">
        <f>$F102*'6-PlantJurisdiction'!F$85</f>
        <v>518605416.61194837</v>
      </c>
      <c r="I102" s="111" t="s">
        <v>811</v>
      </c>
      <c r="J102" s="111"/>
      <c r="K102" s="111"/>
      <c r="L102" s="383"/>
      <c r="M102" s="383"/>
      <c r="N102" s="383"/>
      <c r="O102" s="383"/>
      <c r="P102" s="383"/>
      <c r="AD102" s="91">
        <f>A102</f>
        <v>501</v>
      </c>
    </row>
    <row r="103" spans="1:30">
      <c r="A103" s="91">
        <f t="shared" ref="A103" si="14">A102+1</f>
        <v>502</v>
      </c>
      <c r="B103" s="384" t="s">
        <v>799</v>
      </c>
      <c r="C103" s="489"/>
      <c r="D103" s="385">
        <f>AVERAGE(D101:D102)</f>
        <v>3392263800.6699982</v>
      </c>
      <c r="E103" s="491"/>
      <c r="F103" s="385">
        <f>AVERAGE(F101:F102)</f>
        <v>1037408612.4374537</v>
      </c>
      <c r="G103" s="490">
        <f>AVERAGE(G101:G102)</f>
        <v>502280259.84934807</v>
      </c>
      <c r="H103" s="490">
        <f>AVERAGE(H101:H102)</f>
        <v>488102539.13409042</v>
      </c>
      <c r="I103" s="11" t="str">
        <f>"(Line "&amp;$A101&amp;" + Line "&amp;$A102&amp;")/2"</f>
        <v>(Line 500 + Line 501)/2</v>
      </c>
      <c r="J103" s="11"/>
      <c r="K103" s="11"/>
      <c r="L103" s="11"/>
      <c r="M103" s="11"/>
      <c r="N103" s="11"/>
      <c r="O103" s="11"/>
      <c r="P103" s="11"/>
      <c r="AD103" s="91">
        <f>A103</f>
        <v>502</v>
      </c>
    </row>
    <row r="104" spans="1:30">
      <c r="A104" s="91"/>
      <c r="B104" s="377"/>
      <c r="C104" s="377"/>
      <c r="D104" s="11"/>
      <c r="E104" s="19"/>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D104" s="91"/>
    </row>
    <row r="105" spans="1:30">
      <c r="A105" s="91"/>
      <c r="B105" s="377"/>
      <c r="C105" s="377"/>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D105" s="91"/>
    </row>
    <row r="106" spans="1:30">
      <c r="B106" s="45" t="s">
        <v>812</v>
      </c>
      <c r="C106" s="45"/>
      <c r="D106" s="103"/>
      <c r="E106" s="103"/>
      <c r="F106" s="103"/>
      <c r="G106" s="103"/>
      <c r="H106" s="103"/>
      <c r="I106" s="103"/>
      <c r="J106" s="103"/>
      <c r="K106" s="103"/>
      <c r="L106" s="103"/>
      <c r="M106" s="43"/>
      <c r="N106" s="46"/>
      <c r="O106" s="46"/>
      <c r="P106" s="46"/>
      <c r="Q106" s="46"/>
      <c r="R106" s="46"/>
      <c r="S106" s="46"/>
      <c r="T106" s="46"/>
      <c r="U106" s="46"/>
      <c r="V106" s="46"/>
      <c r="W106" s="46"/>
      <c r="X106" s="46"/>
      <c r="Y106" s="46"/>
      <c r="Z106" s="46"/>
      <c r="AA106" s="46"/>
      <c r="AB106" s="46"/>
      <c r="AC106" s="43"/>
    </row>
    <row r="107" spans="1:30">
      <c r="A107" s="18"/>
      <c r="B107" s="729" t="s">
        <v>813</v>
      </c>
      <c r="C107" s="729"/>
      <c r="D107" s="729"/>
      <c r="E107" s="729"/>
      <c r="F107" s="729"/>
      <c r="G107" s="729"/>
      <c r="H107" s="729"/>
      <c r="I107" s="729"/>
      <c r="J107" s="729"/>
      <c r="K107" s="729"/>
      <c r="L107" s="729"/>
      <c r="M107" s="729"/>
      <c r="N107" s="729"/>
      <c r="O107" s="377"/>
      <c r="P107" s="377"/>
      <c r="Q107" s="377"/>
      <c r="R107" s="377"/>
      <c r="S107" s="377"/>
      <c r="T107" s="377"/>
      <c r="U107" s="377"/>
      <c r="V107" s="377"/>
      <c r="W107" s="377"/>
      <c r="X107" s="377"/>
      <c r="Y107" s="377"/>
      <c r="Z107" s="377"/>
      <c r="AA107" s="377"/>
      <c r="AB107" s="377"/>
      <c r="AC107" s="377"/>
      <c r="AD107" s="91"/>
    </row>
    <row r="108" spans="1:30">
      <c r="A108" s="18"/>
      <c r="B108" s="729"/>
      <c r="C108" s="729"/>
      <c r="D108" s="729"/>
      <c r="E108" s="729"/>
      <c r="F108" s="729"/>
      <c r="G108" s="729"/>
      <c r="H108" s="729"/>
      <c r="I108" s="729"/>
      <c r="J108" s="729"/>
      <c r="K108" s="729"/>
      <c r="L108" s="729"/>
      <c r="M108" s="729"/>
      <c r="N108" s="729"/>
      <c r="O108" s="377"/>
      <c r="P108" s="377"/>
      <c r="Q108" s="377"/>
      <c r="R108" s="377"/>
      <c r="S108" s="377"/>
      <c r="T108" s="377"/>
      <c r="U108" s="377"/>
      <c r="V108" s="377"/>
      <c r="W108" s="377"/>
      <c r="X108" s="377"/>
      <c r="Y108" s="377"/>
      <c r="Z108" s="377"/>
      <c r="AA108" s="377"/>
      <c r="AB108" s="377"/>
      <c r="AC108" s="91"/>
      <c r="AD108"/>
    </row>
    <row r="109" spans="1:30">
      <c r="A109" s="4"/>
      <c r="D109" s="83" t="s">
        <v>124</v>
      </c>
      <c r="E109" s="83" t="s">
        <v>125</v>
      </c>
      <c r="F109" s="83" t="s">
        <v>126</v>
      </c>
      <c r="G109" s="83" t="s">
        <v>127</v>
      </c>
      <c r="H109" s="83" t="s">
        <v>420</v>
      </c>
      <c r="I109" s="11"/>
      <c r="J109" s="11"/>
      <c r="K109" s="11"/>
      <c r="L109" s="11"/>
      <c r="M109" s="11"/>
      <c r="N109" s="11"/>
      <c r="O109" s="11"/>
      <c r="P109" s="11"/>
      <c r="AC109" s="91"/>
      <c r="AD109"/>
    </row>
    <row r="110" spans="1:30" ht="43.5">
      <c r="B110" s="91"/>
      <c r="C110" s="91"/>
      <c r="D110" s="133" t="s">
        <v>426</v>
      </c>
      <c r="E110" s="386" t="str">
        <f>"24-Allocators, Line " &amp; '24-Allocators'!$A$23</f>
        <v>24-Allocators, Line 112</v>
      </c>
      <c r="F110" s="386" t="s">
        <v>802</v>
      </c>
      <c r="G110" s="133" t="s">
        <v>803</v>
      </c>
      <c r="H110" s="133" t="s">
        <v>804</v>
      </c>
      <c r="I110" s="11"/>
      <c r="J110" s="11"/>
      <c r="K110" s="11"/>
      <c r="L110" s="11"/>
      <c r="M110" s="11"/>
      <c r="N110" s="11"/>
      <c r="O110" s="11"/>
      <c r="P110" s="11"/>
      <c r="AC110" s="91"/>
      <c r="AD110"/>
    </row>
    <row r="111" spans="1:30">
      <c r="B111" s="91"/>
      <c r="C111" s="91"/>
      <c r="D111" s="83"/>
      <c r="F111" s="100"/>
      <c r="H111" s="11"/>
      <c r="I111" s="11"/>
      <c r="J111" s="11"/>
      <c r="K111" s="11"/>
      <c r="L111" s="11"/>
      <c r="M111" s="11"/>
      <c r="N111" s="11"/>
      <c r="O111" s="11"/>
      <c r="P111" s="11"/>
      <c r="AC111" s="91"/>
      <c r="AD111"/>
    </row>
    <row r="112" spans="1:30">
      <c r="B112" s="91"/>
      <c r="C112" s="91"/>
      <c r="D112" s="83"/>
      <c r="E112" s="4" t="s">
        <v>805</v>
      </c>
      <c r="F112" s="4" t="s">
        <v>806</v>
      </c>
      <c r="H112" s="11"/>
      <c r="I112" s="11"/>
      <c r="J112" s="11"/>
      <c r="K112" s="11"/>
      <c r="L112" s="11"/>
      <c r="M112" s="11"/>
      <c r="N112" s="11"/>
      <c r="O112" s="11"/>
      <c r="P112" s="11"/>
      <c r="AC112" s="91"/>
      <c r="AD112"/>
    </row>
    <row r="113" spans="1:30">
      <c r="B113" s="91"/>
      <c r="C113" s="91"/>
      <c r="D113" s="84" t="s">
        <v>814</v>
      </c>
      <c r="E113" s="4" t="s">
        <v>661</v>
      </c>
      <c r="F113" s="4" t="s">
        <v>661</v>
      </c>
      <c r="G113" s="4" t="s">
        <v>434</v>
      </c>
      <c r="H113" s="4" t="s">
        <v>462</v>
      </c>
      <c r="I113" s="11"/>
      <c r="J113" s="11"/>
      <c r="K113" s="11"/>
      <c r="L113" s="11"/>
      <c r="M113" s="11"/>
      <c r="N113" s="11"/>
      <c r="O113" s="11"/>
      <c r="P113" s="11"/>
      <c r="AC113" s="91"/>
      <c r="AD113"/>
    </row>
    <row r="114" spans="1:30">
      <c r="A114" s="80" t="s">
        <v>92</v>
      </c>
      <c r="B114" s="80" t="s">
        <v>440</v>
      </c>
      <c r="C114" s="80" t="s">
        <v>441</v>
      </c>
      <c r="D114" s="110" t="s">
        <v>808</v>
      </c>
      <c r="E114" s="110" t="s">
        <v>809</v>
      </c>
      <c r="F114" s="381" t="s">
        <v>810</v>
      </c>
      <c r="G114" s="3" t="s">
        <v>661</v>
      </c>
      <c r="H114" s="3" t="s">
        <v>661</v>
      </c>
      <c r="I114" s="11"/>
      <c r="J114" s="11"/>
      <c r="K114" s="11"/>
      <c r="L114" s="11"/>
      <c r="M114" s="11"/>
      <c r="N114" s="11"/>
      <c r="O114" s="11"/>
      <c r="P114" s="11"/>
      <c r="AD114" s="80" t="str">
        <f>A114</f>
        <v>Line</v>
      </c>
    </row>
    <row r="115" spans="1:30">
      <c r="A115" s="91">
        <v>600</v>
      </c>
      <c r="B115" s="377" t="s">
        <v>449</v>
      </c>
      <c r="C115" s="140">
        <f>'1-DRR'!$K$2-1</f>
        <v>2021</v>
      </c>
      <c r="D115" s="272">
        <v>228511816.55000004</v>
      </c>
      <c r="E115" s="19">
        <f>'24-Allocators'!$C$23</f>
        <v>0.43241887477592089</v>
      </c>
      <c r="F115" s="265">
        <f>+E115*D115</f>
        <v>98812822.585552678</v>
      </c>
      <c r="G115" s="121">
        <f>$F115*'6-PlantJurisdiction'!E$85</f>
        <v>47842026.381587677</v>
      </c>
      <c r="H115" s="121">
        <f>$F115*'6-PlantJurisdiction'!F$85</f>
        <v>46491603.235964589</v>
      </c>
      <c r="I115" s="11" t="str">
        <f>"See RY"&amp;'1-DRR'!K1-1&amp;" Model, 7-PlantInService, L. 601, col 1"</f>
        <v>See RY2023 Model, 7-PlantInService, L. 601, col 1</v>
      </c>
      <c r="J115" s="111"/>
      <c r="K115" s="111"/>
      <c r="L115" s="11"/>
      <c r="M115" s="11"/>
      <c r="N115" s="11"/>
      <c r="O115" s="11"/>
      <c r="P115" s="11"/>
      <c r="AD115" s="91">
        <f>A115</f>
        <v>600</v>
      </c>
    </row>
    <row r="116" spans="1:30">
      <c r="A116" s="91">
        <f>+A115+1</f>
        <v>601</v>
      </c>
      <c r="B116" s="382" t="s">
        <v>449</v>
      </c>
      <c r="C116" s="140">
        <f>'1-DRR'!$K$2</f>
        <v>2022</v>
      </c>
      <c r="D116" s="273">
        <v>231726351.07000005</v>
      </c>
      <c r="E116" s="19">
        <f>'24-Allocators'!$C$23</f>
        <v>0.43241887477592089</v>
      </c>
      <c r="F116" s="387">
        <f>+E116*D116</f>
        <v>100202847.98561944</v>
      </c>
      <c r="G116" s="121">
        <f>$F116*'6-PlantJurisdiction'!E$85</f>
        <v>48515032.476555698</v>
      </c>
      <c r="H116" s="121">
        <f>$F116*'6-PlantJurisdiction'!F$85</f>
        <v>47145612.581076302</v>
      </c>
      <c r="I116" s="111" t="s">
        <v>815</v>
      </c>
      <c r="J116" s="111"/>
      <c r="K116" s="111"/>
      <c r="L116" s="11"/>
      <c r="M116" s="11"/>
      <c r="N116" s="11"/>
      <c r="O116" s="11"/>
      <c r="P116" s="11"/>
      <c r="AD116" s="91">
        <f>A116</f>
        <v>601</v>
      </c>
    </row>
    <row r="117" spans="1:30">
      <c r="A117" s="91">
        <f t="shared" ref="A117" si="15">A116+1</f>
        <v>602</v>
      </c>
      <c r="B117" s="384" t="s">
        <v>799</v>
      </c>
      <c r="C117" s="489"/>
      <c r="D117" s="385">
        <f>AVERAGE(D115:D116)</f>
        <v>230119083.81000006</v>
      </c>
      <c r="E117" s="491"/>
      <c r="F117" s="385">
        <f>AVERAGE(F115:F116)</f>
        <v>99507835.285586059</v>
      </c>
      <c r="G117" s="490">
        <f>AVERAGE(G115:G116)</f>
        <v>48178529.429071687</v>
      </c>
      <c r="H117" s="490">
        <f>AVERAGE(H115:H116)</f>
        <v>46818607.908520445</v>
      </c>
      <c r="I117" s="11" t="str">
        <f>"(Line "&amp;$A115&amp;" + Line "&amp;$A116&amp;")/2"</f>
        <v>(Line 600 + Line 601)/2</v>
      </c>
      <c r="J117" s="11"/>
      <c r="K117" s="11"/>
      <c r="L117" s="11"/>
      <c r="M117" s="11"/>
      <c r="N117" s="11"/>
      <c r="O117" s="11"/>
      <c r="P117" s="11"/>
      <c r="AD117" s="91">
        <f>A117</f>
        <v>602</v>
      </c>
    </row>
    <row r="118" spans="1:30">
      <c r="A118" s="91"/>
      <c r="B118" s="377"/>
      <c r="C118" s="377"/>
      <c r="D118" s="11"/>
      <c r="E118" s="19"/>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D118" s="91"/>
    </row>
    <row r="119" spans="1:30">
      <c r="A119" s="91"/>
      <c r="B119" s="377"/>
      <c r="C119" s="377"/>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D119" s="91"/>
    </row>
    <row r="120" spans="1:30">
      <c r="B120" s="45" t="s">
        <v>816</v>
      </c>
      <c r="C120" s="45"/>
      <c r="D120" s="103"/>
      <c r="E120" s="103"/>
      <c r="F120" s="103"/>
      <c r="G120" s="103"/>
      <c r="H120" s="103"/>
      <c r="I120" s="103"/>
      <c r="J120" s="103"/>
      <c r="K120" s="103"/>
      <c r="L120" s="103"/>
      <c r="M120" s="43"/>
      <c r="N120" s="43"/>
      <c r="O120" s="103"/>
      <c r="P120" s="103"/>
      <c r="Q120" s="103"/>
      <c r="R120" s="43"/>
      <c r="S120" s="43"/>
      <c r="T120" s="43"/>
      <c r="U120" s="43"/>
      <c r="V120" s="43"/>
      <c r="W120" s="43"/>
      <c r="X120" s="43"/>
      <c r="Y120" s="43"/>
      <c r="Z120" s="43"/>
      <c r="AA120" s="43"/>
      <c r="AB120" s="43"/>
      <c r="AC120" s="43"/>
    </row>
    <row r="121" spans="1:30">
      <c r="A121" s="18"/>
      <c r="B121" s="377" t="s">
        <v>817</v>
      </c>
      <c r="C121" s="377"/>
      <c r="D121" s="377"/>
      <c r="E121" s="377"/>
      <c r="F121" s="377"/>
      <c r="G121" s="377"/>
      <c r="H121" s="377"/>
      <c r="I121" s="377"/>
      <c r="J121" s="377"/>
      <c r="K121" s="377"/>
      <c r="L121" s="377"/>
      <c r="M121" s="377"/>
      <c r="N121" s="377"/>
      <c r="O121" s="377"/>
      <c r="P121" s="377"/>
      <c r="Q121" s="377"/>
      <c r="R121" s="377"/>
      <c r="S121" s="377"/>
      <c r="T121" s="377"/>
      <c r="U121" s="377"/>
      <c r="V121" s="377"/>
      <c r="W121" s="377"/>
      <c r="X121" s="377"/>
      <c r="Y121" s="377"/>
      <c r="Z121" s="377"/>
      <c r="AA121" s="377"/>
      <c r="AB121" s="377"/>
      <c r="AC121" s="377"/>
      <c r="AD121" s="91"/>
    </row>
    <row r="122" spans="1:30">
      <c r="A122" s="18"/>
      <c r="C122" s="8"/>
      <c r="D122" s="8"/>
      <c r="E122" s="8"/>
      <c r="F122" s="8"/>
      <c r="G122" s="8"/>
      <c r="H122" s="8"/>
      <c r="I122" s="8"/>
      <c r="J122" s="8"/>
      <c r="K122" s="8"/>
      <c r="L122" s="8"/>
      <c r="M122" s="8"/>
      <c r="N122" s="8"/>
      <c r="O122" s="8"/>
      <c r="P122" s="8"/>
      <c r="Q122" s="8"/>
      <c r="AD122" s="91"/>
    </row>
    <row r="123" spans="1:30">
      <c r="A123" s="4"/>
      <c r="D123" s="83" t="s">
        <v>124</v>
      </c>
      <c r="E123" s="83" t="s">
        <v>125</v>
      </c>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D123" s="91"/>
    </row>
    <row r="124" spans="1:30" ht="29">
      <c r="B124" s="91"/>
      <c r="C124" s="91"/>
      <c r="D124" s="133" t="s">
        <v>818</v>
      </c>
      <c r="E124" s="133" t="s">
        <v>818</v>
      </c>
      <c r="AC124" s="91"/>
      <c r="AD124"/>
    </row>
    <row r="125" spans="1:30">
      <c r="B125" s="91"/>
      <c r="C125" s="91"/>
      <c r="D125" s="84"/>
      <c r="AC125" s="91"/>
      <c r="AD125"/>
    </row>
    <row r="126" spans="1:30">
      <c r="B126" s="91"/>
      <c r="C126" s="91"/>
      <c r="D126" s="4" t="s">
        <v>434</v>
      </c>
      <c r="E126" s="4" t="s">
        <v>462</v>
      </c>
      <c r="AC126" s="91"/>
      <c r="AD126"/>
    </row>
    <row r="127" spans="1:30">
      <c r="A127" s="80" t="s">
        <v>92</v>
      </c>
      <c r="B127" s="80" t="s">
        <v>440</v>
      </c>
      <c r="C127" s="80" t="s">
        <v>441</v>
      </c>
      <c r="D127" s="3" t="s">
        <v>661</v>
      </c>
      <c r="E127" s="3" t="s">
        <v>661</v>
      </c>
      <c r="F127" s="83"/>
      <c r="G127" s="83"/>
      <c r="H127" s="83"/>
      <c r="I127" s="83"/>
      <c r="J127" s="83"/>
      <c r="K127" s="83"/>
      <c r="L127" s="83"/>
      <c r="M127" s="83"/>
      <c r="N127" s="83"/>
      <c r="O127" s="83"/>
      <c r="P127" s="83"/>
      <c r="Q127" s="80"/>
      <c r="R127" s="80"/>
      <c r="S127" s="80"/>
      <c r="T127" s="80"/>
      <c r="U127" s="80"/>
      <c r="V127" s="80"/>
      <c r="W127" s="80"/>
      <c r="X127" s="80"/>
      <c r="Y127" s="80"/>
      <c r="Z127" s="80"/>
      <c r="AA127" s="80"/>
      <c r="AD127" s="80" t="str">
        <f>A127</f>
        <v>Line</v>
      </c>
    </row>
    <row r="128" spans="1:30">
      <c r="A128" s="91">
        <v>700</v>
      </c>
      <c r="B128" s="377" t="s">
        <v>449</v>
      </c>
      <c r="C128" s="140">
        <f>'1-DRR'!$K$2-1</f>
        <v>2021</v>
      </c>
      <c r="D128" s="121">
        <f>E87+G101+G115</f>
        <v>1026279988.1930753</v>
      </c>
      <c r="E128" s="121">
        <f>F87+H101+H115</f>
        <v>997311477.55994105</v>
      </c>
      <c r="F128" s="111"/>
      <c r="G128" s="111"/>
      <c r="H128" s="111"/>
      <c r="I128" s="111"/>
      <c r="J128" s="111"/>
      <c r="K128" s="111"/>
      <c r="L128" s="111"/>
      <c r="M128" s="111"/>
      <c r="N128" s="111"/>
      <c r="O128" s="111"/>
      <c r="P128" s="111"/>
      <c r="Q128" s="11"/>
      <c r="R128" s="11"/>
      <c r="S128" s="11"/>
      <c r="T128" s="11"/>
      <c r="U128" s="11"/>
      <c r="V128" s="11"/>
      <c r="W128" s="11"/>
      <c r="X128" s="11"/>
      <c r="Y128" s="11"/>
      <c r="Z128" s="11"/>
      <c r="AA128" s="11"/>
      <c r="AD128" s="91">
        <f>A128</f>
        <v>700</v>
      </c>
    </row>
    <row r="129" spans="1:30">
      <c r="A129" s="91">
        <f>+A128+1</f>
        <v>701</v>
      </c>
      <c r="B129" s="377" t="s">
        <v>449</v>
      </c>
      <c r="C129" s="140">
        <f>'1-DRR'!$K$2</f>
        <v>2022</v>
      </c>
      <c r="D129" s="121">
        <f>E88+G102+G116</f>
        <v>1123734728.5570269</v>
      </c>
      <c r="E129" s="121">
        <f>F88+H102+H116</f>
        <v>1092015390.9420152</v>
      </c>
      <c r="F129" s="111" t="s">
        <v>819</v>
      </c>
      <c r="G129" s="383"/>
      <c r="H129" s="383"/>
      <c r="I129" s="383"/>
      <c r="J129" s="383"/>
      <c r="K129" s="383"/>
      <c r="L129" s="383"/>
      <c r="M129" s="383"/>
      <c r="N129" s="383"/>
      <c r="O129" s="383"/>
      <c r="P129" s="383"/>
      <c r="Q129" s="383"/>
      <c r="R129" s="383"/>
      <c r="S129" s="383"/>
      <c r="T129" s="383"/>
      <c r="U129" s="383"/>
      <c r="V129" s="383"/>
      <c r="W129" s="383"/>
      <c r="X129" s="383"/>
      <c r="Y129" s="383"/>
      <c r="Z129" s="383"/>
      <c r="AA129" s="383"/>
      <c r="AD129" s="91">
        <f>A129</f>
        <v>701</v>
      </c>
    </row>
    <row r="130" spans="1:30">
      <c r="A130" s="91">
        <f t="shared" ref="A130" si="16">A129+1</f>
        <v>702</v>
      </c>
      <c r="B130" s="489" t="s">
        <v>799</v>
      </c>
      <c r="C130" s="489"/>
      <c r="D130" s="490">
        <f>AVERAGE(D128:D129)</f>
        <v>1075007358.375051</v>
      </c>
      <c r="E130" s="490">
        <f>AVERAGE(E128:E129)</f>
        <v>1044663434.2509781</v>
      </c>
      <c r="F130" s="111" t="str">
        <f>"(Line "&amp;$A128&amp;" + Line "&amp;$A129&amp;")/2"</f>
        <v>(Line 700 + Line 701)/2</v>
      </c>
      <c r="G130" s="11"/>
      <c r="H130" s="11"/>
      <c r="I130" s="11"/>
      <c r="J130" s="11"/>
      <c r="K130" s="11"/>
      <c r="L130" s="11"/>
      <c r="M130" s="11"/>
      <c r="N130" s="11"/>
      <c r="O130" s="11"/>
      <c r="P130" s="11"/>
      <c r="Q130" s="11"/>
      <c r="R130" s="11"/>
      <c r="S130" s="11"/>
      <c r="T130" s="11"/>
      <c r="U130" s="11"/>
      <c r="V130" s="11"/>
      <c r="W130" s="11"/>
      <c r="X130" s="11"/>
      <c r="Y130" s="11"/>
      <c r="Z130" s="11"/>
      <c r="AA130" s="11"/>
      <c r="AD130" s="91">
        <f>A130</f>
        <v>702</v>
      </c>
    </row>
    <row r="131" spans="1:30">
      <c r="A131" s="91"/>
      <c r="B131" s="380"/>
      <c r="C131" s="380"/>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row>
    <row r="132" spans="1:30">
      <c r="A132" s="91"/>
      <c r="C132" s="380"/>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row>
    <row r="133" spans="1:30">
      <c r="B133" s="7" t="s">
        <v>598</v>
      </c>
      <c r="C133" s="384"/>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row>
    <row r="134" spans="1:30">
      <c r="B134" s="8" t="s">
        <v>820</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row>
    <row r="135" spans="1:30">
      <c r="A135" s="91"/>
      <c r="B135" s="8" t="s">
        <v>821</v>
      </c>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row>
    <row r="136" spans="1:30">
      <c r="B136" s="8" t="s">
        <v>822</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row>
    <row r="137" spans="1:30">
      <c r="B137" s="8" t="s">
        <v>687</v>
      </c>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row>
    <row r="138" spans="1:30">
      <c r="B138" s="91"/>
      <c r="C138" s="91"/>
      <c r="D138" s="11"/>
      <c r="E138" s="11"/>
      <c r="F138" s="83"/>
      <c r="G138" s="83"/>
      <c r="L138" s="8"/>
      <c r="M138" s="8"/>
      <c r="P138" s="8"/>
      <c r="Q138" s="8"/>
    </row>
  </sheetData>
  <mergeCells count="2">
    <mergeCell ref="B93:N94"/>
    <mergeCell ref="B107:N108"/>
  </mergeCells>
  <phoneticPr fontId="104" type="noConversion"/>
  <printOptions horizontalCentered="1"/>
  <pageMargins left="1" right="1" top="1" bottom="1" header="0.5" footer="0.5"/>
  <pageSetup scale="20" fitToHeight="0" orientation="landscape" r:id="rId1"/>
  <headerFooter>
    <oddHeader xml:space="preserve">&amp;C&amp;"-,Bold"Pacific Gas and Electric Company
Formula Rate Model
Schedule &amp;A&amp;R&amp;10Docket No. ER20-2878-000, et al.
Annual Update RY2024
&amp;F
</oddHeader>
  </headerFooter>
  <rowBreaks count="2" manualBreakCount="2">
    <brk id="52" max="16383" man="1"/>
    <brk id="90" max="16383" man="1"/>
  </rowBreaks>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09CF4-2504-4F2B-B6B2-05DB6CA30421}">
  <sheetPr codeName="Sheet14">
    <pageSetUpPr fitToPage="1"/>
  </sheetPr>
  <dimension ref="A1:O49"/>
  <sheetViews>
    <sheetView view="pageBreakPreview" topLeftCell="A7" zoomScale="55" zoomScaleNormal="100" zoomScaleSheetLayoutView="55" workbookViewId="0">
      <selection activeCell="B44" sqref="B44:M45"/>
    </sheetView>
  </sheetViews>
  <sheetFormatPr defaultRowHeight="14.5"/>
  <cols>
    <col min="1" max="1" width="4.7265625" bestFit="1" customWidth="1"/>
    <col min="2" max="2" width="43" customWidth="1"/>
    <col min="3" max="3" width="15.54296875" customWidth="1"/>
    <col min="4" max="4" width="14.453125" bestFit="1" customWidth="1"/>
    <col min="5" max="5" width="15.54296875" bestFit="1" customWidth="1"/>
    <col min="6" max="6" width="15.26953125" customWidth="1"/>
    <col min="7" max="7" width="14.81640625" bestFit="1" customWidth="1"/>
    <col min="8" max="9" width="14.453125" bestFit="1" customWidth="1"/>
    <col min="10" max="10" width="16.26953125" customWidth="1"/>
    <col min="11" max="12" width="14.453125" bestFit="1" customWidth="1"/>
    <col min="13" max="13" width="9.26953125" customWidth="1"/>
    <col min="15" max="15" width="4.7265625" bestFit="1" customWidth="1"/>
  </cols>
  <sheetData>
    <row r="1" spans="1:15">
      <c r="B1" s="2" t="s">
        <v>823</v>
      </c>
      <c r="M1" s="6" t="str">
        <f>CONCATENATE("Prior Year: ",'1-DRR'!$K$2)</f>
        <v>Prior Year: 2022</v>
      </c>
    </row>
    <row r="2" spans="1:15">
      <c r="B2" s="35" t="s">
        <v>122</v>
      </c>
    </row>
    <row r="4" spans="1:15">
      <c r="B4" s="41" t="s">
        <v>824</v>
      </c>
      <c r="C4" s="41"/>
      <c r="D4" s="41"/>
      <c r="E4" s="41"/>
      <c r="F4" s="41"/>
      <c r="G4" s="41"/>
      <c r="H4" s="41"/>
      <c r="I4" s="41"/>
      <c r="J4" s="41"/>
      <c r="K4" s="41"/>
      <c r="L4" s="41"/>
      <c r="M4" s="41"/>
      <c r="O4" s="21"/>
    </row>
    <row r="5" spans="1:15">
      <c r="B5" s="730" t="s">
        <v>825</v>
      </c>
      <c r="C5" s="730"/>
      <c r="D5" s="730"/>
      <c r="E5" s="730"/>
      <c r="F5" s="730"/>
      <c r="G5" s="730"/>
      <c r="H5" s="730"/>
      <c r="I5" s="730"/>
      <c r="J5" s="730"/>
      <c r="K5" s="730"/>
      <c r="L5" s="730"/>
      <c r="M5" s="730"/>
      <c r="O5" s="21"/>
    </row>
    <row r="6" spans="1:15">
      <c r="B6" s="730"/>
      <c r="C6" s="730"/>
      <c r="D6" s="730"/>
      <c r="E6" s="730"/>
      <c r="F6" s="730"/>
      <c r="G6" s="730"/>
      <c r="H6" s="730"/>
      <c r="I6" s="730"/>
      <c r="J6" s="730"/>
      <c r="K6" s="730"/>
      <c r="L6" s="730"/>
      <c r="M6" s="730"/>
      <c r="O6" s="21"/>
    </row>
    <row r="7" spans="1:15">
      <c r="B7" s="730" t="s">
        <v>826</v>
      </c>
      <c r="C7" s="730"/>
      <c r="D7" s="730"/>
      <c r="E7" s="730"/>
      <c r="F7" s="730"/>
      <c r="G7" s="730"/>
      <c r="H7" s="730"/>
      <c r="I7" s="730"/>
      <c r="J7" s="730"/>
      <c r="K7" s="730"/>
      <c r="L7" s="730"/>
      <c r="M7" s="730"/>
      <c r="O7" s="21"/>
    </row>
    <row r="8" spans="1:15">
      <c r="B8" s="730"/>
      <c r="C8" s="730"/>
      <c r="D8" s="730"/>
      <c r="E8" s="730"/>
      <c r="F8" s="730"/>
      <c r="G8" s="730"/>
      <c r="H8" s="730"/>
      <c r="I8" s="730"/>
      <c r="J8" s="730"/>
      <c r="K8" s="730"/>
      <c r="L8" s="730"/>
      <c r="M8" s="730"/>
      <c r="O8" s="21"/>
    </row>
    <row r="9" spans="1:15">
      <c r="B9" s="330" t="s">
        <v>827</v>
      </c>
    </row>
    <row r="10" spans="1:15" ht="29">
      <c r="C10" s="732" t="s">
        <v>354</v>
      </c>
      <c r="D10" s="733"/>
      <c r="E10" s="639" t="s">
        <v>828</v>
      </c>
      <c r="F10" s="732" t="s">
        <v>450</v>
      </c>
      <c r="G10" s="733"/>
      <c r="H10" s="639" t="s">
        <v>356</v>
      </c>
      <c r="I10" s="639" t="s">
        <v>357</v>
      </c>
      <c r="J10" s="732" t="s">
        <v>358</v>
      </c>
      <c r="K10" s="733"/>
      <c r="L10" s="639" t="s">
        <v>359</v>
      </c>
      <c r="M10" s="700" t="s">
        <v>119</v>
      </c>
    </row>
    <row r="11" spans="1:15" ht="65.25" customHeight="1">
      <c r="A11" s="4" t="s">
        <v>92</v>
      </c>
      <c r="B11" s="129" t="s">
        <v>440</v>
      </c>
      <c r="C11" s="640" t="s">
        <v>829</v>
      </c>
      <c r="D11" s="543" t="s">
        <v>830</v>
      </c>
      <c r="E11" s="640" t="s">
        <v>831</v>
      </c>
      <c r="F11" s="640" t="s">
        <v>829</v>
      </c>
      <c r="G11" s="543" t="s">
        <v>830</v>
      </c>
      <c r="H11" s="640" t="s">
        <v>831</v>
      </c>
      <c r="I11" s="640" t="s">
        <v>831</v>
      </c>
      <c r="J11" s="640" t="s">
        <v>829</v>
      </c>
      <c r="K11" s="543" t="s">
        <v>830</v>
      </c>
      <c r="L11" s="640" t="s">
        <v>831</v>
      </c>
      <c r="M11" s="331"/>
      <c r="N11" s="109" t="s">
        <v>92</v>
      </c>
    </row>
    <row r="12" spans="1:15">
      <c r="A12" s="4">
        <v>100</v>
      </c>
      <c r="B12" s="482" t="s">
        <v>451</v>
      </c>
      <c r="C12" s="347">
        <f>('9-WholesaleRevenues'!C82*'15-LossFactors'!$C$23/'15-LossFactors'!$C$21)+'9-WholesaleRevenues'!D30</f>
        <v>91197.978864467324</v>
      </c>
      <c r="D12" s="346">
        <f>'9-WholesaleRevenues'!C66</f>
        <v>61755.024504324363</v>
      </c>
      <c r="E12" s="347">
        <f>'9-WholesaleRevenues'!C30</f>
        <v>5553</v>
      </c>
      <c r="F12" s="347">
        <f>('9-WholesaleRevenues'!D82*'15-LossFactors'!$C$23/'15-LossFactors'!$C$21)+'9-WholesaleRevenues'!E30</f>
        <v>0</v>
      </c>
      <c r="G12" s="356">
        <f>'9-WholesaleRevenues'!D66</f>
        <v>0</v>
      </c>
      <c r="H12" s="347">
        <f>'9-WholesaleRevenues'!F30</f>
        <v>1985</v>
      </c>
      <c r="I12" s="347">
        <f>'9-WholesaleRevenues'!G30</f>
        <v>730</v>
      </c>
      <c r="J12" s="347">
        <f>('9-WholesaleRevenues'!E82*'15-LossFactors'!$C$23/'15-LossFactors'!$C$21)+'9-WholesaleRevenues'!H30</f>
        <v>57343.084430334959</v>
      </c>
      <c r="K12" s="356">
        <f>'9-WholesaleRevenues'!E66</f>
        <v>35479</v>
      </c>
      <c r="L12" s="347">
        <f>'9-WholesaleRevenues'!I30</f>
        <v>100</v>
      </c>
      <c r="M12" s="347"/>
      <c r="N12" s="4">
        <f>A12</f>
        <v>100</v>
      </c>
    </row>
    <row r="13" spans="1:15">
      <c r="A13" s="4">
        <f>A12+1</f>
        <v>101</v>
      </c>
      <c r="B13" s="483" t="s">
        <v>452</v>
      </c>
      <c r="C13" s="347">
        <f>('9-WholesaleRevenues'!C83*'15-LossFactors'!$C$23/'15-LossFactors'!$C$21)+'9-WholesaleRevenues'!D31</f>
        <v>90631.800658579072</v>
      </c>
      <c r="D13" s="347">
        <f>'9-WholesaleRevenues'!C67</f>
        <v>59866.610223707154</v>
      </c>
      <c r="E13" s="347">
        <f>'9-WholesaleRevenues'!C31</f>
        <v>5506</v>
      </c>
      <c r="F13" s="347">
        <f>('9-WholesaleRevenues'!D83*'15-LossFactors'!$C$23/'15-LossFactors'!$C$21)+'9-WholesaleRevenues'!E31</f>
        <v>0</v>
      </c>
      <c r="G13" s="356">
        <f>'9-WholesaleRevenues'!D67</f>
        <v>0</v>
      </c>
      <c r="H13" s="347">
        <f>'9-WholesaleRevenues'!F31</f>
        <v>2217</v>
      </c>
      <c r="I13" s="347">
        <f>'9-WholesaleRevenues'!G31</f>
        <v>730</v>
      </c>
      <c r="J13" s="347">
        <f>('9-WholesaleRevenues'!E83*'15-LossFactors'!$C$23/'15-LossFactors'!$C$21)+'9-WholesaleRevenues'!H31</f>
        <v>81950.908605954522</v>
      </c>
      <c r="K13" s="356">
        <f>'9-WholesaleRevenues'!E67</f>
        <v>43017</v>
      </c>
      <c r="L13" s="347">
        <f>'9-WholesaleRevenues'!I31</f>
        <v>100</v>
      </c>
      <c r="M13" s="347"/>
      <c r="N13" s="4">
        <f t="shared" ref="N13:N26" si="0">A13</f>
        <v>101</v>
      </c>
    </row>
    <row r="14" spans="1:15">
      <c r="A14" s="4">
        <f t="shared" ref="A14:A24" si="1">A13+1</f>
        <v>102</v>
      </c>
      <c r="B14" s="483" t="s">
        <v>453</v>
      </c>
      <c r="C14" s="347">
        <f>('9-WholesaleRevenues'!C84*'15-LossFactors'!$C$23/'15-LossFactors'!$C$21)+'9-WholesaleRevenues'!D32</f>
        <v>91267.169634887716</v>
      </c>
      <c r="D14" s="347">
        <f>'9-WholesaleRevenues'!C68</f>
        <v>59936.683178906911</v>
      </c>
      <c r="E14" s="347">
        <f>'9-WholesaleRevenues'!C32</f>
        <v>5303</v>
      </c>
      <c r="F14" s="347">
        <f>('9-WholesaleRevenues'!D84*'15-LossFactors'!$C$23/'15-LossFactors'!$C$21)+'9-WholesaleRevenues'!E32</f>
        <v>0</v>
      </c>
      <c r="G14" s="356">
        <f>'9-WholesaleRevenues'!D68</f>
        <v>0</v>
      </c>
      <c r="H14" s="347">
        <f>'9-WholesaleRevenues'!F32</f>
        <v>2551</v>
      </c>
      <c r="I14" s="347">
        <f>'9-WholesaleRevenues'!G32</f>
        <v>730</v>
      </c>
      <c r="J14" s="347">
        <f>('9-WholesaleRevenues'!E84*'15-LossFactors'!$C$23/'15-LossFactors'!$C$21)+'9-WholesaleRevenues'!H32</f>
        <v>99896.380853520022</v>
      </c>
      <c r="K14" s="356">
        <f>'9-WholesaleRevenues'!E68</f>
        <v>48289</v>
      </c>
      <c r="L14" s="347">
        <f>'9-WholesaleRevenues'!I32</f>
        <v>100</v>
      </c>
      <c r="M14" s="347"/>
      <c r="N14" s="4">
        <f t="shared" si="0"/>
        <v>102</v>
      </c>
    </row>
    <row r="15" spans="1:15">
      <c r="A15" s="4">
        <f t="shared" si="1"/>
        <v>103</v>
      </c>
      <c r="B15" s="483" t="s">
        <v>454</v>
      </c>
      <c r="C15" s="347">
        <f>('9-WholesaleRevenues'!C85*'15-LossFactors'!$C$23/'15-LossFactors'!$C$21)+'9-WholesaleRevenues'!D33</f>
        <v>96744.290145555104</v>
      </c>
      <c r="D15" s="347">
        <f>'9-WholesaleRevenues'!C69</f>
        <v>61864.226398366678</v>
      </c>
      <c r="E15" s="347">
        <f>'9-WholesaleRevenues'!C33</f>
        <v>5219</v>
      </c>
      <c r="F15" s="347">
        <f>('9-WholesaleRevenues'!D85*'15-LossFactors'!$C$23/'15-LossFactors'!$C$21)+'9-WholesaleRevenues'!E33</f>
        <v>0</v>
      </c>
      <c r="G15" s="356">
        <f>'9-WholesaleRevenues'!D69</f>
        <v>0</v>
      </c>
      <c r="H15" s="347">
        <f>'9-WholesaleRevenues'!F33</f>
        <v>2723</v>
      </c>
      <c r="I15" s="347">
        <f>'9-WholesaleRevenues'!G33</f>
        <v>730</v>
      </c>
      <c r="J15" s="347">
        <f>('9-WholesaleRevenues'!E85*'15-LossFactors'!$C$23/'15-LossFactors'!$C$21)+'9-WholesaleRevenues'!H33</f>
        <v>119169.3652503398</v>
      </c>
      <c r="K15" s="356">
        <f>'9-WholesaleRevenues'!E69</f>
        <v>50692</v>
      </c>
      <c r="L15" s="347">
        <f>'9-WholesaleRevenues'!I33</f>
        <v>100</v>
      </c>
      <c r="M15" s="347"/>
      <c r="N15" s="4">
        <f t="shared" si="0"/>
        <v>103</v>
      </c>
    </row>
    <row r="16" spans="1:15">
      <c r="A16" s="4">
        <f t="shared" si="1"/>
        <v>104</v>
      </c>
      <c r="B16" s="483" t="s">
        <v>455</v>
      </c>
      <c r="C16" s="347">
        <f>('9-WholesaleRevenues'!C86*'15-LossFactors'!$C$23/'15-LossFactors'!$C$21)+'9-WholesaleRevenues'!D34</f>
        <v>90344.175138102553</v>
      </c>
      <c r="D16" s="347">
        <f>'9-WholesaleRevenues'!C70</f>
        <v>59981.008779579148</v>
      </c>
      <c r="E16" s="347">
        <f>'9-WholesaleRevenues'!C34</f>
        <v>5197</v>
      </c>
      <c r="F16" s="347">
        <f>('9-WholesaleRevenues'!D86*'15-LossFactors'!$C$23/'15-LossFactors'!$C$21)+'9-WholesaleRevenues'!E34</f>
        <v>0</v>
      </c>
      <c r="G16" s="356">
        <f>'9-WholesaleRevenues'!D70</f>
        <v>0</v>
      </c>
      <c r="H16" s="347">
        <f>'9-WholesaleRevenues'!F34</f>
        <v>2651</v>
      </c>
      <c r="I16" s="347">
        <f>'9-WholesaleRevenues'!G34</f>
        <v>666</v>
      </c>
      <c r="J16" s="347">
        <f>('9-WholesaleRevenues'!E86*'15-LossFactors'!$C$23/'15-LossFactors'!$C$21)+'9-WholesaleRevenues'!H34</f>
        <v>143384.93056770996</v>
      </c>
      <c r="K16" s="356">
        <f>'9-WholesaleRevenues'!E70</f>
        <v>55432</v>
      </c>
      <c r="L16" s="347">
        <f>'9-WholesaleRevenues'!I34</f>
        <v>52</v>
      </c>
      <c r="M16" s="347"/>
      <c r="N16" s="4">
        <f t="shared" si="0"/>
        <v>104</v>
      </c>
    </row>
    <row r="17" spans="1:14">
      <c r="A17" s="4">
        <f t="shared" si="1"/>
        <v>105</v>
      </c>
      <c r="B17" s="483" t="s">
        <v>737</v>
      </c>
      <c r="C17" s="347">
        <f>('9-WholesaleRevenues'!C87*'15-LossFactors'!$C$23/'15-LossFactors'!$C$21)+'9-WholesaleRevenues'!D35</f>
        <v>93155.732001480283</v>
      </c>
      <c r="D17" s="347">
        <f>'9-WholesaleRevenues'!C71</f>
        <v>60161.929604121047</v>
      </c>
      <c r="E17" s="347">
        <f>'9-WholesaleRevenues'!C35</f>
        <v>5588</v>
      </c>
      <c r="F17" s="347">
        <f>('9-WholesaleRevenues'!D87*'15-LossFactors'!$C$23/'15-LossFactors'!$C$21)+'9-WholesaleRevenues'!E35</f>
        <v>0</v>
      </c>
      <c r="G17" s="356">
        <f>'9-WholesaleRevenues'!D71</f>
        <v>0</v>
      </c>
      <c r="H17" s="347">
        <f>'9-WholesaleRevenues'!F35</f>
        <v>2833</v>
      </c>
      <c r="I17" s="347">
        <f>'9-WholesaleRevenues'!G35</f>
        <v>641</v>
      </c>
      <c r="J17" s="347">
        <f>('9-WholesaleRevenues'!E87*'15-LossFactors'!$C$23/'15-LossFactors'!$C$21)+'9-WholesaleRevenues'!H35</f>
        <v>137350.272925317</v>
      </c>
      <c r="K17" s="356">
        <f>'9-WholesaleRevenues'!E71</f>
        <v>55904</v>
      </c>
      <c r="L17" s="347">
        <f>'9-WholesaleRevenues'!I35</f>
        <v>56</v>
      </c>
      <c r="M17" s="347"/>
      <c r="N17" s="4">
        <f t="shared" si="0"/>
        <v>105</v>
      </c>
    </row>
    <row r="18" spans="1:14">
      <c r="A18" s="4">
        <f t="shared" si="1"/>
        <v>106</v>
      </c>
      <c r="B18" s="483" t="s">
        <v>457</v>
      </c>
      <c r="C18" s="347">
        <f>('9-WholesaleRevenues'!C88*'15-LossFactors'!$C$23/'15-LossFactors'!$C$21)+'9-WholesaleRevenues'!D36</f>
        <v>88564.929881965596</v>
      </c>
      <c r="D18" s="347">
        <f>'9-WholesaleRevenues'!C72</f>
        <v>55072.467165933187</v>
      </c>
      <c r="E18" s="347">
        <f>'9-WholesaleRevenues'!C36</f>
        <v>5186</v>
      </c>
      <c r="F18" s="347">
        <f>('9-WholesaleRevenues'!D88*'15-LossFactors'!$C$23/'15-LossFactors'!$C$21)+'9-WholesaleRevenues'!E36</f>
        <v>0</v>
      </c>
      <c r="G18" s="356">
        <f>'9-WholesaleRevenues'!D72</f>
        <v>0</v>
      </c>
      <c r="H18" s="347">
        <f>'9-WholesaleRevenues'!F36</f>
        <v>3079</v>
      </c>
      <c r="I18" s="347">
        <f>'9-WholesaleRevenues'!G36</f>
        <v>682</v>
      </c>
      <c r="J18" s="347">
        <f>('9-WholesaleRevenues'!E88*'15-LossFactors'!$C$23/'15-LossFactors'!$C$21)+'9-WholesaleRevenues'!H36</f>
        <v>131655.89966857206</v>
      </c>
      <c r="K18" s="356">
        <f>'9-WholesaleRevenues'!E72</f>
        <v>56131</v>
      </c>
      <c r="L18" s="347">
        <f>'9-WholesaleRevenues'!I36</f>
        <v>58</v>
      </c>
      <c r="M18" s="347"/>
      <c r="N18" s="4">
        <f t="shared" si="0"/>
        <v>106</v>
      </c>
    </row>
    <row r="19" spans="1:14">
      <c r="A19" s="4">
        <f t="shared" si="1"/>
        <v>107</v>
      </c>
      <c r="B19" s="483" t="s">
        <v>458</v>
      </c>
      <c r="C19" s="347">
        <f>('9-WholesaleRevenues'!C89*'15-LossFactors'!$C$23/'15-LossFactors'!$C$21)+'9-WholesaleRevenues'!D37</f>
        <v>99035.447283367728</v>
      </c>
      <c r="D19" s="347">
        <f>'9-WholesaleRevenues'!C73</f>
        <v>57343.694086209638</v>
      </c>
      <c r="E19" s="347">
        <f>'9-WholesaleRevenues'!C37</f>
        <v>5402</v>
      </c>
      <c r="F19" s="347">
        <f>('9-WholesaleRevenues'!D89*'15-LossFactors'!$C$23/'15-LossFactors'!$C$21)+'9-WholesaleRevenues'!E37</f>
        <v>0</v>
      </c>
      <c r="G19" s="356">
        <f>'9-WholesaleRevenues'!D73</f>
        <v>0</v>
      </c>
      <c r="H19" s="347">
        <f>'9-WholesaleRevenues'!F37</f>
        <v>3179</v>
      </c>
      <c r="I19" s="347">
        <f>'9-WholesaleRevenues'!G37</f>
        <v>604</v>
      </c>
      <c r="J19" s="347">
        <f>('9-WholesaleRevenues'!E89*'15-LossFactors'!$C$23/'15-LossFactors'!$C$21)+'9-WholesaleRevenues'!H37</f>
        <v>116633.55959185952</v>
      </c>
      <c r="K19" s="356">
        <f>'9-WholesaleRevenues'!E73</f>
        <v>55595</v>
      </c>
      <c r="L19" s="347">
        <f>'9-WholesaleRevenues'!I37</f>
        <v>56</v>
      </c>
      <c r="M19" s="347"/>
      <c r="N19" s="4">
        <f t="shared" si="0"/>
        <v>107</v>
      </c>
    </row>
    <row r="20" spans="1:14">
      <c r="A20" s="4">
        <f t="shared" si="1"/>
        <v>108</v>
      </c>
      <c r="B20" s="483" t="s">
        <v>459</v>
      </c>
      <c r="C20" s="347">
        <f>('9-WholesaleRevenues'!C90*'15-LossFactors'!$C$23/'15-LossFactors'!$C$21)+'9-WholesaleRevenues'!D38</f>
        <v>99434.338036381465</v>
      </c>
      <c r="D20" s="347">
        <f>'9-WholesaleRevenues'!C74</f>
        <v>63041.589360198501</v>
      </c>
      <c r="E20" s="347">
        <f>'9-WholesaleRevenues'!C38</f>
        <v>5902</v>
      </c>
      <c r="F20" s="347">
        <f>('9-WholesaleRevenues'!D90*'15-LossFactors'!$C$23/'15-LossFactors'!$C$21)+'9-WholesaleRevenues'!E38</f>
        <v>0</v>
      </c>
      <c r="G20" s="356">
        <f>'9-WholesaleRevenues'!D74</f>
        <v>0</v>
      </c>
      <c r="H20" s="347">
        <f>'9-WholesaleRevenues'!F38</f>
        <v>3261</v>
      </c>
      <c r="I20" s="347">
        <f>'9-WholesaleRevenues'!G38</f>
        <v>638</v>
      </c>
      <c r="J20" s="347">
        <f>('9-WholesaleRevenues'!E90*'15-LossFactors'!$C$23/'15-LossFactors'!$C$21)+'9-WholesaleRevenues'!H38</f>
        <v>111677.82002346062</v>
      </c>
      <c r="K20" s="356">
        <f>'9-WholesaleRevenues'!E74</f>
        <v>53700</v>
      </c>
      <c r="L20" s="347">
        <f>'9-WholesaleRevenues'!I38</f>
        <v>57</v>
      </c>
      <c r="M20" s="347"/>
      <c r="N20" s="4">
        <f t="shared" si="0"/>
        <v>108</v>
      </c>
    </row>
    <row r="21" spans="1:14">
      <c r="A21" s="4">
        <f t="shared" si="1"/>
        <v>109</v>
      </c>
      <c r="B21" s="483" t="s">
        <v>460</v>
      </c>
      <c r="C21" s="347">
        <f>('9-WholesaleRevenues'!C91*'15-LossFactors'!$C$23/'15-LossFactors'!$C$21)+'9-WholesaleRevenues'!D39</f>
        <v>98011.237240346498</v>
      </c>
      <c r="D21" s="347">
        <f>'9-WholesaleRevenues'!C75</f>
        <v>59917.501552689551</v>
      </c>
      <c r="E21" s="347">
        <f>'9-WholesaleRevenues'!C39</f>
        <v>5749</v>
      </c>
      <c r="F21" s="347">
        <f>('9-WholesaleRevenues'!D91*'15-LossFactors'!$C$23/'15-LossFactors'!$C$21)+'9-WholesaleRevenues'!E39</f>
        <v>0</v>
      </c>
      <c r="G21" s="356">
        <f>'9-WholesaleRevenues'!D75</f>
        <v>0</v>
      </c>
      <c r="H21" s="347">
        <f>'9-WholesaleRevenues'!F39</f>
        <v>3024</v>
      </c>
      <c r="I21" s="347">
        <f>'9-WholesaleRevenues'!G39</f>
        <v>612</v>
      </c>
      <c r="J21" s="347">
        <f>('9-WholesaleRevenues'!E91*'15-LossFactors'!$C$23/'15-LossFactors'!$C$21)+'9-WholesaleRevenues'!H39</f>
        <v>99997.148528124817</v>
      </c>
      <c r="K21" s="356">
        <f>'9-WholesaleRevenues'!E75</f>
        <v>47723</v>
      </c>
      <c r="L21" s="347">
        <f>'9-WholesaleRevenues'!I39</f>
        <v>57</v>
      </c>
      <c r="M21" s="347"/>
      <c r="N21" s="4">
        <f t="shared" si="0"/>
        <v>109</v>
      </c>
    </row>
    <row r="22" spans="1:14">
      <c r="A22" s="4">
        <f t="shared" si="1"/>
        <v>110</v>
      </c>
      <c r="B22" s="483" t="s">
        <v>461</v>
      </c>
      <c r="C22" s="347">
        <f>('9-WholesaleRevenues'!C92*'15-LossFactors'!$C$23/'15-LossFactors'!$C$21)+'9-WholesaleRevenues'!D40</f>
        <v>96212.289527539775</v>
      </c>
      <c r="D22" s="347">
        <f>'9-WholesaleRevenues'!C76</f>
        <v>60707.138091764085</v>
      </c>
      <c r="E22" s="347">
        <f>'9-WholesaleRevenues'!C40</f>
        <v>5474</v>
      </c>
      <c r="F22" s="347">
        <f>('9-WholesaleRevenues'!D92*'15-LossFactors'!$C$23/'15-LossFactors'!$C$21)+'9-WholesaleRevenues'!E40</f>
        <v>0</v>
      </c>
      <c r="G22" s="356">
        <f>'9-WholesaleRevenues'!D76</f>
        <v>0</v>
      </c>
      <c r="H22" s="347">
        <f>'9-WholesaleRevenues'!F40</f>
        <v>2483</v>
      </c>
      <c r="I22" s="347">
        <f>'9-WholesaleRevenues'!G40</f>
        <v>677</v>
      </c>
      <c r="J22" s="347">
        <f>('9-WholesaleRevenues'!E92*'15-LossFactors'!$C$23/'15-LossFactors'!$C$21)+'9-WholesaleRevenues'!H40</f>
        <v>75434.254305770199</v>
      </c>
      <c r="K22" s="356">
        <f>'9-WholesaleRevenues'!E76</f>
        <v>41736</v>
      </c>
      <c r="L22" s="347">
        <f>'9-WholesaleRevenues'!I40</f>
        <v>69</v>
      </c>
      <c r="M22" s="347"/>
      <c r="N22" s="4">
        <f t="shared" si="0"/>
        <v>110</v>
      </c>
    </row>
    <row r="23" spans="1:14">
      <c r="A23" s="4">
        <f t="shared" si="1"/>
        <v>111</v>
      </c>
      <c r="B23" s="484" t="s">
        <v>449</v>
      </c>
      <c r="C23" s="348">
        <f>('9-WholesaleRevenues'!C93*'15-LossFactors'!$C$23/'15-LossFactors'!$C$21)+'9-WholesaleRevenues'!D41</f>
        <v>98489.276378829178</v>
      </c>
      <c r="D23" s="348">
        <f>'9-WholesaleRevenues'!C77</f>
        <v>61882.929396320302</v>
      </c>
      <c r="E23" s="348">
        <f>'9-WholesaleRevenues'!C41</f>
        <v>5574</v>
      </c>
      <c r="F23" s="348">
        <f>('9-WholesaleRevenues'!D93*'15-LossFactors'!$C$23/'15-LossFactors'!$C$21)+'9-WholesaleRevenues'!E41</f>
        <v>0</v>
      </c>
      <c r="G23" s="357">
        <f>'9-WholesaleRevenues'!D77</f>
        <v>0</v>
      </c>
      <c r="H23" s="348">
        <f>'9-WholesaleRevenues'!F41</f>
        <v>2128</v>
      </c>
      <c r="I23" s="348">
        <f>'9-WholesaleRevenues'!G41</f>
        <v>801</v>
      </c>
      <c r="J23" s="348">
        <f>('9-WholesaleRevenues'!E93*'15-LossFactors'!$C$23/'15-LossFactors'!$C$21)+'9-WholesaleRevenues'!H41</f>
        <v>47156.571247695829</v>
      </c>
      <c r="K23" s="357">
        <f>'9-WholesaleRevenues'!E77</f>
        <v>37897</v>
      </c>
      <c r="L23" s="348">
        <f>'9-WholesaleRevenues'!I41</f>
        <v>78</v>
      </c>
      <c r="M23" s="348"/>
      <c r="N23" s="4">
        <f t="shared" si="0"/>
        <v>111</v>
      </c>
    </row>
    <row r="24" spans="1:14">
      <c r="A24" s="4">
        <f t="shared" si="1"/>
        <v>112</v>
      </c>
      <c r="B24" s="6" t="s">
        <v>736</v>
      </c>
      <c r="C24" s="469">
        <f>SUM(C12:C23)</f>
        <v>1133088.6647915023</v>
      </c>
      <c r="D24" s="469">
        <f t="shared" ref="D24:M24" si="2">SUM(D12:D23)</f>
        <v>721530.80234212056</v>
      </c>
      <c r="E24" s="469">
        <f t="shared" si="2"/>
        <v>65653</v>
      </c>
      <c r="F24" s="469">
        <f t="shared" si="2"/>
        <v>0</v>
      </c>
      <c r="G24" s="469">
        <f t="shared" si="2"/>
        <v>0</v>
      </c>
      <c r="H24" s="469">
        <f t="shared" si="2"/>
        <v>32114</v>
      </c>
      <c r="I24" s="469">
        <f t="shared" si="2"/>
        <v>8241</v>
      </c>
      <c r="J24" s="469">
        <f t="shared" si="2"/>
        <v>1221650.1959986594</v>
      </c>
      <c r="K24" s="469">
        <f t="shared" si="2"/>
        <v>581595</v>
      </c>
      <c r="L24" s="469">
        <f t="shared" si="2"/>
        <v>883</v>
      </c>
      <c r="M24" s="469">
        <f t="shared" si="2"/>
        <v>0</v>
      </c>
      <c r="N24" s="4">
        <f t="shared" si="0"/>
        <v>112</v>
      </c>
    </row>
    <row r="25" spans="1:14">
      <c r="A25" s="4"/>
      <c r="C25" s="128"/>
      <c r="D25" s="128"/>
      <c r="E25" s="128"/>
      <c r="F25" s="128"/>
      <c r="G25" s="128"/>
      <c r="H25" s="128"/>
      <c r="I25" s="128"/>
      <c r="J25" s="128"/>
      <c r="K25" s="128"/>
      <c r="L25" s="128"/>
      <c r="M25" s="128"/>
    </row>
    <row r="26" spans="1:14">
      <c r="A26" s="4">
        <f>A24+1</f>
        <v>113</v>
      </c>
      <c r="B26" s="6" t="s">
        <v>832</v>
      </c>
      <c r="C26" s="469">
        <f>MAX(C12:C23)</f>
        <v>99434.338036381465</v>
      </c>
      <c r="D26" s="469">
        <f t="shared" ref="D26:M26" si="3">MAX(D12:D23)</f>
        <v>63041.589360198501</v>
      </c>
      <c r="E26" s="469">
        <f t="shared" si="3"/>
        <v>5902</v>
      </c>
      <c r="F26" s="469">
        <f t="shared" si="3"/>
        <v>0</v>
      </c>
      <c r="G26" s="469">
        <f t="shared" si="3"/>
        <v>0</v>
      </c>
      <c r="H26" s="469">
        <f t="shared" si="3"/>
        <v>3261</v>
      </c>
      <c r="I26" s="469">
        <f t="shared" si="3"/>
        <v>801</v>
      </c>
      <c r="J26" s="469">
        <f t="shared" si="3"/>
        <v>143384.93056770996</v>
      </c>
      <c r="K26" s="469">
        <f t="shared" si="3"/>
        <v>56131</v>
      </c>
      <c r="L26" s="469">
        <f t="shared" si="3"/>
        <v>100</v>
      </c>
      <c r="M26" s="469">
        <f t="shared" si="3"/>
        <v>0</v>
      </c>
      <c r="N26" s="4">
        <f t="shared" si="0"/>
        <v>113</v>
      </c>
    </row>
    <row r="27" spans="1:14">
      <c r="A27" s="21"/>
    </row>
    <row r="28" spans="1:14">
      <c r="B28" s="41" t="s">
        <v>833</v>
      </c>
      <c r="C28" s="41"/>
      <c r="D28" s="41"/>
      <c r="E28" s="41"/>
      <c r="F28" s="41"/>
      <c r="G28" s="41"/>
      <c r="H28" s="41"/>
      <c r="I28" s="41"/>
      <c r="J28" s="41"/>
      <c r="K28" s="41"/>
      <c r="L28" s="41"/>
      <c r="M28" s="41"/>
    </row>
    <row r="29" spans="1:14">
      <c r="B29" s="2"/>
    </row>
    <row r="30" spans="1:14" ht="29">
      <c r="C30" s="701" t="s">
        <v>834</v>
      </c>
      <c r="D30" s="701" t="s">
        <v>835</v>
      </c>
      <c r="E30" s="639" t="s">
        <v>836</v>
      </c>
      <c r="F30" s="701" t="s">
        <v>837</v>
      </c>
      <c r="G30" s="701" t="s">
        <v>838</v>
      </c>
      <c r="H30" s="701" t="s">
        <v>839</v>
      </c>
      <c r="I30" s="701" t="s">
        <v>840</v>
      </c>
      <c r="J30" s="701" t="s">
        <v>841</v>
      </c>
      <c r="K30" s="701" t="s">
        <v>842</v>
      </c>
      <c r="L30" s="701" t="s">
        <v>843</v>
      </c>
      <c r="M30" s="701"/>
      <c r="N30" s="109"/>
    </row>
    <row r="31" spans="1:14">
      <c r="A31" s="4" t="s">
        <v>92</v>
      </c>
      <c r="B31" s="290" t="s">
        <v>844</v>
      </c>
      <c r="C31" s="701" t="s">
        <v>814</v>
      </c>
      <c r="D31" s="701" t="s">
        <v>845</v>
      </c>
      <c r="E31" s="701" t="s">
        <v>846</v>
      </c>
      <c r="F31" s="639" t="s">
        <v>847</v>
      </c>
      <c r="G31" s="639" t="s">
        <v>848</v>
      </c>
      <c r="H31" s="639" t="s">
        <v>849</v>
      </c>
      <c r="I31" s="639" t="s">
        <v>850</v>
      </c>
      <c r="J31" s="639" t="s">
        <v>851</v>
      </c>
      <c r="K31" s="639" t="s">
        <v>852</v>
      </c>
      <c r="L31" s="639" t="s">
        <v>853</v>
      </c>
      <c r="M31" s="639" t="s">
        <v>119</v>
      </c>
      <c r="N31" s="109" t="s">
        <v>92</v>
      </c>
    </row>
    <row r="32" spans="1:14">
      <c r="A32" s="4">
        <f>A12+100</f>
        <v>200</v>
      </c>
      <c r="B32" s="702" t="s">
        <v>854</v>
      </c>
      <c r="C32" s="346">
        <f t="shared" ref="C32:C41" si="4">SUM(D32:E32)</f>
        <v>196023319</v>
      </c>
      <c r="D32" s="703">
        <v>196023319</v>
      </c>
      <c r="E32" s="349">
        <f t="shared" ref="E32:E41" si="5">SUM(F32:L32)</f>
        <v>0</v>
      </c>
      <c r="F32" s="704">
        <v>0</v>
      </c>
      <c r="G32" s="352">
        <v>0</v>
      </c>
      <c r="H32" s="704">
        <v>0</v>
      </c>
      <c r="I32" s="352">
        <v>0</v>
      </c>
      <c r="J32" s="704">
        <v>0</v>
      </c>
      <c r="K32" s="352">
        <v>0</v>
      </c>
      <c r="L32" s="704">
        <v>0</v>
      </c>
      <c r="M32" s="352"/>
      <c r="N32" s="4">
        <f>A32</f>
        <v>200</v>
      </c>
    </row>
    <row r="33" spans="1:15">
      <c r="A33" s="4">
        <f>A32+1</f>
        <v>201</v>
      </c>
      <c r="B33" s="567" t="s">
        <v>855</v>
      </c>
      <c r="C33" s="347">
        <f t="shared" si="4"/>
        <v>187850076</v>
      </c>
      <c r="D33" s="342">
        <v>187850076</v>
      </c>
      <c r="E33" s="350">
        <f t="shared" si="5"/>
        <v>0</v>
      </c>
      <c r="F33" s="343">
        <v>0</v>
      </c>
      <c r="G33" s="353">
        <v>0</v>
      </c>
      <c r="H33" s="343">
        <v>0</v>
      </c>
      <c r="I33" s="353">
        <v>0</v>
      </c>
      <c r="J33" s="343">
        <v>0</v>
      </c>
      <c r="K33" s="353">
        <v>0</v>
      </c>
      <c r="L33" s="343">
        <v>0</v>
      </c>
      <c r="M33" s="353"/>
      <c r="N33" s="4">
        <f t="shared" ref="N33:N41" si="6">A33</f>
        <v>201</v>
      </c>
    </row>
    <row r="34" spans="1:15">
      <c r="A34" s="4">
        <f t="shared" ref="A34:A41" si="7">A33+1</f>
        <v>202</v>
      </c>
      <c r="B34" s="567" t="s">
        <v>856</v>
      </c>
      <c r="C34" s="347">
        <f t="shared" si="4"/>
        <v>187850076</v>
      </c>
      <c r="D34" s="342">
        <v>187850076</v>
      </c>
      <c r="E34" s="350">
        <f t="shared" si="5"/>
        <v>0</v>
      </c>
      <c r="F34" s="343">
        <v>0</v>
      </c>
      <c r="G34" s="353">
        <v>0</v>
      </c>
      <c r="H34" s="343">
        <v>0</v>
      </c>
      <c r="I34" s="353">
        <v>0</v>
      </c>
      <c r="J34" s="343">
        <v>0</v>
      </c>
      <c r="K34" s="353">
        <v>0</v>
      </c>
      <c r="L34" s="343">
        <v>0</v>
      </c>
      <c r="M34" s="353"/>
      <c r="N34" s="4">
        <f t="shared" si="6"/>
        <v>202</v>
      </c>
    </row>
    <row r="35" spans="1:15">
      <c r="A35" s="4">
        <f t="shared" si="7"/>
        <v>203</v>
      </c>
      <c r="B35" s="567" t="s">
        <v>857</v>
      </c>
      <c r="C35" s="347">
        <f t="shared" si="4"/>
        <v>23464509.268604092</v>
      </c>
      <c r="D35" s="342">
        <v>23211626</v>
      </c>
      <c r="E35" s="350">
        <f t="shared" si="5"/>
        <v>252883.26860409143</v>
      </c>
      <c r="F35" s="343">
        <f>$C$26</f>
        <v>99434.338036381465</v>
      </c>
      <c r="G35" s="353">
        <f>$E$26</f>
        <v>5902</v>
      </c>
      <c r="H35" s="343">
        <f>$F$26</f>
        <v>0</v>
      </c>
      <c r="I35" s="353">
        <f>$H$26</f>
        <v>3261</v>
      </c>
      <c r="J35" s="343">
        <f>$I$26</f>
        <v>801</v>
      </c>
      <c r="K35" s="353">
        <f>$J$26</f>
        <v>143384.93056770996</v>
      </c>
      <c r="L35" s="343">
        <f>$L$26</f>
        <v>100</v>
      </c>
      <c r="M35" s="353"/>
      <c r="N35" s="4">
        <f t="shared" si="6"/>
        <v>203</v>
      </c>
    </row>
    <row r="36" spans="1:15">
      <c r="A36" s="4">
        <f t="shared" si="7"/>
        <v>204</v>
      </c>
      <c r="B36" s="567" t="s">
        <v>858</v>
      </c>
      <c r="C36" s="347">
        <f t="shared" si="4"/>
        <v>23464509.268604092</v>
      </c>
      <c r="D36" s="342">
        <v>23211626</v>
      </c>
      <c r="E36" s="350">
        <f t="shared" si="5"/>
        <v>252883.26860409143</v>
      </c>
      <c r="F36" s="343">
        <f>$C$26</f>
        <v>99434.338036381465</v>
      </c>
      <c r="G36" s="353">
        <f>$E$26</f>
        <v>5902</v>
      </c>
      <c r="H36" s="343">
        <f>$F$26</f>
        <v>0</v>
      </c>
      <c r="I36" s="353">
        <f>$H$26</f>
        <v>3261</v>
      </c>
      <c r="J36" s="343">
        <f>$I$26</f>
        <v>801</v>
      </c>
      <c r="K36" s="353">
        <f>$J$26</f>
        <v>143384.93056770996</v>
      </c>
      <c r="L36" s="343">
        <f>$L$26</f>
        <v>100</v>
      </c>
      <c r="M36" s="353"/>
      <c r="N36" s="4">
        <f t="shared" si="6"/>
        <v>204</v>
      </c>
    </row>
    <row r="37" spans="1:15">
      <c r="A37" s="4">
        <f t="shared" si="7"/>
        <v>205</v>
      </c>
      <c r="B37" s="567" t="s">
        <v>859</v>
      </c>
      <c r="C37" s="347">
        <f t="shared" si="4"/>
        <v>23464509.268604092</v>
      </c>
      <c r="D37" s="342">
        <v>23211626</v>
      </c>
      <c r="E37" s="350">
        <f t="shared" si="5"/>
        <v>252883.26860409143</v>
      </c>
      <c r="F37" s="343">
        <f>$C$26</f>
        <v>99434.338036381465</v>
      </c>
      <c r="G37" s="353">
        <f>$E$26</f>
        <v>5902</v>
      </c>
      <c r="H37" s="343">
        <f>$F$26</f>
        <v>0</v>
      </c>
      <c r="I37" s="353">
        <f>$H$26</f>
        <v>3261</v>
      </c>
      <c r="J37" s="343">
        <f>$I$26</f>
        <v>801</v>
      </c>
      <c r="K37" s="554">
        <f>$J$26</f>
        <v>143384.93056770996</v>
      </c>
      <c r="L37" s="343">
        <f>$L$26</f>
        <v>100</v>
      </c>
      <c r="M37" s="353"/>
      <c r="N37" s="4">
        <f t="shared" si="6"/>
        <v>205</v>
      </c>
    </row>
    <row r="38" spans="1:15">
      <c r="A38" s="4">
        <f t="shared" si="7"/>
        <v>206</v>
      </c>
      <c r="B38" s="567" t="s">
        <v>860</v>
      </c>
      <c r="C38" s="347">
        <f t="shared" si="4"/>
        <v>41452307.5893602</v>
      </c>
      <c r="D38" s="342">
        <v>41333135</v>
      </c>
      <c r="E38" s="350">
        <f t="shared" si="5"/>
        <v>119172.5893601985</v>
      </c>
      <c r="F38" s="343">
        <f>$D$26</f>
        <v>63041.589360198501</v>
      </c>
      <c r="G38" s="353">
        <v>0</v>
      </c>
      <c r="H38" s="343">
        <f>$G$26</f>
        <v>0</v>
      </c>
      <c r="I38" s="353">
        <v>0</v>
      </c>
      <c r="J38" s="343">
        <v>0</v>
      </c>
      <c r="K38" s="353">
        <f>$K$26</f>
        <v>56131</v>
      </c>
      <c r="L38" s="343">
        <v>0</v>
      </c>
      <c r="M38" s="353"/>
      <c r="N38" s="4">
        <f t="shared" si="6"/>
        <v>206</v>
      </c>
    </row>
    <row r="39" spans="1:15">
      <c r="A39" s="4">
        <f t="shared" si="7"/>
        <v>207</v>
      </c>
      <c r="B39" s="567" t="s">
        <v>861</v>
      </c>
      <c r="C39" s="347">
        <f t="shared" si="4"/>
        <v>41452307.5893602</v>
      </c>
      <c r="D39" s="342">
        <v>41333135</v>
      </c>
      <c r="E39" s="350">
        <f t="shared" si="5"/>
        <v>119172.5893601985</v>
      </c>
      <c r="F39" s="343">
        <f>$D$26</f>
        <v>63041.589360198501</v>
      </c>
      <c r="G39" s="353">
        <v>0</v>
      </c>
      <c r="H39" s="343">
        <f>$G$26</f>
        <v>0</v>
      </c>
      <c r="I39" s="353">
        <v>0</v>
      </c>
      <c r="J39" s="343">
        <v>0</v>
      </c>
      <c r="K39" s="353">
        <f>$K$26</f>
        <v>56131</v>
      </c>
      <c r="L39" s="343">
        <v>0</v>
      </c>
      <c r="M39" s="353"/>
      <c r="N39" s="4">
        <f t="shared" si="6"/>
        <v>207</v>
      </c>
    </row>
    <row r="40" spans="1:15">
      <c r="A40" s="4">
        <f t="shared" si="7"/>
        <v>208</v>
      </c>
      <c r="B40" s="567" t="s">
        <v>862</v>
      </c>
      <c r="C40" s="347">
        <f t="shared" si="4"/>
        <v>41452307.5893602</v>
      </c>
      <c r="D40" s="342">
        <v>41333135</v>
      </c>
      <c r="E40" s="350">
        <f t="shared" si="5"/>
        <v>119172.5893601985</v>
      </c>
      <c r="F40" s="343">
        <f>$D$26</f>
        <v>63041.589360198501</v>
      </c>
      <c r="G40" s="353">
        <v>0</v>
      </c>
      <c r="H40" s="343">
        <f>$G$26</f>
        <v>0</v>
      </c>
      <c r="I40" s="353">
        <v>0</v>
      </c>
      <c r="J40" s="343">
        <v>0</v>
      </c>
      <c r="K40" s="353">
        <f>$K$26</f>
        <v>56131</v>
      </c>
      <c r="L40" s="343">
        <v>0</v>
      </c>
      <c r="M40" s="353"/>
      <c r="N40" s="4">
        <f t="shared" si="6"/>
        <v>208</v>
      </c>
    </row>
    <row r="41" spans="1:15">
      <c r="A41" s="4">
        <f t="shared" si="7"/>
        <v>209</v>
      </c>
      <c r="B41" s="568" t="s">
        <v>863</v>
      </c>
      <c r="C41" s="348">
        <f t="shared" si="4"/>
        <v>41452307.5893602</v>
      </c>
      <c r="D41" s="344">
        <v>41333135</v>
      </c>
      <c r="E41" s="351">
        <f t="shared" si="5"/>
        <v>119172.5893601985</v>
      </c>
      <c r="F41" s="345">
        <f>$D$26</f>
        <v>63041.589360198501</v>
      </c>
      <c r="G41" s="354">
        <v>0</v>
      </c>
      <c r="H41" s="345">
        <f>$G$26</f>
        <v>0</v>
      </c>
      <c r="I41" s="354">
        <v>0</v>
      </c>
      <c r="J41" s="345">
        <v>0</v>
      </c>
      <c r="K41" s="354">
        <f>$K$26</f>
        <v>56131</v>
      </c>
      <c r="L41" s="345">
        <v>0</v>
      </c>
      <c r="M41" s="354"/>
      <c r="N41" s="4">
        <f t="shared" si="6"/>
        <v>209</v>
      </c>
    </row>
    <row r="42" spans="1:15">
      <c r="O42" s="21"/>
    </row>
    <row r="43" spans="1:15">
      <c r="B43" s="569" t="s">
        <v>864</v>
      </c>
    </row>
    <row r="44" spans="1:15">
      <c r="B44" s="734" t="s">
        <v>865</v>
      </c>
      <c r="C44" s="734"/>
      <c r="D44" s="734"/>
      <c r="E44" s="734"/>
      <c r="F44" s="734"/>
      <c r="G44" s="734"/>
      <c r="H44" s="734"/>
      <c r="I44" s="734"/>
      <c r="J44" s="734"/>
      <c r="K44" s="734"/>
      <c r="L44" s="734"/>
      <c r="M44" s="734"/>
    </row>
    <row r="45" spans="1:15">
      <c r="B45" s="734"/>
      <c r="C45" s="734"/>
      <c r="D45" s="734"/>
      <c r="E45" s="734"/>
      <c r="F45" s="734"/>
      <c r="G45" s="734"/>
      <c r="H45" s="734"/>
      <c r="I45" s="734"/>
      <c r="J45" s="734"/>
      <c r="K45" s="734"/>
      <c r="L45" s="734"/>
      <c r="M45" s="734"/>
    </row>
    <row r="46" spans="1:15">
      <c r="B46" s="569" t="s">
        <v>866</v>
      </c>
    </row>
    <row r="47" spans="1:15">
      <c r="B47" s="330" t="s">
        <v>867</v>
      </c>
    </row>
    <row r="48" spans="1:15">
      <c r="B48" s="731"/>
      <c r="C48" s="731"/>
      <c r="D48" s="731"/>
      <c r="E48" s="731"/>
      <c r="F48" s="731"/>
      <c r="G48" s="731"/>
      <c r="H48" s="731"/>
      <c r="I48" s="731"/>
      <c r="J48" s="731"/>
      <c r="K48" s="731"/>
      <c r="L48" s="731"/>
      <c r="M48" s="731"/>
    </row>
    <row r="49" spans="2:13">
      <c r="B49" s="731"/>
      <c r="C49" s="731"/>
      <c r="D49" s="731"/>
      <c r="E49" s="731"/>
      <c r="F49" s="731"/>
      <c r="G49" s="731"/>
      <c r="H49" s="731"/>
      <c r="I49" s="731"/>
      <c r="J49" s="731"/>
      <c r="K49" s="731"/>
      <c r="L49" s="731"/>
      <c r="M49" s="731"/>
    </row>
  </sheetData>
  <mergeCells count="7">
    <mergeCell ref="B5:M6"/>
    <mergeCell ref="B7:M8"/>
    <mergeCell ref="B48:M49"/>
    <mergeCell ref="C10:D10"/>
    <mergeCell ref="F10:G10"/>
    <mergeCell ref="J10:K10"/>
    <mergeCell ref="B44:M45"/>
  </mergeCells>
  <phoneticPr fontId="104" type="noConversion"/>
  <printOptions horizontalCentered="1"/>
  <pageMargins left="1" right="1" top="1" bottom="1" header="0.5" footer="0.5"/>
  <pageSetup scale="53"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8B042-7DCF-4CE4-AB19-6AB19413777E}">
  <sheetPr codeName="Sheet15">
    <pageSetUpPr fitToPage="1"/>
  </sheetPr>
  <dimension ref="A1:O115"/>
  <sheetViews>
    <sheetView view="pageBreakPreview" topLeftCell="A90" zoomScale="85" zoomScaleNormal="100" zoomScaleSheetLayoutView="85" workbookViewId="0">
      <selection activeCell="D45" sqref="D45"/>
    </sheetView>
  </sheetViews>
  <sheetFormatPr defaultRowHeight="14.5"/>
  <cols>
    <col min="1" max="1" width="4.7265625" style="4" bestFit="1" customWidth="1"/>
    <col min="2" max="2" width="25" bestFit="1" customWidth="1"/>
    <col min="3" max="3" width="15.1796875" bestFit="1" customWidth="1"/>
    <col min="4" max="4" width="11.7265625" bestFit="1" customWidth="1"/>
    <col min="5" max="5" width="11.81640625" bestFit="1" customWidth="1"/>
    <col min="6" max="6" width="18.1796875" bestFit="1" customWidth="1"/>
    <col min="7" max="7" width="12.26953125" bestFit="1" customWidth="1"/>
    <col min="8" max="8" width="11.81640625" bestFit="1" customWidth="1"/>
    <col min="9" max="9" width="10.7265625" bestFit="1" customWidth="1"/>
    <col min="11" max="11" width="4.7265625" style="4" bestFit="1" customWidth="1"/>
    <col min="13" max="13" width="11.81640625" bestFit="1" customWidth="1"/>
  </cols>
  <sheetData>
    <row r="1" spans="1:15">
      <c r="B1" s="2" t="s">
        <v>31</v>
      </c>
      <c r="C1" s="2"/>
      <c r="D1" s="2"/>
      <c r="J1" s="6" t="str">
        <f>CONCATENATE("Prior Year: ",'1-DRR'!$K$2)</f>
        <v>Prior Year: 2022</v>
      </c>
    </row>
    <row r="2" spans="1:15">
      <c r="B2" s="35" t="s">
        <v>122</v>
      </c>
      <c r="C2" s="2"/>
      <c r="D2" s="2"/>
    </row>
    <row r="4" spans="1:15">
      <c r="B4" s="41" t="s">
        <v>868</v>
      </c>
      <c r="C4" s="41"/>
      <c r="D4" s="41"/>
      <c r="E4" s="41"/>
      <c r="F4" s="41"/>
      <c r="G4" s="41"/>
      <c r="H4" s="41"/>
      <c r="I4" s="41"/>
      <c r="J4" s="41"/>
    </row>
    <row r="5" spans="1:15">
      <c r="B5" s="5" t="s">
        <v>869</v>
      </c>
      <c r="C5" s="5"/>
      <c r="D5" s="5"/>
      <c r="E5" s="5"/>
      <c r="F5" s="5"/>
      <c r="G5" s="5"/>
      <c r="H5" s="5"/>
      <c r="I5" s="5"/>
      <c r="J5" s="5"/>
    </row>
    <row r="6" spans="1:15" ht="15" customHeight="1">
      <c r="A6"/>
      <c r="B6" s="730" t="s">
        <v>825</v>
      </c>
      <c r="C6" s="730"/>
      <c r="D6" s="730"/>
      <c r="E6" s="730"/>
      <c r="F6" s="730"/>
      <c r="G6" s="730"/>
      <c r="H6" s="730"/>
      <c r="I6" s="730"/>
      <c r="J6" s="730"/>
      <c r="K6" s="546"/>
      <c r="L6" s="546"/>
      <c r="M6" s="546"/>
      <c r="O6" s="21"/>
    </row>
    <row r="7" spans="1:15" ht="15" customHeight="1">
      <c r="A7"/>
      <c r="B7" s="730"/>
      <c r="C7" s="730"/>
      <c r="D7" s="730"/>
      <c r="E7" s="730"/>
      <c r="F7" s="730"/>
      <c r="G7" s="730"/>
      <c r="H7" s="730"/>
      <c r="I7" s="730"/>
      <c r="J7" s="730"/>
      <c r="K7" s="546"/>
      <c r="L7" s="546"/>
      <c r="M7" s="546"/>
      <c r="O7" s="21"/>
    </row>
    <row r="8" spans="1:15">
      <c r="A8"/>
      <c r="B8" s="730"/>
      <c r="C8" s="730"/>
      <c r="D8" s="730"/>
      <c r="E8" s="730"/>
      <c r="F8" s="730"/>
      <c r="G8" s="730"/>
      <c r="H8" s="730"/>
      <c r="I8" s="730"/>
      <c r="J8" s="730"/>
      <c r="K8" s="546"/>
      <c r="L8" s="546"/>
      <c r="M8" s="546"/>
      <c r="O8" s="21"/>
    </row>
    <row r="9" spans="1:15" ht="15" customHeight="1">
      <c r="A9"/>
      <c r="B9" s="730" t="s">
        <v>826</v>
      </c>
      <c r="C9" s="730"/>
      <c r="D9" s="730"/>
      <c r="E9" s="730"/>
      <c r="F9" s="730"/>
      <c r="G9" s="730"/>
      <c r="H9" s="730"/>
      <c r="I9" s="730"/>
      <c r="J9" s="730"/>
      <c r="K9" s="546"/>
      <c r="L9" s="546"/>
      <c r="M9" s="546"/>
      <c r="O9" s="21"/>
    </row>
    <row r="10" spans="1:15">
      <c r="A10"/>
      <c r="B10" s="730"/>
      <c r="C10" s="730"/>
      <c r="D10" s="730"/>
      <c r="E10" s="730"/>
      <c r="F10" s="730"/>
      <c r="G10" s="730"/>
      <c r="H10" s="730"/>
      <c r="I10" s="730"/>
      <c r="J10" s="730"/>
      <c r="K10" s="546"/>
      <c r="L10" s="546"/>
      <c r="M10" s="546"/>
      <c r="O10" s="21"/>
    </row>
    <row r="11" spans="1:15">
      <c r="B11" s="566"/>
      <c r="C11" s="566"/>
      <c r="D11" s="566"/>
      <c r="E11" s="566"/>
      <c r="F11" s="566"/>
      <c r="G11" s="566"/>
      <c r="H11" s="566"/>
      <c r="I11" s="566"/>
      <c r="J11" s="566"/>
    </row>
    <row r="12" spans="1:15">
      <c r="B12" s="105" t="s">
        <v>870</v>
      </c>
      <c r="C12" s="8"/>
      <c r="D12" s="8"/>
      <c r="E12" s="8"/>
      <c r="F12" s="8"/>
      <c r="G12" s="8"/>
      <c r="H12" s="8"/>
      <c r="I12" s="8"/>
      <c r="J12" s="8"/>
    </row>
    <row r="13" spans="1:15" ht="29">
      <c r="A13" s="3" t="s">
        <v>92</v>
      </c>
      <c r="B13" s="701" t="s">
        <v>440</v>
      </c>
      <c r="C13" s="639" t="s">
        <v>828</v>
      </c>
      <c r="D13" s="639" t="s">
        <v>354</v>
      </c>
      <c r="E13" s="639" t="s">
        <v>450</v>
      </c>
      <c r="F13" s="639" t="s">
        <v>356</v>
      </c>
      <c r="G13" s="639" t="s">
        <v>357</v>
      </c>
      <c r="H13" s="639" t="s">
        <v>358</v>
      </c>
      <c r="I13" s="639" t="s">
        <v>359</v>
      </c>
      <c r="J13" s="639" t="s">
        <v>119</v>
      </c>
      <c r="K13" s="3" t="s">
        <v>92</v>
      </c>
    </row>
    <row r="14" spans="1:15">
      <c r="A14" s="4">
        <v>100</v>
      </c>
      <c r="B14" s="241" t="s">
        <v>451</v>
      </c>
      <c r="C14" s="368">
        <v>6058</v>
      </c>
      <c r="D14" s="368">
        <v>76708.62</v>
      </c>
      <c r="E14" s="369">
        <v>0</v>
      </c>
      <c r="F14" s="370">
        <v>3008</v>
      </c>
      <c r="G14" s="371">
        <v>730</v>
      </c>
      <c r="H14" s="368">
        <v>69692</v>
      </c>
      <c r="I14" s="368">
        <v>100</v>
      </c>
      <c r="J14" s="368"/>
      <c r="K14" s="4">
        <f>A14</f>
        <v>100</v>
      </c>
      <c r="M14" s="128"/>
    </row>
    <row r="15" spans="1:15">
      <c r="A15" s="4">
        <f>A14+1</f>
        <v>101</v>
      </c>
      <c r="B15" s="239" t="s">
        <v>452</v>
      </c>
      <c r="C15" s="368">
        <v>5944</v>
      </c>
      <c r="D15" s="368">
        <v>71204.399999999994</v>
      </c>
      <c r="E15" s="368">
        <v>0</v>
      </c>
      <c r="F15" s="370">
        <v>2769</v>
      </c>
      <c r="G15" s="372">
        <v>730</v>
      </c>
      <c r="H15" s="368">
        <v>105584</v>
      </c>
      <c r="I15" s="368">
        <v>100</v>
      </c>
      <c r="J15" s="368"/>
      <c r="K15" s="4">
        <f t="shared" ref="K15:K25" si="0">A15</f>
        <v>101</v>
      </c>
      <c r="M15" s="128"/>
    </row>
    <row r="16" spans="1:15">
      <c r="A16" s="4">
        <f t="shared" ref="A16:A26" si="1">A15+1</f>
        <v>102</v>
      </c>
      <c r="B16" s="239" t="s">
        <v>453</v>
      </c>
      <c r="C16" s="368">
        <v>5821</v>
      </c>
      <c r="D16" s="368">
        <v>77113.960000000006</v>
      </c>
      <c r="E16" s="368">
        <v>0</v>
      </c>
      <c r="F16" s="370">
        <v>2889</v>
      </c>
      <c r="G16" s="372">
        <v>730</v>
      </c>
      <c r="H16" s="368">
        <v>114166</v>
      </c>
      <c r="I16" s="368">
        <v>100</v>
      </c>
      <c r="J16" s="368"/>
      <c r="K16" s="4">
        <f t="shared" si="0"/>
        <v>102</v>
      </c>
      <c r="M16" s="128"/>
    </row>
    <row r="17" spans="1:13">
      <c r="A17" s="4">
        <f t="shared" si="1"/>
        <v>103</v>
      </c>
      <c r="B17" s="239" t="s">
        <v>454</v>
      </c>
      <c r="C17" s="368">
        <v>8780</v>
      </c>
      <c r="D17" s="368">
        <v>80069.48</v>
      </c>
      <c r="E17" s="368">
        <v>0</v>
      </c>
      <c r="F17" s="370">
        <v>3011</v>
      </c>
      <c r="G17" s="372">
        <v>730</v>
      </c>
      <c r="H17" s="368">
        <v>132510</v>
      </c>
      <c r="I17" s="368">
        <v>100</v>
      </c>
      <c r="J17" s="368"/>
      <c r="K17" s="4">
        <f t="shared" si="0"/>
        <v>103</v>
      </c>
      <c r="M17" s="128"/>
    </row>
    <row r="18" spans="1:13">
      <c r="A18" s="4">
        <f t="shared" si="1"/>
        <v>104</v>
      </c>
      <c r="B18" s="239" t="s">
        <v>455</v>
      </c>
      <c r="C18" s="368">
        <v>8500</v>
      </c>
      <c r="D18" s="368">
        <v>75291.86</v>
      </c>
      <c r="E18" s="368">
        <v>0</v>
      </c>
      <c r="F18" s="370">
        <v>2869</v>
      </c>
      <c r="G18" s="372">
        <v>666</v>
      </c>
      <c r="H18" s="368">
        <v>139619</v>
      </c>
      <c r="I18" s="368">
        <v>52</v>
      </c>
      <c r="J18" s="368"/>
      <c r="K18" s="4">
        <f t="shared" si="0"/>
        <v>104</v>
      </c>
      <c r="M18" s="128"/>
    </row>
    <row r="19" spans="1:13">
      <c r="A19" s="4">
        <f t="shared" si="1"/>
        <v>105</v>
      </c>
      <c r="B19" s="239" t="s">
        <v>737</v>
      </c>
      <c r="C19" s="368">
        <v>6012</v>
      </c>
      <c r="D19" s="368">
        <v>80100.42</v>
      </c>
      <c r="E19" s="368">
        <v>0</v>
      </c>
      <c r="F19" s="370">
        <v>3024</v>
      </c>
      <c r="G19" s="372">
        <v>641</v>
      </c>
      <c r="H19" s="368">
        <v>146460</v>
      </c>
      <c r="I19" s="368">
        <v>56</v>
      </c>
      <c r="J19" s="368"/>
      <c r="K19" s="4">
        <f t="shared" si="0"/>
        <v>105</v>
      </c>
      <c r="M19" s="128"/>
    </row>
    <row r="20" spans="1:13">
      <c r="A20" s="4">
        <f t="shared" si="1"/>
        <v>106</v>
      </c>
      <c r="B20" s="239" t="s">
        <v>457</v>
      </c>
      <c r="C20" s="368">
        <v>6595</v>
      </c>
      <c r="D20" s="368">
        <v>75731.399999999994</v>
      </c>
      <c r="E20" s="368">
        <v>0</v>
      </c>
      <c r="F20" s="370">
        <v>3457</v>
      </c>
      <c r="G20" s="372">
        <v>682</v>
      </c>
      <c r="H20" s="368">
        <v>136877</v>
      </c>
      <c r="I20" s="368">
        <v>58</v>
      </c>
      <c r="J20" s="368"/>
      <c r="K20" s="4">
        <f t="shared" si="0"/>
        <v>106</v>
      </c>
      <c r="M20" s="128"/>
    </row>
    <row r="21" spans="1:13">
      <c r="A21" s="4">
        <f t="shared" si="1"/>
        <v>107</v>
      </c>
      <c r="B21" s="239" t="s">
        <v>458</v>
      </c>
      <c r="C21" s="368">
        <v>5859</v>
      </c>
      <c r="D21" s="368">
        <v>80922.36</v>
      </c>
      <c r="E21" s="368">
        <v>0</v>
      </c>
      <c r="F21" s="370">
        <v>3522</v>
      </c>
      <c r="G21" s="372">
        <v>604</v>
      </c>
      <c r="H21" s="368">
        <v>126954</v>
      </c>
      <c r="I21" s="368">
        <v>56</v>
      </c>
      <c r="J21" s="368"/>
      <c r="K21" s="4">
        <f t="shared" si="0"/>
        <v>107</v>
      </c>
      <c r="M21" s="128"/>
    </row>
    <row r="22" spans="1:13">
      <c r="A22" s="4">
        <f t="shared" si="1"/>
        <v>108</v>
      </c>
      <c r="B22" s="239" t="s">
        <v>459</v>
      </c>
      <c r="C22" s="368">
        <v>6177</v>
      </c>
      <c r="D22" s="368">
        <v>89139.74</v>
      </c>
      <c r="E22" s="368">
        <v>0</v>
      </c>
      <c r="F22" s="370">
        <v>3583</v>
      </c>
      <c r="G22" s="372">
        <v>638</v>
      </c>
      <c r="H22" s="368">
        <v>118357</v>
      </c>
      <c r="I22" s="368">
        <v>57</v>
      </c>
      <c r="J22" s="368"/>
      <c r="K22" s="4">
        <f t="shared" si="0"/>
        <v>108</v>
      </c>
      <c r="M22" s="128"/>
    </row>
    <row r="23" spans="1:13">
      <c r="A23" s="4">
        <f t="shared" si="1"/>
        <v>109</v>
      </c>
      <c r="B23" s="239" t="s">
        <v>460</v>
      </c>
      <c r="C23" s="368">
        <v>5770</v>
      </c>
      <c r="D23" s="368">
        <v>85056.3</v>
      </c>
      <c r="E23" s="368">
        <v>0</v>
      </c>
      <c r="F23" s="370">
        <v>3310</v>
      </c>
      <c r="G23" s="372">
        <v>612</v>
      </c>
      <c r="H23" s="368">
        <v>116563</v>
      </c>
      <c r="I23" s="368">
        <v>57</v>
      </c>
      <c r="J23" s="368"/>
      <c r="K23" s="4">
        <f t="shared" si="0"/>
        <v>109</v>
      </c>
      <c r="M23" s="128"/>
    </row>
    <row r="24" spans="1:13">
      <c r="A24" s="4">
        <f t="shared" si="1"/>
        <v>110</v>
      </c>
      <c r="B24" s="239" t="s">
        <v>461</v>
      </c>
      <c r="C24" s="368">
        <v>6006</v>
      </c>
      <c r="D24" s="368">
        <v>84356.08</v>
      </c>
      <c r="E24" s="368">
        <v>0</v>
      </c>
      <c r="F24" s="370">
        <v>2660</v>
      </c>
      <c r="G24" s="372">
        <v>677</v>
      </c>
      <c r="H24" s="368">
        <v>90992</v>
      </c>
      <c r="I24" s="368">
        <v>69</v>
      </c>
      <c r="J24" s="368"/>
      <c r="K24" s="4">
        <f t="shared" si="0"/>
        <v>110</v>
      </c>
      <c r="M24" s="128"/>
    </row>
    <row r="25" spans="1:13">
      <c r="A25" s="4">
        <f t="shared" si="1"/>
        <v>111</v>
      </c>
      <c r="B25" s="239" t="s">
        <v>449</v>
      </c>
      <c r="C25" s="373">
        <v>5983</v>
      </c>
      <c r="D25" s="373">
        <v>83526.559999999998</v>
      </c>
      <c r="E25" s="373">
        <v>0</v>
      </c>
      <c r="F25" s="370">
        <v>2378</v>
      </c>
      <c r="G25" s="374">
        <v>801</v>
      </c>
      <c r="H25" s="373">
        <v>60663</v>
      </c>
      <c r="I25" s="373">
        <v>78</v>
      </c>
      <c r="J25" s="373"/>
      <c r="K25" s="4">
        <f t="shared" si="0"/>
        <v>111</v>
      </c>
      <c r="M25" s="128"/>
    </row>
    <row r="26" spans="1:13">
      <c r="A26" s="4">
        <f t="shared" si="1"/>
        <v>112</v>
      </c>
      <c r="B26" s="705" t="s">
        <v>736</v>
      </c>
      <c r="C26" s="706">
        <f>SUM(C14:C25)</f>
        <v>77505</v>
      </c>
      <c r="D26" s="706">
        <f>SUM(D14:D25)</f>
        <v>959221.17999999993</v>
      </c>
      <c r="E26" s="706">
        <f t="shared" ref="E26:J26" si="2">SUM(E14:E25)</f>
        <v>0</v>
      </c>
      <c r="F26" s="706">
        <f t="shared" si="2"/>
        <v>36480</v>
      </c>
      <c r="G26" s="706">
        <f t="shared" si="2"/>
        <v>8241</v>
      </c>
      <c r="H26" s="706">
        <f t="shared" si="2"/>
        <v>1358437</v>
      </c>
      <c r="I26" s="706">
        <f t="shared" si="2"/>
        <v>883</v>
      </c>
      <c r="J26" s="706">
        <f t="shared" si="2"/>
        <v>0</v>
      </c>
      <c r="K26" s="4">
        <f>A26</f>
        <v>112</v>
      </c>
      <c r="M26" s="128"/>
    </row>
    <row r="27" spans="1:13">
      <c r="B27" s="6"/>
      <c r="C27" s="480"/>
      <c r="D27" s="480"/>
      <c r="E27" s="480"/>
      <c r="F27" s="480"/>
      <c r="G27" s="480"/>
      <c r="H27" s="480"/>
      <c r="I27" s="480"/>
      <c r="J27" s="480"/>
      <c r="M27" s="128"/>
    </row>
    <row r="28" spans="1:13" s="541" customFormat="1">
      <c r="A28" s="540"/>
      <c r="B28" s="570" t="s">
        <v>871</v>
      </c>
      <c r="K28" s="540"/>
      <c r="M28" s="128"/>
    </row>
    <row r="29" spans="1:13" s="541" customFormat="1" ht="29">
      <c r="A29" s="571" t="s">
        <v>92</v>
      </c>
      <c r="B29" s="572" t="s">
        <v>440</v>
      </c>
      <c r="C29" s="572" t="str">
        <f>C13</f>
        <v>Port Of Oakland
(SA No. 3)</v>
      </c>
      <c r="D29" s="572" t="str">
        <f t="shared" ref="D29:J29" si="3">D13</f>
        <v>CCSF
(SA No. 275)</v>
      </c>
      <c r="E29" s="572" t="str">
        <f t="shared" si="3"/>
        <v>N/A</v>
      </c>
      <c r="F29" s="572" t="str">
        <f t="shared" si="3"/>
        <v>PWRPA 2
(SA No. 56)</v>
      </c>
      <c r="G29" s="572" t="str">
        <f t="shared" si="3"/>
        <v>Shelter Cove
(SA No. 382)</v>
      </c>
      <c r="H29" s="572" t="str">
        <f t="shared" si="3"/>
        <v>WAPA
(SA No. 17)</v>
      </c>
      <c r="I29" s="572" t="str">
        <f t="shared" si="3"/>
        <v>Westside
(SA No. 15)</v>
      </c>
      <c r="J29" s="572" t="str">
        <f t="shared" si="3"/>
        <v>…</v>
      </c>
      <c r="K29" s="571" t="s">
        <v>92</v>
      </c>
      <c r="M29" s="128"/>
    </row>
    <row r="30" spans="1:13" s="541" customFormat="1">
      <c r="A30" s="573">
        <f>A26+1</f>
        <v>113</v>
      </c>
      <c r="B30" s="574" t="s">
        <v>451</v>
      </c>
      <c r="C30" s="575">
        <v>5553</v>
      </c>
      <c r="D30" s="575">
        <v>52589.119999999995</v>
      </c>
      <c r="E30" s="576">
        <v>0</v>
      </c>
      <c r="F30" s="577">
        <v>1985</v>
      </c>
      <c r="G30" s="578">
        <v>730</v>
      </c>
      <c r="H30" s="575">
        <v>36594.5</v>
      </c>
      <c r="I30" s="575">
        <v>100</v>
      </c>
      <c r="J30" s="575"/>
      <c r="K30" s="573">
        <f>A30</f>
        <v>113</v>
      </c>
      <c r="M30" s="128"/>
    </row>
    <row r="31" spans="1:13" s="541" customFormat="1">
      <c r="A31" s="573">
        <f>A30+1</f>
        <v>114</v>
      </c>
      <c r="B31" s="579" t="s">
        <v>452</v>
      </c>
      <c r="C31" s="575">
        <v>5506</v>
      </c>
      <c r="D31" s="575">
        <v>52956.740000000005</v>
      </c>
      <c r="E31" s="575">
        <v>0</v>
      </c>
      <c r="F31" s="577">
        <v>2217</v>
      </c>
      <c r="G31" s="580">
        <v>730</v>
      </c>
      <c r="H31" s="575">
        <v>54419.5</v>
      </c>
      <c r="I31" s="575">
        <v>100</v>
      </c>
      <c r="J31" s="575"/>
      <c r="K31" s="573">
        <f t="shared" ref="K31:K41" si="4">A31</f>
        <v>114</v>
      </c>
      <c r="M31" s="128"/>
    </row>
    <row r="32" spans="1:13" s="541" customFormat="1">
      <c r="A32" s="573">
        <f t="shared" ref="A32:A42" si="5">A31+1</f>
        <v>115</v>
      </c>
      <c r="B32" s="579" t="s">
        <v>453</v>
      </c>
      <c r="C32" s="575">
        <v>5303</v>
      </c>
      <c r="D32" s="575">
        <v>53193.560000000005</v>
      </c>
      <c r="E32" s="575">
        <v>0</v>
      </c>
      <c r="F32" s="577">
        <v>2551</v>
      </c>
      <c r="G32" s="580">
        <v>730</v>
      </c>
      <c r="H32" s="575">
        <v>72073.5</v>
      </c>
      <c r="I32" s="575">
        <v>100</v>
      </c>
      <c r="J32" s="575"/>
      <c r="K32" s="573">
        <f t="shared" si="4"/>
        <v>115</v>
      </c>
      <c r="M32" s="128"/>
    </row>
    <row r="33" spans="1:13" s="541" customFormat="1">
      <c r="A33" s="573">
        <f t="shared" si="5"/>
        <v>116</v>
      </c>
      <c r="B33" s="579" t="s">
        <v>454</v>
      </c>
      <c r="C33" s="575">
        <v>5219</v>
      </c>
      <c r="D33" s="575">
        <v>57085.5</v>
      </c>
      <c r="E33" s="575">
        <v>0</v>
      </c>
      <c r="F33" s="577">
        <v>2723</v>
      </c>
      <c r="G33" s="580">
        <v>730</v>
      </c>
      <c r="H33" s="575">
        <v>86666.5</v>
      </c>
      <c r="I33" s="575">
        <v>100</v>
      </c>
      <c r="J33" s="575"/>
      <c r="K33" s="573">
        <f t="shared" si="4"/>
        <v>116</v>
      </c>
      <c r="M33" s="128"/>
    </row>
    <row r="34" spans="1:13" s="541" customFormat="1">
      <c r="A34" s="573">
        <f t="shared" si="5"/>
        <v>117</v>
      </c>
      <c r="B34" s="579" t="s">
        <v>455</v>
      </c>
      <c r="C34" s="575">
        <v>5197</v>
      </c>
      <c r="D34" s="575">
        <v>53296.52</v>
      </c>
      <c r="E34" s="575">
        <v>0</v>
      </c>
      <c r="F34" s="577">
        <v>2651</v>
      </c>
      <c r="G34" s="580">
        <v>666</v>
      </c>
      <c r="H34" s="575">
        <v>103166</v>
      </c>
      <c r="I34" s="575">
        <v>52</v>
      </c>
      <c r="J34" s="575"/>
      <c r="K34" s="573">
        <f t="shared" si="4"/>
        <v>117</v>
      </c>
      <c r="M34" s="128"/>
    </row>
    <row r="35" spans="1:13" s="541" customFormat="1">
      <c r="A35" s="573">
        <f t="shared" si="5"/>
        <v>118</v>
      </c>
      <c r="B35" s="579" t="s">
        <v>737</v>
      </c>
      <c r="C35" s="575">
        <v>5588</v>
      </c>
      <c r="D35" s="575">
        <v>55264.26</v>
      </c>
      <c r="E35" s="575">
        <v>0</v>
      </c>
      <c r="F35" s="577">
        <v>2833</v>
      </c>
      <c r="G35" s="580">
        <v>641</v>
      </c>
      <c r="H35" s="575">
        <v>96736</v>
      </c>
      <c r="I35" s="575">
        <v>56</v>
      </c>
      <c r="J35" s="575"/>
      <c r="K35" s="573">
        <f t="shared" si="4"/>
        <v>118</v>
      </c>
      <c r="M35" s="128"/>
    </row>
    <row r="36" spans="1:13" s="541" customFormat="1">
      <c r="A36" s="573">
        <f t="shared" si="5"/>
        <v>119</v>
      </c>
      <c r="B36" s="579" t="s">
        <v>457</v>
      </c>
      <c r="C36" s="575">
        <v>5186</v>
      </c>
      <c r="D36" s="575">
        <v>53987.119999999995</v>
      </c>
      <c r="E36" s="575">
        <v>0</v>
      </c>
      <c r="F36" s="577">
        <v>3079</v>
      </c>
      <c r="G36" s="580">
        <v>682</v>
      </c>
      <c r="H36" s="575">
        <v>91322.5</v>
      </c>
      <c r="I36" s="575">
        <v>58</v>
      </c>
      <c r="J36" s="575"/>
      <c r="K36" s="573">
        <f t="shared" si="4"/>
        <v>119</v>
      </c>
      <c r="M36" s="128"/>
    </row>
    <row r="37" spans="1:13" s="541" customFormat="1">
      <c r="A37" s="573">
        <f t="shared" si="5"/>
        <v>120</v>
      </c>
      <c r="B37" s="579" t="s">
        <v>458</v>
      </c>
      <c r="C37" s="575">
        <v>5402</v>
      </c>
      <c r="D37" s="575">
        <v>55711.38</v>
      </c>
      <c r="E37" s="575">
        <v>0</v>
      </c>
      <c r="F37" s="577">
        <v>3179</v>
      </c>
      <c r="G37" s="580">
        <v>604</v>
      </c>
      <c r="H37" s="575">
        <v>78925</v>
      </c>
      <c r="I37" s="575">
        <v>56</v>
      </c>
      <c r="J37" s="575"/>
      <c r="K37" s="573">
        <f t="shared" si="4"/>
        <v>120</v>
      </c>
      <c r="M37" s="128"/>
    </row>
    <row r="38" spans="1:13" s="541" customFormat="1">
      <c r="A38" s="573">
        <f t="shared" si="5"/>
        <v>121</v>
      </c>
      <c r="B38" s="579" t="s">
        <v>459</v>
      </c>
      <c r="C38" s="575">
        <v>5902</v>
      </c>
      <c r="D38" s="575">
        <v>57143.740000000005</v>
      </c>
      <c r="E38" s="575">
        <v>0</v>
      </c>
      <c r="F38" s="577">
        <v>3261</v>
      </c>
      <c r="G38" s="580">
        <v>638</v>
      </c>
      <c r="H38" s="575">
        <v>74814</v>
      </c>
      <c r="I38" s="575">
        <v>57</v>
      </c>
      <c r="J38" s="575"/>
      <c r="K38" s="573">
        <f t="shared" si="4"/>
        <v>121</v>
      </c>
      <c r="M38" s="128"/>
    </row>
    <row r="39" spans="1:13" s="541" customFormat="1">
      <c r="A39" s="573">
        <f t="shared" si="5"/>
        <v>122</v>
      </c>
      <c r="B39" s="579" t="s">
        <v>460</v>
      </c>
      <c r="C39" s="575">
        <v>5749</v>
      </c>
      <c r="D39" s="575">
        <v>59601.74</v>
      </c>
      <c r="E39" s="575">
        <v>0</v>
      </c>
      <c r="F39" s="577">
        <v>3024</v>
      </c>
      <c r="G39" s="580">
        <v>612</v>
      </c>
      <c r="H39" s="575">
        <v>72780</v>
      </c>
      <c r="I39" s="575">
        <v>57</v>
      </c>
      <c r="J39" s="575"/>
      <c r="K39" s="573">
        <f t="shared" si="4"/>
        <v>122</v>
      </c>
      <c r="M39" s="128"/>
    </row>
    <row r="40" spans="1:13" s="541" customFormat="1">
      <c r="A40" s="573">
        <f t="shared" si="5"/>
        <v>123</v>
      </c>
      <c r="B40" s="579" t="s">
        <v>461</v>
      </c>
      <c r="C40" s="575">
        <v>5474</v>
      </c>
      <c r="D40" s="575">
        <v>56335.56</v>
      </c>
      <c r="E40" s="575">
        <v>0</v>
      </c>
      <c r="F40" s="577">
        <v>2483</v>
      </c>
      <c r="G40" s="580">
        <v>677</v>
      </c>
      <c r="H40" s="575">
        <v>53214</v>
      </c>
      <c r="I40" s="575">
        <v>69</v>
      </c>
      <c r="J40" s="575"/>
      <c r="K40" s="573">
        <f t="shared" si="4"/>
        <v>123</v>
      </c>
      <c r="M40" s="128"/>
    </row>
    <row r="41" spans="1:13" s="541" customFormat="1">
      <c r="A41" s="573">
        <f t="shared" si="5"/>
        <v>124</v>
      </c>
      <c r="B41" s="579" t="s">
        <v>449</v>
      </c>
      <c r="C41" s="581">
        <v>5574</v>
      </c>
      <c r="D41" s="581">
        <v>58247.020000000004</v>
      </c>
      <c r="E41" s="581">
        <v>0</v>
      </c>
      <c r="F41" s="577">
        <v>2128</v>
      </c>
      <c r="G41" s="582">
        <v>801</v>
      </c>
      <c r="H41" s="581">
        <v>28160</v>
      </c>
      <c r="I41" s="581">
        <v>78</v>
      </c>
      <c r="J41" s="581"/>
      <c r="K41" s="573">
        <f t="shared" si="4"/>
        <v>124</v>
      </c>
      <c r="M41" s="128"/>
    </row>
    <row r="42" spans="1:13" s="541" customFormat="1">
      <c r="A42" s="573">
        <f t="shared" si="5"/>
        <v>125</v>
      </c>
      <c r="B42" s="583" t="s">
        <v>736</v>
      </c>
      <c r="C42" s="584">
        <f>SUM(C30:C41)</f>
        <v>65653</v>
      </c>
      <c r="D42" s="584">
        <f>SUM(D30:D41)</f>
        <v>665412.26</v>
      </c>
      <c r="E42" s="584">
        <f t="shared" ref="E42:J42" si="6">SUM(E30:E41)</f>
        <v>0</v>
      </c>
      <c r="F42" s="584">
        <f t="shared" si="6"/>
        <v>32114</v>
      </c>
      <c r="G42" s="584">
        <f t="shared" si="6"/>
        <v>8241</v>
      </c>
      <c r="H42" s="584">
        <f t="shared" si="6"/>
        <v>848871.5</v>
      </c>
      <c r="I42" s="584">
        <f t="shared" si="6"/>
        <v>883</v>
      </c>
      <c r="J42" s="584">
        <f t="shared" si="6"/>
        <v>0</v>
      </c>
      <c r="K42" s="573">
        <f>A42</f>
        <v>125</v>
      </c>
      <c r="M42" s="128"/>
    </row>
    <row r="43" spans="1:13" s="520" customFormat="1">
      <c r="A43" s="519"/>
      <c r="B43" s="521"/>
      <c r="C43" s="522"/>
      <c r="D43" s="522"/>
      <c r="E43" s="522"/>
      <c r="F43" s="522"/>
      <c r="G43" s="522"/>
      <c r="H43" s="522"/>
      <c r="I43" s="522"/>
      <c r="J43" s="522"/>
      <c r="K43" s="519"/>
    </row>
    <row r="44" spans="1:13">
      <c r="B44" s="41" t="s">
        <v>872</v>
      </c>
      <c r="C44" s="41"/>
      <c r="D44" s="41"/>
      <c r="E44" s="41"/>
      <c r="F44" s="41"/>
      <c r="G44" s="41"/>
      <c r="H44" s="41"/>
      <c r="I44" s="41"/>
      <c r="J44" s="41"/>
    </row>
    <row r="45" spans="1:13">
      <c r="B45" s="5" t="s">
        <v>869</v>
      </c>
    </row>
    <row r="46" spans="1:13">
      <c r="B46" s="5"/>
    </row>
    <row r="47" spans="1:13" ht="29">
      <c r="A47" s="3" t="s">
        <v>92</v>
      </c>
      <c r="B47" s="434" t="s">
        <v>440</v>
      </c>
      <c r="C47" s="701" t="str">
        <f>C13</f>
        <v>Port Of Oakland
(SA No. 3)</v>
      </c>
      <c r="D47" s="701" t="str">
        <f t="shared" ref="D47:J47" si="7">D13</f>
        <v>CCSF
(SA No. 275)</v>
      </c>
      <c r="E47" s="701" t="str">
        <f t="shared" si="7"/>
        <v>N/A</v>
      </c>
      <c r="F47" s="701" t="str">
        <f t="shared" si="7"/>
        <v>PWRPA 2
(SA No. 56)</v>
      </c>
      <c r="G47" s="701" t="str">
        <f t="shared" si="7"/>
        <v>Shelter Cove
(SA No. 382)</v>
      </c>
      <c r="H47" s="701" t="str">
        <f t="shared" si="7"/>
        <v>WAPA
(SA No. 17)</v>
      </c>
      <c r="I47" s="701" t="str">
        <f t="shared" si="7"/>
        <v>Westside
(SA No. 15)</v>
      </c>
      <c r="J47" s="701" t="str">
        <f t="shared" si="7"/>
        <v>…</v>
      </c>
      <c r="K47" s="3" t="s">
        <v>92</v>
      </c>
    </row>
    <row r="48" spans="1:13">
      <c r="A48" s="4">
        <v>200</v>
      </c>
      <c r="B48" s="241" t="s">
        <v>451</v>
      </c>
      <c r="C48" s="680">
        <v>34291.25</v>
      </c>
      <c r="D48" s="680">
        <v>1120761.1200000001</v>
      </c>
      <c r="E48" s="680">
        <v>0</v>
      </c>
      <c r="F48" s="680">
        <v>63821.25</v>
      </c>
      <c r="G48" s="680">
        <v>14167.11</v>
      </c>
      <c r="H48" s="680">
        <v>1978263.98</v>
      </c>
      <c r="I48" s="680">
        <v>1342</v>
      </c>
      <c r="J48" s="680"/>
      <c r="K48" s="4">
        <f t="shared" ref="K48:K60" si="8">A48</f>
        <v>200</v>
      </c>
    </row>
    <row r="49" spans="1:13">
      <c r="A49" s="4">
        <f>A48+1</f>
        <v>201</v>
      </c>
      <c r="B49" s="239" t="s">
        <v>452</v>
      </c>
      <c r="C49" s="680">
        <v>34291.25</v>
      </c>
      <c r="D49" s="680">
        <v>1120761.1200000001</v>
      </c>
      <c r="E49" s="680">
        <v>0</v>
      </c>
      <c r="F49" s="680">
        <v>63821.25</v>
      </c>
      <c r="G49" s="680">
        <v>14167.11</v>
      </c>
      <c r="H49" s="680">
        <v>1978263.98</v>
      </c>
      <c r="I49" s="680">
        <v>1342</v>
      </c>
      <c r="J49" s="680"/>
      <c r="K49" s="4">
        <f t="shared" si="8"/>
        <v>201</v>
      </c>
    </row>
    <row r="50" spans="1:13">
      <c r="A50" s="4">
        <f t="shared" ref="A50:A59" si="9">A49+1</f>
        <v>202</v>
      </c>
      <c r="B50" s="239" t="s">
        <v>453</v>
      </c>
      <c r="C50" s="680">
        <v>34291.25</v>
      </c>
      <c r="D50" s="680">
        <v>1120761.1200000001</v>
      </c>
      <c r="E50" s="680">
        <v>0</v>
      </c>
      <c r="F50" s="680">
        <v>63821.25</v>
      </c>
      <c r="G50" s="680">
        <v>14167.11</v>
      </c>
      <c r="H50" s="680">
        <v>1978263.98</v>
      </c>
      <c r="I50" s="680">
        <v>1342</v>
      </c>
      <c r="J50" s="680"/>
      <c r="K50" s="4">
        <f t="shared" si="8"/>
        <v>202</v>
      </c>
    </row>
    <row r="51" spans="1:13">
      <c r="A51" s="4">
        <f t="shared" si="9"/>
        <v>203</v>
      </c>
      <c r="B51" s="239" t="s">
        <v>454</v>
      </c>
      <c r="C51" s="680">
        <v>34291.25</v>
      </c>
      <c r="D51" s="680">
        <v>1120761.1200000001</v>
      </c>
      <c r="E51" s="680">
        <v>0</v>
      </c>
      <c r="F51" s="680">
        <v>63821.25</v>
      </c>
      <c r="G51" s="680">
        <v>14167.11</v>
      </c>
      <c r="H51" s="680">
        <v>1978263.98</v>
      </c>
      <c r="I51" s="680">
        <v>1342</v>
      </c>
      <c r="J51" s="680"/>
      <c r="K51" s="4">
        <f t="shared" si="8"/>
        <v>203</v>
      </c>
    </row>
    <row r="52" spans="1:13">
      <c r="A52" s="4">
        <f t="shared" si="9"/>
        <v>204</v>
      </c>
      <c r="B52" s="239" t="s">
        <v>455</v>
      </c>
      <c r="C52" s="680">
        <v>34291.25</v>
      </c>
      <c r="D52" s="680">
        <v>909569.06</v>
      </c>
      <c r="E52" s="680">
        <v>0</v>
      </c>
      <c r="F52" s="680">
        <v>41465.656999999999</v>
      </c>
      <c r="G52" s="680">
        <v>10483.505999999999</v>
      </c>
      <c r="H52" s="680">
        <v>1693450.5</v>
      </c>
      <c r="I52" s="680">
        <v>960.85600000000011</v>
      </c>
      <c r="J52" s="680"/>
      <c r="K52" s="4">
        <f t="shared" si="8"/>
        <v>204</v>
      </c>
    </row>
    <row r="53" spans="1:13">
      <c r="A53" s="4">
        <f t="shared" si="9"/>
        <v>205</v>
      </c>
      <c r="B53" s="239" t="s">
        <v>737</v>
      </c>
      <c r="C53" s="680">
        <v>34291.25</v>
      </c>
      <c r="D53" s="680">
        <v>806275.91</v>
      </c>
      <c r="E53" s="680">
        <v>0</v>
      </c>
      <c r="F53" s="680">
        <v>43705.871999999996</v>
      </c>
      <c r="G53" s="680">
        <v>10089.981</v>
      </c>
      <c r="H53" s="680">
        <v>1689800.81</v>
      </c>
      <c r="I53" s="680">
        <v>1034.768</v>
      </c>
      <c r="J53" s="680"/>
      <c r="K53" s="4">
        <f t="shared" si="8"/>
        <v>205</v>
      </c>
    </row>
    <row r="54" spans="1:13">
      <c r="A54" s="4">
        <f t="shared" si="9"/>
        <v>206</v>
      </c>
      <c r="B54" s="239" t="s">
        <v>457</v>
      </c>
      <c r="C54" s="680">
        <v>34291.25</v>
      </c>
      <c r="D54" s="680">
        <v>747386.54</v>
      </c>
      <c r="E54" s="680">
        <v>0</v>
      </c>
      <c r="F54" s="680">
        <v>50050.739000000001</v>
      </c>
      <c r="G54" s="680">
        <v>10735.361999999999</v>
      </c>
      <c r="H54" s="680">
        <v>1499418.85</v>
      </c>
      <c r="I54" s="680">
        <v>1071.7240000000002</v>
      </c>
      <c r="J54" s="680"/>
      <c r="K54" s="4">
        <f t="shared" si="8"/>
        <v>206</v>
      </c>
    </row>
    <row r="55" spans="1:13">
      <c r="A55" s="4">
        <f t="shared" si="9"/>
        <v>207</v>
      </c>
      <c r="B55" s="239" t="s">
        <v>458</v>
      </c>
      <c r="C55" s="680">
        <v>34291.25</v>
      </c>
      <c r="D55" s="680">
        <v>664090.99</v>
      </c>
      <c r="E55" s="680">
        <v>0</v>
      </c>
      <c r="F55" s="680">
        <v>50990.184000000001</v>
      </c>
      <c r="G55" s="680">
        <v>9507.5640000000003</v>
      </c>
      <c r="H55" s="680">
        <v>1470060.92</v>
      </c>
      <c r="I55" s="680">
        <v>1034.768</v>
      </c>
      <c r="J55" s="680"/>
      <c r="K55" s="4">
        <f t="shared" si="8"/>
        <v>207</v>
      </c>
    </row>
    <row r="56" spans="1:13">
      <c r="A56" s="4">
        <f t="shared" si="9"/>
        <v>208</v>
      </c>
      <c r="B56" s="239" t="s">
        <v>459</v>
      </c>
      <c r="C56" s="680">
        <v>34291.25</v>
      </c>
      <c r="D56" s="680">
        <v>1071615.18</v>
      </c>
      <c r="E56" s="680">
        <v>0</v>
      </c>
      <c r="F56" s="680">
        <v>51871.816999999995</v>
      </c>
      <c r="G56" s="680">
        <v>10042.758</v>
      </c>
      <c r="H56" s="680">
        <v>1442394.3800000001</v>
      </c>
      <c r="I56" s="680">
        <v>1053.2460000000001</v>
      </c>
      <c r="J56" s="680"/>
      <c r="K56" s="4">
        <f t="shared" si="8"/>
        <v>208</v>
      </c>
    </row>
    <row r="57" spans="1:13">
      <c r="A57" s="4">
        <f t="shared" si="9"/>
        <v>209</v>
      </c>
      <c r="B57" s="239" t="s">
        <v>460</v>
      </c>
      <c r="C57" s="680">
        <v>34291.25</v>
      </c>
      <c r="D57" s="680">
        <v>1012553.69</v>
      </c>
      <c r="E57" s="680">
        <v>0</v>
      </c>
      <c r="F57" s="680">
        <v>47926.148000000001</v>
      </c>
      <c r="G57" s="680">
        <v>9633.4920000000002</v>
      </c>
      <c r="H57" s="680">
        <v>1467906.72</v>
      </c>
      <c r="I57" s="680">
        <v>1053.2460000000001</v>
      </c>
      <c r="J57" s="680"/>
      <c r="K57" s="4">
        <f t="shared" si="8"/>
        <v>209</v>
      </c>
    </row>
    <row r="58" spans="1:13">
      <c r="A58" s="4">
        <f t="shared" si="9"/>
        <v>210</v>
      </c>
      <c r="B58" s="239" t="s">
        <v>461</v>
      </c>
      <c r="C58" s="680">
        <v>34291.25</v>
      </c>
      <c r="D58" s="680">
        <v>1014073.50032</v>
      </c>
      <c r="E58" s="680">
        <v>0</v>
      </c>
      <c r="F58" s="680">
        <v>38531.697999999997</v>
      </c>
      <c r="G58" s="680">
        <v>10656.656999999999</v>
      </c>
      <c r="H58" s="680">
        <v>1116280.83</v>
      </c>
      <c r="I58" s="680">
        <v>1274.9820000000002</v>
      </c>
      <c r="J58" s="680"/>
      <c r="K58" s="4">
        <f t="shared" si="8"/>
        <v>210</v>
      </c>
    </row>
    <row r="59" spans="1:13">
      <c r="A59" s="4">
        <f t="shared" si="9"/>
        <v>211</v>
      </c>
      <c r="B59" s="239" t="s">
        <v>449</v>
      </c>
      <c r="C59" s="681">
        <v>34291.25</v>
      </c>
      <c r="D59" s="681">
        <v>1007124.27112</v>
      </c>
      <c r="E59" s="681">
        <v>0</v>
      </c>
      <c r="F59" s="681">
        <v>34455.951999999997</v>
      </c>
      <c r="G59" s="681">
        <v>12608.540999999999</v>
      </c>
      <c r="H59" s="681">
        <v>790756.95</v>
      </c>
      <c r="I59" s="681">
        <v>1441.2840000000001</v>
      </c>
      <c r="J59" s="681"/>
      <c r="K59" s="4">
        <f t="shared" si="8"/>
        <v>211</v>
      </c>
    </row>
    <row r="60" spans="1:13">
      <c r="A60" s="4">
        <f>A59+1</f>
        <v>212</v>
      </c>
      <c r="B60" s="705" t="s">
        <v>736</v>
      </c>
      <c r="C60" s="707">
        <f t="shared" ref="C60" si="10">SUM(C48:C59)</f>
        <v>411495</v>
      </c>
      <c r="D60" s="707">
        <f>SUM(D48:D59)</f>
        <v>11715733.621440003</v>
      </c>
      <c r="E60" s="707">
        <f t="shared" ref="E60" si="11">SUM(E48:E59)</f>
        <v>0</v>
      </c>
      <c r="F60" s="707">
        <f t="shared" ref="F60" si="12">SUM(F48:F59)</f>
        <v>614283.06700000004</v>
      </c>
      <c r="G60" s="707">
        <f t="shared" ref="G60" si="13">SUM(G48:G59)</f>
        <v>140426.30099999998</v>
      </c>
      <c r="H60" s="707">
        <f t="shared" ref="H60" si="14">SUM(H48:H59)</f>
        <v>19083125.879999999</v>
      </c>
      <c r="I60" s="707">
        <f t="shared" ref="I60:J60" si="15">SUM(I48:I59)</f>
        <v>14292.874</v>
      </c>
      <c r="J60" s="707">
        <f t="shared" si="15"/>
        <v>0</v>
      </c>
      <c r="K60" s="4">
        <f t="shared" si="8"/>
        <v>212</v>
      </c>
      <c r="M60" s="24"/>
    </row>
    <row r="61" spans="1:13">
      <c r="M61" s="24"/>
    </row>
    <row r="62" spans="1:13">
      <c r="B62" s="41" t="s">
        <v>873</v>
      </c>
      <c r="C62" s="41"/>
      <c r="D62" s="41"/>
      <c r="E62" s="41"/>
      <c r="F62" s="41"/>
      <c r="G62" s="41"/>
      <c r="H62" s="41"/>
      <c r="I62" s="41"/>
      <c r="J62" s="41"/>
      <c r="M62" s="24"/>
    </row>
    <row r="63" spans="1:13">
      <c r="B63" s="5"/>
      <c r="C63" s="5"/>
      <c r="D63" s="5"/>
      <c r="E63" s="5"/>
      <c r="F63" s="5"/>
      <c r="G63" s="5"/>
      <c r="H63" s="5"/>
      <c r="I63" s="5"/>
      <c r="J63" s="5"/>
    </row>
    <row r="64" spans="1:13">
      <c r="B64" s="105" t="s">
        <v>870</v>
      </c>
      <c r="K64"/>
    </row>
    <row r="65" spans="1:11" ht="29">
      <c r="A65" s="3" t="s">
        <v>92</v>
      </c>
      <c r="B65" s="434" t="s">
        <v>440</v>
      </c>
      <c r="C65" s="639" t="s">
        <v>354</v>
      </c>
      <c r="D65" s="639" t="s">
        <v>450</v>
      </c>
      <c r="E65" s="639" t="s">
        <v>358</v>
      </c>
      <c r="K65" s="3" t="s">
        <v>92</v>
      </c>
    </row>
    <row r="66" spans="1:11">
      <c r="A66" s="4">
        <v>300</v>
      </c>
      <c r="B66" s="241" t="s">
        <v>451</v>
      </c>
      <c r="C66" s="368">
        <v>61755.024504324363</v>
      </c>
      <c r="D66" s="370">
        <v>0</v>
      </c>
      <c r="E66" s="368">
        <v>35479</v>
      </c>
      <c r="K66" s="4">
        <f t="shared" ref="K66:K78" si="16">A66</f>
        <v>300</v>
      </c>
    </row>
    <row r="67" spans="1:11">
      <c r="A67" s="4">
        <f>A66+1</f>
        <v>301</v>
      </c>
      <c r="B67" s="239" t="s">
        <v>452</v>
      </c>
      <c r="C67" s="368">
        <v>59866.610223707154</v>
      </c>
      <c r="D67" s="370">
        <v>0</v>
      </c>
      <c r="E67" s="368">
        <v>43017</v>
      </c>
      <c r="K67" s="4">
        <f t="shared" si="16"/>
        <v>301</v>
      </c>
    </row>
    <row r="68" spans="1:11">
      <c r="A68" s="4">
        <f t="shared" ref="A68:A78" si="17">A67+1</f>
        <v>302</v>
      </c>
      <c r="B68" s="239" t="s">
        <v>453</v>
      </c>
      <c r="C68" s="368">
        <v>59936.683178906911</v>
      </c>
      <c r="D68" s="370">
        <v>0</v>
      </c>
      <c r="E68" s="368">
        <v>48289</v>
      </c>
      <c r="K68" s="4">
        <f t="shared" si="16"/>
        <v>302</v>
      </c>
    </row>
    <row r="69" spans="1:11">
      <c r="A69" s="4">
        <f t="shared" si="17"/>
        <v>303</v>
      </c>
      <c r="B69" s="239" t="s">
        <v>454</v>
      </c>
      <c r="C69" s="368">
        <v>61864.226398366678</v>
      </c>
      <c r="D69" s="370">
        <v>0</v>
      </c>
      <c r="E69" s="368">
        <v>50692</v>
      </c>
      <c r="K69" s="4">
        <f t="shared" si="16"/>
        <v>303</v>
      </c>
    </row>
    <row r="70" spans="1:11">
      <c r="A70" s="4">
        <f t="shared" si="17"/>
        <v>304</v>
      </c>
      <c r="B70" s="239" t="s">
        <v>455</v>
      </c>
      <c r="C70" s="368">
        <v>59981.008779579148</v>
      </c>
      <c r="D70" s="370">
        <v>0</v>
      </c>
      <c r="E70" s="368">
        <v>55432</v>
      </c>
      <c r="K70" s="4">
        <f t="shared" si="16"/>
        <v>304</v>
      </c>
    </row>
    <row r="71" spans="1:11">
      <c r="A71" s="4">
        <f t="shared" si="17"/>
        <v>305</v>
      </c>
      <c r="B71" s="239" t="s">
        <v>737</v>
      </c>
      <c r="C71" s="368">
        <v>60161.929604121047</v>
      </c>
      <c r="D71" s="370">
        <v>0</v>
      </c>
      <c r="E71" s="368">
        <v>55904</v>
      </c>
      <c r="K71" s="4">
        <f t="shared" si="16"/>
        <v>305</v>
      </c>
    </row>
    <row r="72" spans="1:11">
      <c r="A72" s="4">
        <f t="shared" si="17"/>
        <v>306</v>
      </c>
      <c r="B72" s="239" t="s">
        <v>457</v>
      </c>
      <c r="C72" s="368">
        <v>55072.467165933187</v>
      </c>
      <c r="D72" s="370">
        <v>0</v>
      </c>
      <c r="E72" s="368">
        <v>56131</v>
      </c>
      <c r="K72" s="4">
        <f t="shared" si="16"/>
        <v>306</v>
      </c>
    </row>
    <row r="73" spans="1:11">
      <c r="A73" s="4">
        <f t="shared" si="17"/>
        <v>307</v>
      </c>
      <c r="B73" s="239" t="s">
        <v>458</v>
      </c>
      <c r="C73" s="368">
        <v>57343.694086209638</v>
      </c>
      <c r="D73" s="370">
        <v>0</v>
      </c>
      <c r="E73" s="368">
        <v>55595</v>
      </c>
      <c r="K73" s="4">
        <f t="shared" si="16"/>
        <v>307</v>
      </c>
    </row>
    <row r="74" spans="1:11">
      <c r="A74" s="4">
        <f t="shared" si="17"/>
        <v>308</v>
      </c>
      <c r="B74" s="239" t="s">
        <v>459</v>
      </c>
      <c r="C74" s="368">
        <v>63041.589360198501</v>
      </c>
      <c r="D74" s="370">
        <v>0</v>
      </c>
      <c r="E74" s="368">
        <v>53700</v>
      </c>
      <c r="K74" s="4">
        <f t="shared" si="16"/>
        <v>308</v>
      </c>
    </row>
    <row r="75" spans="1:11">
      <c r="A75" s="4">
        <f t="shared" si="17"/>
        <v>309</v>
      </c>
      <c r="B75" s="239" t="s">
        <v>460</v>
      </c>
      <c r="C75" s="368">
        <v>59917.501552689551</v>
      </c>
      <c r="D75" s="370">
        <v>0</v>
      </c>
      <c r="E75" s="368">
        <v>47723</v>
      </c>
      <c r="K75" s="4">
        <f t="shared" si="16"/>
        <v>309</v>
      </c>
    </row>
    <row r="76" spans="1:11">
      <c r="A76" s="4">
        <f t="shared" si="17"/>
        <v>310</v>
      </c>
      <c r="B76" s="239" t="s">
        <v>461</v>
      </c>
      <c r="C76" s="368">
        <v>60707.138091764085</v>
      </c>
      <c r="D76" s="370">
        <v>0</v>
      </c>
      <c r="E76" s="368">
        <v>41736</v>
      </c>
      <c r="K76" s="4">
        <f t="shared" si="16"/>
        <v>310</v>
      </c>
    </row>
    <row r="77" spans="1:11">
      <c r="A77" s="4">
        <f t="shared" si="17"/>
        <v>311</v>
      </c>
      <c r="B77" s="239" t="s">
        <v>449</v>
      </c>
      <c r="C77" s="373">
        <v>61882.929396320302</v>
      </c>
      <c r="D77" s="370">
        <v>0</v>
      </c>
      <c r="E77" s="373">
        <v>37897</v>
      </c>
      <c r="K77" s="4">
        <f t="shared" si="16"/>
        <v>311</v>
      </c>
    </row>
    <row r="78" spans="1:11">
      <c r="A78" s="4">
        <f t="shared" si="17"/>
        <v>312</v>
      </c>
      <c r="B78" s="705" t="s">
        <v>736</v>
      </c>
      <c r="C78" s="706">
        <f>SUM(C66:C77)</f>
        <v>721530.80234212056</v>
      </c>
      <c r="D78" s="706">
        <f>SUM(D66:D77)</f>
        <v>0</v>
      </c>
      <c r="E78" s="706">
        <f>SUM(E66:E77)</f>
        <v>581595</v>
      </c>
      <c r="K78" s="4">
        <f t="shared" si="16"/>
        <v>312</v>
      </c>
    </row>
    <row r="80" spans="1:11" s="541" customFormat="1">
      <c r="A80" s="540"/>
      <c r="B80" s="570" t="s">
        <v>871</v>
      </c>
      <c r="K80" s="540"/>
    </row>
    <row r="81" spans="1:15" s="541" customFormat="1" ht="29">
      <c r="A81" s="571" t="s">
        <v>92</v>
      </c>
      <c r="B81" s="585" t="s">
        <v>440</v>
      </c>
      <c r="C81" s="572" t="str">
        <f>C65</f>
        <v>CCSF
(SA No. 275)</v>
      </c>
      <c r="D81" s="572" t="str">
        <f t="shared" ref="D81:E81" si="18">D65</f>
        <v>N/A</v>
      </c>
      <c r="E81" s="572" t="str">
        <f t="shared" si="18"/>
        <v>WAPA
(SA No. 17)</v>
      </c>
      <c r="K81" s="571" t="s">
        <v>92</v>
      </c>
    </row>
    <row r="82" spans="1:15" s="541" customFormat="1">
      <c r="A82" s="573">
        <f>A78+1</f>
        <v>313</v>
      </c>
      <c r="B82" s="574" t="s">
        <v>451</v>
      </c>
      <c r="C82" s="575">
        <v>36426.919805950871</v>
      </c>
      <c r="D82" s="577">
        <v>0</v>
      </c>
      <c r="E82" s="575">
        <v>19576</v>
      </c>
      <c r="K82" s="573">
        <f t="shared" ref="K82:K94" si="19">A82</f>
        <v>313</v>
      </c>
    </row>
    <row r="83" spans="1:15" s="541" customFormat="1">
      <c r="A83" s="573">
        <f>A82+1</f>
        <v>314</v>
      </c>
      <c r="B83" s="579" t="s">
        <v>452</v>
      </c>
      <c r="C83" s="575">
        <v>35545.894223707153</v>
      </c>
      <c r="D83" s="577">
        <v>0</v>
      </c>
      <c r="E83" s="575">
        <v>25975.5</v>
      </c>
      <c r="K83" s="573">
        <f t="shared" si="19"/>
        <v>314</v>
      </c>
    </row>
    <row r="84" spans="1:15" s="541" customFormat="1">
      <c r="A84" s="573">
        <f t="shared" ref="A84:A94" si="20">A83+1</f>
        <v>315</v>
      </c>
      <c r="B84" s="579" t="s">
        <v>453</v>
      </c>
      <c r="C84" s="575">
        <v>35921.919623724869</v>
      </c>
      <c r="D84" s="577">
        <v>0</v>
      </c>
      <c r="E84" s="575">
        <v>26250.5</v>
      </c>
      <c r="K84" s="573">
        <f t="shared" si="19"/>
        <v>315</v>
      </c>
      <c r="O84" s="542"/>
    </row>
    <row r="85" spans="1:15" s="541" customFormat="1">
      <c r="A85" s="573">
        <f t="shared" si="20"/>
        <v>316</v>
      </c>
      <c r="B85" s="579" t="s">
        <v>454</v>
      </c>
      <c r="C85" s="575">
        <v>37417.515324772117</v>
      </c>
      <c r="D85" s="577">
        <v>0</v>
      </c>
      <c r="E85" s="575">
        <v>30666</v>
      </c>
      <c r="K85" s="573">
        <f t="shared" si="19"/>
        <v>316</v>
      </c>
    </row>
    <row r="86" spans="1:15" s="541" customFormat="1">
      <c r="A86" s="573">
        <f t="shared" si="20"/>
        <v>317</v>
      </c>
      <c r="B86" s="579" t="s">
        <v>455</v>
      </c>
      <c r="C86" s="575">
        <v>34953.945866454829</v>
      </c>
      <c r="D86" s="577">
        <v>0</v>
      </c>
      <c r="E86" s="575">
        <v>37946</v>
      </c>
      <c r="K86" s="573">
        <f t="shared" si="19"/>
        <v>317</v>
      </c>
    </row>
    <row r="87" spans="1:15" s="541" customFormat="1">
      <c r="A87" s="573">
        <f t="shared" si="20"/>
        <v>318</v>
      </c>
      <c r="B87" s="579" t="s">
        <v>737</v>
      </c>
      <c r="C87" s="575">
        <v>35750.075307137617</v>
      </c>
      <c r="D87" s="577">
        <v>0</v>
      </c>
      <c r="E87" s="575">
        <v>38319</v>
      </c>
      <c r="K87" s="573">
        <f t="shared" si="19"/>
        <v>318</v>
      </c>
    </row>
    <row r="88" spans="1:15" s="541" customFormat="1">
      <c r="A88" s="573">
        <f t="shared" si="20"/>
        <v>319</v>
      </c>
      <c r="B88" s="579" t="s">
        <v>457</v>
      </c>
      <c r="C88" s="575">
        <v>32623.681317734648</v>
      </c>
      <c r="D88" s="577">
        <v>0</v>
      </c>
      <c r="E88" s="575">
        <v>38054</v>
      </c>
      <c r="K88" s="573">
        <f t="shared" si="19"/>
        <v>319</v>
      </c>
    </row>
    <row r="89" spans="1:15" s="541" customFormat="1">
      <c r="A89" s="573">
        <f t="shared" si="20"/>
        <v>320</v>
      </c>
      <c r="B89" s="579" t="s">
        <v>458</v>
      </c>
      <c r="C89" s="575">
        <v>40875.653179464396</v>
      </c>
      <c r="D89" s="577">
        <v>0</v>
      </c>
      <c r="E89" s="575">
        <v>35577.5</v>
      </c>
      <c r="K89" s="573">
        <f t="shared" si="19"/>
        <v>320</v>
      </c>
    </row>
    <row r="90" spans="1:15" s="541" customFormat="1">
      <c r="A90" s="573">
        <f t="shared" si="20"/>
        <v>321</v>
      </c>
      <c r="B90" s="579" t="s">
        <v>459</v>
      </c>
      <c r="C90" s="575">
        <v>39900.589360198501</v>
      </c>
      <c r="D90" s="577">
        <v>0</v>
      </c>
      <c r="E90" s="575">
        <v>34780.5</v>
      </c>
      <c r="K90" s="573">
        <f t="shared" si="19"/>
        <v>321</v>
      </c>
    </row>
    <row r="91" spans="1:15" s="541" customFormat="1">
      <c r="A91" s="573">
        <f t="shared" si="20"/>
        <v>322</v>
      </c>
      <c r="B91" s="579" t="s">
        <v>460</v>
      </c>
      <c r="C91" s="575">
        <v>36238.824894373014</v>
      </c>
      <c r="D91" s="577">
        <v>0</v>
      </c>
      <c r="E91" s="575">
        <v>25679</v>
      </c>
      <c r="K91" s="573">
        <f t="shared" si="19"/>
        <v>322</v>
      </c>
    </row>
    <row r="92" spans="1:15" s="541" customFormat="1">
      <c r="A92" s="573">
        <f t="shared" si="20"/>
        <v>323</v>
      </c>
      <c r="B92" s="579" t="s">
        <v>461</v>
      </c>
      <c r="C92" s="575">
        <v>37623.138091764093</v>
      </c>
      <c r="D92" s="577">
        <v>0</v>
      </c>
      <c r="E92" s="575">
        <v>20964.5</v>
      </c>
      <c r="K92" s="573">
        <f t="shared" si="19"/>
        <v>323</v>
      </c>
    </row>
    <row r="93" spans="1:15" s="541" customFormat="1">
      <c r="A93" s="573">
        <f t="shared" si="20"/>
        <v>324</v>
      </c>
      <c r="B93" s="579" t="s">
        <v>449</v>
      </c>
      <c r="C93" s="581">
        <v>37968.007577432691</v>
      </c>
      <c r="D93" s="577">
        <v>0</v>
      </c>
      <c r="E93" s="581">
        <v>17923</v>
      </c>
      <c r="K93" s="573">
        <f t="shared" si="19"/>
        <v>324</v>
      </c>
    </row>
    <row r="94" spans="1:15" s="541" customFormat="1">
      <c r="A94" s="573">
        <f t="shared" si="20"/>
        <v>325</v>
      </c>
      <c r="B94" s="583" t="s">
        <v>736</v>
      </c>
      <c r="C94" s="584">
        <f>SUM(C82:C93)</f>
        <v>441246.16457271483</v>
      </c>
      <c r="D94" s="584">
        <f>SUM(D82:D93)</f>
        <v>0</v>
      </c>
      <c r="E94" s="584">
        <f>SUM(E82:E93)</f>
        <v>351711.5</v>
      </c>
      <c r="K94" s="573">
        <f t="shared" si="19"/>
        <v>325</v>
      </c>
    </row>
    <row r="95" spans="1:15" s="520" customFormat="1">
      <c r="A95" s="519"/>
      <c r="K95" s="519"/>
    </row>
    <row r="96" spans="1:15">
      <c r="B96" s="586" t="s">
        <v>874</v>
      </c>
      <c r="C96" s="41"/>
      <c r="D96" s="41"/>
      <c r="E96" s="41"/>
      <c r="F96" s="41"/>
      <c r="G96" s="41"/>
      <c r="H96" s="41"/>
      <c r="I96" s="41"/>
      <c r="J96" s="41"/>
    </row>
    <row r="97" spans="1:11">
      <c r="B97" s="5"/>
      <c r="C97" s="5"/>
      <c r="D97" s="5"/>
      <c r="E97" s="5"/>
      <c r="F97" s="5"/>
      <c r="G97" s="5"/>
      <c r="H97" s="5"/>
      <c r="I97" s="5"/>
      <c r="J97" s="5"/>
    </row>
    <row r="98" spans="1:11" ht="29">
      <c r="A98" s="3" t="s">
        <v>92</v>
      </c>
      <c r="B98" s="434" t="s">
        <v>440</v>
      </c>
      <c r="C98" s="701" t="str">
        <f>C65</f>
        <v>CCSF
(SA No. 275)</v>
      </c>
      <c r="D98" s="701" t="str">
        <f t="shared" ref="D98:E98" si="21">D65</f>
        <v>N/A</v>
      </c>
      <c r="E98" s="701" t="str">
        <f t="shared" si="21"/>
        <v>WAPA
(SA No. 17)</v>
      </c>
      <c r="K98" s="3" t="s">
        <v>92</v>
      </c>
    </row>
    <row r="99" spans="1:11">
      <c r="A99" s="4">
        <v>400</v>
      </c>
      <c r="B99" s="241" t="s">
        <v>451</v>
      </c>
      <c r="C99" s="680">
        <v>1212051.6499999999</v>
      </c>
      <c r="D99" s="680">
        <v>0</v>
      </c>
      <c r="E99" s="680">
        <v>1209032.47</v>
      </c>
      <c r="K99" s="4">
        <f t="shared" ref="K99:K111" si="22">A99</f>
        <v>400</v>
      </c>
    </row>
    <row r="100" spans="1:11">
      <c r="A100" s="4">
        <f>A99+1</f>
        <v>401</v>
      </c>
      <c r="B100" s="239" t="s">
        <v>452</v>
      </c>
      <c r="C100" s="680">
        <v>1212027.1399999999</v>
      </c>
      <c r="D100" s="680">
        <v>0</v>
      </c>
      <c r="E100" s="680">
        <v>1209032.47</v>
      </c>
      <c r="K100" s="4">
        <f t="shared" si="22"/>
        <v>401</v>
      </c>
    </row>
    <row r="101" spans="1:11">
      <c r="A101" s="4">
        <f t="shared" ref="A101:A111" si="23">A100+1</f>
        <v>402</v>
      </c>
      <c r="B101" s="239" t="s">
        <v>453</v>
      </c>
      <c r="C101" s="680">
        <v>1209826.6099999999</v>
      </c>
      <c r="D101" s="680">
        <v>0</v>
      </c>
      <c r="E101" s="680">
        <v>1209032.47</v>
      </c>
      <c r="K101" s="4">
        <f t="shared" si="22"/>
        <v>402</v>
      </c>
    </row>
    <row r="102" spans="1:11">
      <c r="A102" s="4">
        <f t="shared" si="23"/>
        <v>403</v>
      </c>
      <c r="B102" s="239" t="s">
        <v>454</v>
      </c>
      <c r="C102" s="680">
        <v>1211602.46</v>
      </c>
      <c r="D102" s="680">
        <v>0</v>
      </c>
      <c r="E102" s="680">
        <v>1209032.47</v>
      </c>
      <c r="K102" s="4">
        <f t="shared" si="22"/>
        <v>403</v>
      </c>
    </row>
    <row r="103" spans="1:11">
      <c r="A103" s="4">
        <f t="shared" si="23"/>
        <v>404</v>
      </c>
      <c r="B103" s="239" t="s">
        <v>455</v>
      </c>
      <c r="C103" s="680">
        <v>671746.6</v>
      </c>
      <c r="D103" s="680">
        <v>0</v>
      </c>
      <c r="E103" s="680">
        <v>879309.17</v>
      </c>
      <c r="K103" s="4">
        <f t="shared" si="22"/>
        <v>404</v>
      </c>
    </row>
    <row r="104" spans="1:11">
      <c r="A104" s="4">
        <f t="shared" si="23"/>
        <v>405</v>
      </c>
      <c r="B104" s="239" t="s">
        <v>737</v>
      </c>
      <c r="C104" s="680">
        <v>703434.1</v>
      </c>
      <c r="D104" s="680">
        <v>0</v>
      </c>
      <c r="E104" s="680">
        <v>887029.2</v>
      </c>
      <c r="K104" s="4">
        <f t="shared" si="22"/>
        <v>405</v>
      </c>
    </row>
    <row r="105" spans="1:11">
      <c r="A105" s="4">
        <f t="shared" si="23"/>
        <v>406</v>
      </c>
      <c r="B105" s="239" t="s">
        <v>457</v>
      </c>
      <c r="C105" s="680">
        <v>629634.88</v>
      </c>
      <c r="D105" s="680">
        <v>0</v>
      </c>
      <c r="E105" s="680">
        <v>908647.83</v>
      </c>
      <c r="K105" s="4">
        <f t="shared" si="22"/>
        <v>406</v>
      </c>
    </row>
    <row r="106" spans="1:11">
      <c r="A106" s="4">
        <f t="shared" si="23"/>
        <v>407</v>
      </c>
      <c r="B106" s="239" t="s">
        <v>458</v>
      </c>
      <c r="C106" s="680">
        <v>886418.45000000007</v>
      </c>
      <c r="D106" s="680">
        <v>0</v>
      </c>
      <c r="E106" s="680">
        <v>839456.72</v>
      </c>
      <c r="K106" s="4">
        <f t="shared" si="22"/>
        <v>407</v>
      </c>
    </row>
    <row r="107" spans="1:11">
      <c r="A107" s="4">
        <f t="shared" si="23"/>
        <v>408</v>
      </c>
      <c r="B107" s="239" t="s">
        <v>459</v>
      </c>
      <c r="C107" s="680">
        <v>1549978.97</v>
      </c>
      <c r="D107" s="680">
        <v>0</v>
      </c>
      <c r="E107" s="680">
        <v>1459739.62</v>
      </c>
      <c r="K107" s="4">
        <f t="shared" si="22"/>
        <v>408</v>
      </c>
    </row>
    <row r="108" spans="1:11">
      <c r="A108" s="4">
        <f t="shared" si="23"/>
        <v>409</v>
      </c>
      <c r="B108" s="239" t="s">
        <v>460</v>
      </c>
      <c r="C108" s="680">
        <v>1484872.61</v>
      </c>
      <c r="D108" s="680">
        <v>0</v>
      </c>
      <c r="E108" s="680">
        <v>1292546.08</v>
      </c>
      <c r="K108" s="4">
        <f t="shared" si="22"/>
        <v>409</v>
      </c>
    </row>
    <row r="109" spans="1:11">
      <c r="A109" s="4">
        <f t="shared" si="23"/>
        <v>410</v>
      </c>
      <c r="B109" s="239" t="s">
        <v>461</v>
      </c>
      <c r="C109" s="680">
        <v>1479024.9049999949</v>
      </c>
      <c r="D109" s="680">
        <v>0</v>
      </c>
      <c r="E109" s="680">
        <v>1189669.1200000001</v>
      </c>
      <c r="K109" s="4">
        <f t="shared" si="22"/>
        <v>410</v>
      </c>
    </row>
    <row r="110" spans="1:11">
      <c r="A110" s="4">
        <f t="shared" si="23"/>
        <v>411</v>
      </c>
      <c r="B110" s="239" t="s">
        <v>449</v>
      </c>
      <c r="C110" s="681">
        <v>1503322.4149999947</v>
      </c>
      <c r="D110" s="681">
        <v>0</v>
      </c>
      <c r="E110" s="681">
        <v>1014964.02</v>
      </c>
      <c r="K110" s="4">
        <f t="shared" si="22"/>
        <v>411</v>
      </c>
    </row>
    <row r="111" spans="1:11">
      <c r="A111" s="4">
        <f t="shared" si="23"/>
        <v>412</v>
      </c>
      <c r="B111" s="705" t="s">
        <v>736</v>
      </c>
      <c r="C111" s="707">
        <f t="shared" ref="C111" si="24">SUM(C99:C110)</f>
        <v>13753940.78999999</v>
      </c>
      <c r="D111" s="707">
        <f>SUM(D99:D110)</f>
        <v>0</v>
      </c>
      <c r="E111" s="707">
        <f t="shared" ref="E111" si="25">SUM(E99:E110)</f>
        <v>13307491.640000001</v>
      </c>
      <c r="K111" s="4">
        <f t="shared" si="22"/>
        <v>412</v>
      </c>
    </row>
    <row r="112" spans="1:11">
      <c r="K112"/>
    </row>
    <row r="113" spans="2:10">
      <c r="B113" s="727" t="s">
        <v>875</v>
      </c>
      <c r="C113" s="727"/>
      <c r="D113" s="727"/>
      <c r="E113" s="727"/>
      <c r="F113" s="727"/>
      <c r="G113" s="727"/>
      <c r="H113" s="727"/>
      <c r="I113" s="727"/>
      <c r="J113" s="727"/>
    </row>
    <row r="114" spans="2:10">
      <c r="B114" s="727"/>
      <c r="C114" s="727"/>
      <c r="D114" s="727"/>
      <c r="E114" s="727"/>
      <c r="F114" s="727"/>
      <c r="G114" s="727"/>
      <c r="H114" s="727"/>
      <c r="I114" s="727"/>
      <c r="J114" s="727"/>
    </row>
    <row r="115" spans="2:10">
      <c r="B115" s="8" t="s">
        <v>876</v>
      </c>
    </row>
  </sheetData>
  <mergeCells count="3">
    <mergeCell ref="B113:J114"/>
    <mergeCell ref="B6:J8"/>
    <mergeCell ref="B9:J10"/>
  </mergeCells>
  <phoneticPr fontId="104" type="noConversion"/>
  <printOptions horizontalCentered="1"/>
  <pageMargins left="1" right="1" top="1" bottom="1" header="0.5" footer="0.5"/>
  <pageSetup scale="84"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61" max="10" man="1"/>
  </rowBreaks>
  <customProperties>
    <customPr name="_pios_id" r:id="rId2"/>
    <customPr name="EpmWorksheetKeyString_GUID"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2939-E0C6-4D87-88FE-80CA996E1C56}">
  <sheetPr codeName="Sheet16">
    <pageSetUpPr fitToPage="1"/>
  </sheetPr>
  <dimension ref="A1:AG138"/>
  <sheetViews>
    <sheetView view="pageBreakPreview" topLeftCell="A45" zoomScale="25" zoomScaleNormal="90" zoomScaleSheetLayoutView="25" zoomScalePageLayoutView="70" workbookViewId="0">
      <selection activeCell="D45" sqref="D45"/>
    </sheetView>
  </sheetViews>
  <sheetFormatPr defaultColWidth="8.81640625" defaultRowHeight="14.5"/>
  <cols>
    <col min="1" max="1" width="4.7265625" style="21" bestFit="1" customWidth="1"/>
    <col min="2" max="2" width="14" customWidth="1"/>
    <col min="3" max="3" width="14.453125" customWidth="1"/>
    <col min="4" max="4" width="22.81640625" customWidth="1"/>
    <col min="5" max="5" width="23" customWidth="1"/>
    <col min="6" max="6" width="20.453125" customWidth="1"/>
    <col min="7" max="7" width="21.1796875" customWidth="1"/>
    <col min="8" max="9" width="22" customWidth="1"/>
    <col min="10" max="29" width="17.81640625" customWidth="1"/>
    <col min="30" max="30" width="4.7265625" style="21" bestFit="1" customWidth="1"/>
    <col min="32" max="32" width="18.81640625" bestFit="1" customWidth="1"/>
    <col min="33" max="33" width="12.1796875" bestFit="1" customWidth="1"/>
  </cols>
  <sheetData>
    <row r="1" spans="1:33">
      <c r="B1" s="2" t="s">
        <v>877</v>
      </c>
      <c r="C1" s="2"/>
      <c r="H1" s="101"/>
      <c r="N1" s="8"/>
      <c r="AC1" s="6" t="str">
        <f>CONCATENATE("Prior Year: ",'1-DRR'!$K$2)</f>
        <v>Prior Year: 2022</v>
      </c>
    </row>
    <row r="2" spans="1:33">
      <c r="B2" s="78" t="s">
        <v>122</v>
      </c>
      <c r="C2" s="38"/>
      <c r="N2" s="8"/>
      <c r="AC2" s="4"/>
    </row>
    <row r="3" spans="1:33">
      <c r="A3" s="80"/>
      <c r="B3" s="105"/>
      <c r="AD3" s="80"/>
    </row>
    <row r="4" spans="1:33">
      <c r="B4" s="45" t="s">
        <v>878</v>
      </c>
      <c r="C4" s="45"/>
      <c r="D4" s="43"/>
      <c r="E4" s="43"/>
      <c r="F4" s="43"/>
      <c r="G4" s="43"/>
      <c r="H4" s="43"/>
      <c r="I4" s="43"/>
      <c r="J4" s="43"/>
      <c r="K4" s="43"/>
      <c r="L4" s="43"/>
      <c r="M4" s="43"/>
      <c r="N4" s="43"/>
      <c r="O4" s="43"/>
      <c r="P4" s="43"/>
      <c r="Q4" s="43"/>
      <c r="R4" s="43"/>
      <c r="S4" s="43"/>
      <c r="T4" s="43"/>
      <c r="U4" s="43"/>
      <c r="V4" s="43"/>
      <c r="W4" s="43"/>
      <c r="X4" s="43"/>
      <c r="Y4" s="43"/>
      <c r="Z4" s="43"/>
      <c r="AA4" s="43"/>
      <c r="AB4" s="43"/>
      <c r="AC4" s="43"/>
    </row>
    <row r="5" spans="1:33">
      <c r="A5" s="4"/>
      <c r="B5" s="377" t="s">
        <v>879</v>
      </c>
      <c r="C5" s="8"/>
      <c r="M5" s="8"/>
      <c r="N5" s="21"/>
      <c r="O5" s="378"/>
    </row>
    <row r="6" spans="1:33">
      <c r="A6" s="4"/>
      <c r="B6" s="377" t="s">
        <v>880</v>
      </c>
      <c r="C6" s="8"/>
      <c r="M6" s="8"/>
      <c r="N6" s="21"/>
      <c r="O6" s="378"/>
    </row>
    <row r="7" spans="1:33">
      <c r="A7" s="4"/>
      <c r="B7" s="377"/>
      <c r="C7" s="8"/>
      <c r="M7" s="8"/>
      <c r="N7" s="21"/>
      <c r="O7" s="378"/>
    </row>
    <row r="8" spans="1:33">
      <c r="A8" s="4"/>
      <c r="D8" s="83" t="s">
        <v>124</v>
      </c>
      <c r="E8" s="83" t="s">
        <v>125</v>
      </c>
      <c r="F8" s="83" t="s">
        <v>126</v>
      </c>
      <c r="G8" s="83" t="s">
        <v>127</v>
      </c>
      <c r="H8" s="83" t="s">
        <v>420</v>
      </c>
      <c r="I8" s="83" t="s">
        <v>421</v>
      </c>
      <c r="J8" s="83" t="s">
        <v>422</v>
      </c>
      <c r="K8" s="83" t="s">
        <v>423</v>
      </c>
      <c r="L8" s="83" t="s">
        <v>424</v>
      </c>
      <c r="M8" s="83" t="s">
        <v>692</v>
      </c>
      <c r="N8" s="83" t="s">
        <v>693</v>
      </c>
      <c r="O8" s="83" t="s">
        <v>694</v>
      </c>
      <c r="P8" s="83" t="s">
        <v>695</v>
      </c>
      <c r="Q8" s="83" t="s">
        <v>696</v>
      </c>
      <c r="R8" s="83" t="s">
        <v>697</v>
      </c>
      <c r="S8" s="83" t="s">
        <v>698</v>
      </c>
      <c r="T8" s="83" t="s">
        <v>699</v>
      </c>
      <c r="U8" s="83" t="s">
        <v>700</v>
      </c>
      <c r="V8" s="83" t="s">
        <v>701</v>
      </c>
      <c r="W8" s="83" t="s">
        <v>702</v>
      </c>
      <c r="X8" s="83" t="s">
        <v>703</v>
      </c>
      <c r="Y8" s="83" t="s">
        <v>704</v>
      </c>
      <c r="Z8" s="83" t="s">
        <v>705</v>
      </c>
      <c r="AA8" s="83" t="s">
        <v>706</v>
      </c>
      <c r="AB8" s="83" t="s">
        <v>707</v>
      </c>
      <c r="AC8" s="83" t="s">
        <v>708</v>
      </c>
    </row>
    <row r="9" spans="1:33">
      <c r="B9" s="4"/>
      <c r="C9" s="4"/>
      <c r="D9" s="379"/>
      <c r="E9" s="379"/>
      <c r="F9" s="379"/>
      <c r="G9" s="379"/>
      <c r="H9" s="379"/>
      <c r="I9" s="379"/>
      <c r="J9" s="379"/>
      <c r="K9" s="379"/>
      <c r="L9" s="379"/>
      <c r="M9" s="379"/>
      <c r="N9" s="379"/>
      <c r="O9" s="379"/>
      <c r="P9" s="379"/>
      <c r="Q9" s="379"/>
      <c r="R9" s="379"/>
      <c r="S9" s="379"/>
      <c r="T9" s="379"/>
      <c r="U9" s="379"/>
      <c r="V9" s="379"/>
      <c r="W9" s="379"/>
      <c r="X9" s="379"/>
      <c r="Y9" s="379"/>
      <c r="Z9" s="379"/>
      <c r="AA9" s="379"/>
      <c r="AB9" s="379"/>
      <c r="AC9" s="133" t="s">
        <v>709</v>
      </c>
    </row>
    <row r="10" spans="1:33">
      <c r="B10" s="4"/>
      <c r="C10" s="4"/>
      <c r="L10" s="107"/>
      <c r="R10" s="21"/>
      <c r="S10" s="21"/>
      <c r="T10" s="21"/>
      <c r="AC10" s="21"/>
    </row>
    <row r="11" spans="1:33">
      <c r="C11" s="90" t="s">
        <v>710</v>
      </c>
      <c r="D11" s="84">
        <v>360</v>
      </c>
      <c r="E11" s="84">
        <v>360</v>
      </c>
      <c r="F11" s="84">
        <v>361</v>
      </c>
      <c r="G11" s="84">
        <v>361</v>
      </c>
      <c r="H11" s="84">
        <v>362</v>
      </c>
      <c r="I11" s="84">
        <v>363</v>
      </c>
      <c r="J11" s="84">
        <v>363</v>
      </c>
      <c r="K11" s="84">
        <v>364</v>
      </c>
      <c r="L11" s="84">
        <v>365</v>
      </c>
      <c r="M11" s="84">
        <v>366</v>
      </c>
      <c r="N11" s="84">
        <v>367</v>
      </c>
      <c r="O11" s="84">
        <v>368</v>
      </c>
      <c r="P11" s="84">
        <v>368</v>
      </c>
      <c r="Q11" s="84">
        <v>369</v>
      </c>
      <c r="R11" s="84">
        <v>369</v>
      </c>
      <c r="S11" s="84">
        <v>370</v>
      </c>
      <c r="T11" s="84">
        <v>370</v>
      </c>
      <c r="U11" s="84">
        <v>371</v>
      </c>
      <c r="V11" s="84">
        <v>371</v>
      </c>
      <c r="W11" s="84">
        <v>371</v>
      </c>
      <c r="X11" s="84">
        <v>372</v>
      </c>
      <c r="Y11" s="84">
        <v>373</v>
      </c>
      <c r="Z11" s="84">
        <v>373</v>
      </c>
      <c r="AA11" s="84">
        <v>373</v>
      </c>
      <c r="AB11" s="84">
        <v>373</v>
      </c>
    </row>
    <row r="12" spans="1:33">
      <c r="A12" s="80" t="s">
        <v>92</v>
      </c>
      <c r="B12" s="80" t="s">
        <v>440</v>
      </c>
      <c r="C12" s="80" t="s">
        <v>441</v>
      </c>
      <c r="D12" s="83" t="s">
        <v>711</v>
      </c>
      <c r="E12" s="83" t="s">
        <v>712</v>
      </c>
      <c r="F12" s="83" t="s">
        <v>713</v>
      </c>
      <c r="G12" s="83" t="s">
        <v>714</v>
      </c>
      <c r="H12" s="83" t="s">
        <v>715</v>
      </c>
      <c r="I12" s="83" t="s">
        <v>716</v>
      </c>
      <c r="J12" s="83" t="s">
        <v>717</v>
      </c>
      <c r="K12" s="83" t="s">
        <v>718</v>
      </c>
      <c r="L12" s="83" t="s">
        <v>719</v>
      </c>
      <c r="M12" s="83" t="s">
        <v>720</v>
      </c>
      <c r="N12" s="83" t="s">
        <v>721</v>
      </c>
      <c r="O12" s="83" t="s">
        <v>722</v>
      </c>
      <c r="P12" s="83" t="s">
        <v>723</v>
      </c>
      <c r="Q12" s="83" t="s">
        <v>724</v>
      </c>
      <c r="R12" s="83" t="s">
        <v>725</v>
      </c>
      <c r="S12" s="83" t="s">
        <v>726</v>
      </c>
      <c r="T12" s="83" t="s">
        <v>727</v>
      </c>
      <c r="U12" s="83" t="s">
        <v>728</v>
      </c>
      <c r="V12" s="83" t="s">
        <v>729</v>
      </c>
      <c r="W12" s="83" t="s">
        <v>730</v>
      </c>
      <c r="X12" s="83" t="s">
        <v>731</v>
      </c>
      <c r="Y12" s="83" t="s">
        <v>732</v>
      </c>
      <c r="Z12" s="83" t="s">
        <v>733</v>
      </c>
      <c r="AA12" s="83" t="s">
        <v>734</v>
      </c>
      <c r="AB12" s="83" t="s">
        <v>735</v>
      </c>
      <c r="AC12" s="80" t="s">
        <v>736</v>
      </c>
      <c r="AD12" s="80" t="str">
        <f t="shared" ref="AD12:AD26" si="0">A12</f>
        <v>Line</v>
      </c>
    </row>
    <row r="13" spans="1:33">
      <c r="A13" s="91">
        <v>100</v>
      </c>
      <c r="B13" s="377" t="s">
        <v>449</v>
      </c>
      <c r="C13" s="140">
        <f>'1-DRR'!$K$2-1</f>
        <v>2021</v>
      </c>
      <c r="D13" s="272">
        <v>-152152.89618076908</v>
      </c>
      <c r="E13" s="272">
        <v>18211521.293505471</v>
      </c>
      <c r="F13" s="272">
        <v>111221907.94575228</v>
      </c>
      <c r="G13" s="272">
        <v>11057063.48687187</v>
      </c>
      <c r="H13" s="272">
        <v>1194487029.7819712</v>
      </c>
      <c r="I13" s="272">
        <v>585947.57000000007</v>
      </c>
      <c r="J13" s="272">
        <v>16837101.329999998</v>
      </c>
      <c r="K13" s="272">
        <v>2924113866.8678555</v>
      </c>
      <c r="L13" s="272">
        <v>2867955402.8067098</v>
      </c>
      <c r="M13" s="272">
        <v>1305708532.3528161</v>
      </c>
      <c r="N13" s="272">
        <v>3041402015.5435271</v>
      </c>
      <c r="O13" s="272">
        <v>1074160760.2011585</v>
      </c>
      <c r="P13" s="272">
        <v>390265109.80999994</v>
      </c>
      <c r="Q13" s="272">
        <v>782100773.78893912</v>
      </c>
      <c r="R13" s="272">
        <v>1679359707.0498812</v>
      </c>
      <c r="S13" s="271">
        <v>-43993488.693972535</v>
      </c>
      <c r="T13" s="271">
        <v>474060807.31999999</v>
      </c>
      <c r="U13" s="271">
        <v>31965922.330000002</v>
      </c>
      <c r="V13" s="271">
        <v>1808.15</v>
      </c>
      <c r="W13" s="271">
        <v>241046.47000000003</v>
      </c>
      <c r="X13" s="271">
        <v>970063.41</v>
      </c>
      <c r="Y13" s="271">
        <v>12518826.876624137</v>
      </c>
      <c r="Z13" s="271">
        <v>28427768.100695651</v>
      </c>
      <c r="AA13" s="271">
        <v>96549568.946704537</v>
      </c>
      <c r="AB13" s="271">
        <v>39578288.850000009</v>
      </c>
      <c r="AC13" s="24">
        <f t="shared" ref="AC13:AC25" si="1">SUM(D13:AB13)</f>
        <v>16057635198.69286</v>
      </c>
      <c r="AD13" s="91">
        <f t="shared" si="0"/>
        <v>100</v>
      </c>
      <c r="AF13" s="12"/>
      <c r="AG13" s="355"/>
    </row>
    <row r="14" spans="1:33">
      <c r="A14" s="91">
        <f>A13+1</f>
        <v>101</v>
      </c>
      <c r="B14" s="377" t="s">
        <v>451</v>
      </c>
      <c r="C14" s="140">
        <f>'1-DRR'!$K$2</f>
        <v>2022</v>
      </c>
      <c r="D14" s="272">
        <v>-171172.67335877236</v>
      </c>
      <c r="E14" s="272">
        <v>18530735.047023036</v>
      </c>
      <c r="F14" s="272">
        <v>111400383.86352415</v>
      </c>
      <c r="G14" s="272">
        <v>11109799.555012669</v>
      </c>
      <c r="H14" s="272">
        <v>1203248478.3321421</v>
      </c>
      <c r="I14" s="272">
        <v>585947.6</v>
      </c>
      <c r="J14" s="272">
        <v>17002912.560000002</v>
      </c>
      <c r="K14" s="272">
        <v>2946447104.1633258</v>
      </c>
      <c r="L14" s="272">
        <v>2877116624.9098253</v>
      </c>
      <c r="M14" s="272">
        <v>1312317401.2775323</v>
      </c>
      <c r="N14" s="272">
        <v>3051328452.7472782</v>
      </c>
      <c r="O14" s="272">
        <v>1081382921.4139447</v>
      </c>
      <c r="P14" s="272">
        <v>393730402.93000007</v>
      </c>
      <c r="Q14" s="272">
        <v>784916301.41949832</v>
      </c>
      <c r="R14" s="272">
        <v>1685399002.0614958</v>
      </c>
      <c r="S14" s="271">
        <v>-43887802.357943222</v>
      </c>
      <c r="T14" s="271">
        <v>478996269.57999986</v>
      </c>
      <c r="U14" s="271">
        <v>31965922.399999999</v>
      </c>
      <c r="V14" s="271">
        <v>1893.38</v>
      </c>
      <c r="W14" s="271">
        <v>251875.7</v>
      </c>
      <c r="X14" s="271">
        <v>970063.41999999993</v>
      </c>
      <c r="Y14" s="271">
        <v>12558287.449810153</v>
      </c>
      <c r="Z14" s="271">
        <v>28556859.066709898</v>
      </c>
      <c r="AA14" s="271">
        <v>96927958.050539359</v>
      </c>
      <c r="AB14" s="271">
        <v>39664552.219999991</v>
      </c>
      <c r="AC14" s="24">
        <f t="shared" si="1"/>
        <v>16140351174.11636</v>
      </c>
      <c r="AD14" s="91">
        <f t="shared" si="0"/>
        <v>101</v>
      </c>
      <c r="AF14" s="12"/>
      <c r="AG14" s="355"/>
    </row>
    <row r="15" spans="1:33">
      <c r="A15" s="91">
        <f t="shared" ref="A15:A26" si="2">A14+1</f>
        <v>102</v>
      </c>
      <c r="B15" s="377" t="s">
        <v>452</v>
      </c>
      <c r="C15" s="140">
        <f>'1-DRR'!$K$2</f>
        <v>2022</v>
      </c>
      <c r="D15" s="272">
        <v>-184375.32053677578</v>
      </c>
      <c r="E15" s="272">
        <v>18849966.590540621</v>
      </c>
      <c r="F15" s="272">
        <v>111624428.41129641</v>
      </c>
      <c r="G15" s="272">
        <v>11162607.472757785</v>
      </c>
      <c r="H15" s="272">
        <v>1209124894.5423136</v>
      </c>
      <c r="I15" s="272">
        <v>585947.56999999983</v>
      </c>
      <c r="J15" s="272">
        <v>17168723.399999999</v>
      </c>
      <c r="K15" s="272">
        <v>2971415657.7836165</v>
      </c>
      <c r="L15" s="272">
        <v>2886123947.7580786</v>
      </c>
      <c r="M15" s="272">
        <v>1318895067.1522481</v>
      </c>
      <c r="N15" s="272">
        <v>3065627749.4810314</v>
      </c>
      <c r="O15" s="272">
        <v>1088824541.8067343</v>
      </c>
      <c r="P15" s="272">
        <v>397318039.6499998</v>
      </c>
      <c r="Q15" s="272">
        <v>787835371.72005892</v>
      </c>
      <c r="R15" s="272">
        <v>1691188088.7331123</v>
      </c>
      <c r="S15" s="271">
        <v>-43379667.981913865</v>
      </c>
      <c r="T15" s="271">
        <v>484863471.51999986</v>
      </c>
      <c r="U15" s="271">
        <v>31965922.400000002</v>
      </c>
      <c r="V15" s="271">
        <v>1978.61</v>
      </c>
      <c r="W15" s="271">
        <v>262720.87000000005</v>
      </c>
      <c r="X15" s="271">
        <v>970063.41999999993</v>
      </c>
      <c r="Y15" s="271">
        <v>12591670.512996154</v>
      </c>
      <c r="Z15" s="271">
        <v>28692856.952724136</v>
      </c>
      <c r="AA15" s="271">
        <v>97325693.404374152</v>
      </c>
      <c r="AB15" s="271">
        <v>39778192.460000001</v>
      </c>
      <c r="AC15" s="24">
        <f t="shared" si="1"/>
        <v>16228633558.919434</v>
      </c>
      <c r="AD15" s="91">
        <f t="shared" si="0"/>
        <v>102</v>
      </c>
      <c r="AF15" s="12"/>
      <c r="AG15" s="355"/>
    </row>
    <row r="16" spans="1:33">
      <c r="A16" s="91">
        <f t="shared" si="2"/>
        <v>103</v>
      </c>
      <c r="B16" s="377" t="s">
        <v>453</v>
      </c>
      <c r="C16" s="140">
        <f>'1-DRR'!$K$2</f>
        <v>2022</v>
      </c>
      <c r="D16" s="272">
        <v>-190640.07771477912</v>
      </c>
      <c r="E16" s="272">
        <v>19169307.284058198</v>
      </c>
      <c r="F16" s="272">
        <v>111728854.42906903</v>
      </c>
      <c r="G16" s="272">
        <v>11215420.640502907</v>
      </c>
      <c r="H16" s="272">
        <v>1213585868.2924798</v>
      </c>
      <c r="I16" s="272">
        <v>585947.59</v>
      </c>
      <c r="J16" s="272">
        <v>-12632839.580000002</v>
      </c>
      <c r="K16" s="272">
        <v>2991525143.8638887</v>
      </c>
      <c r="L16" s="272">
        <v>2892727109.3463297</v>
      </c>
      <c r="M16" s="272">
        <v>1325482689.9469655</v>
      </c>
      <c r="N16" s="272">
        <v>3075366275.7747836</v>
      </c>
      <c r="O16" s="272">
        <v>1096035598.7795231</v>
      </c>
      <c r="P16" s="272">
        <v>400721767.78999972</v>
      </c>
      <c r="Q16" s="272">
        <v>790331720.26061761</v>
      </c>
      <c r="R16" s="272">
        <v>1696894173.0047271</v>
      </c>
      <c r="S16" s="271">
        <v>-43101060.685884573</v>
      </c>
      <c r="T16" s="271">
        <v>490608229.86999995</v>
      </c>
      <c r="U16" s="271">
        <v>31965922.359999999</v>
      </c>
      <c r="V16" s="271">
        <v>2063.84</v>
      </c>
      <c r="W16" s="271">
        <v>273909.98000000004</v>
      </c>
      <c r="X16" s="271">
        <v>970063.43</v>
      </c>
      <c r="Y16" s="271">
        <v>12636442.716182169</v>
      </c>
      <c r="Z16" s="271">
        <v>28825936.408738405</v>
      </c>
      <c r="AA16" s="271">
        <v>97729141.188208997</v>
      </c>
      <c r="AB16" s="271">
        <v>39812983.800000004</v>
      </c>
      <c r="AC16" s="24">
        <f t="shared" si="1"/>
        <v>16272270030.252478</v>
      </c>
      <c r="AD16" s="91">
        <f t="shared" si="0"/>
        <v>103</v>
      </c>
      <c r="AF16" s="12"/>
      <c r="AG16" s="355"/>
    </row>
    <row r="17" spans="1:33">
      <c r="A17" s="91">
        <f t="shared" si="2"/>
        <v>104</v>
      </c>
      <c r="B17" s="377" t="s">
        <v>454</v>
      </c>
      <c r="C17" s="140">
        <f>'1-DRR'!$K$2</f>
        <v>2022</v>
      </c>
      <c r="D17" s="272">
        <v>-196831.77489278244</v>
      </c>
      <c r="E17" s="272">
        <v>19489248.757575795</v>
      </c>
      <c r="F17" s="272">
        <v>111929759.24684143</v>
      </c>
      <c r="G17" s="272">
        <v>11268297.058248058</v>
      </c>
      <c r="H17" s="272">
        <v>1212686885.5226529</v>
      </c>
      <c r="I17" s="272">
        <v>585947.59</v>
      </c>
      <c r="J17" s="272">
        <v>17500345.509999998</v>
      </c>
      <c r="K17" s="272">
        <v>3008736506.6641626</v>
      </c>
      <c r="L17" s="272">
        <v>2895231192.1445732</v>
      </c>
      <c r="M17" s="272">
        <v>1331755346.0616844</v>
      </c>
      <c r="N17" s="272">
        <v>3088112325.8385372</v>
      </c>
      <c r="O17" s="272">
        <v>1102640153.7523122</v>
      </c>
      <c r="P17" s="272">
        <v>403800635.94</v>
      </c>
      <c r="Q17" s="272">
        <v>792960005.82117891</v>
      </c>
      <c r="R17" s="272">
        <v>1702541289.4363444</v>
      </c>
      <c r="S17" s="271">
        <v>-42817340.929855265</v>
      </c>
      <c r="T17" s="271">
        <v>496091471.53999996</v>
      </c>
      <c r="U17" s="271">
        <v>31965922.420000002</v>
      </c>
      <c r="V17" s="271">
        <v>2149.0700000000002</v>
      </c>
      <c r="W17" s="271">
        <v>285097.73</v>
      </c>
      <c r="X17" s="271">
        <v>970063.43</v>
      </c>
      <c r="Y17" s="271">
        <v>12665241.009368176</v>
      </c>
      <c r="Z17" s="271">
        <v>28925245.444752645</v>
      </c>
      <c r="AA17" s="271">
        <v>98135084.122043774</v>
      </c>
      <c r="AB17" s="271">
        <v>39882947.949999973</v>
      </c>
      <c r="AC17" s="24">
        <f t="shared" si="1"/>
        <v>16365146989.355528</v>
      </c>
      <c r="AD17" s="91">
        <f t="shared" si="0"/>
        <v>104</v>
      </c>
      <c r="AF17" s="12"/>
      <c r="AG17" s="355"/>
    </row>
    <row r="18" spans="1:33">
      <c r="A18" s="91">
        <f t="shared" si="2"/>
        <v>105</v>
      </c>
      <c r="B18" s="377" t="s">
        <v>455</v>
      </c>
      <c r="C18" s="140">
        <f>'1-DRR'!$K$2</f>
        <v>2022</v>
      </c>
      <c r="D18" s="272">
        <v>-201348.25207078591</v>
      </c>
      <c r="E18" s="272">
        <v>19785405.311093368</v>
      </c>
      <c r="F18" s="272">
        <v>111891143.84461366</v>
      </c>
      <c r="G18" s="272">
        <v>11321190.915993171</v>
      </c>
      <c r="H18" s="272">
        <v>1222524399.8728218</v>
      </c>
      <c r="I18" s="272">
        <v>585722.40999999992</v>
      </c>
      <c r="J18" s="272">
        <v>17666156.530000001</v>
      </c>
      <c r="K18" s="272">
        <v>3027499939.4244461</v>
      </c>
      <c r="L18" s="272">
        <v>2900234145.4228239</v>
      </c>
      <c r="M18" s="272">
        <v>1338176882.566402</v>
      </c>
      <c r="N18" s="272">
        <v>3100101051.2122912</v>
      </c>
      <c r="O18" s="272">
        <v>1109504017.4650998</v>
      </c>
      <c r="P18" s="272">
        <v>407204519.02999973</v>
      </c>
      <c r="Q18" s="272">
        <v>795282322.821738</v>
      </c>
      <c r="R18" s="272">
        <v>1708288209.5179577</v>
      </c>
      <c r="S18" s="271">
        <v>-42834975.473825946</v>
      </c>
      <c r="T18" s="271">
        <v>501312638.71999979</v>
      </c>
      <c r="U18" s="271">
        <v>31965922.379999999</v>
      </c>
      <c r="V18" s="271">
        <v>2234.3000000000002</v>
      </c>
      <c r="W18" s="271">
        <v>296285.49</v>
      </c>
      <c r="X18" s="271">
        <v>970063.41999999993</v>
      </c>
      <c r="Y18" s="271">
        <v>12706537.512554191</v>
      </c>
      <c r="Z18" s="271">
        <v>29030350.490766864</v>
      </c>
      <c r="AA18" s="271">
        <v>98544670.305878595</v>
      </c>
      <c r="AB18" s="271">
        <v>40017314.009999998</v>
      </c>
      <c r="AC18" s="24">
        <f t="shared" si="1"/>
        <v>16441874799.248579</v>
      </c>
      <c r="AD18" s="91">
        <f t="shared" si="0"/>
        <v>105</v>
      </c>
      <c r="AF18" s="12"/>
      <c r="AG18" s="355"/>
    </row>
    <row r="19" spans="1:33">
      <c r="A19" s="91">
        <f t="shared" si="2"/>
        <v>106</v>
      </c>
      <c r="B19" s="377" t="s">
        <v>737</v>
      </c>
      <c r="C19" s="140">
        <f>'1-DRR'!$K$2</f>
        <v>2022</v>
      </c>
      <c r="D19" s="272">
        <v>-203186.69924878923</v>
      </c>
      <c r="E19" s="272">
        <v>20107304.774610963</v>
      </c>
      <c r="F19" s="272">
        <v>112035872.7223859</v>
      </c>
      <c r="G19" s="272">
        <v>11373960.973738283</v>
      </c>
      <c r="H19" s="272">
        <v>1227273282.7029929</v>
      </c>
      <c r="I19" s="272">
        <v>585367.34000000008</v>
      </c>
      <c r="J19" s="272">
        <v>17831967.550000001</v>
      </c>
      <c r="K19" s="272">
        <v>3049649423.9047289</v>
      </c>
      <c r="L19" s="272">
        <v>2907733495.2810698</v>
      </c>
      <c r="M19" s="272">
        <v>1344715909.1711216</v>
      </c>
      <c r="N19" s="272">
        <v>3113516916.5760431</v>
      </c>
      <c r="O19" s="272">
        <v>1117257826.2478898</v>
      </c>
      <c r="P19" s="272">
        <v>410698702.04000002</v>
      </c>
      <c r="Q19" s="272">
        <v>797944681.9322989</v>
      </c>
      <c r="R19" s="272">
        <v>1714235779.9395721</v>
      </c>
      <c r="S19" s="271">
        <v>-42516942.717796631</v>
      </c>
      <c r="T19" s="271">
        <v>506256658.99000013</v>
      </c>
      <c r="U19" s="271">
        <v>31965922.379999999</v>
      </c>
      <c r="V19" s="271">
        <v>2319.5300000000002</v>
      </c>
      <c r="W19" s="271">
        <v>307473.23000000004</v>
      </c>
      <c r="X19" s="271">
        <v>970063.42999999993</v>
      </c>
      <c r="Y19" s="271">
        <v>12742820.665740198</v>
      </c>
      <c r="Z19" s="271">
        <v>29159408.186781116</v>
      </c>
      <c r="AA19" s="271">
        <v>98958096.019713402</v>
      </c>
      <c r="AB19" s="271">
        <v>40078759.389999993</v>
      </c>
      <c r="AC19" s="24">
        <f t="shared" si="1"/>
        <v>16522681883.561642</v>
      </c>
      <c r="AD19" s="91">
        <f t="shared" si="0"/>
        <v>106</v>
      </c>
      <c r="AF19" s="12"/>
      <c r="AG19" s="355"/>
    </row>
    <row r="20" spans="1:33">
      <c r="A20" s="91">
        <f t="shared" si="2"/>
        <v>107</v>
      </c>
      <c r="B20" s="377" t="s">
        <v>457</v>
      </c>
      <c r="C20" s="140">
        <f>'1-DRR'!$K$2</f>
        <v>2022</v>
      </c>
      <c r="D20" s="272">
        <v>-203703.24642679261</v>
      </c>
      <c r="E20" s="272">
        <v>20429608.21812854</v>
      </c>
      <c r="F20" s="272">
        <v>112101141.58015828</v>
      </c>
      <c r="G20" s="272">
        <v>11424851.671483424</v>
      </c>
      <c r="H20" s="272">
        <v>1234087425.0231645</v>
      </c>
      <c r="I20" s="272">
        <v>581098.57999999996</v>
      </c>
      <c r="J20" s="272">
        <v>17997778.670000002</v>
      </c>
      <c r="K20" s="272">
        <v>3072379276.3550124</v>
      </c>
      <c r="L20" s="272">
        <v>2917766790.9893231</v>
      </c>
      <c r="M20" s="272">
        <v>1351697404.5958378</v>
      </c>
      <c r="N20" s="272">
        <v>3127013216.0897942</v>
      </c>
      <c r="O20" s="272">
        <v>1124192143.4606783</v>
      </c>
      <c r="P20" s="272">
        <v>414486069.50000024</v>
      </c>
      <c r="Q20" s="272">
        <v>800692977.58285725</v>
      </c>
      <c r="R20" s="272">
        <v>1720250036.9911878</v>
      </c>
      <c r="S20" s="271">
        <v>-42292148.601767316</v>
      </c>
      <c r="T20" s="271">
        <v>511015609.71000004</v>
      </c>
      <c r="U20" s="271">
        <v>31965922.41</v>
      </c>
      <c r="V20" s="271">
        <v>2404.7600000000002</v>
      </c>
      <c r="W20" s="271">
        <v>318660.99000000005</v>
      </c>
      <c r="X20" s="271">
        <v>970063.40999999992</v>
      </c>
      <c r="Y20" s="271">
        <v>12790805.158926213</v>
      </c>
      <c r="Z20" s="271">
        <v>29298598.422795355</v>
      </c>
      <c r="AA20" s="271">
        <v>99297279.073548213</v>
      </c>
      <c r="AB20" s="271">
        <v>40244998.599999987</v>
      </c>
      <c r="AC20" s="24">
        <f t="shared" si="1"/>
        <v>16608508309.994703</v>
      </c>
      <c r="AD20" s="91">
        <f t="shared" si="0"/>
        <v>107</v>
      </c>
      <c r="AF20" s="12"/>
      <c r="AG20" s="355"/>
    </row>
    <row r="21" spans="1:33">
      <c r="A21" s="91">
        <f t="shared" si="2"/>
        <v>108</v>
      </c>
      <c r="B21" s="377" t="s">
        <v>458</v>
      </c>
      <c r="C21" s="140">
        <f>'1-DRR'!$K$2</f>
        <v>2022</v>
      </c>
      <c r="D21" s="272">
        <v>-205887.5636047961</v>
      </c>
      <c r="E21" s="272">
        <v>20753053.101646122</v>
      </c>
      <c r="F21" s="272">
        <v>112036919.59793055</v>
      </c>
      <c r="G21" s="272">
        <v>11477760.699228544</v>
      </c>
      <c r="H21" s="272">
        <v>1240710417.3433361</v>
      </c>
      <c r="I21" s="272">
        <v>578092.71000000008</v>
      </c>
      <c r="J21" s="272">
        <v>18163589.66</v>
      </c>
      <c r="K21" s="272">
        <v>3092567621.145287</v>
      </c>
      <c r="L21" s="272">
        <v>2924645388.2975702</v>
      </c>
      <c r="M21" s="272">
        <v>1358088220.3905544</v>
      </c>
      <c r="N21" s="272">
        <v>3140054893.7435503</v>
      </c>
      <c r="O21" s="272">
        <v>1131075744.8634675</v>
      </c>
      <c r="P21" s="272">
        <v>417911242.15999985</v>
      </c>
      <c r="Q21" s="272">
        <v>803315358.37341774</v>
      </c>
      <c r="R21" s="272">
        <v>1726283948.0528021</v>
      </c>
      <c r="S21" s="271">
        <v>-42054824.145737983</v>
      </c>
      <c r="T21" s="271">
        <v>516436193.79999959</v>
      </c>
      <c r="U21" s="271">
        <v>31965922.329999998</v>
      </c>
      <c r="V21" s="271">
        <v>2495.98</v>
      </c>
      <c r="W21" s="271">
        <v>329848.72000000003</v>
      </c>
      <c r="X21" s="271">
        <v>934248.72</v>
      </c>
      <c r="Y21" s="271">
        <v>12825042.242112219</v>
      </c>
      <c r="Z21" s="271">
        <v>29407281.578809597</v>
      </c>
      <c r="AA21" s="271">
        <v>99679740.047382951</v>
      </c>
      <c r="AB21" s="271">
        <v>40319945.770000018</v>
      </c>
      <c r="AC21" s="24">
        <f t="shared" si="1"/>
        <v>16687302257.617752</v>
      </c>
      <c r="AD21" s="91">
        <f t="shared" si="0"/>
        <v>108</v>
      </c>
      <c r="AF21" s="12"/>
      <c r="AG21" s="355"/>
    </row>
    <row r="22" spans="1:33">
      <c r="A22" s="91">
        <f t="shared" si="2"/>
        <v>109</v>
      </c>
      <c r="B22" s="377" t="s">
        <v>459</v>
      </c>
      <c r="C22" s="140">
        <f>'1-DRR'!$K$2</f>
        <v>2022</v>
      </c>
      <c r="D22" s="272">
        <v>-198604.42166390945</v>
      </c>
      <c r="E22" s="272">
        <v>21077554.495165106</v>
      </c>
      <c r="F22" s="272">
        <v>111967425.10408683</v>
      </c>
      <c r="G22" s="272">
        <v>11528893.200441966</v>
      </c>
      <c r="H22" s="272">
        <v>1248383992.3748505</v>
      </c>
      <c r="I22" s="272">
        <v>573685.378937206</v>
      </c>
      <c r="J22" s="272">
        <v>18329400.818590298</v>
      </c>
      <c r="K22" s="272">
        <v>3111282750.4494591</v>
      </c>
      <c r="L22" s="272">
        <v>2935821538.5956922</v>
      </c>
      <c r="M22" s="272">
        <v>1365058891.9511368</v>
      </c>
      <c r="N22" s="272">
        <v>3152371404.4583702</v>
      </c>
      <c r="O22" s="272">
        <v>1136998378.3889256</v>
      </c>
      <c r="P22" s="272">
        <v>421324510.16244501</v>
      </c>
      <c r="Q22" s="272">
        <v>805720147.27925193</v>
      </c>
      <c r="R22" s="272">
        <v>1732926930.7763379</v>
      </c>
      <c r="S22" s="271">
        <v>-41823452.405978955</v>
      </c>
      <c r="T22" s="271">
        <v>520527833.04417801</v>
      </c>
      <c r="U22" s="271">
        <v>31965922.405146901</v>
      </c>
      <c r="V22" s="271">
        <v>2711.8399805387999</v>
      </c>
      <c r="W22" s="271">
        <v>341036.45322980999</v>
      </c>
      <c r="X22" s="271">
        <v>901010.43</v>
      </c>
      <c r="Y22" s="271">
        <v>12865826.960056132</v>
      </c>
      <c r="Z22" s="271">
        <v>29546345.727018546</v>
      </c>
      <c r="AA22" s="271">
        <v>100104487.56130476</v>
      </c>
      <c r="AB22" s="271">
        <v>40507820.4619243</v>
      </c>
      <c r="AC22" s="24">
        <f t="shared" si="1"/>
        <v>16768106441.488888</v>
      </c>
      <c r="AD22" s="91">
        <f t="shared" si="0"/>
        <v>109</v>
      </c>
      <c r="AF22" s="12"/>
      <c r="AG22" s="355"/>
    </row>
    <row r="23" spans="1:33">
      <c r="A23" s="91">
        <f t="shared" si="2"/>
        <v>110</v>
      </c>
      <c r="B23" s="377" t="s">
        <v>460</v>
      </c>
      <c r="C23" s="140">
        <f>'1-DRR'!$K$2</f>
        <v>2022</v>
      </c>
      <c r="D23" s="272">
        <v>-199109.75796080273</v>
      </c>
      <c r="E23" s="272">
        <v>21729357.888681289</v>
      </c>
      <c r="F23" s="272">
        <v>111870719.18347527</v>
      </c>
      <c r="G23" s="272">
        <v>11618400.784718789</v>
      </c>
      <c r="H23" s="272">
        <v>1256296538.8636763</v>
      </c>
      <c r="I23" s="272">
        <v>570822.14000000013</v>
      </c>
      <c r="J23" s="272">
        <v>18661022.800000001</v>
      </c>
      <c r="K23" s="272">
        <v>3149713060.3258414</v>
      </c>
      <c r="L23" s="272">
        <v>2959852707.8040752</v>
      </c>
      <c r="M23" s="272">
        <v>1378820637.5699914</v>
      </c>
      <c r="N23" s="272">
        <v>3182898472.381053</v>
      </c>
      <c r="O23" s="272">
        <v>1150065141.3790448</v>
      </c>
      <c r="P23" s="272">
        <v>428684351.9999997</v>
      </c>
      <c r="Q23" s="272">
        <v>808084335.55453825</v>
      </c>
      <c r="R23" s="272">
        <v>1746259948.5860329</v>
      </c>
      <c r="S23" s="271">
        <v>-41087179.723679349</v>
      </c>
      <c r="T23" s="271">
        <v>531046633.50999993</v>
      </c>
      <c r="U23" s="271">
        <v>31965922.41</v>
      </c>
      <c r="V23" s="271">
        <v>4083.8100000000004</v>
      </c>
      <c r="W23" s="271">
        <v>365704.58</v>
      </c>
      <c r="X23" s="271">
        <v>892345.21000000008</v>
      </c>
      <c r="Y23" s="271">
        <v>12953873.318484237</v>
      </c>
      <c r="Z23" s="271">
        <v>29829113.070838094</v>
      </c>
      <c r="AA23" s="271">
        <v>100949974.96505263</v>
      </c>
      <c r="AB23" s="271">
        <v>40868323.869999997</v>
      </c>
      <c r="AC23" s="24">
        <f t="shared" si="1"/>
        <v>16932715202.523865</v>
      </c>
      <c r="AD23" s="91">
        <f t="shared" si="0"/>
        <v>110</v>
      </c>
      <c r="AF23" s="12"/>
      <c r="AG23" s="355"/>
    </row>
    <row r="24" spans="1:33">
      <c r="A24" s="91">
        <f t="shared" si="2"/>
        <v>111</v>
      </c>
      <c r="B24" s="377" t="s">
        <v>461</v>
      </c>
      <c r="C24" s="140">
        <f>'1-DRR'!$K$2</f>
        <v>2022</v>
      </c>
      <c r="D24" s="272">
        <v>-198654.84513880621</v>
      </c>
      <c r="E24" s="272">
        <v>21400682.20219887</v>
      </c>
      <c r="F24" s="272">
        <v>111833924.39124747</v>
      </c>
      <c r="G24" s="272">
        <v>11580523.002463914</v>
      </c>
      <c r="H24" s="272">
        <v>1247902611.4138455</v>
      </c>
      <c r="I24" s="272">
        <v>571039.5</v>
      </c>
      <c r="J24" s="272">
        <v>18495211.739999998</v>
      </c>
      <c r="K24" s="272">
        <v>3132541514.6461258</v>
      </c>
      <c r="L24" s="272">
        <v>2947643473.2523165</v>
      </c>
      <c r="M24" s="272">
        <v>1371349261.5047092</v>
      </c>
      <c r="N24" s="272">
        <v>3167427331.2648063</v>
      </c>
      <c r="O24" s="272">
        <v>1143702501.0318329</v>
      </c>
      <c r="P24" s="272">
        <v>424508487.38</v>
      </c>
      <c r="Q24" s="272">
        <v>807810860.24509895</v>
      </c>
      <c r="R24" s="272">
        <v>1739592259.2476482</v>
      </c>
      <c r="S24" s="271">
        <v>-41604868.317650005</v>
      </c>
      <c r="T24" s="271">
        <v>525550595.21000004</v>
      </c>
      <c r="U24" s="271">
        <v>31965922.390000001</v>
      </c>
      <c r="V24" s="271">
        <v>3027.38</v>
      </c>
      <c r="W24" s="271">
        <v>352224.36</v>
      </c>
      <c r="X24" s="271">
        <v>891488.41999999993</v>
      </c>
      <c r="Y24" s="271">
        <v>12907696.281670252</v>
      </c>
      <c r="Z24" s="271">
        <v>29687151.046852339</v>
      </c>
      <c r="AA24" s="271">
        <v>100527056.30888738</v>
      </c>
      <c r="AB24" s="271">
        <v>40708111.5</v>
      </c>
      <c r="AC24" s="24">
        <f t="shared" si="1"/>
        <v>16847149430.556915</v>
      </c>
      <c r="AD24" s="91">
        <f t="shared" si="0"/>
        <v>111</v>
      </c>
      <c r="AE24" s="355"/>
      <c r="AF24" s="12"/>
      <c r="AG24" s="355"/>
    </row>
    <row r="25" spans="1:33">
      <c r="A25" s="91">
        <f t="shared" si="2"/>
        <v>112</v>
      </c>
      <c r="B25" s="377" t="s">
        <v>449</v>
      </c>
      <c r="C25" s="140">
        <f>'1-DRR'!$K$2</f>
        <v>2022</v>
      </c>
      <c r="D25" s="272">
        <v>-197544.4623168096</v>
      </c>
      <c r="E25" s="272">
        <v>22052734.475716453</v>
      </c>
      <c r="F25" s="272">
        <v>111756939.53901976</v>
      </c>
      <c r="G25" s="272">
        <v>11666495.067954164</v>
      </c>
      <c r="H25" s="272">
        <v>1261256547.5140157</v>
      </c>
      <c r="I25" s="272">
        <v>571855.74999999977</v>
      </c>
      <c r="J25" s="272">
        <v>18826833.789999995</v>
      </c>
      <c r="K25" s="272">
        <v>3186854671.1102977</v>
      </c>
      <c r="L25" s="272">
        <v>2972783262.7249093</v>
      </c>
      <c r="M25" s="272">
        <v>1377945407.619427</v>
      </c>
      <c r="N25" s="272">
        <v>3198603428.6785583</v>
      </c>
      <c r="O25" s="272">
        <v>1160745622.9646215</v>
      </c>
      <c r="P25" s="272">
        <v>432103820.03999996</v>
      </c>
      <c r="Q25" s="272">
        <v>811115090.8456589</v>
      </c>
      <c r="R25" s="272">
        <v>1753848382.1192636</v>
      </c>
      <c r="S25" s="271">
        <v>-40733161.111620694</v>
      </c>
      <c r="T25" s="271">
        <v>537027612.11000001</v>
      </c>
      <c r="U25" s="271">
        <v>31965922.390000001</v>
      </c>
      <c r="V25" s="271">
        <v>7791.24</v>
      </c>
      <c r="W25" s="271">
        <v>379189.36999999994</v>
      </c>
      <c r="X25" s="271">
        <v>890851.9</v>
      </c>
      <c r="Y25" s="271">
        <v>12996411.564856259</v>
      </c>
      <c r="Z25" s="271">
        <v>29965560.502866585</v>
      </c>
      <c r="AA25" s="271">
        <v>101371640.81272216</v>
      </c>
      <c r="AB25" s="271">
        <v>41032164.729999997</v>
      </c>
      <c r="AC25" s="24">
        <f t="shared" si="1"/>
        <v>17034837531.28595</v>
      </c>
      <c r="AD25" s="91">
        <f t="shared" si="0"/>
        <v>112</v>
      </c>
      <c r="AE25" s="355"/>
      <c r="AF25" s="12"/>
      <c r="AG25" s="355"/>
    </row>
    <row r="26" spans="1:33">
      <c r="A26" s="91">
        <f t="shared" si="2"/>
        <v>113</v>
      </c>
      <c r="B26" s="699" t="s">
        <v>738</v>
      </c>
      <c r="C26" s="489"/>
      <c r="D26" s="696">
        <f>SUM(D13:D25)/13</f>
        <v>-192554.76854733622</v>
      </c>
      <c r="E26" s="696">
        <f t="shared" ref="E26:Q26" si="3">SUM(E13:E25)/13</f>
        <v>20122036.879995678</v>
      </c>
      <c r="F26" s="696">
        <f t="shared" si="3"/>
        <v>111799955.37380007</v>
      </c>
      <c r="G26" s="696">
        <f t="shared" si="3"/>
        <v>11369635.733031966</v>
      </c>
      <c r="H26" s="696">
        <f t="shared" si="3"/>
        <v>1228582182.429251</v>
      </c>
      <c r="I26" s="696">
        <f t="shared" si="3"/>
        <v>580570.90222593886</v>
      </c>
      <c r="J26" s="696">
        <f t="shared" si="3"/>
        <v>15526784.982968483</v>
      </c>
      <c r="K26" s="696">
        <f t="shared" si="3"/>
        <v>3051132810.515696</v>
      </c>
      <c r="L26" s="696">
        <f t="shared" si="3"/>
        <v>2914279621.4871769</v>
      </c>
      <c r="M26" s="696">
        <f t="shared" si="3"/>
        <v>1344616280.9354177</v>
      </c>
      <c r="N26" s="696">
        <f t="shared" si="3"/>
        <v>3115678733.368433</v>
      </c>
      <c r="O26" s="696">
        <f t="shared" si="3"/>
        <v>1116660411.6734796</v>
      </c>
      <c r="P26" s="696">
        <f t="shared" si="3"/>
        <v>410981358.34095728</v>
      </c>
      <c r="Q26" s="696">
        <f t="shared" si="3"/>
        <v>797546919.04962718</v>
      </c>
      <c r="R26" s="696">
        <f>SUM(R13:R25)/13</f>
        <v>1715159058.1166434</v>
      </c>
      <c r="S26" s="696">
        <f t="shared" ref="S26:AC26" si="4">SUM(S13:S25)/13</f>
        <v>-42471301.011355877</v>
      </c>
      <c r="T26" s="696">
        <f t="shared" si="4"/>
        <v>505676463.45570594</v>
      </c>
      <c r="U26" s="696">
        <f t="shared" si="4"/>
        <v>31965922.3850113</v>
      </c>
      <c r="V26" s="696">
        <f t="shared" si="4"/>
        <v>2843.2223061952927</v>
      </c>
      <c r="W26" s="696">
        <f t="shared" si="4"/>
        <v>308082.6110176777</v>
      </c>
      <c r="X26" s="696">
        <f t="shared" si="4"/>
        <v>943880.92692307697</v>
      </c>
      <c r="Y26" s="696">
        <f t="shared" si="4"/>
        <v>12750729.405336959</v>
      </c>
      <c r="Z26" s="696">
        <f t="shared" si="4"/>
        <v>29180959.615411475</v>
      </c>
      <c r="AA26" s="696">
        <f t="shared" si="4"/>
        <v>98930799.292797014</v>
      </c>
      <c r="AB26" s="696">
        <f t="shared" si="4"/>
        <v>40191877.200917251</v>
      </c>
      <c r="AC26" s="696">
        <f t="shared" si="4"/>
        <v>16531324062.124228</v>
      </c>
      <c r="AD26" s="91">
        <f t="shared" si="0"/>
        <v>113</v>
      </c>
      <c r="AE26" s="355"/>
      <c r="AF26" s="12"/>
      <c r="AG26" s="355"/>
    </row>
    <row r="27" spans="1:33">
      <c r="A27" s="18"/>
      <c r="B27" s="8"/>
      <c r="C27" s="8"/>
      <c r="D27" s="8"/>
      <c r="E27" s="8"/>
      <c r="F27" s="8"/>
      <c r="G27" s="8"/>
      <c r="H27" s="8"/>
      <c r="I27" s="8"/>
      <c r="J27" s="8"/>
      <c r="K27" s="8"/>
      <c r="L27" s="8"/>
      <c r="M27" s="8"/>
      <c r="N27" s="8"/>
      <c r="O27" s="8"/>
      <c r="P27" s="8"/>
      <c r="Q27" s="8"/>
      <c r="AD27" s="91"/>
    </row>
    <row r="28" spans="1:33">
      <c r="A28" s="18"/>
      <c r="B28" s="8"/>
      <c r="C28" s="8"/>
      <c r="D28" s="8"/>
      <c r="E28" s="8"/>
      <c r="F28" s="8"/>
      <c r="G28" s="8"/>
      <c r="H28" s="8"/>
      <c r="I28" s="8"/>
      <c r="J28" s="8"/>
      <c r="K28" s="8"/>
      <c r="L28" s="8"/>
      <c r="M28" s="8"/>
      <c r="N28" s="8"/>
      <c r="O28" s="8"/>
      <c r="P28" s="8"/>
      <c r="Q28" s="8"/>
      <c r="V28" s="19"/>
      <c r="W28" s="19"/>
      <c r="AD28" s="91"/>
    </row>
    <row r="29" spans="1:33">
      <c r="B29" s="45" t="s">
        <v>881</v>
      </c>
      <c r="C29" s="45"/>
      <c r="D29" s="103"/>
      <c r="E29" s="103"/>
      <c r="F29" s="43"/>
      <c r="G29" s="43"/>
      <c r="H29" s="43"/>
      <c r="I29" s="103"/>
      <c r="J29" s="103"/>
      <c r="K29" s="103"/>
      <c r="L29" s="103"/>
      <c r="M29" s="103"/>
      <c r="N29" s="103"/>
      <c r="O29" s="103"/>
      <c r="P29" s="103"/>
      <c r="Q29" s="103"/>
      <c r="R29" s="43"/>
      <c r="S29" s="43"/>
      <c r="T29" s="43"/>
      <c r="U29" s="43"/>
      <c r="V29" s="43"/>
      <c r="W29" s="43"/>
      <c r="X29" s="43"/>
      <c r="Y29" s="43"/>
      <c r="Z29" s="43"/>
      <c r="AA29" s="43"/>
      <c r="AB29" s="43"/>
      <c r="AC29" s="43"/>
    </row>
    <row r="30" spans="1:33">
      <c r="B30" s="377" t="s">
        <v>882</v>
      </c>
      <c r="C30" s="2"/>
      <c r="D30" s="8"/>
      <c r="E30" s="8"/>
      <c r="I30" s="8"/>
      <c r="J30" s="8"/>
      <c r="K30" s="8"/>
      <c r="L30" s="8"/>
      <c r="M30" s="8"/>
      <c r="N30" s="8"/>
      <c r="O30" s="8"/>
      <c r="P30" s="8"/>
      <c r="Q30" s="8"/>
    </row>
    <row r="31" spans="1:33">
      <c r="C31" s="2"/>
      <c r="D31" s="8"/>
      <c r="E31" s="8"/>
      <c r="I31" s="8"/>
      <c r="J31" s="8"/>
      <c r="K31" s="8"/>
      <c r="L31" s="8"/>
      <c r="M31" s="8"/>
      <c r="N31" s="8"/>
      <c r="O31" s="8"/>
      <c r="P31" s="8"/>
      <c r="Q31" s="8"/>
    </row>
    <row r="32" spans="1:33">
      <c r="C32" s="2"/>
      <c r="D32" s="8"/>
      <c r="E32" s="8"/>
      <c r="I32" s="8"/>
      <c r="J32" s="8"/>
      <c r="K32" s="8"/>
      <c r="L32" s="8"/>
      <c r="M32" s="8"/>
      <c r="N32" s="8"/>
      <c r="O32" s="8"/>
      <c r="P32" s="8"/>
      <c r="Q32" s="8"/>
    </row>
    <row r="33" spans="1:30">
      <c r="A33" s="4"/>
      <c r="D33" s="83" t="s">
        <v>124</v>
      </c>
      <c r="E33" s="83" t="s">
        <v>125</v>
      </c>
      <c r="F33" s="83" t="s">
        <v>126</v>
      </c>
      <c r="G33" s="83" t="s">
        <v>127</v>
      </c>
      <c r="H33" s="83" t="s">
        <v>420</v>
      </c>
      <c r="I33" s="83" t="s">
        <v>421</v>
      </c>
      <c r="J33" s="83" t="s">
        <v>422</v>
      </c>
      <c r="K33" s="83" t="s">
        <v>423</v>
      </c>
      <c r="L33" s="83" t="s">
        <v>424</v>
      </c>
      <c r="M33" s="83" t="s">
        <v>692</v>
      </c>
      <c r="N33" s="83" t="s">
        <v>693</v>
      </c>
      <c r="O33" s="83" t="s">
        <v>694</v>
      </c>
      <c r="P33" s="83" t="s">
        <v>695</v>
      </c>
      <c r="Q33" s="83" t="s">
        <v>696</v>
      </c>
      <c r="R33" s="83" t="s">
        <v>697</v>
      </c>
      <c r="S33" s="83" t="s">
        <v>698</v>
      </c>
      <c r="T33" s="83" t="s">
        <v>699</v>
      </c>
      <c r="U33" s="83" t="s">
        <v>700</v>
      </c>
      <c r="V33" s="83" t="s">
        <v>701</v>
      </c>
      <c r="W33" s="83" t="s">
        <v>702</v>
      </c>
      <c r="X33" s="83" t="s">
        <v>703</v>
      </c>
      <c r="Y33" s="83" t="s">
        <v>704</v>
      </c>
      <c r="Z33" s="83" t="s">
        <v>705</v>
      </c>
      <c r="AA33" s="83" t="s">
        <v>706</v>
      </c>
      <c r="AB33" s="83" t="s">
        <v>707</v>
      </c>
      <c r="AC33" s="83" t="s">
        <v>708</v>
      </c>
    </row>
    <row r="34" spans="1:30" ht="43.5">
      <c r="D34" s="379" t="s">
        <v>741</v>
      </c>
      <c r="E34" s="379" t="s">
        <v>742</v>
      </c>
      <c r="F34" s="379" t="s">
        <v>743</v>
      </c>
      <c r="G34" s="379" t="s">
        <v>744</v>
      </c>
      <c r="H34" s="379" t="s">
        <v>745</v>
      </c>
      <c r="I34" s="379" t="s">
        <v>746</v>
      </c>
      <c r="J34" s="379" t="s">
        <v>747</v>
      </c>
      <c r="K34" s="379" t="s">
        <v>748</v>
      </c>
      <c r="L34" s="379" t="s">
        <v>749</v>
      </c>
      <c r="M34" s="379" t="s">
        <v>750</v>
      </c>
      <c r="N34" s="379" t="s">
        <v>751</v>
      </c>
      <c r="O34" s="379" t="s">
        <v>752</v>
      </c>
      <c r="P34" s="379" t="s">
        <v>753</v>
      </c>
      <c r="Q34" s="379" t="s">
        <v>754</v>
      </c>
      <c r="R34" s="379" t="s">
        <v>755</v>
      </c>
      <c r="S34" s="379" t="s">
        <v>756</v>
      </c>
      <c r="T34" s="379" t="s">
        <v>757</v>
      </c>
      <c r="U34" s="379" t="s">
        <v>758</v>
      </c>
      <c r="V34" s="379" t="s">
        <v>759</v>
      </c>
      <c r="W34" s="379" t="s">
        <v>760</v>
      </c>
      <c r="X34" s="379" t="s">
        <v>761</v>
      </c>
      <c r="Y34" s="379" t="s">
        <v>762</v>
      </c>
      <c r="Z34" s="379" t="s">
        <v>763</v>
      </c>
      <c r="AA34" s="379" t="s">
        <v>764</v>
      </c>
      <c r="AB34" s="379" t="s">
        <v>765</v>
      </c>
      <c r="AC34" s="133" t="s">
        <v>709</v>
      </c>
    </row>
    <row r="35" spans="1:30">
      <c r="B35" s="4"/>
      <c r="C35" s="4"/>
      <c r="L35" s="107"/>
      <c r="R35" s="21"/>
      <c r="S35" s="21"/>
      <c r="T35" s="21"/>
      <c r="AC35" s="21"/>
    </row>
    <row r="36" spans="1:30">
      <c r="A36" s="91"/>
      <c r="B36" s="91"/>
      <c r="C36" s="90" t="s">
        <v>710</v>
      </c>
      <c r="D36" s="84">
        <v>360</v>
      </c>
      <c r="E36" s="84">
        <v>360</v>
      </c>
      <c r="F36" s="84">
        <v>361</v>
      </c>
      <c r="G36" s="84">
        <v>361</v>
      </c>
      <c r="H36" s="84">
        <v>362</v>
      </c>
      <c r="I36" s="84">
        <v>363</v>
      </c>
      <c r="J36" s="84">
        <v>363</v>
      </c>
      <c r="K36" s="84">
        <v>364</v>
      </c>
      <c r="L36" s="84">
        <v>365</v>
      </c>
      <c r="M36" s="84">
        <v>366</v>
      </c>
      <c r="N36" s="84">
        <v>367</v>
      </c>
      <c r="O36" s="84">
        <v>368</v>
      </c>
      <c r="P36" s="84">
        <v>368</v>
      </c>
      <c r="Q36" s="84">
        <v>369</v>
      </c>
      <c r="R36" s="84">
        <v>369</v>
      </c>
      <c r="S36" s="84">
        <v>370</v>
      </c>
      <c r="T36" s="84">
        <v>370</v>
      </c>
      <c r="U36" s="84">
        <v>371</v>
      </c>
      <c r="V36" s="84">
        <v>371</v>
      </c>
      <c r="W36" s="84">
        <v>371</v>
      </c>
      <c r="X36" s="84">
        <v>372</v>
      </c>
      <c r="Y36" s="84">
        <v>373</v>
      </c>
      <c r="Z36" s="84">
        <v>373</v>
      </c>
      <c r="AA36" s="84">
        <v>373</v>
      </c>
      <c r="AB36" s="84">
        <v>373</v>
      </c>
    </row>
    <row r="37" spans="1:30">
      <c r="A37" s="80" t="s">
        <v>92</v>
      </c>
      <c r="B37" s="80" t="s">
        <v>440</v>
      </c>
      <c r="C37" s="80" t="s">
        <v>441</v>
      </c>
      <c r="D37" s="83" t="s">
        <v>711</v>
      </c>
      <c r="E37" s="83" t="s">
        <v>712</v>
      </c>
      <c r="F37" s="83" t="s">
        <v>713</v>
      </c>
      <c r="G37" s="83" t="s">
        <v>714</v>
      </c>
      <c r="H37" s="83" t="s">
        <v>715</v>
      </c>
      <c r="I37" s="83" t="s">
        <v>716</v>
      </c>
      <c r="J37" s="83" t="s">
        <v>717</v>
      </c>
      <c r="K37" s="83" t="s">
        <v>718</v>
      </c>
      <c r="L37" s="83" t="s">
        <v>719</v>
      </c>
      <c r="M37" s="83" t="s">
        <v>720</v>
      </c>
      <c r="N37" s="83" t="s">
        <v>721</v>
      </c>
      <c r="O37" s="83" t="s">
        <v>722</v>
      </c>
      <c r="P37" s="83" t="s">
        <v>723</v>
      </c>
      <c r="Q37" s="83" t="s">
        <v>724</v>
      </c>
      <c r="R37" s="83" t="s">
        <v>725</v>
      </c>
      <c r="S37" s="83" t="s">
        <v>726</v>
      </c>
      <c r="T37" s="83" t="s">
        <v>727</v>
      </c>
      <c r="U37" s="83" t="s">
        <v>728</v>
      </c>
      <c r="V37" s="83" t="s">
        <v>729</v>
      </c>
      <c r="W37" s="83" t="s">
        <v>730</v>
      </c>
      <c r="X37" s="83" t="s">
        <v>731</v>
      </c>
      <c r="Y37" s="83" t="s">
        <v>732</v>
      </c>
      <c r="Z37" s="83" t="s">
        <v>733</v>
      </c>
      <c r="AA37" s="83" t="s">
        <v>734</v>
      </c>
      <c r="AB37" s="83" t="s">
        <v>735</v>
      </c>
      <c r="AC37" s="80" t="s">
        <v>736</v>
      </c>
      <c r="AD37" s="80" t="str">
        <f t="shared" ref="AD37:AD51" si="5">A37</f>
        <v>Line</v>
      </c>
    </row>
    <row r="38" spans="1:30">
      <c r="A38" s="91">
        <v>200</v>
      </c>
      <c r="B38" s="377" t="s">
        <v>449</v>
      </c>
      <c r="C38" s="140">
        <f>'1-DRR'!$K$2-1</f>
        <v>2021</v>
      </c>
      <c r="D38" s="275">
        <f>D$13*'6-PlantJurisdiction'!$E$37</f>
        <v>-77165.512475530733</v>
      </c>
      <c r="E38" s="275">
        <f>E$13*'6-PlantJurisdiction'!$E$37</f>
        <v>9236113.2048566882</v>
      </c>
      <c r="F38" s="275">
        <f>F$13*'6-PlantJurisdiction'!$E$38</f>
        <v>111221907.94575228</v>
      </c>
      <c r="G38" s="275">
        <f>G$13*'6-PlantJurisdiction'!$E$38</f>
        <v>11057063.48687187</v>
      </c>
      <c r="H38" s="275">
        <f>H$13*'6-PlantJurisdiction'!$E$39</f>
        <v>1194487029.7819712</v>
      </c>
      <c r="I38" s="275">
        <f>I$13*'6-PlantJurisdiction'!$E$40</f>
        <v>585947.57000000007</v>
      </c>
      <c r="J38" s="275">
        <f>J$13*'6-PlantJurisdiction'!$E$40</f>
        <v>16837101.329999998</v>
      </c>
      <c r="K38" s="275">
        <f>K$13*'6-PlantJurisdiction'!$E$41</f>
        <v>2316800575.6038218</v>
      </c>
      <c r="L38" s="275">
        <f>L$13*'6-PlantJurisdiction'!$E$42</f>
        <v>2272305741.3444252</v>
      </c>
      <c r="M38" s="275">
        <f>M$13*'6-PlantJurisdiction'!$E$43</f>
        <v>511529032.42413914</v>
      </c>
      <c r="N38" s="275">
        <f>N$13*'6-PlantJurisdiction'!$E$44</f>
        <v>1191510503.0526237</v>
      </c>
      <c r="O38" s="275">
        <f>O$13*'6-PlantJurisdiction'!$E$45</f>
        <v>0</v>
      </c>
      <c r="P38" s="275">
        <f>P$13*'6-PlantJurisdiction'!$E$45</f>
        <v>0</v>
      </c>
      <c r="Q38" s="275">
        <f>Q$13*'6-PlantJurisdiction'!$E$46</f>
        <v>0</v>
      </c>
      <c r="R38" s="275">
        <f>R$13*'6-PlantJurisdiction'!$E$46</f>
        <v>0</v>
      </c>
      <c r="S38" s="275">
        <f>S$13*'6-PlantJurisdiction'!$E$47</f>
        <v>0</v>
      </c>
      <c r="T38" s="275">
        <f>T$13*'6-PlantJurisdiction'!$E$47</f>
        <v>0</v>
      </c>
      <c r="U38" s="275">
        <f>U$13*'6-PlantJurisdiction'!$E$48</f>
        <v>0</v>
      </c>
      <c r="V38" s="275">
        <f>V$13*'6-PlantJurisdiction'!$E$48</f>
        <v>0</v>
      </c>
      <c r="W38" s="275">
        <f>W$13*'6-PlantJurisdiction'!$E$48</f>
        <v>0</v>
      </c>
      <c r="X38" s="275">
        <f>X$13*'6-PlantJurisdiction'!$E$49</f>
        <v>0</v>
      </c>
      <c r="Y38" s="275">
        <f>Y$13*'6-PlantJurisdiction'!$E$50</f>
        <v>0</v>
      </c>
      <c r="Z38" s="275">
        <f>Z$13*'6-PlantJurisdiction'!$E$50</f>
        <v>0</v>
      </c>
      <c r="AA38" s="275">
        <f>AA$13*'6-PlantJurisdiction'!$E$50</f>
        <v>0</v>
      </c>
      <c r="AB38" s="275">
        <f>AB$13*'6-PlantJurisdiction'!$E$50</f>
        <v>0</v>
      </c>
      <c r="AC38" s="24">
        <f t="shared" ref="AC38:AC50" si="6">SUM(D38:AB38)</f>
        <v>7635493850.231986</v>
      </c>
      <c r="AD38" s="91">
        <f t="shared" si="5"/>
        <v>200</v>
      </c>
    </row>
    <row r="39" spans="1:30">
      <c r="A39" s="91">
        <f>A38+1</f>
        <v>201</v>
      </c>
      <c r="B39" s="377" t="s">
        <v>451</v>
      </c>
      <c r="C39" s="140">
        <f>'1-DRR'!$K$2</f>
        <v>2022</v>
      </c>
      <c r="D39" s="275">
        <f>D$14*'6-PlantJurisdiction'!$E$37</f>
        <v>-86811.538873656755</v>
      </c>
      <c r="E39" s="275">
        <f>E$14*'6-PlantJurisdiction'!$E$37</f>
        <v>9398004.9170601517</v>
      </c>
      <c r="F39" s="275">
        <f>F$14*'6-PlantJurisdiction'!$E$38</f>
        <v>111400383.86352415</v>
      </c>
      <c r="G39" s="275">
        <f>G$14*'6-PlantJurisdiction'!$E$38</f>
        <v>11109799.555012669</v>
      </c>
      <c r="H39" s="275">
        <f>H$14*'6-PlantJurisdiction'!$E$39</f>
        <v>1203248478.3321421</v>
      </c>
      <c r="I39" s="275">
        <f>I$14*'6-PlantJurisdiction'!$E$40</f>
        <v>585947.6</v>
      </c>
      <c r="J39" s="275">
        <f>J$14*'6-PlantJurisdiction'!$E$40</f>
        <v>17002912.560000002</v>
      </c>
      <c r="K39" s="275">
        <f>K$14*'6-PlantJurisdiction'!$E$41</f>
        <v>2334495391.6667356</v>
      </c>
      <c r="L39" s="275">
        <f>L$14*'6-PlantJurisdiction'!$E$42</f>
        <v>2279564256.4392791</v>
      </c>
      <c r="M39" s="275">
        <f>M$14*'6-PlantJurisdiction'!$E$43</f>
        <v>514118146.48957789</v>
      </c>
      <c r="N39" s="275">
        <f>N$14*'6-PlantJurisdiction'!$E$44</f>
        <v>1195399319.5016549</v>
      </c>
      <c r="O39" s="275">
        <f>O$14*'6-PlantJurisdiction'!$E$45</f>
        <v>0</v>
      </c>
      <c r="P39" s="275">
        <f>P$14*'6-PlantJurisdiction'!$E$45</f>
        <v>0</v>
      </c>
      <c r="Q39" s="275">
        <f>Q$14*'6-PlantJurisdiction'!$E$46</f>
        <v>0</v>
      </c>
      <c r="R39" s="275">
        <f>R$14*'6-PlantJurisdiction'!$E$46</f>
        <v>0</v>
      </c>
      <c r="S39" s="275">
        <f>S$14*'6-PlantJurisdiction'!$E$47</f>
        <v>0</v>
      </c>
      <c r="T39" s="275">
        <f>T$14*'6-PlantJurisdiction'!$E$47</f>
        <v>0</v>
      </c>
      <c r="U39" s="275">
        <f>U$14*'6-PlantJurisdiction'!$E$48</f>
        <v>0</v>
      </c>
      <c r="V39" s="275">
        <f>V$14*'6-PlantJurisdiction'!$E$48</f>
        <v>0</v>
      </c>
      <c r="W39" s="275">
        <f>W$14*'6-PlantJurisdiction'!$E$48</f>
        <v>0</v>
      </c>
      <c r="X39" s="275">
        <f>X$14*'6-PlantJurisdiction'!$E$49</f>
        <v>0</v>
      </c>
      <c r="Y39" s="275">
        <f>Y$14*'6-PlantJurisdiction'!$E$50</f>
        <v>0</v>
      </c>
      <c r="Z39" s="275">
        <f>Z$14*'6-PlantJurisdiction'!$E$50</f>
        <v>0</v>
      </c>
      <c r="AA39" s="275">
        <f>AA$14*'6-PlantJurisdiction'!$E$50</f>
        <v>0</v>
      </c>
      <c r="AB39" s="275">
        <f>AB$14*'6-PlantJurisdiction'!$E$50</f>
        <v>0</v>
      </c>
      <c r="AC39" s="24">
        <f t="shared" si="6"/>
        <v>7676235829.3861132</v>
      </c>
      <c r="AD39" s="91">
        <f t="shared" si="5"/>
        <v>201</v>
      </c>
    </row>
    <row r="40" spans="1:30">
      <c r="A40" s="91">
        <f t="shared" ref="A40:A51" si="7">A39+1</f>
        <v>202</v>
      </c>
      <c r="B40" s="377" t="s">
        <v>452</v>
      </c>
      <c r="C40" s="140">
        <f>'1-DRR'!$K$2</f>
        <v>2022</v>
      </c>
      <c r="D40" s="275">
        <f>D$15*'6-PlantJurisdiction'!$E$37</f>
        <v>-93507.363015668845</v>
      </c>
      <c r="E40" s="275">
        <f>E$15*'6-PlantJurisdiction'!$E$37</f>
        <v>9559905.6515990626</v>
      </c>
      <c r="F40" s="275">
        <f>F$15*'6-PlantJurisdiction'!$E$38</f>
        <v>111624428.41129641</v>
      </c>
      <c r="G40" s="275">
        <f>G$15*'6-PlantJurisdiction'!$E$38</f>
        <v>11162607.472757785</v>
      </c>
      <c r="H40" s="275">
        <f>H$15*'6-PlantJurisdiction'!$E$39</f>
        <v>1209124894.5423136</v>
      </c>
      <c r="I40" s="275">
        <f>I$15*'6-PlantJurisdiction'!$E$40</f>
        <v>585947.56999999983</v>
      </c>
      <c r="J40" s="275">
        <f>J$15*'6-PlantJurisdiction'!$E$40</f>
        <v>17168723.399999999</v>
      </c>
      <c r="K40" s="275">
        <f>K$15*'6-PlantJurisdiction'!$E$41</f>
        <v>2354278191.527894</v>
      </c>
      <c r="L40" s="275">
        <f>L$15*'6-PlantJurisdiction'!$E$42</f>
        <v>2286700835.8303666</v>
      </c>
      <c r="M40" s="275">
        <f>M$15*'6-PlantJurisdiction'!$E$43</f>
        <v>516695036.33683938</v>
      </c>
      <c r="N40" s="275">
        <f>N$15*'6-PlantJurisdiction'!$E$44</f>
        <v>1201001262.9992454</v>
      </c>
      <c r="O40" s="275">
        <f>O$15*'6-PlantJurisdiction'!$E$45</f>
        <v>0</v>
      </c>
      <c r="P40" s="275">
        <f>P$15*'6-PlantJurisdiction'!$E$45</f>
        <v>0</v>
      </c>
      <c r="Q40" s="275">
        <f>Q$15*'6-PlantJurisdiction'!$E$46</f>
        <v>0</v>
      </c>
      <c r="R40" s="275">
        <f>R$15*'6-PlantJurisdiction'!$E$46</f>
        <v>0</v>
      </c>
      <c r="S40" s="275">
        <f>S$15*'6-PlantJurisdiction'!$E$47</f>
        <v>0</v>
      </c>
      <c r="T40" s="275">
        <f>T$15*'6-PlantJurisdiction'!$E$47</f>
        <v>0</v>
      </c>
      <c r="U40" s="275">
        <f>U$15*'6-PlantJurisdiction'!$E$48</f>
        <v>0</v>
      </c>
      <c r="V40" s="275">
        <f>V$15*'6-PlantJurisdiction'!$E$48</f>
        <v>0</v>
      </c>
      <c r="W40" s="275">
        <f>W$15*'6-PlantJurisdiction'!$E$48</f>
        <v>0</v>
      </c>
      <c r="X40" s="275">
        <f>X$15*'6-PlantJurisdiction'!$E$49</f>
        <v>0</v>
      </c>
      <c r="Y40" s="275">
        <f>Y$15*'6-PlantJurisdiction'!$E$50</f>
        <v>0</v>
      </c>
      <c r="Z40" s="275">
        <f>Z$15*'6-PlantJurisdiction'!$E$50</f>
        <v>0</v>
      </c>
      <c r="AA40" s="275">
        <f>AA$15*'6-PlantJurisdiction'!$E$50</f>
        <v>0</v>
      </c>
      <c r="AB40" s="275">
        <f>AB$15*'6-PlantJurisdiction'!$E$50</f>
        <v>0</v>
      </c>
      <c r="AC40" s="24">
        <f t="shared" si="6"/>
        <v>7717808326.3792973</v>
      </c>
      <c r="AD40" s="91">
        <f t="shared" si="5"/>
        <v>202</v>
      </c>
    </row>
    <row r="41" spans="1:30">
      <c r="A41" s="91">
        <f t="shared" si="7"/>
        <v>203</v>
      </c>
      <c r="B41" s="377" t="s">
        <v>453</v>
      </c>
      <c r="C41" s="140">
        <f>'1-DRR'!$K$2</f>
        <v>2022</v>
      </c>
      <c r="D41" s="275">
        <f>D$16*'6-PlantJurisdiction'!$E$37</f>
        <v>-96684.582840660179</v>
      </c>
      <c r="E41" s="275">
        <f>E$16*'6-PlantJurisdiction'!$E$37</f>
        <v>9721861.7424006388</v>
      </c>
      <c r="F41" s="275">
        <f>F$16*'6-PlantJurisdiction'!$E$38</f>
        <v>111728854.42906903</v>
      </c>
      <c r="G41" s="275">
        <f>G$16*'6-PlantJurisdiction'!$E$38</f>
        <v>11215420.640502907</v>
      </c>
      <c r="H41" s="275">
        <f>H$16*'6-PlantJurisdiction'!$E$39</f>
        <v>1213585868.2924798</v>
      </c>
      <c r="I41" s="275">
        <f>I$16*'6-PlantJurisdiction'!$E$40</f>
        <v>585947.59</v>
      </c>
      <c r="J41" s="275">
        <f>J$16*'6-PlantJurisdiction'!$E$40</f>
        <v>-12632839.580000002</v>
      </c>
      <c r="K41" s="275">
        <f>K$16*'6-PlantJurisdiction'!$E$41</f>
        <v>2370211110.3699965</v>
      </c>
      <c r="L41" s="275">
        <f>L$16*'6-PlantJurisdiction'!$E$42</f>
        <v>2291932577.5699086</v>
      </c>
      <c r="M41" s="275">
        <f>M$16*'6-PlantJurisdiction'!$E$43</f>
        <v>519275826.94259948</v>
      </c>
      <c r="N41" s="275">
        <f>N$16*'6-PlantJurisdiction'!$E$44</f>
        <v>1204816462.79985</v>
      </c>
      <c r="O41" s="275">
        <f>O$16*'6-PlantJurisdiction'!$E$45</f>
        <v>0</v>
      </c>
      <c r="P41" s="275">
        <f>P$16*'6-PlantJurisdiction'!$E$45</f>
        <v>0</v>
      </c>
      <c r="Q41" s="275">
        <f>Q$16*'6-PlantJurisdiction'!$E$46</f>
        <v>0</v>
      </c>
      <c r="R41" s="275">
        <f>R$16*'6-PlantJurisdiction'!$E$46</f>
        <v>0</v>
      </c>
      <c r="S41" s="275">
        <f>S$16*'6-PlantJurisdiction'!$E$47</f>
        <v>0</v>
      </c>
      <c r="T41" s="275">
        <f>T$16*'6-PlantJurisdiction'!$E$47</f>
        <v>0</v>
      </c>
      <c r="U41" s="275">
        <f>U$16*'6-PlantJurisdiction'!$E$48</f>
        <v>0</v>
      </c>
      <c r="V41" s="275">
        <f>V$16*'6-PlantJurisdiction'!$E$48</f>
        <v>0</v>
      </c>
      <c r="W41" s="275">
        <f>W$16*'6-PlantJurisdiction'!$E$48</f>
        <v>0</v>
      </c>
      <c r="X41" s="275">
        <f>X$16*'6-PlantJurisdiction'!$E$49</f>
        <v>0</v>
      </c>
      <c r="Y41" s="275">
        <f>Y$16*'6-PlantJurisdiction'!$E$50</f>
        <v>0</v>
      </c>
      <c r="Z41" s="275">
        <f>Z$16*'6-PlantJurisdiction'!$E$50</f>
        <v>0</v>
      </c>
      <c r="AA41" s="275">
        <f>AA$16*'6-PlantJurisdiction'!$E$50</f>
        <v>0</v>
      </c>
      <c r="AB41" s="275">
        <f>AB$16*'6-PlantJurisdiction'!$E$50</f>
        <v>0</v>
      </c>
      <c r="AC41" s="24">
        <f t="shared" si="6"/>
        <v>7720344406.2139664</v>
      </c>
      <c r="AD41" s="91">
        <f t="shared" si="5"/>
        <v>203</v>
      </c>
    </row>
    <row r="42" spans="1:30">
      <c r="A42" s="91">
        <f t="shared" si="7"/>
        <v>204</v>
      </c>
      <c r="B42" s="377" t="s">
        <v>454</v>
      </c>
      <c r="C42" s="140">
        <f>'1-DRR'!$K$2</f>
        <v>2022</v>
      </c>
      <c r="D42" s="275">
        <f>D$17*'6-PlantJurisdiction'!$E$37</f>
        <v>-99824.749724281501</v>
      </c>
      <c r="E42" s="275">
        <f>E$17*'6-PlantJurisdiction'!$E$37</f>
        <v>9884122.5234036501</v>
      </c>
      <c r="F42" s="275">
        <f>F$17*'6-PlantJurisdiction'!$E$38</f>
        <v>111929759.24684143</v>
      </c>
      <c r="G42" s="275">
        <f>G$17*'6-PlantJurisdiction'!$E$38</f>
        <v>11268297.058248058</v>
      </c>
      <c r="H42" s="275">
        <f>H$17*'6-PlantJurisdiction'!$E$39</f>
        <v>1212686885.5226529</v>
      </c>
      <c r="I42" s="275">
        <f>I$17*'6-PlantJurisdiction'!$E$40</f>
        <v>585947.59</v>
      </c>
      <c r="J42" s="275">
        <f>J$17*'6-PlantJurisdiction'!$E$40</f>
        <v>17500345.509999998</v>
      </c>
      <c r="K42" s="275">
        <f>K$17*'6-PlantJurisdiction'!$E$41</f>
        <v>2383847821.2020931</v>
      </c>
      <c r="L42" s="275">
        <f>L$17*'6-PlantJurisdiction'!$E$42</f>
        <v>2293916583.9159212</v>
      </c>
      <c r="M42" s="275">
        <f>M$17*'6-PlantJurisdiction'!$E$43</f>
        <v>521733225.07823831</v>
      </c>
      <c r="N42" s="275">
        <f>N$17*'6-PlantJurisdiction'!$E$44</f>
        <v>1209809900.8411813</v>
      </c>
      <c r="O42" s="275">
        <f>O$17*'6-PlantJurisdiction'!$E$45</f>
        <v>0</v>
      </c>
      <c r="P42" s="275">
        <f>P$17*'6-PlantJurisdiction'!$E$45</f>
        <v>0</v>
      </c>
      <c r="Q42" s="275">
        <f>Q$17*'6-PlantJurisdiction'!$E$46</f>
        <v>0</v>
      </c>
      <c r="R42" s="275">
        <f>R$17*'6-PlantJurisdiction'!$E$46</f>
        <v>0</v>
      </c>
      <c r="S42" s="275">
        <f>S$17*'6-PlantJurisdiction'!$E$47</f>
        <v>0</v>
      </c>
      <c r="T42" s="275">
        <f>T$17*'6-PlantJurisdiction'!$E$47</f>
        <v>0</v>
      </c>
      <c r="U42" s="275">
        <f>U$17*'6-PlantJurisdiction'!$E$48</f>
        <v>0</v>
      </c>
      <c r="V42" s="275">
        <f>V$17*'6-PlantJurisdiction'!$E$48</f>
        <v>0</v>
      </c>
      <c r="W42" s="275">
        <f>W$17*'6-PlantJurisdiction'!$E$48</f>
        <v>0</v>
      </c>
      <c r="X42" s="275">
        <f>X$17*'6-PlantJurisdiction'!$E$49</f>
        <v>0</v>
      </c>
      <c r="Y42" s="275">
        <f>Y$17*'6-PlantJurisdiction'!$E$50</f>
        <v>0</v>
      </c>
      <c r="Z42" s="275">
        <f>Z$17*'6-PlantJurisdiction'!$E$50</f>
        <v>0</v>
      </c>
      <c r="AA42" s="275">
        <f>AA$17*'6-PlantJurisdiction'!$E$50</f>
        <v>0</v>
      </c>
      <c r="AB42" s="275">
        <f>AB$17*'6-PlantJurisdiction'!$E$50</f>
        <v>0</v>
      </c>
      <c r="AC42" s="24">
        <f t="shared" si="6"/>
        <v>7773063063.7388554</v>
      </c>
      <c r="AD42" s="91">
        <f t="shared" si="5"/>
        <v>204</v>
      </c>
    </row>
    <row r="43" spans="1:30">
      <c r="A43" s="91">
        <f t="shared" si="7"/>
        <v>205</v>
      </c>
      <c r="B43" s="377" t="s">
        <v>455</v>
      </c>
      <c r="C43" s="140">
        <f>'1-DRR'!$K$2</f>
        <v>2022</v>
      </c>
      <c r="D43" s="275">
        <f>D$18*'6-PlantJurisdiction'!$E$37</f>
        <v>-102115.31589011125</v>
      </c>
      <c r="E43" s="275">
        <f>E$18*'6-PlantJurisdiction'!$E$37</f>
        <v>10034320.599147271</v>
      </c>
      <c r="F43" s="275">
        <f>F$18*'6-PlantJurisdiction'!$E$38</f>
        <v>111891143.84461366</v>
      </c>
      <c r="G43" s="275">
        <f>G$18*'6-PlantJurisdiction'!$E$38</f>
        <v>11321190.915993171</v>
      </c>
      <c r="H43" s="275">
        <f>H$18*'6-PlantJurisdiction'!$E$39</f>
        <v>1222524399.8728218</v>
      </c>
      <c r="I43" s="275">
        <f>I$18*'6-PlantJurisdiction'!$E$40</f>
        <v>585722.40999999992</v>
      </c>
      <c r="J43" s="275">
        <f>J$18*'6-PlantJurisdiction'!$E$40</f>
        <v>17666156.530000001</v>
      </c>
      <c r="K43" s="275">
        <f>K$18*'6-PlantJurisdiction'!$E$41</f>
        <v>2398714250.4174137</v>
      </c>
      <c r="L43" s="275">
        <f>L$18*'6-PlantJurisdiction'!$E$42</f>
        <v>2297880466.8433623</v>
      </c>
      <c r="M43" s="275">
        <f>M$18*'6-PlantJurisdiction'!$E$43</f>
        <v>524248949.12655669</v>
      </c>
      <c r="N43" s="275">
        <f>N$18*'6-PlantJurisdiction'!$E$44</f>
        <v>1214506646.6603916</v>
      </c>
      <c r="O43" s="275">
        <f>O$18*'6-PlantJurisdiction'!$E$45</f>
        <v>0</v>
      </c>
      <c r="P43" s="275">
        <f>P$18*'6-PlantJurisdiction'!$E$45</f>
        <v>0</v>
      </c>
      <c r="Q43" s="275">
        <f>Q$18*'6-PlantJurisdiction'!$E$46</f>
        <v>0</v>
      </c>
      <c r="R43" s="275">
        <f>R$18*'6-PlantJurisdiction'!$E$46</f>
        <v>0</v>
      </c>
      <c r="S43" s="275">
        <f>S$18*'6-PlantJurisdiction'!$E$47</f>
        <v>0</v>
      </c>
      <c r="T43" s="275">
        <f>T$18*'6-PlantJurisdiction'!$E$47</f>
        <v>0</v>
      </c>
      <c r="U43" s="275">
        <f>U$18*'6-PlantJurisdiction'!$E$48</f>
        <v>0</v>
      </c>
      <c r="V43" s="275">
        <f>V$18*'6-PlantJurisdiction'!$E$48</f>
        <v>0</v>
      </c>
      <c r="W43" s="275">
        <f>W$18*'6-PlantJurisdiction'!$E$48</f>
        <v>0</v>
      </c>
      <c r="X43" s="275">
        <f>X$18*'6-PlantJurisdiction'!$E$49</f>
        <v>0</v>
      </c>
      <c r="Y43" s="275">
        <f>Y$18*'6-PlantJurisdiction'!$E$50</f>
        <v>0</v>
      </c>
      <c r="Z43" s="275">
        <f>Z$18*'6-PlantJurisdiction'!$E$50</f>
        <v>0</v>
      </c>
      <c r="AA43" s="275">
        <f>AA$18*'6-PlantJurisdiction'!$E$50</f>
        <v>0</v>
      </c>
      <c r="AB43" s="275">
        <f>AB$18*'6-PlantJurisdiction'!$E$50</f>
        <v>0</v>
      </c>
      <c r="AC43" s="24">
        <f t="shared" si="6"/>
        <v>7809271131.9044104</v>
      </c>
      <c r="AD43" s="91">
        <f t="shared" si="5"/>
        <v>205</v>
      </c>
    </row>
    <row r="44" spans="1:30">
      <c r="A44" s="91">
        <f t="shared" si="7"/>
        <v>206</v>
      </c>
      <c r="B44" s="377" t="s">
        <v>737</v>
      </c>
      <c r="C44" s="140">
        <f>'1-DRR'!$K$2</f>
        <v>2022</v>
      </c>
      <c r="D44" s="275">
        <f>D$19*'6-PlantJurisdiction'!$E$37</f>
        <v>-103047.6985276476</v>
      </c>
      <c r="E44" s="275">
        <f>E$19*'6-PlantJurisdiction'!$E$37</f>
        <v>10197574.38985016</v>
      </c>
      <c r="F44" s="275">
        <f>F$19*'6-PlantJurisdiction'!$E$38</f>
        <v>112035872.7223859</v>
      </c>
      <c r="G44" s="275">
        <f>G$19*'6-PlantJurisdiction'!$E$38</f>
        <v>11373960.973738283</v>
      </c>
      <c r="H44" s="275">
        <f>H$19*'6-PlantJurisdiction'!$E$39</f>
        <v>1227273282.7029929</v>
      </c>
      <c r="I44" s="275">
        <f>I$19*'6-PlantJurisdiction'!$E$40</f>
        <v>585367.34000000008</v>
      </c>
      <c r="J44" s="275">
        <f>J$19*'6-PlantJurisdiction'!$E$40</f>
        <v>17831967.550000001</v>
      </c>
      <c r="K44" s="275">
        <f>K$19*'6-PlantJurisdiction'!$E$41</f>
        <v>2416263477.5438571</v>
      </c>
      <c r="L44" s="275">
        <f>L$19*'6-PlantJurisdiction'!$E$42</f>
        <v>2303822266.2599659</v>
      </c>
      <c r="M44" s="275">
        <f>M$19*'6-PlantJurisdiction'!$E$43</f>
        <v>526810701.51556849</v>
      </c>
      <c r="N44" s="275">
        <f>N$19*'6-PlantJurisdiction'!$E$44</f>
        <v>1219762493.9330492</v>
      </c>
      <c r="O44" s="275">
        <f>O$19*'6-PlantJurisdiction'!$E$45</f>
        <v>0</v>
      </c>
      <c r="P44" s="275">
        <f>P$19*'6-PlantJurisdiction'!$E$45</f>
        <v>0</v>
      </c>
      <c r="Q44" s="275">
        <f>Q$19*'6-PlantJurisdiction'!$E$46</f>
        <v>0</v>
      </c>
      <c r="R44" s="275">
        <f>R$19*'6-PlantJurisdiction'!$E$46</f>
        <v>0</v>
      </c>
      <c r="S44" s="275">
        <f>S$19*'6-PlantJurisdiction'!$E$47</f>
        <v>0</v>
      </c>
      <c r="T44" s="275">
        <f>T$19*'6-PlantJurisdiction'!$E$47</f>
        <v>0</v>
      </c>
      <c r="U44" s="275">
        <f>U$19*'6-PlantJurisdiction'!$E$48</f>
        <v>0</v>
      </c>
      <c r="V44" s="275">
        <f>V$19*'6-PlantJurisdiction'!$E$48</f>
        <v>0</v>
      </c>
      <c r="W44" s="275">
        <f>W$19*'6-PlantJurisdiction'!$E$48</f>
        <v>0</v>
      </c>
      <c r="X44" s="275">
        <f>X$19*'6-PlantJurisdiction'!$E$49</f>
        <v>0</v>
      </c>
      <c r="Y44" s="275">
        <f>Y$19*'6-PlantJurisdiction'!$E$50</f>
        <v>0</v>
      </c>
      <c r="Z44" s="275">
        <f>Z$19*'6-PlantJurisdiction'!$E$50</f>
        <v>0</v>
      </c>
      <c r="AA44" s="275">
        <f>AA$19*'6-PlantJurisdiction'!$E$50</f>
        <v>0</v>
      </c>
      <c r="AB44" s="275">
        <f>AB$19*'6-PlantJurisdiction'!$E$50</f>
        <v>0</v>
      </c>
      <c r="AC44" s="24">
        <f t="shared" si="6"/>
        <v>7845853917.2328806</v>
      </c>
      <c r="AD44" s="91">
        <f t="shared" si="5"/>
        <v>206</v>
      </c>
    </row>
    <row r="45" spans="1:30">
      <c r="A45" s="91">
        <f t="shared" si="7"/>
        <v>207</v>
      </c>
      <c r="B45" s="377" t="s">
        <v>457</v>
      </c>
      <c r="C45" s="140">
        <f>'1-DRR'!$K$2</f>
        <v>2022</v>
      </c>
      <c r="D45" s="275">
        <f>D20*'6-PlantJurisdiction'!$E$37</f>
        <v>-103309.66940502783</v>
      </c>
      <c r="E45" s="275">
        <f>E20*'6-PlantJurisdiction'!$E$37</f>
        <v>10361033.062119624</v>
      </c>
      <c r="F45" s="275">
        <f>F$20*'6-PlantJurisdiction'!$E$38</f>
        <v>112101141.58015828</v>
      </c>
      <c r="G45" s="275">
        <f>G$20*'6-PlantJurisdiction'!$E$38</f>
        <v>11424851.671483424</v>
      </c>
      <c r="H45" s="275">
        <f>H$20*'6-PlantJurisdiction'!$E$39</f>
        <v>1234087425.0231645</v>
      </c>
      <c r="I45" s="275">
        <f>I$20*'6-PlantJurisdiction'!$E$40</f>
        <v>581098.57999999996</v>
      </c>
      <c r="J45" s="275">
        <f>J$20*'6-PlantJurisdiction'!$E$40</f>
        <v>17997778.670000002</v>
      </c>
      <c r="K45" s="275">
        <f>K$20*'6-PlantJurisdiction'!$E$41</f>
        <v>2434272535.2063804</v>
      </c>
      <c r="L45" s="275">
        <f>L$20*'6-PlantJurisdiction'!$E$42</f>
        <v>2311771732.775435</v>
      </c>
      <c r="M45" s="275">
        <f>M$20*'6-PlantJurisdiction'!$E$43</f>
        <v>529545797.06789935</v>
      </c>
      <c r="N45" s="275">
        <f>N$20*'6-PlantJurisdiction'!$E$44</f>
        <v>1225049852.3752394</v>
      </c>
      <c r="O45" s="275">
        <f>O$20*'6-PlantJurisdiction'!$E$45</f>
        <v>0</v>
      </c>
      <c r="P45" s="275">
        <f>P$20*'6-PlantJurisdiction'!$E$45</f>
        <v>0</v>
      </c>
      <c r="Q45" s="275">
        <f>Q$20*'6-PlantJurisdiction'!$E$46</f>
        <v>0</v>
      </c>
      <c r="R45" s="275">
        <f>R$20*'6-PlantJurisdiction'!$E$46</f>
        <v>0</v>
      </c>
      <c r="S45" s="275">
        <f>S$20*'6-PlantJurisdiction'!$E$47</f>
        <v>0</v>
      </c>
      <c r="T45" s="275">
        <f>T$20*'6-PlantJurisdiction'!$E$47</f>
        <v>0</v>
      </c>
      <c r="U45" s="275">
        <f>U$20*'6-PlantJurisdiction'!$E$48</f>
        <v>0</v>
      </c>
      <c r="V45" s="275">
        <f>V$20*'6-PlantJurisdiction'!$E$48</f>
        <v>0</v>
      </c>
      <c r="W45" s="275">
        <f>W$20*'6-PlantJurisdiction'!$E$48</f>
        <v>0</v>
      </c>
      <c r="X45" s="275">
        <f>X$20*'6-PlantJurisdiction'!$E$49</f>
        <v>0</v>
      </c>
      <c r="Y45" s="275">
        <f>Y$20*'6-PlantJurisdiction'!$E$50</f>
        <v>0</v>
      </c>
      <c r="Z45" s="275">
        <f>Z$20*'6-PlantJurisdiction'!$E$50</f>
        <v>0</v>
      </c>
      <c r="AA45" s="275">
        <f>AA$20*'6-PlantJurisdiction'!$E$50</f>
        <v>0</v>
      </c>
      <c r="AB45" s="275">
        <f>AB$20*'6-PlantJurisdiction'!$E$50</f>
        <v>0</v>
      </c>
      <c r="AC45" s="24">
        <f t="shared" si="6"/>
        <v>7887089936.3424749</v>
      </c>
      <c r="AD45" s="91">
        <f t="shared" si="5"/>
        <v>207</v>
      </c>
    </row>
    <row r="46" spans="1:30">
      <c r="A46" s="91">
        <f t="shared" si="7"/>
        <v>208</v>
      </c>
      <c r="B46" s="377" t="s">
        <v>458</v>
      </c>
      <c r="C46" s="140">
        <f>'1-DRR'!$K$2</f>
        <v>2022</v>
      </c>
      <c r="D46" s="275">
        <f>D$21*'6-PlantJurisdiction'!$E$37</f>
        <v>-104417.46267535436</v>
      </c>
      <c r="E46" s="275">
        <f>E$21*'6-PlantJurisdiction'!$E$37</f>
        <v>10525070.624471178</v>
      </c>
      <c r="F46" s="275">
        <f>F$21*'6-PlantJurisdiction'!$E$38</f>
        <v>112036919.59793055</v>
      </c>
      <c r="G46" s="275">
        <f>G$21*'6-PlantJurisdiction'!$E$38</f>
        <v>11477760.699228544</v>
      </c>
      <c r="H46" s="275">
        <f>H$21*'6-PlantJurisdiction'!$E$39</f>
        <v>1240710417.3433361</v>
      </c>
      <c r="I46" s="275">
        <f>I$21*'6-PlantJurisdiction'!$E$40</f>
        <v>578092.71000000008</v>
      </c>
      <c r="J46" s="275">
        <f>J$21*'6-PlantJurisdiction'!$E$40</f>
        <v>18163589.66</v>
      </c>
      <c r="K46" s="275">
        <f>K$21*'6-PlantJurisdiction'!$E$41</f>
        <v>2450267934.4829125</v>
      </c>
      <c r="L46" s="275">
        <f>L$21*'6-PlantJurisdiction'!$E$42</f>
        <v>2317221704.6057606</v>
      </c>
      <c r="M46" s="275">
        <f>M$21*'6-PlantJurisdiction'!$E$43</f>
        <v>532049485.86127931</v>
      </c>
      <c r="N46" s="275">
        <f>N$21*'6-PlantJurisdiction'!$E$44</f>
        <v>1230159106.5358081</v>
      </c>
      <c r="O46" s="275">
        <f>O$21*'6-PlantJurisdiction'!$E$45</f>
        <v>0</v>
      </c>
      <c r="P46" s="275">
        <f>P$21*'6-PlantJurisdiction'!$E$45</f>
        <v>0</v>
      </c>
      <c r="Q46" s="275">
        <f>Q$21*'6-PlantJurisdiction'!$E$46</f>
        <v>0</v>
      </c>
      <c r="R46" s="275">
        <f>R$21*'6-PlantJurisdiction'!$E$46</f>
        <v>0</v>
      </c>
      <c r="S46" s="275">
        <f>S$21*'6-PlantJurisdiction'!$E$47</f>
        <v>0</v>
      </c>
      <c r="T46" s="275">
        <f>T$21*'6-PlantJurisdiction'!$E$47</f>
        <v>0</v>
      </c>
      <c r="U46" s="275">
        <f>U$21*'6-PlantJurisdiction'!$E$48</f>
        <v>0</v>
      </c>
      <c r="V46" s="275">
        <f>V$21*'6-PlantJurisdiction'!$E$48</f>
        <v>0</v>
      </c>
      <c r="W46" s="275">
        <f>W$21*'6-PlantJurisdiction'!$E$48</f>
        <v>0</v>
      </c>
      <c r="X46" s="275">
        <f>X$21*'6-PlantJurisdiction'!$E$49</f>
        <v>0</v>
      </c>
      <c r="Y46" s="275">
        <f>Y$21*'6-PlantJurisdiction'!$E$50</f>
        <v>0</v>
      </c>
      <c r="Z46" s="275">
        <f>Z$21*'6-PlantJurisdiction'!$E$50</f>
        <v>0</v>
      </c>
      <c r="AA46" s="275">
        <f>AA$21*'6-PlantJurisdiction'!$E$50</f>
        <v>0</v>
      </c>
      <c r="AB46" s="275">
        <f>AB$21*'6-PlantJurisdiction'!$E$50</f>
        <v>0</v>
      </c>
      <c r="AC46" s="24">
        <f t="shared" si="6"/>
        <v>7923085664.6580524</v>
      </c>
      <c r="AD46" s="91">
        <f t="shared" si="5"/>
        <v>208</v>
      </c>
    </row>
    <row r="47" spans="1:30">
      <c r="A47" s="91">
        <f t="shared" si="7"/>
        <v>209</v>
      </c>
      <c r="B47" s="377" t="s">
        <v>459</v>
      </c>
      <c r="C47" s="140">
        <f>'1-DRR'!$K$2</f>
        <v>2022</v>
      </c>
      <c r="D47" s="275">
        <f>D$22*'6-PlantJurisdiction'!$E$37</f>
        <v>-100723.76117898032</v>
      </c>
      <c r="E47" s="275">
        <f>E$22*'6-PlantJurisdiction'!$E$37</f>
        <v>10689644.004002295</v>
      </c>
      <c r="F47" s="275">
        <f>F$22*'6-PlantJurisdiction'!$E$38</f>
        <v>111967425.10408683</v>
      </c>
      <c r="G47" s="275">
        <f>G$22*'6-PlantJurisdiction'!$E$38</f>
        <v>11528893.200441966</v>
      </c>
      <c r="H47" s="275">
        <f>H$22*'6-PlantJurisdiction'!$E$39</f>
        <v>1248383992.3748505</v>
      </c>
      <c r="I47" s="275">
        <f>I$22*'6-PlantJurisdiction'!$E$40</f>
        <v>573685.378937206</v>
      </c>
      <c r="J47" s="275">
        <f>J$22*'6-PlantJurisdiction'!$E$40</f>
        <v>18329400.818590298</v>
      </c>
      <c r="K47" s="275">
        <f>K$22*'6-PlantJurisdiction'!$E$41</f>
        <v>2465096092.4543567</v>
      </c>
      <c r="L47" s="275">
        <f>L$22*'6-PlantJurisdiction'!$E$42</f>
        <v>2326076664.6458287</v>
      </c>
      <c r="M47" s="275">
        <f>M$22*'6-PlantJurisdiction'!$E$43</f>
        <v>534780341.01798564</v>
      </c>
      <c r="N47" s="275">
        <f>N$22*'6-PlantJurisdiction'!$E$44</f>
        <v>1234984266.7095265</v>
      </c>
      <c r="O47" s="275">
        <f>O$22*'6-PlantJurisdiction'!$E$45</f>
        <v>0</v>
      </c>
      <c r="P47" s="275">
        <f>P$22*'6-PlantJurisdiction'!$E$45</f>
        <v>0</v>
      </c>
      <c r="Q47" s="275">
        <f>Q$22*'6-PlantJurisdiction'!$E$46</f>
        <v>0</v>
      </c>
      <c r="R47" s="275">
        <f>R$22*'6-PlantJurisdiction'!$E$46</f>
        <v>0</v>
      </c>
      <c r="S47" s="275">
        <f>S$22*'6-PlantJurisdiction'!$E$47</f>
        <v>0</v>
      </c>
      <c r="T47" s="275">
        <f>T$22*'6-PlantJurisdiction'!$E$47</f>
        <v>0</v>
      </c>
      <c r="U47" s="275">
        <f>U$22*'6-PlantJurisdiction'!$E$48</f>
        <v>0</v>
      </c>
      <c r="V47" s="275">
        <f>V$22*'6-PlantJurisdiction'!$E$48</f>
        <v>0</v>
      </c>
      <c r="W47" s="275">
        <f>W$22*'6-PlantJurisdiction'!$E$48</f>
        <v>0</v>
      </c>
      <c r="X47" s="275">
        <f>X$22*'6-PlantJurisdiction'!$E$49</f>
        <v>0</v>
      </c>
      <c r="Y47" s="275">
        <f>Y$22*'6-PlantJurisdiction'!$E$50</f>
        <v>0</v>
      </c>
      <c r="Z47" s="275">
        <f>Z$22*'6-PlantJurisdiction'!$E$50</f>
        <v>0</v>
      </c>
      <c r="AA47" s="275">
        <f>AA$22*'6-PlantJurisdiction'!$E$50</f>
        <v>0</v>
      </c>
      <c r="AB47" s="275">
        <f>AB$22*'6-PlantJurisdiction'!$E$50</f>
        <v>0</v>
      </c>
      <c r="AC47" s="24">
        <f t="shared" si="6"/>
        <v>7962309681.9474277</v>
      </c>
      <c r="AD47" s="91">
        <f t="shared" si="5"/>
        <v>209</v>
      </c>
    </row>
    <row r="48" spans="1:30">
      <c r="A48" s="91">
        <f t="shared" si="7"/>
        <v>210</v>
      </c>
      <c r="B48" s="377" t="s">
        <v>460</v>
      </c>
      <c r="C48" s="140">
        <f>'1-DRR'!$K$2</f>
        <v>2022</v>
      </c>
      <c r="D48" s="275">
        <f>D$23*'6-PlantJurisdiction'!$E$37</f>
        <v>-100980.04637171124</v>
      </c>
      <c r="E48" s="275">
        <f>E$23*'6-PlantJurisdiction'!$E$37</f>
        <v>11020211.112197265</v>
      </c>
      <c r="F48" s="275">
        <f>F$23*'6-PlantJurisdiction'!$E$38</f>
        <v>111870719.18347527</v>
      </c>
      <c r="G48" s="275">
        <f>G$23*'6-PlantJurisdiction'!$E$38</f>
        <v>11618400.784718789</v>
      </c>
      <c r="H48" s="275">
        <f>H$23*'6-PlantJurisdiction'!$E$39</f>
        <v>1256296538.8636763</v>
      </c>
      <c r="I48" s="275">
        <f>I$23*'6-PlantJurisdiction'!$E$40</f>
        <v>570822.14000000013</v>
      </c>
      <c r="J48" s="275">
        <f>J$23*'6-PlantJurisdiction'!$E$40</f>
        <v>18661022.800000001</v>
      </c>
      <c r="K48" s="275">
        <f>K$23*'6-PlantJurisdiction'!$E$41</f>
        <v>2495544757.6212864</v>
      </c>
      <c r="L48" s="275">
        <f>L$23*'6-PlantJurisdiction'!$E$42</f>
        <v>2345116766.7722383</v>
      </c>
      <c r="M48" s="275">
        <f>M$23*'6-PlantJurisdiction'!$E$43</f>
        <v>540171691.57322395</v>
      </c>
      <c r="N48" s="275">
        <f>N$23*'6-PlantJurisdiction'!$E$44</f>
        <v>1246943659.7366195</v>
      </c>
      <c r="O48" s="275">
        <f>O$23*'6-PlantJurisdiction'!$E$45</f>
        <v>0</v>
      </c>
      <c r="P48" s="275">
        <f>P$23*'6-PlantJurisdiction'!$E$45</f>
        <v>0</v>
      </c>
      <c r="Q48" s="275">
        <f>Q$23*'6-PlantJurisdiction'!$E$46</f>
        <v>0</v>
      </c>
      <c r="R48" s="275">
        <f>R$23*'6-PlantJurisdiction'!$E$46</f>
        <v>0</v>
      </c>
      <c r="S48" s="275">
        <f>S$23*'6-PlantJurisdiction'!$E$47</f>
        <v>0</v>
      </c>
      <c r="T48" s="275">
        <f>T$23*'6-PlantJurisdiction'!$E$47</f>
        <v>0</v>
      </c>
      <c r="U48" s="275">
        <f>U$23*'6-PlantJurisdiction'!$E$48</f>
        <v>0</v>
      </c>
      <c r="V48" s="275">
        <f>V$23*'6-PlantJurisdiction'!$E$48</f>
        <v>0</v>
      </c>
      <c r="W48" s="275">
        <f>W$23*'6-PlantJurisdiction'!$E$48</f>
        <v>0</v>
      </c>
      <c r="X48" s="275">
        <f>X$23*'6-PlantJurisdiction'!$E$49</f>
        <v>0</v>
      </c>
      <c r="Y48" s="275">
        <f>Y$23*'6-PlantJurisdiction'!$E$50</f>
        <v>0</v>
      </c>
      <c r="Z48" s="275">
        <f>Z$23*'6-PlantJurisdiction'!$E$50</f>
        <v>0</v>
      </c>
      <c r="AA48" s="275">
        <f>AA$23*'6-PlantJurisdiction'!$E$50</f>
        <v>0</v>
      </c>
      <c r="AB48" s="275">
        <f>AB$23*'6-PlantJurisdiction'!$E$50</f>
        <v>0</v>
      </c>
      <c r="AC48" s="24">
        <f t="shared" si="6"/>
        <v>8037713610.5410633</v>
      </c>
      <c r="AD48" s="91">
        <f t="shared" si="5"/>
        <v>210</v>
      </c>
    </row>
    <row r="49" spans="1:30">
      <c r="A49" s="91">
        <f t="shared" si="7"/>
        <v>211</v>
      </c>
      <c r="B49" s="377" t="s">
        <v>461</v>
      </c>
      <c r="C49" s="140">
        <f>'1-DRR'!$K$2</f>
        <v>2022</v>
      </c>
      <c r="D49" s="275">
        <f>D$24*'6-PlantJurisdiction'!$E$37</f>
        <v>-100749.33383240245</v>
      </c>
      <c r="E49" s="275">
        <f>E$24*'6-PlantJurisdiction'!$E$37</f>
        <v>10853520.707858656</v>
      </c>
      <c r="F49" s="275">
        <f>F$24*'6-PlantJurisdiction'!$E$38</f>
        <v>111833924.39124747</v>
      </c>
      <c r="G49" s="275">
        <f>G$24*'6-PlantJurisdiction'!$E$38</f>
        <v>11580523.002463914</v>
      </c>
      <c r="H49" s="275">
        <f>H$24*'6-PlantJurisdiction'!$E$39</f>
        <v>1247902611.4138455</v>
      </c>
      <c r="I49" s="275">
        <f>I$24*'6-PlantJurisdiction'!$E$40</f>
        <v>571039.5</v>
      </c>
      <c r="J49" s="275">
        <f>J$24*'6-PlantJurisdiction'!$E$40</f>
        <v>18495211.739999998</v>
      </c>
      <c r="K49" s="275">
        <f>K$24*'6-PlantJurisdiction'!$E$41</f>
        <v>2481939594.236392</v>
      </c>
      <c r="L49" s="275">
        <f>L$24*'6-PlantJurisdiction'!$E$42</f>
        <v>2335443285.1894245</v>
      </c>
      <c r="M49" s="275">
        <f>M$24*'6-PlantJurisdiction'!$E$43</f>
        <v>537244678.633618</v>
      </c>
      <c r="N49" s="275">
        <f>N$24*'6-PlantJurisdiction'!$E$44</f>
        <v>1240882630.3034806</v>
      </c>
      <c r="O49" s="275">
        <f>O$24*'6-PlantJurisdiction'!$E$45</f>
        <v>0</v>
      </c>
      <c r="P49" s="275">
        <f>P$24*'6-PlantJurisdiction'!$E$45</f>
        <v>0</v>
      </c>
      <c r="Q49" s="275">
        <f>Q$24*'6-PlantJurisdiction'!$E$46</f>
        <v>0</v>
      </c>
      <c r="R49" s="275">
        <f>R$24*'6-PlantJurisdiction'!$E$46</f>
        <v>0</v>
      </c>
      <c r="S49" s="275">
        <f>S$24*'6-PlantJurisdiction'!$E$47</f>
        <v>0</v>
      </c>
      <c r="T49" s="275">
        <f>T$24*'6-PlantJurisdiction'!$E$47</f>
        <v>0</v>
      </c>
      <c r="U49" s="275">
        <f>U$24*'6-PlantJurisdiction'!$E$48</f>
        <v>0</v>
      </c>
      <c r="V49" s="275">
        <f>V$24*'6-PlantJurisdiction'!$E$48</f>
        <v>0</v>
      </c>
      <c r="W49" s="275">
        <f>W$24*'6-PlantJurisdiction'!$E$48</f>
        <v>0</v>
      </c>
      <c r="X49" s="275">
        <f>X$24*'6-PlantJurisdiction'!$E$49</f>
        <v>0</v>
      </c>
      <c r="Y49" s="275">
        <f>Y$24*'6-PlantJurisdiction'!$E$50</f>
        <v>0</v>
      </c>
      <c r="Z49" s="275">
        <f>Z$24*'6-PlantJurisdiction'!$E$50</f>
        <v>0</v>
      </c>
      <c r="AA49" s="275">
        <f>AA$24*'6-PlantJurisdiction'!$E$50</f>
        <v>0</v>
      </c>
      <c r="AB49" s="275">
        <f>AB$24*'6-PlantJurisdiction'!$E$50</f>
        <v>0</v>
      </c>
      <c r="AC49" s="24">
        <f t="shared" si="6"/>
        <v>7996646269.7844982</v>
      </c>
      <c r="AD49" s="91">
        <f t="shared" si="5"/>
        <v>211</v>
      </c>
    </row>
    <row r="50" spans="1:30">
      <c r="A50" s="91">
        <f t="shared" si="7"/>
        <v>212</v>
      </c>
      <c r="B50" s="377" t="s">
        <v>449</v>
      </c>
      <c r="C50" s="140">
        <f>'1-DRR'!$K$2</f>
        <v>2022</v>
      </c>
      <c r="D50" s="275">
        <f>D$25*'6-PlantJurisdiction'!$E$37</f>
        <v>-100186.19463719716</v>
      </c>
      <c r="E50" s="275">
        <f>E$25*'6-PlantJurisdiction'!$E$37</f>
        <v>11184214.037462058</v>
      </c>
      <c r="F50" s="275">
        <f>F$25*'6-PlantJurisdiction'!$E$38</f>
        <v>111756939.53901976</v>
      </c>
      <c r="G50" s="275">
        <f>G$25*'6-PlantJurisdiction'!$E$38</f>
        <v>11666495.067954164</v>
      </c>
      <c r="H50" s="275">
        <f>H$25*'6-PlantJurisdiction'!$E$39</f>
        <v>1261256547.5140157</v>
      </c>
      <c r="I50" s="275">
        <f>I$25*'6-PlantJurisdiction'!$E$40</f>
        <v>571855.74999999977</v>
      </c>
      <c r="J50" s="275">
        <f>J$25*'6-PlantJurisdiction'!$E$40</f>
        <v>18826833.789999995</v>
      </c>
      <c r="K50" s="275">
        <f>K$25*'6-PlantJurisdiction'!$E$41</f>
        <v>2524972375.4098005</v>
      </c>
      <c r="L50" s="275">
        <f>L$25*'6-PlantJurisdiction'!$E$42</f>
        <v>2355361756.6896639</v>
      </c>
      <c r="M50" s="275">
        <f>M$25*'6-PlantJurisdiction'!$E$43</f>
        <v>539828808.36562634</v>
      </c>
      <c r="N50" s="275">
        <f>N$25*'6-PlantJurisdiction'!$E$44</f>
        <v>1253096289.4392455</v>
      </c>
      <c r="O50" s="275">
        <f>O$25*'6-PlantJurisdiction'!$E$45</f>
        <v>0</v>
      </c>
      <c r="P50" s="275">
        <f>P$25*'6-PlantJurisdiction'!$E$45</f>
        <v>0</v>
      </c>
      <c r="Q50" s="275">
        <f>Q$25*'6-PlantJurisdiction'!$E$46</f>
        <v>0</v>
      </c>
      <c r="R50" s="275">
        <f>R$25*'6-PlantJurisdiction'!$E$46</f>
        <v>0</v>
      </c>
      <c r="S50" s="275">
        <f>S$25*'6-PlantJurisdiction'!$E$47</f>
        <v>0</v>
      </c>
      <c r="T50" s="275">
        <f>T$25*'6-PlantJurisdiction'!$E$47</f>
        <v>0</v>
      </c>
      <c r="U50" s="275">
        <f>U$25*'6-PlantJurisdiction'!$E$48</f>
        <v>0</v>
      </c>
      <c r="V50" s="275">
        <f>V$25*'6-PlantJurisdiction'!$E$48</f>
        <v>0</v>
      </c>
      <c r="W50" s="275">
        <f>W$25*'6-PlantJurisdiction'!$E$48</f>
        <v>0</v>
      </c>
      <c r="X50" s="275">
        <f>X$25*'6-PlantJurisdiction'!$E$49</f>
        <v>0</v>
      </c>
      <c r="Y50" s="275">
        <f>Y$25*'6-PlantJurisdiction'!$E$50</f>
        <v>0</v>
      </c>
      <c r="Z50" s="275">
        <f>Z$25*'6-PlantJurisdiction'!$E$50</f>
        <v>0</v>
      </c>
      <c r="AA50" s="275">
        <f>AA$25*'6-PlantJurisdiction'!$E$50</f>
        <v>0</v>
      </c>
      <c r="AB50" s="275">
        <f>AB$25*'6-PlantJurisdiction'!$E$50</f>
        <v>0</v>
      </c>
      <c r="AC50" s="24">
        <f t="shared" si="6"/>
        <v>8088421929.4081507</v>
      </c>
      <c r="AD50" s="91">
        <f t="shared" si="5"/>
        <v>212</v>
      </c>
    </row>
    <row r="51" spans="1:30">
      <c r="A51" s="91">
        <f t="shared" si="7"/>
        <v>213</v>
      </c>
      <c r="B51" s="699" t="s">
        <v>738</v>
      </c>
      <c r="C51" s="489"/>
      <c r="D51" s="696">
        <f>SUM(D38:D50)/13</f>
        <v>-97655.633034479251</v>
      </c>
      <c r="E51" s="696">
        <f t="shared" ref="E51:AC51" si="8">SUM(E38:E50)/13</f>
        <v>10205045.890494512</v>
      </c>
      <c r="F51" s="696">
        <f t="shared" si="8"/>
        <v>111799955.37380007</v>
      </c>
      <c r="G51" s="696">
        <f t="shared" si="8"/>
        <v>11369635.733031966</v>
      </c>
      <c r="H51" s="696">
        <f t="shared" si="8"/>
        <v>1228582182.429251</v>
      </c>
      <c r="I51" s="696">
        <f t="shared" si="8"/>
        <v>580570.90222593886</v>
      </c>
      <c r="J51" s="696">
        <f t="shared" si="8"/>
        <v>15526784.982968483</v>
      </c>
      <c r="K51" s="696">
        <f t="shared" si="8"/>
        <v>2417438777.5186877</v>
      </c>
      <c r="L51" s="696">
        <f t="shared" si="8"/>
        <v>2309008818.3755064</v>
      </c>
      <c r="M51" s="696">
        <f t="shared" si="8"/>
        <v>526771670.8025502</v>
      </c>
      <c r="N51" s="696">
        <f t="shared" si="8"/>
        <v>1220609414.9913781</v>
      </c>
      <c r="O51" s="696">
        <f t="shared" si="8"/>
        <v>0</v>
      </c>
      <c r="P51" s="696">
        <f t="shared" si="8"/>
        <v>0</v>
      </c>
      <c r="Q51" s="696">
        <f t="shared" si="8"/>
        <v>0</v>
      </c>
      <c r="R51" s="696">
        <f t="shared" si="8"/>
        <v>0</v>
      </c>
      <c r="S51" s="696">
        <f t="shared" si="8"/>
        <v>0</v>
      </c>
      <c r="T51" s="696">
        <f t="shared" si="8"/>
        <v>0</v>
      </c>
      <c r="U51" s="696">
        <f t="shared" si="8"/>
        <v>0</v>
      </c>
      <c r="V51" s="696">
        <f t="shared" si="8"/>
        <v>0</v>
      </c>
      <c r="W51" s="696">
        <f t="shared" si="8"/>
        <v>0</v>
      </c>
      <c r="X51" s="696">
        <f t="shared" si="8"/>
        <v>0</v>
      </c>
      <c r="Y51" s="696">
        <f t="shared" si="8"/>
        <v>0</v>
      </c>
      <c r="Z51" s="696">
        <f t="shared" si="8"/>
        <v>0</v>
      </c>
      <c r="AA51" s="696">
        <f t="shared" si="8"/>
        <v>0</v>
      </c>
      <c r="AB51" s="696">
        <f t="shared" si="8"/>
        <v>0</v>
      </c>
      <c r="AC51" s="696">
        <f t="shared" si="8"/>
        <v>7851795201.3668613</v>
      </c>
      <c r="AD51" s="91">
        <f t="shared" si="5"/>
        <v>213</v>
      </c>
    </row>
    <row r="52" spans="1:30">
      <c r="A52" s="18"/>
      <c r="B52" s="8"/>
      <c r="C52" s="8"/>
      <c r="D52" s="8"/>
      <c r="E52" s="8"/>
      <c r="F52" s="8"/>
      <c r="G52" s="8"/>
      <c r="H52" s="8"/>
      <c r="I52" s="8"/>
      <c r="J52" s="8"/>
      <c r="K52" s="8"/>
      <c r="L52" s="8"/>
      <c r="M52" s="8"/>
      <c r="N52" s="8"/>
      <c r="O52" s="8"/>
      <c r="P52" s="8"/>
      <c r="Q52" s="8"/>
      <c r="AD52" s="91"/>
    </row>
    <row r="53" spans="1:30">
      <c r="A53" s="18"/>
      <c r="B53" s="8"/>
      <c r="C53" s="8"/>
      <c r="D53" s="8"/>
      <c r="E53" s="8"/>
      <c r="F53" s="8"/>
      <c r="G53" s="8"/>
      <c r="H53" s="8"/>
      <c r="I53" s="8"/>
      <c r="J53" s="8"/>
      <c r="K53" s="8"/>
      <c r="L53" s="8"/>
      <c r="M53" s="8"/>
      <c r="N53" s="8"/>
      <c r="O53" s="8"/>
      <c r="P53" s="8"/>
      <c r="Q53" s="8"/>
      <c r="AD53" s="91"/>
    </row>
    <row r="54" spans="1:30">
      <c r="B54" s="45" t="s">
        <v>883</v>
      </c>
      <c r="C54" s="45"/>
      <c r="D54" s="103"/>
      <c r="E54" s="103"/>
      <c r="F54" s="103"/>
      <c r="G54" s="103"/>
      <c r="H54" s="43"/>
      <c r="I54" s="103"/>
      <c r="J54" s="103"/>
      <c r="K54" s="103"/>
      <c r="L54" s="103"/>
      <c r="M54" s="103"/>
      <c r="N54" s="103"/>
      <c r="O54" s="103"/>
      <c r="P54" s="103"/>
      <c r="Q54" s="103"/>
      <c r="R54" s="43"/>
      <c r="S54" s="43"/>
      <c r="T54" s="43"/>
      <c r="U54" s="43"/>
      <c r="V54" s="43"/>
      <c r="W54" s="43"/>
      <c r="X54" s="43"/>
      <c r="Y54" s="43"/>
      <c r="Z54" s="43"/>
      <c r="AA54" s="43"/>
      <c r="AB54" s="43"/>
      <c r="AC54" s="43"/>
    </row>
    <row r="55" spans="1:30">
      <c r="B55" s="377" t="s">
        <v>884</v>
      </c>
      <c r="C55" s="2"/>
      <c r="D55" s="8"/>
      <c r="E55" s="8"/>
      <c r="I55" s="8"/>
      <c r="J55" s="8"/>
      <c r="K55" s="8"/>
      <c r="L55" s="8"/>
      <c r="M55" s="8"/>
      <c r="N55" s="8"/>
      <c r="O55" s="8"/>
      <c r="P55" s="8"/>
      <c r="Q55" s="8"/>
    </row>
    <row r="56" spans="1:30">
      <c r="C56" s="2"/>
      <c r="D56" s="8"/>
      <c r="E56" s="8"/>
      <c r="F56" s="8"/>
      <c r="G56" s="8"/>
      <c r="I56" s="8"/>
      <c r="J56" s="8"/>
      <c r="K56" s="8"/>
      <c r="L56" s="8"/>
      <c r="M56" s="8"/>
      <c r="N56" s="8"/>
      <c r="O56" s="8"/>
      <c r="P56" s="8"/>
      <c r="Q56" s="8"/>
    </row>
    <row r="57" spans="1:30">
      <c r="B57" s="377"/>
      <c r="C57" s="2"/>
      <c r="D57" s="8"/>
      <c r="E57" s="8"/>
      <c r="F57" s="8"/>
      <c r="G57" s="8"/>
      <c r="I57" s="8"/>
      <c r="J57" s="8"/>
      <c r="K57" s="8"/>
      <c r="L57" s="8"/>
      <c r="M57" s="8"/>
      <c r="N57" s="8"/>
      <c r="O57" s="8"/>
      <c r="P57" s="8"/>
      <c r="Q57" s="8"/>
    </row>
    <row r="58" spans="1:30">
      <c r="A58" s="4"/>
      <c r="D58" s="83" t="s">
        <v>124</v>
      </c>
      <c r="E58" s="83" t="s">
        <v>125</v>
      </c>
      <c r="F58" s="83" t="s">
        <v>126</v>
      </c>
      <c r="G58" s="83" t="s">
        <v>127</v>
      </c>
      <c r="H58" s="83" t="s">
        <v>420</v>
      </c>
      <c r="I58" s="83" t="s">
        <v>421</v>
      </c>
      <c r="J58" s="83" t="s">
        <v>422</v>
      </c>
      <c r="K58" s="83" t="s">
        <v>423</v>
      </c>
      <c r="L58" s="83" t="s">
        <v>424</v>
      </c>
      <c r="M58" s="83" t="s">
        <v>692</v>
      </c>
      <c r="N58" s="83" t="s">
        <v>693</v>
      </c>
      <c r="O58" s="83" t="s">
        <v>694</v>
      </c>
      <c r="P58" s="83" t="s">
        <v>695</v>
      </c>
      <c r="Q58" s="83" t="s">
        <v>696</v>
      </c>
      <c r="R58" s="83" t="s">
        <v>697</v>
      </c>
      <c r="S58" s="83" t="s">
        <v>698</v>
      </c>
      <c r="T58" s="83" t="s">
        <v>699</v>
      </c>
      <c r="U58" s="83" t="s">
        <v>700</v>
      </c>
      <c r="V58" s="83" t="s">
        <v>701</v>
      </c>
      <c r="W58" s="83" t="s">
        <v>702</v>
      </c>
      <c r="X58" s="83" t="s">
        <v>703</v>
      </c>
      <c r="Y58" s="83" t="s">
        <v>704</v>
      </c>
      <c r="Z58" s="83" t="s">
        <v>705</v>
      </c>
      <c r="AA58" s="83" t="s">
        <v>706</v>
      </c>
      <c r="AB58" s="83" t="s">
        <v>707</v>
      </c>
      <c r="AC58" s="83" t="s">
        <v>708</v>
      </c>
      <c r="AD58" s="91"/>
    </row>
    <row r="59" spans="1:30" ht="43.5">
      <c r="B59" s="4"/>
      <c r="C59" s="4"/>
      <c r="D59" s="379" t="s">
        <v>767</v>
      </c>
      <c r="E59" s="379" t="s">
        <v>768</v>
      </c>
      <c r="F59" s="379" t="s">
        <v>769</v>
      </c>
      <c r="G59" s="379" t="s">
        <v>770</v>
      </c>
      <c r="H59" s="379" t="s">
        <v>771</v>
      </c>
      <c r="I59" s="379" t="s">
        <v>772</v>
      </c>
      <c r="J59" s="379" t="s">
        <v>773</v>
      </c>
      <c r="K59" s="379" t="s">
        <v>774</v>
      </c>
      <c r="L59" s="379" t="s">
        <v>775</v>
      </c>
      <c r="M59" s="379" t="s">
        <v>776</v>
      </c>
      <c r="N59" s="379" t="s">
        <v>777</v>
      </c>
      <c r="O59" s="379" t="s">
        <v>778</v>
      </c>
      <c r="P59" s="379" t="s">
        <v>779</v>
      </c>
      <c r="Q59" s="379" t="s">
        <v>780</v>
      </c>
      <c r="R59" s="379" t="s">
        <v>781</v>
      </c>
      <c r="S59" s="379" t="s">
        <v>782</v>
      </c>
      <c r="T59" s="379" t="s">
        <v>783</v>
      </c>
      <c r="U59" s="379" t="s">
        <v>784</v>
      </c>
      <c r="V59" s="379" t="s">
        <v>785</v>
      </c>
      <c r="W59" s="379" t="s">
        <v>786</v>
      </c>
      <c r="X59" s="379" t="s">
        <v>787</v>
      </c>
      <c r="Y59" s="379" t="s">
        <v>788</v>
      </c>
      <c r="Z59" s="379" t="s">
        <v>789</v>
      </c>
      <c r="AA59" s="379" t="s">
        <v>790</v>
      </c>
      <c r="AB59" s="379" t="s">
        <v>791</v>
      </c>
      <c r="AC59" s="133" t="s">
        <v>709</v>
      </c>
      <c r="AD59" s="91"/>
    </row>
    <row r="60" spans="1:30">
      <c r="B60" s="4"/>
      <c r="C60" s="4"/>
      <c r="L60" s="107"/>
      <c r="R60" s="21"/>
      <c r="S60" s="21"/>
      <c r="T60" s="21"/>
      <c r="AC60" s="21"/>
      <c r="AD60" s="91"/>
    </row>
    <row r="61" spans="1:30">
      <c r="A61" s="91"/>
      <c r="B61" s="91"/>
      <c r="C61" s="90" t="s">
        <v>710</v>
      </c>
      <c r="D61" s="84">
        <v>360</v>
      </c>
      <c r="E61" s="84">
        <v>360</v>
      </c>
      <c r="F61" s="84">
        <v>361</v>
      </c>
      <c r="G61" s="84">
        <v>361</v>
      </c>
      <c r="H61" s="84">
        <v>362</v>
      </c>
      <c r="I61" s="84">
        <v>363</v>
      </c>
      <c r="J61" s="84">
        <v>363</v>
      </c>
      <c r="K61" s="84">
        <v>364</v>
      </c>
      <c r="L61" s="84">
        <v>365</v>
      </c>
      <c r="M61" s="84">
        <v>366</v>
      </c>
      <c r="N61" s="84">
        <v>367</v>
      </c>
      <c r="O61" s="84">
        <v>368</v>
      </c>
      <c r="P61" s="84">
        <v>368</v>
      </c>
      <c r="Q61" s="84">
        <v>369</v>
      </c>
      <c r="R61" s="84">
        <v>369</v>
      </c>
      <c r="S61" s="84">
        <v>370</v>
      </c>
      <c r="T61" s="84">
        <v>370</v>
      </c>
      <c r="U61" s="84">
        <v>371</v>
      </c>
      <c r="V61" s="84">
        <v>371</v>
      </c>
      <c r="W61" s="84">
        <v>371</v>
      </c>
      <c r="X61" s="84">
        <v>372</v>
      </c>
      <c r="Y61" s="84">
        <v>373</v>
      </c>
      <c r="Z61" s="84">
        <v>373</v>
      </c>
      <c r="AA61" s="84">
        <v>373</v>
      </c>
      <c r="AB61" s="84">
        <v>373</v>
      </c>
      <c r="AD61" s="91"/>
    </row>
    <row r="62" spans="1:30">
      <c r="A62" s="80" t="s">
        <v>92</v>
      </c>
      <c r="B62" s="80" t="s">
        <v>440</v>
      </c>
      <c r="C62" s="80" t="s">
        <v>441</v>
      </c>
      <c r="D62" s="83" t="s">
        <v>711</v>
      </c>
      <c r="E62" s="83" t="s">
        <v>712</v>
      </c>
      <c r="F62" s="83" t="s">
        <v>713</v>
      </c>
      <c r="G62" s="83" t="s">
        <v>714</v>
      </c>
      <c r="H62" s="83" t="s">
        <v>715</v>
      </c>
      <c r="I62" s="83" t="s">
        <v>716</v>
      </c>
      <c r="J62" s="83" t="s">
        <v>717</v>
      </c>
      <c r="K62" s="83" t="s">
        <v>718</v>
      </c>
      <c r="L62" s="83" t="s">
        <v>719</v>
      </c>
      <c r="M62" s="83" t="s">
        <v>720</v>
      </c>
      <c r="N62" s="83" t="s">
        <v>721</v>
      </c>
      <c r="O62" s="83" t="s">
        <v>722</v>
      </c>
      <c r="P62" s="83" t="s">
        <v>723</v>
      </c>
      <c r="Q62" s="83" t="s">
        <v>724</v>
      </c>
      <c r="R62" s="83" t="s">
        <v>725</v>
      </c>
      <c r="S62" s="83" t="s">
        <v>726</v>
      </c>
      <c r="T62" s="83" t="s">
        <v>727</v>
      </c>
      <c r="U62" s="83" t="s">
        <v>728</v>
      </c>
      <c r="V62" s="83" t="s">
        <v>729</v>
      </c>
      <c r="W62" s="83" t="s">
        <v>730</v>
      </c>
      <c r="X62" s="83" t="s">
        <v>731</v>
      </c>
      <c r="Y62" s="83" t="s">
        <v>732</v>
      </c>
      <c r="Z62" s="83" t="s">
        <v>733</v>
      </c>
      <c r="AA62" s="83" t="s">
        <v>734</v>
      </c>
      <c r="AB62" s="83" t="s">
        <v>735</v>
      </c>
      <c r="AC62" s="80" t="s">
        <v>736</v>
      </c>
      <c r="AD62" s="80" t="str">
        <f t="shared" ref="AD62:AD76" si="9">A62</f>
        <v>Line</v>
      </c>
    </row>
    <row r="63" spans="1:30">
      <c r="A63" s="91">
        <v>300</v>
      </c>
      <c r="B63" s="377" t="s">
        <v>449</v>
      </c>
      <c r="C63" s="140">
        <f>'1-DRR'!$K$2-1</f>
        <v>2021</v>
      </c>
      <c r="D63" s="275">
        <f>D$13*'6-PlantJurisdiction'!$F$37</f>
        <v>-74987.383705238346</v>
      </c>
      <c r="E63" s="275">
        <f>E$13*'6-PlantJurisdiction'!$F$37</f>
        <v>8975408.088648783</v>
      </c>
      <c r="F63" s="275">
        <f>F$13*'6-PlantJurisdiction'!$F$38</f>
        <v>0</v>
      </c>
      <c r="G63" s="275">
        <f>G$13*'6-PlantJurisdiction'!$F$38</f>
        <v>0</v>
      </c>
      <c r="H63" s="275">
        <f>H$13*'6-PlantJurisdiction'!$F$39</f>
        <v>0</v>
      </c>
      <c r="I63" s="275">
        <f>I$13*'6-PlantJurisdiction'!$F$40</f>
        <v>0</v>
      </c>
      <c r="J63" s="275">
        <f>J$13*'6-PlantJurisdiction'!$F$40</f>
        <v>0</v>
      </c>
      <c r="K63" s="275">
        <f>K$13*'6-PlantJurisdiction'!$F$41</f>
        <v>607313291.26403379</v>
      </c>
      <c r="L63" s="275">
        <f>L$13*'6-PlantJurisdiction'!$F$42</f>
        <v>595649661.4622848</v>
      </c>
      <c r="M63" s="275">
        <f>M$13*'6-PlantJurisdiction'!$F$43</f>
        <v>794179499.92867684</v>
      </c>
      <c r="N63" s="275">
        <f>N$13*'6-PlantJurisdiction'!$F$44</f>
        <v>1849891512.4909031</v>
      </c>
      <c r="O63" s="275">
        <f>O$13*'6-PlantJurisdiction'!$F$45</f>
        <v>1074160760.2011585</v>
      </c>
      <c r="P63" s="275">
        <f>P$13*'6-PlantJurisdiction'!$F$45</f>
        <v>390265109.80999994</v>
      </c>
      <c r="Q63" s="275">
        <f>Q$13*'6-PlantJurisdiction'!$F$46</f>
        <v>782100773.78893912</v>
      </c>
      <c r="R63" s="275">
        <f>R$13*'6-PlantJurisdiction'!$F$46</f>
        <v>1679359707.0498812</v>
      </c>
      <c r="S63" s="275">
        <f>S$13*'6-PlantJurisdiction'!$F$47</f>
        <v>0</v>
      </c>
      <c r="T63" s="275">
        <f>T$13*'6-PlantJurisdiction'!$F$47</f>
        <v>0</v>
      </c>
      <c r="U63" s="275">
        <f>U$13*'6-PlantJurisdiction'!$F$48</f>
        <v>0</v>
      </c>
      <c r="V63" s="275">
        <f>V$13*'6-PlantJurisdiction'!$F$48</f>
        <v>0</v>
      </c>
      <c r="W63" s="275">
        <f>W$13*'6-PlantJurisdiction'!$F$48</f>
        <v>0</v>
      </c>
      <c r="X63" s="275">
        <f>X$13*'6-PlantJurisdiction'!$F$49</f>
        <v>0</v>
      </c>
      <c r="Y63" s="275">
        <f>Y$13*'6-PlantJurisdiction'!$F$50</f>
        <v>0</v>
      </c>
      <c r="Z63" s="275">
        <f>Z$13*'6-PlantJurisdiction'!$F$50</f>
        <v>0</v>
      </c>
      <c r="AA63" s="275">
        <f>AA$13*'6-PlantJurisdiction'!$F$50</f>
        <v>0</v>
      </c>
      <c r="AB63" s="275">
        <f>AB$13*'6-PlantJurisdiction'!$F$50</f>
        <v>0</v>
      </c>
      <c r="AC63" s="24">
        <f t="shared" ref="AC63:AC75" si="10">SUM(D63:AB63)</f>
        <v>7781820736.70082</v>
      </c>
      <c r="AD63" s="91">
        <f t="shared" si="9"/>
        <v>300</v>
      </c>
    </row>
    <row r="64" spans="1:30">
      <c r="A64" s="91">
        <f>A63+1</f>
        <v>301</v>
      </c>
      <c r="B64" s="377" t="s">
        <v>451</v>
      </c>
      <c r="C64" s="140">
        <f>'1-DRR'!$K$2</f>
        <v>2022</v>
      </c>
      <c r="D64" s="275">
        <f>D$14*'6-PlantJurisdiction'!$F$37</f>
        <v>-84361.134485115603</v>
      </c>
      <c r="E64" s="275">
        <f>E$14*'6-PlantJurisdiction'!$F$37</f>
        <v>9132730.1299628839</v>
      </c>
      <c r="F64" s="275">
        <f>F$14*'6-PlantJurisdiction'!$F$38</f>
        <v>0</v>
      </c>
      <c r="G64" s="275">
        <f>G$14*'6-PlantJurisdiction'!$F$38</f>
        <v>0</v>
      </c>
      <c r="H64" s="275">
        <f>H$14*'6-PlantJurisdiction'!$F$39</f>
        <v>0</v>
      </c>
      <c r="I64" s="275">
        <f>I$14*'6-PlantJurisdiction'!$F$40</f>
        <v>0</v>
      </c>
      <c r="J64" s="275">
        <f>J$14*'6-PlantJurisdiction'!$F$40</f>
        <v>0</v>
      </c>
      <c r="K64" s="275">
        <f>K$14*'6-PlantJurisdiction'!$F$41</f>
        <v>611951712.49659026</v>
      </c>
      <c r="L64" s="275">
        <f>L$14*'6-PlantJurisdiction'!$F$42</f>
        <v>597552368.47054613</v>
      </c>
      <c r="M64" s="275">
        <f>M$14*'6-PlantJurisdiction'!$F$43</f>
        <v>798199254.78795433</v>
      </c>
      <c r="N64" s="275">
        <f>N$14*'6-PlantJurisdiction'!$F$44</f>
        <v>1855929133.2456231</v>
      </c>
      <c r="O64" s="275">
        <f>O$14*'6-PlantJurisdiction'!$F$45</f>
        <v>1081382921.4139447</v>
      </c>
      <c r="P64" s="275">
        <f>P$14*'6-PlantJurisdiction'!$F$45</f>
        <v>393730402.93000007</v>
      </c>
      <c r="Q64" s="275">
        <f>Q$14*'6-PlantJurisdiction'!$F$46</f>
        <v>784916301.41949832</v>
      </c>
      <c r="R64" s="275">
        <f>R$14*'6-PlantJurisdiction'!$F$46</f>
        <v>1685399002.0614958</v>
      </c>
      <c r="S64" s="275">
        <f>S$14*'6-PlantJurisdiction'!$F$47</f>
        <v>0</v>
      </c>
      <c r="T64" s="275">
        <f>T$14*'6-PlantJurisdiction'!$F$47</f>
        <v>0</v>
      </c>
      <c r="U64" s="275">
        <f>U$14*'6-PlantJurisdiction'!$F$48</f>
        <v>0</v>
      </c>
      <c r="V64" s="275">
        <f>V$14*'6-PlantJurisdiction'!$F$48</f>
        <v>0</v>
      </c>
      <c r="W64" s="275">
        <f>W$14*'6-PlantJurisdiction'!$F$48</f>
        <v>0</v>
      </c>
      <c r="X64" s="275">
        <f>X$14*'6-PlantJurisdiction'!$F$49</f>
        <v>0</v>
      </c>
      <c r="Y64" s="275">
        <f>Y$14*'6-PlantJurisdiction'!$F$50</f>
        <v>0</v>
      </c>
      <c r="Z64" s="275">
        <f>Z$14*'6-PlantJurisdiction'!$F$50</f>
        <v>0</v>
      </c>
      <c r="AA64" s="275">
        <f>AA$14*'6-PlantJurisdiction'!$F$50</f>
        <v>0</v>
      </c>
      <c r="AB64" s="275">
        <f>AB$14*'6-PlantJurisdiction'!$F$50</f>
        <v>0</v>
      </c>
      <c r="AC64" s="24">
        <f t="shared" si="10"/>
        <v>7818109465.8211308</v>
      </c>
      <c r="AD64" s="91">
        <f t="shared" si="9"/>
        <v>301</v>
      </c>
    </row>
    <row r="65" spans="1:30">
      <c r="A65" s="91">
        <f t="shared" ref="A65:A76" si="11">A64+1</f>
        <v>302</v>
      </c>
      <c r="B65" s="377" t="s">
        <v>452</v>
      </c>
      <c r="C65" s="140">
        <f>'1-DRR'!$K$2</f>
        <v>2022</v>
      </c>
      <c r="D65" s="275">
        <f>D$15*'6-PlantJurisdiction'!$F$37</f>
        <v>-90867.957521106931</v>
      </c>
      <c r="E65" s="275">
        <f>E$15*'6-PlantJurisdiction'!$F$37</f>
        <v>9290060.9389415588</v>
      </c>
      <c r="F65" s="275">
        <f>F$15*'6-PlantJurisdiction'!$F$38</f>
        <v>0</v>
      </c>
      <c r="G65" s="275">
        <f>G$15*'6-PlantJurisdiction'!$F$38</f>
        <v>0</v>
      </c>
      <c r="H65" s="275">
        <f>H$15*'6-PlantJurisdiction'!$F$39</f>
        <v>0</v>
      </c>
      <c r="I65" s="275">
        <f>I$15*'6-PlantJurisdiction'!$F$40</f>
        <v>0</v>
      </c>
      <c r="J65" s="275">
        <f>J$15*'6-PlantJurisdiction'!$F$40</f>
        <v>0</v>
      </c>
      <c r="K65" s="275">
        <f>K$15*'6-PlantJurisdiction'!$F$41</f>
        <v>617137466.25572264</v>
      </c>
      <c r="L65" s="275">
        <f>L$15*'6-PlantJurisdiction'!$F$42</f>
        <v>599423111.92771184</v>
      </c>
      <c r="M65" s="275">
        <f>M$15*'6-PlantJurisdiction'!$F$43</f>
        <v>802200030.81540871</v>
      </c>
      <c r="N65" s="275">
        <f>N$15*'6-PlantJurisdiction'!$F$44</f>
        <v>1864626486.4817858</v>
      </c>
      <c r="O65" s="275">
        <f>O$15*'6-PlantJurisdiction'!$F$45</f>
        <v>1088824541.8067343</v>
      </c>
      <c r="P65" s="275">
        <f>P$15*'6-PlantJurisdiction'!$F$45</f>
        <v>397318039.6499998</v>
      </c>
      <c r="Q65" s="275">
        <f>Q$15*'6-PlantJurisdiction'!$F$46</f>
        <v>787835371.72005892</v>
      </c>
      <c r="R65" s="275">
        <f>R$15*'6-PlantJurisdiction'!$F$46</f>
        <v>1691188088.7331123</v>
      </c>
      <c r="S65" s="275">
        <f>S$15*'6-PlantJurisdiction'!$F$47</f>
        <v>0</v>
      </c>
      <c r="T65" s="275">
        <f>T$15*'6-PlantJurisdiction'!$F$47</f>
        <v>0</v>
      </c>
      <c r="U65" s="275">
        <f>U$15*'6-PlantJurisdiction'!$F$48</f>
        <v>0</v>
      </c>
      <c r="V65" s="275">
        <f>V$15*'6-PlantJurisdiction'!$F$48</f>
        <v>0</v>
      </c>
      <c r="W65" s="275">
        <f>W$15*'6-PlantJurisdiction'!$F$48</f>
        <v>0</v>
      </c>
      <c r="X65" s="275">
        <f>X$15*'6-PlantJurisdiction'!$F$49</f>
        <v>0</v>
      </c>
      <c r="Y65" s="275">
        <f>Y$15*'6-PlantJurisdiction'!$F$50</f>
        <v>0</v>
      </c>
      <c r="Z65" s="275">
        <f>Z$15*'6-PlantJurisdiction'!$F$50</f>
        <v>0</v>
      </c>
      <c r="AA65" s="275">
        <f>AA$15*'6-PlantJurisdiction'!$F$50</f>
        <v>0</v>
      </c>
      <c r="AB65" s="275">
        <f>AB$15*'6-PlantJurisdiction'!$F$50</f>
        <v>0</v>
      </c>
      <c r="AC65" s="24">
        <f t="shared" si="10"/>
        <v>7857752330.371954</v>
      </c>
      <c r="AD65" s="91">
        <f t="shared" si="9"/>
        <v>302</v>
      </c>
    </row>
    <row r="66" spans="1:30">
      <c r="A66" s="91">
        <f t="shared" si="11"/>
        <v>303</v>
      </c>
      <c r="B66" s="377" t="s">
        <v>453</v>
      </c>
      <c r="C66" s="140">
        <f>'1-DRR'!$K$2</f>
        <v>2022</v>
      </c>
      <c r="D66" s="275">
        <f>D$16*'6-PlantJurisdiction'!$F$37</f>
        <v>-93955.494874118944</v>
      </c>
      <c r="E66" s="275">
        <f>E$16*'6-PlantJurisdiction'!$F$37</f>
        <v>9447445.5416575596</v>
      </c>
      <c r="F66" s="275">
        <f>F$16*'6-PlantJurisdiction'!$F$38</f>
        <v>0</v>
      </c>
      <c r="G66" s="275">
        <f>G$16*'6-PlantJurisdiction'!$F$38</f>
        <v>0</v>
      </c>
      <c r="H66" s="275">
        <f>H$16*'6-PlantJurisdiction'!$F$39</f>
        <v>0</v>
      </c>
      <c r="I66" s="275">
        <f>I$16*'6-PlantJurisdiction'!$F$40</f>
        <v>0</v>
      </c>
      <c r="J66" s="275">
        <f>J$16*'6-PlantJurisdiction'!$F$40</f>
        <v>0</v>
      </c>
      <c r="K66" s="275">
        <f>K$16*'6-PlantJurisdiction'!$F$41</f>
        <v>621314033.49389243</v>
      </c>
      <c r="L66" s="275">
        <f>L$16*'6-PlantJurisdiction'!$F$42</f>
        <v>600794531.77642131</v>
      </c>
      <c r="M66" s="275">
        <f>M$16*'6-PlantJurisdiction'!$F$43</f>
        <v>806206863.00436592</v>
      </c>
      <c r="N66" s="275">
        <f>N$16*'6-PlantJurisdiction'!$F$44</f>
        <v>1870549812.9749334</v>
      </c>
      <c r="O66" s="275">
        <f>O$16*'6-PlantJurisdiction'!$F$45</f>
        <v>1096035598.7795231</v>
      </c>
      <c r="P66" s="275">
        <f>P$16*'6-PlantJurisdiction'!$F$45</f>
        <v>400721767.78999972</v>
      </c>
      <c r="Q66" s="275">
        <f>Q$16*'6-PlantJurisdiction'!$F$46</f>
        <v>790331720.26061761</v>
      </c>
      <c r="R66" s="275">
        <f>R$16*'6-PlantJurisdiction'!$F$46</f>
        <v>1696894173.0047271</v>
      </c>
      <c r="S66" s="275">
        <f>S$16*'6-PlantJurisdiction'!$F$47</f>
        <v>0</v>
      </c>
      <c r="T66" s="275">
        <f>T$16*'6-PlantJurisdiction'!$F$47</f>
        <v>0</v>
      </c>
      <c r="U66" s="275">
        <f>U$16*'6-PlantJurisdiction'!$F$48</f>
        <v>0</v>
      </c>
      <c r="V66" s="275">
        <f>V$16*'6-PlantJurisdiction'!$F$48</f>
        <v>0</v>
      </c>
      <c r="W66" s="275">
        <f>W$16*'6-PlantJurisdiction'!$F$48</f>
        <v>0</v>
      </c>
      <c r="X66" s="275">
        <f>X$16*'6-PlantJurisdiction'!$F$49</f>
        <v>0</v>
      </c>
      <c r="Y66" s="275">
        <f>Y$16*'6-PlantJurisdiction'!$F$50</f>
        <v>0</v>
      </c>
      <c r="Z66" s="275">
        <f>Z$16*'6-PlantJurisdiction'!$F$50</f>
        <v>0</v>
      </c>
      <c r="AA66" s="275">
        <f>AA$16*'6-PlantJurisdiction'!$F$50</f>
        <v>0</v>
      </c>
      <c r="AB66" s="275">
        <f>AB$16*'6-PlantJurisdiction'!$F$50</f>
        <v>0</v>
      </c>
      <c r="AC66" s="24">
        <f t="shared" si="10"/>
        <v>7892201991.1312637</v>
      </c>
      <c r="AD66" s="91">
        <f t="shared" si="9"/>
        <v>303</v>
      </c>
    </row>
    <row r="67" spans="1:30">
      <c r="A67" s="91">
        <f t="shared" si="11"/>
        <v>304</v>
      </c>
      <c r="B67" s="377" t="s">
        <v>454</v>
      </c>
      <c r="C67" s="140">
        <f>'1-DRR'!$K$2</f>
        <v>2022</v>
      </c>
      <c r="D67" s="275">
        <f>D$17*'6-PlantJurisdiction'!$F$37</f>
        <v>-97007.025168500943</v>
      </c>
      <c r="E67" s="275">
        <f>E$17*'6-PlantJurisdiction'!$F$37</f>
        <v>9605126.2341721449</v>
      </c>
      <c r="F67" s="275">
        <f>F$17*'6-PlantJurisdiction'!$F$38</f>
        <v>0</v>
      </c>
      <c r="G67" s="275">
        <f>G$17*'6-PlantJurisdiction'!$F$38</f>
        <v>0</v>
      </c>
      <c r="H67" s="275">
        <f>H$17*'6-PlantJurisdiction'!$F$39</f>
        <v>0</v>
      </c>
      <c r="I67" s="275">
        <f>I$17*'6-PlantJurisdiction'!$F$40</f>
        <v>0</v>
      </c>
      <c r="J67" s="275">
        <f>J$17*'6-PlantJurisdiction'!$F$40</f>
        <v>0</v>
      </c>
      <c r="K67" s="275">
        <f>K$17*'6-PlantJurisdiction'!$F$41</f>
        <v>624888685.46206975</v>
      </c>
      <c r="L67" s="275">
        <f>L$17*'6-PlantJurisdiction'!$F$42</f>
        <v>601314608.22865188</v>
      </c>
      <c r="M67" s="275">
        <f>M$17*'6-PlantJurisdiction'!$F$43</f>
        <v>810022120.983446</v>
      </c>
      <c r="N67" s="275">
        <f>N$17*'6-PlantJurisdiction'!$F$44</f>
        <v>1878302424.9973557</v>
      </c>
      <c r="O67" s="275">
        <f>O$17*'6-PlantJurisdiction'!$F$45</f>
        <v>1102640153.7523122</v>
      </c>
      <c r="P67" s="275">
        <f>P$17*'6-PlantJurisdiction'!$F$45</f>
        <v>403800635.94</v>
      </c>
      <c r="Q67" s="275">
        <f>Q$17*'6-PlantJurisdiction'!$F$46</f>
        <v>792960005.82117891</v>
      </c>
      <c r="R67" s="275">
        <f>R$17*'6-PlantJurisdiction'!$F$46</f>
        <v>1702541289.4363444</v>
      </c>
      <c r="S67" s="275">
        <f>S$17*'6-PlantJurisdiction'!$F$47</f>
        <v>0</v>
      </c>
      <c r="T67" s="275">
        <f>T$17*'6-PlantJurisdiction'!$F$47</f>
        <v>0</v>
      </c>
      <c r="U67" s="275">
        <f>U$17*'6-PlantJurisdiction'!$F$48</f>
        <v>0</v>
      </c>
      <c r="V67" s="275">
        <f>V$17*'6-PlantJurisdiction'!$F$48</f>
        <v>0</v>
      </c>
      <c r="W67" s="275">
        <f>W$17*'6-PlantJurisdiction'!$F$48</f>
        <v>0</v>
      </c>
      <c r="X67" s="275">
        <f>X$17*'6-PlantJurisdiction'!$F$49</f>
        <v>0</v>
      </c>
      <c r="Y67" s="275">
        <f>Y$17*'6-PlantJurisdiction'!$F$50</f>
        <v>0</v>
      </c>
      <c r="Z67" s="275">
        <f>Z$17*'6-PlantJurisdiction'!$F$50</f>
        <v>0</v>
      </c>
      <c r="AA67" s="275">
        <f>AA$17*'6-PlantJurisdiction'!$F$50</f>
        <v>0</v>
      </c>
      <c r="AB67" s="275">
        <f>AB$17*'6-PlantJurisdiction'!$F$50</f>
        <v>0</v>
      </c>
      <c r="AC67" s="24">
        <f t="shared" si="10"/>
        <v>7925978043.8303623</v>
      </c>
      <c r="AD67" s="91">
        <f t="shared" si="9"/>
        <v>304</v>
      </c>
    </row>
    <row r="68" spans="1:30">
      <c r="A68" s="91">
        <f t="shared" si="11"/>
        <v>305</v>
      </c>
      <c r="B68" s="377" t="s">
        <v>455</v>
      </c>
      <c r="C68" s="140">
        <f>'1-DRR'!$K$2</f>
        <v>2022</v>
      </c>
      <c r="D68" s="275">
        <f>D$18*'6-PlantJurisdiction'!$F$37</f>
        <v>-99232.93618067466</v>
      </c>
      <c r="E68" s="275">
        <f>E$18*'6-PlantJurisdiction'!$F$37</f>
        <v>9751084.7119460963</v>
      </c>
      <c r="F68" s="275">
        <f>F$18*'6-PlantJurisdiction'!$F$38</f>
        <v>0</v>
      </c>
      <c r="G68" s="275">
        <f>G$18*'6-PlantJurisdiction'!$F$38</f>
        <v>0</v>
      </c>
      <c r="H68" s="275">
        <f>H$18*'6-PlantJurisdiction'!$F$39</f>
        <v>0</v>
      </c>
      <c r="I68" s="275">
        <f>I$18*'6-PlantJurisdiction'!$F$40</f>
        <v>0</v>
      </c>
      <c r="J68" s="275">
        <f>J$18*'6-PlantJurisdiction'!$F$40</f>
        <v>0</v>
      </c>
      <c r="K68" s="275">
        <f>K$18*'6-PlantJurisdiction'!$F$41</f>
        <v>628785689.00703263</v>
      </c>
      <c r="L68" s="275">
        <f>L$18*'6-PlantJurisdiction'!$F$42</f>
        <v>602353678.57946181</v>
      </c>
      <c r="M68" s="275">
        <f>M$18*'6-PlantJurisdiction'!$F$43</f>
        <v>813927933.4398452</v>
      </c>
      <c r="N68" s="275">
        <f>N$18*'6-PlantJurisdiction'!$F$44</f>
        <v>1885594404.5518997</v>
      </c>
      <c r="O68" s="275">
        <f>O$18*'6-PlantJurisdiction'!$F$45</f>
        <v>1109504017.4650998</v>
      </c>
      <c r="P68" s="275">
        <f>P$18*'6-PlantJurisdiction'!$F$45</f>
        <v>407204519.02999973</v>
      </c>
      <c r="Q68" s="275">
        <f>Q$18*'6-PlantJurisdiction'!$F$46</f>
        <v>795282322.821738</v>
      </c>
      <c r="R68" s="275">
        <f>R$18*'6-PlantJurisdiction'!$F$46</f>
        <v>1708288209.5179577</v>
      </c>
      <c r="S68" s="275">
        <f>S$18*'6-PlantJurisdiction'!$F$47</f>
        <v>0</v>
      </c>
      <c r="T68" s="275">
        <f>T$18*'6-PlantJurisdiction'!$F$47</f>
        <v>0</v>
      </c>
      <c r="U68" s="275">
        <f>U$18*'6-PlantJurisdiction'!$F$48</f>
        <v>0</v>
      </c>
      <c r="V68" s="275">
        <f>V$18*'6-PlantJurisdiction'!$F$48</f>
        <v>0</v>
      </c>
      <c r="W68" s="275">
        <f>W$18*'6-PlantJurisdiction'!$F$48</f>
        <v>0</v>
      </c>
      <c r="X68" s="275">
        <f>X$18*'6-PlantJurisdiction'!$F$49</f>
        <v>0</v>
      </c>
      <c r="Y68" s="275">
        <f>Y$18*'6-PlantJurisdiction'!$F$50</f>
        <v>0</v>
      </c>
      <c r="Z68" s="275">
        <f>Z$18*'6-PlantJurisdiction'!$F$50</f>
        <v>0</v>
      </c>
      <c r="AA68" s="275">
        <f>AA$18*'6-PlantJurisdiction'!$F$50</f>
        <v>0</v>
      </c>
      <c r="AB68" s="275">
        <f>AB$18*'6-PlantJurisdiction'!$F$50</f>
        <v>0</v>
      </c>
      <c r="AC68" s="24">
        <f t="shared" si="10"/>
        <v>7960592626.1888008</v>
      </c>
      <c r="AD68" s="91">
        <f t="shared" si="9"/>
        <v>305</v>
      </c>
    </row>
    <row r="69" spans="1:30">
      <c r="A69" s="91">
        <f t="shared" si="11"/>
        <v>306</v>
      </c>
      <c r="B69" s="377" t="s">
        <v>737</v>
      </c>
      <c r="C69" s="140">
        <f>'1-DRR'!$K$2</f>
        <v>2022</v>
      </c>
      <c r="D69" s="275">
        <f>D$19*'6-PlantJurisdiction'!$F$37</f>
        <v>-100139.00072114162</v>
      </c>
      <c r="E69" s="275">
        <f>E$19*'6-PlantJurisdiction'!$F$37</f>
        <v>9909730.3847608026</v>
      </c>
      <c r="F69" s="275">
        <f>F$19*'6-PlantJurisdiction'!$F$38</f>
        <v>0</v>
      </c>
      <c r="G69" s="275">
        <f>G$19*'6-PlantJurisdiction'!$F$38</f>
        <v>0</v>
      </c>
      <c r="H69" s="275">
        <f>H$19*'6-PlantJurisdiction'!$F$39</f>
        <v>0</v>
      </c>
      <c r="I69" s="275">
        <f>I$19*'6-PlantJurisdiction'!$F$40</f>
        <v>0</v>
      </c>
      <c r="J69" s="275">
        <f>J$19*'6-PlantJurisdiction'!$F$40</f>
        <v>0</v>
      </c>
      <c r="K69" s="275">
        <f>K$19*'6-PlantJurisdiction'!$F$41</f>
        <v>633385946.36087191</v>
      </c>
      <c r="L69" s="275">
        <f>L$19*'6-PlantJurisdiction'!$F$42</f>
        <v>603911229.02110386</v>
      </c>
      <c r="M69" s="275">
        <f>M$19*'6-PlantJurisdiction'!$F$43</f>
        <v>817905207.65555298</v>
      </c>
      <c r="N69" s="275">
        <f>N$19*'6-PlantJurisdiction'!$F$44</f>
        <v>1893754422.6429937</v>
      </c>
      <c r="O69" s="275">
        <f>O$19*'6-PlantJurisdiction'!$F$45</f>
        <v>1117257826.2478898</v>
      </c>
      <c r="P69" s="275">
        <f>P$19*'6-PlantJurisdiction'!$F$45</f>
        <v>410698702.04000002</v>
      </c>
      <c r="Q69" s="275">
        <f>Q$19*'6-PlantJurisdiction'!$F$46</f>
        <v>797944681.9322989</v>
      </c>
      <c r="R69" s="275">
        <f>R$19*'6-PlantJurisdiction'!$F$46</f>
        <v>1714235779.9395721</v>
      </c>
      <c r="S69" s="275">
        <f>S$19*'6-PlantJurisdiction'!$F$47</f>
        <v>0</v>
      </c>
      <c r="T69" s="275">
        <f>T$19*'6-PlantJurisdiction'!$F$47</f>
        <v>0</v>
      </c>
      <c r="U69" s="275">
        <f>U$19*'6-PlantJurisdiction'!$F$48</f>
        <v>0</v>
      </c>
      <c r="V69" s="275">
        <f>V$19*'6-PlantJurisdiction'!$F$48</f>
        <v>0</v>
      </c>
      <c r="W69" s="275">
        <f>W$19*'6-PlantJurisdiction'!$F$48</f>
        <v>0</v>
      </c>
      <c r="X69" s="275">
        <f>X$19*'6-PlantJurisdiction'!$F$49</f>
        <v>0</v>
      </c>
      <c r="Y69" s="275">
        <f>Y$19*'6-PlantJurisdiction'!$F$50</f>
        <v>0</v>
      </c>
      <c r="Z69" s="275">
        <f>Z$19*'6-PlantJurisdiction'!$F$50</f>
        <v>0</v>
      </c>
      <c r="AA69" s="275">
        <f>AA$19*'6-PlantJurisdiction'!$F$50</f>
        <v>0</v>
      </c>
      <c r="AB69" s="275">
        <f>AB$19*'6-PlantJurisdiction'!$F$50</f>
        <v>0</v>
      </c>
      <c r="AC69" s="24">
        <f t="shared" si="10"/>
        <v>7998903387.2243223</v>
      </c>
      <c r="AD69" s="91">
        <f t="shared" si="9"/>
        <v>306</v>
      </c>
    </row>
    <row r="70" spans="1:30">
      <c r="A70" s="91">
        <f t="shared" si="11"/>
        <v>307</v>
      </c>
      <c r="B70" s="377" t="s">
        <v>457</v>
      </c>
      <c r="C70" s="140">
        <f>'1-DRR'!$K$2</f>
        <v>2022</v>
      </c>
      <c r="D70" s="275">
        <f>D$20*'6-PlantJurisdiction'!$F$37</f>
        <v>-100393.57702176478</v>
      </c>
      <c r="E70" s="547">
        <f>E20*'6-PlantJurisdiction'!$F$37</f>
        <v>10068575.156008916</v>
      </c>
      <c r="F70" s="275">
        <f>F$20*'6-PlantJurisdiction'!$F$38</f>
        <v>0</v>
      </c>
      <c r="G70" s="275">
        <f>G$20*'6-PlantJurisdiction'!$F$38</f>
        <v>0</v>
      </c>
      <c r="H70" s="275">
        <f>H$20*'6-PlantJurisdiction'!$F$39</f>
        <v>0</v>
      </c>
      <c r="I70" s="275">
        <f>I$20*'6-PlantJurisdiction'!$F$40</f>
        <v>0</v>
      </c>
      <c r="J70" s="275">
        <f>J$20*'6-PlantJurisdiction'!$F$40</f>
        <v>0</v>
      </c>
      <c r="K70" s="275">
        <f>K$20*'6-PlantJurisdiction'!$F$41</f>
        <v>638106741.14863229</v>
      </c>
      <c r="L70" s="275">
        <f>L$20*'6-PlantJurisdiction'!$F$42</f>
        <v>605995058.21388817</v>
      </c>
      <c r="M70" s="275">
        <f>M$20*'6-PlantJurisdiction'!$F$43</f>
        <v>822151607.52793837</v>
      </c>
      <c r="N70" s="275">
        <f>N$20*'6-PlantJurisdiction'!$F$44</f>
        <v>1901963363.7145545</v>
      </c>
      <c r="O70" s="275">
        <f>O$20*'6-PlantJurisdiction'!$F$45</f>
        <v>1124192143.4606783</v>
      </c>
      <c r="P70" s="275">
        <f>P$20*'6-PlantJurisdiction'!$F$45</f>
        <v>414486069.50000024</v>
      </c>
      <c r="Q70" s="275">
        <f>Q$20*'6-PlantJurisdiction'!$F$46</f>
        <v>800692977.58285725</v>
      </c>
      <c r="R70" s="275">
        <f>R$20*'6-PlantJurisdiction'!$F$46</f>
        <v>1720250036.9911878</v>
      </c>
      <c r="S70" s="275">
        <f>S$20*'6-PlantJurisdiction'!$F$47</f>
        <v>0</v>
      </c>
      <c r="T70" s="275">
        <f>T$20*'6-PlantJurisdiction'!$F$47</f>
        <v>0</v>
      </c>
      <c r="U70" s="275">
        <f>U$20*'6-PlantJurisdiction'!$F$48</f>
        <v>0</v>
      </c>
      <c r="V70" s="275">
        <f>V$20*'6-PlantJurisdiction'!$F$48</f>
        <v>0</v>
      </c>
      <c r="W70" s="275">
        <f>W$20*'6-PlantJurisdiction'!$F$48</f>
        <v>0</v>
      </c>
      <c r="X70" s="275">
        <f>X$20*'6-PlantJurisdiction'!$F$49</f>
        <v>0</v>
      </c>
      <c r="Y70" s="275">
        <f>Y$20*'6-PlantJurisdiction'!$F$50</f>
        <v>0</v>
      </c>
      <c r="Z70" s="275">
        <f>Z$20*'6-PlantJurisdiction'!$F$50</f>
        <v>0</v>
      </c>
      <c r="AA70" s="275">
        <f>AA$20*'6-PlantJurisdiction'!$F$50</f>
        <v>0</v>
      </c>
      <c r="AB70" s="275">
        <f>AB$20*'6-PlantJurisdiction'!$F$50</f>
        <v>0</v>
      </c>
      <c r="AC70" s="24">
        <f t="shared" si="10"/>
        <v>8037806179.7187243</v>
      </c>
      <c r="AD70" s="91">
        <f t="shared" si="9"/>
        <v>307</v>
      </c>
    </row>
    <row r="71" spans="1:30">
      <c r="A71" s="91">
        <f t="shared" si="11"/>
        <v>308</v>
      </c>
      <c r="B71" s="377" t="s">
        <v>458</v>
      </c>
      <c r="C71" s="140">
        <f>'1-DRR'!$K$2</f>
        <v>2022</v>
      </c>
      <c r="D71" s="275">
        <f>D$21*'6-PlantJurisdiction'!$F$37</f>
        <v>-101470.10092944175</v>
      </c>
      <c r="E71" s="275">
        <f>E$21*'6-PlantJurisdiction'!$F$37</f>
        <v>10227982.477174943</v>
      </c>
      <c r="F71" s="275">
        <f>F$21*'6-PlantJurisdiction'!$F$38</f>
        <v>0</v>
      </c>
      <c r="G71" s="275">
        <f>G$21*'6-PlantJurisdiction'!$F$38</f>
        <v>0</v>
      </c>
      <c r="H71" s="275">
        <f>H$21*'6-PlantJurisdiction'!$F$39</f>
        <v>0</v>
      </c>
      <c r="I71" s="275">
        <f>I$21*'6-PlantJurisdiction'!$F$40</f>
        <v>0</v>
      </c>
      <c r="J71" s="275">
        <f>J$21*'6-PlantJurisdiction'!$F$40</f>
        <v>0</v>
      </c>
      <c r="K71" s="275">
        <f>K$21*'6-PlantJurisdiction'!$F$41</f>
        <v>642299686.66237438</v>
      </c>
      <c r="L71" s="275">
        <f>L$21*'6-PlantJurisdiction'!$F$42</f>
        <v>607423683.69180989</v>
      </c>
      <c r="M71" s="275">
        <f>M$21*'6-PlantJurisdiction'!$F$43</f>
        <v>826038734.52927506</v>
      </c>
      <c r="N71" s="275">
        <f>N$21*'6-PlantJurisdiction'!$F$44</f>
        <v>1909895787.2077422</v>
      </c>
      <c r="O71" s="275">
        <f>O$21*'6-PlantJurisdiction'!$F$45</f>
        <v>1131075744.8634675</v>
      </c>
      <c r="P71" s="275">
        <f>P$21*'6-PlantJurisdiction'!$F$45</f>
        <v>417911242.15999985</v>
      </c>
      <c r="Q71" s="275">
        <f>Q$21*'6-PlantJurisdiction'!$F$46</f>
        <v>803315358.37341774</v>
      </c>
      <c r="R71" s="275">
        <f>R$21*'6-PlantJurisdiction'!$F$46</f>
        <v>1726283948.0528021</v>
      </c>
      <c r="S71" s="275">
        <f>S$21*'6-PlantJurisdiction'!$F$47</f>
        <v>0</v>
      </c>
      <c r="T71" s="275">
        <f>T$21*'6-PlantJurisdiction'!$F$47</f>
        <v>0</v>
      </c>
      <c r="U71" s="275">
        <f>U$21*'6-PlantJurisdiction'!$F$48</f>
        <v>0</v>
      </c>
      <c r="V71" s="275">
        <f>V$21*'6-PlantJurisdiction'!$F$48</f>
        <v>0</v>
      </c>
      <c r="W71" s="275">
        <f>W$21*'6-PlantJurisdiction'!$F$48</f>
        <v>0</v>
      </c>
      <c r="X71" s="275">
        <f>X$21*'6-PlantJurisdiction'!$F$49</f>
        <v>0</v>
      </c>
      <c r="Y71" s="275">
        <f>Y$21*'6-PlantJurisdiction'!$F$50</f>
        <v>0</v>
      </c>
      <c r="Z71" s="275">
        <f>Z$21*'6-PlantJurisdiction'!$F$50</f>
        <v>0</v>
      </c>
      <c r="AA71" s="275">
        <f>AA$21*'6-PlantJurisdiction'!$F$50</f>
        <v>0</v>
      </c>
      <c r="AB71" s="275">
        <f>AB$21*'6-PlantJurisdiction'!$F$50</f>
        <v>0</v>
      </c>
      <c r="AC71" s="24">
        <f t="shared" si="10"/>
        <v>8074370697.9171343</v>
      </c>
      <c r="AD71" s="91">
        <f t="shared" si="9"/>
        <v>308</v>
      </c>
    </row>
    <row r="72" spans="1:30">
      <c r="A72" s="91">
        <f t="shared" si="11"/>
        <v>309</v>
      </c>
      <c r="B72" s="377" t="s">
        <v>459</v>
      </c>
      <c r="C72" s="140">
        <f>'1-DRR'!$K$2</f>
        <v>2022</v>
      </c>
      <c r="D72" s="275">
        <f>D$22*'6-PlantJurisdiction'!$F$37</f>
        <v>-97880.660484929133</v>
      </c>
      <c r="E72" s="275">
        <f>E$22*'6-PlantJurisdiction'!$F$37</f>
        <v>10387910.49116281</v>
      </c>
      <c r="F72" s="275">
        <f>F$22*'6-PlantJurisdiction'!$F$38</f>
        <v>0</v>
      </c>
      <c r="G72" s="275">
        <f>G$22*'6-PlantJurisdiction'!$F$38</f>
        <v>0</v>
      </c>
      <c r="H72" s="275">
        <f>H$22*'6-PlantJurisdiction'!$F$39</f>
        <v>0</v>
      </c>
      <c r="I72" s="275">
        <f>I$22*'6-PlantJurisdiction'!$F$40</f>
        <v>0</v>
      </c>
      <c r="J72" s="275">
        <f>J$22*'6-PlantJurisdiction'!$F$40</f>
        <v>0</v>
      </c>
      <c r="K72" s="275">
        <f>K$22*'6-PlantJurisdiction'!$F$41</f>
        <v>646186657.99510276</v>
      </c>
      <c r="L72" s="275">
        <f>L$22*'6-PlantJurisdiction'!$F$42</f>
        <v>609744873.94986379</v>
      </c>
      <c r="M72" s="275">
        <f>M$22*'6-PlantJurisdiction'!$F$43</f>
        <v>830278550.93315113</v>
      </c>
      <c r="N72" s="275">
        <f>N$22*'6-PlantJurisdiction'!$F$44</f>
        <v>1917387137.7488434</v>
      </c>
      <c r="O72" s="275">
        <f>O$22*'6-PlantJurisdiction'!$F$45</f>
        <v>1136998378.3889256</v>
      </c>
      <c r="P72" s="275">
        <f>P$22*'6-PlantJurisdiction'!$F$45</f>
        <v>421324510.16244501</v>
      </c>
      <c r="Q72" s="275">
        <f>Q$22*'6-PlantJurisdiction'!$F$46</f>
        <v>805720147.27925193</v>
      </c>
      <c r="R72" s="275">
        <f>R$22*'6-PlantJurisdiction'!$F$46</f>
        <v>1732926930.7763379</v>
      </c>
      <c r="S72" s="275">
        <f>S$22*'6-PlantJurisdiction'!$F$47</f>
        <v>0</v>
      </c>
      <c r="T72" s="275">
        <f>T$22*'6-PlantJurisdiction'!$F$47</f>
        <v>0</v>
      </c>
      <c r="U72" s="275">
        <f>U$22*'6-PlantJurisdiction'!$F$48</f>
        <v>0</v>
      </c>
      <c r="V72" s="275">
        <f>V$22*'6-PlantJurisdiction'!$F$48</f>
        <v>0</v>
      </c>
      <c r="W72" s="275">
        <f>W$22*'6-PlantJurisdiction'!$F$48</f>
        <v>0</v>
      </c>
      <c r="X72" s="275">
        <f>X$22*'6-PlantJurisdiction'!$F$49</f>
        <v>0</v>
      </c>
      <c r="Y72" s="275">
        <f>Y$22*'6-PlantJurisdiction'!$F$50</f>
        <v>0</v>
      </c>
      <c r="Z72" s="275">
        <f>Z$22*'6-PlantJurisdiction'!$F$50</f>
        <v>0</v>
      </c>
      <c r="AA72" s="275">
        <f>AA$22*'6-PlantJurisdiction'!$F$50</f>
        <v>0</v>
      </c>
      <c r="AB72" s="275">
        <f>AB$22*'6-PlantJurisdiction'!$F$50</f>
        <v>0</v>
      </c>
      <c r="AC72" s="24">
        <f t="shared" si="10"/>
        <v>8110857217.064599</v>
      </c>
      <c r="AD72" s="91">
        <f t="shared" si="9"/>
        <v>309</v>
      </c>
    </row>
    <row r="73" spans="1:30">
      <c r="A73" s="91">
        <f t="shared" si="11"/>
        <v>310</v>
      </c>
      <c r="B73" s="377" t="s">
        <v>460</v>
      </c>
      <c r="C73" s="140">
        <f>'1-DRR'!$K$2</f>
        <v>2022</v>
      </c>
      <c r="D73" s="275">
        <f>D$23*'6-PlantJurisdiction'!$F$37</f>
        <v>-98129.711589091487</v>
      </c>
      <c r="E73" s="275">
        <f>E$23*'6-PlantJurisdiction'!$F$37</f>
        <v>10709146.776484024</v>
      </c>
      <c r="F73" s="275">
        <f>F$23*'6-PlantJurisdiction'!$F$38</f>
        <v>0</v>
      </c>
      <c r="G73" s="275">
        <f>G$23*'6-PlantJurisdiction'!$F$38</f>
        <v>0</v>
      </c>
      <c r="H73" s="275">
        <f>H$23*'6-PlantJurisdiction'!$F$39</f>
        <v>0</v>
      </c>
      <c r="I73" s="275">
        <f>I$23*'6-PlantJurisdiction'!$F$40</f>
        <v>0</v>
      </c>
      <c r="J73" s="275">
        <f>J$23*'6-PlantJurisdiction'!$F$40</f>
        <v>0</v>
      </c>
      <c r="K73" s="275">
        <f>K$23*'6-PlantJurisdiction'!$F$41</f>
        <v>654168302.70455527</v>
      </c>
      <c r="L73" s="275">
        <f>L$23*'6-PlantJurisdiction'!$F$42</f>
        <v>614735941.03183711</v>
      </c>
      <c r="M73" s="275">
        <f>M$23*'6-PlantJurisdiction'!$F$43</f>
        <v>838648945.99676728</v>
      </c>
      <c r="N73" s="275">
        <f>N$23*'6-PlantJurisdiction'!$F$44</f>
        <v>1935954812.6444335</v>
      </c>
      <c r="O73" s="275">
        <f>O$23*'6-PlantJurisdiction'!$F$45</f>
        <v>1150065141.3790448</v>
      </c>
      <c r="P73" s="275">
        <f>P$23*'6-PlantJurisdiction'!$F$45</f>
        <v>428684351.9999997</v>
      </c>
      <c r="Q73" s="275">
        <f>Q$23*'6-PlantJurisdiction'!$F$46</f>
        <v>808084335.55453825</v>
      </c>
      <c r="R73" s="275">
        <f>R$23*'6-PlantJurisdiction'!$F$46</f>
        <v>1746259948.5860329</v>
      </c>
      <c r="S73" s="275">
        <f>S$23*'6-PlantJurisdiction'!$F$47</f>
        <v>0</v>
      </c>
      <c r="T73" s="275">
        <f>T$23*'6-PlantJurisdiction'!$F$47</f>
        <v>0</v>
      </c>
      <c r="U73" s="275">
        <f>U$23*'6-PlantJurisdiction'!$F$48</f>
        <v>0</v>
      </c>
      <c r="V73" s="275">
        <f>V$23*'6-PlantJurisdiction'!$F$48</f>
        <v>0</v>
      </c>
      <c r="W73" s="275">
        <f>W$23*'6-PlantJurisdiction'!$F$48</f>
        <v>0</v>
      </c>
      <c r="X73" s="275">
        <f>X$23*'6-PlantJurisdiction'!$F$49</f>
        <v>0</v>
      </c>
      <c r="Y73" s="275">
        <f>Y$23*'6-PlantJurisdiction'!$F$50</f>
        <v>0</v>
      </c>
      <c r="Z73" s="275">
        <f>Z$23*'6-PlantJurisdiction'!$F$50</f>
        <v>0</v>
      </c>
      <c r="AA73" s="275">
        <f>AA$23*'6-PlantJurisdiction'!$F$50</f>
        <v>0</v>
      </c>
      <c r="AB73" s="275">
        <f>AB$23*'6-PlantJurisdiction'!$F$50</f>
        <v>0</v>
      </c>
      <c r="AC73" s="24">
        <f t="shared" si="10"/>
        <v>8187212796.9621029</v>
      </c>
      <c r="AD73" s="91">
        <f t="shared" si="9"/>
        <v>310</v>
      </c>
    </row>
    <row r="74" spans="1:30">
      <c r="A74" s="91">
        <f t="shared" si="11"/>
        <v>311</v>
      </c>
      <c r="B74" s="377" t="s">
        <v>461</v>
      </c>
      <c r="C74" s="140">
        <f>'1-DRR'!$K$2</f>
        <v>2022</v>
      </c>
      <c r="D74" s="275">
        <f>D$24*'6-PlantJurisdiction'!$F$37</f>
        <v>-97905.511306403758</v>
      </c>
      <c r="E74" s="275">
        <f>E$24*'6-PlantJurisdiction'!$F$37</f>
        <v>10547161.494340215</v>
      </c>
      <c r="F74" s="275">
        <f>F$24*'6-PlantJurisdiction'!$F$38</f>
        <v>0</v>
      </c>
      <c r="G74" s="275">
        <f>G$24*'6-PlantJurisdiction'!$F$38</f>
        <v>0</v>
      </c>
      <c r="H74" s="275">
        <f>H$24*'6-PlantJurisdiction'!$F$39</f>
        <v>0</v>
      </c>
      <c r="I74" s="275">
        <f>I$24*'6-PlantJurisdiction'!$F$40</f>
        <v>0</v>
      </c>
      <c r="J74" s="275">
        <f>J$24*'6-PlantJurisdiction'!$F$40</f>
        <v>0</v>
      </c>
      <c r="K74" s="275">
        <f>K$24*'6-PlantJurisdiction'!$F$41</f>
        <v>650601920.40973401</v>
      </c>
      <c r="L74" s="275">
        <f>L$24*'6-PlantJurisdiction'!$F$42</f>
        <v>612200188.0628922</v>
      </c>
      <c r="M74" s="275">
        <f>M$24*'6-PlantJurisdiction'!$F$43</f>
        <v>834104582.87109113</v>
      </c>
      <c r="N74" s="275">
        <f>N$24*'6-PlantJurisdiction'!$F$44</f>
        <v>1926544700.9613256</v>
      </c>
      <c r="O74" s="275">
        <f>O$24*'6-PlantJurisdiction'!$F$45</f>
        <v>1143702501.0318329</v>
      </c>
      <c r="P74" s="275">
        <f>P$24*'6-PlantJurisdiction'!$F$45</f>
        <v>424508487.38</v>
      </c>
      <c r="Q74" s="275">
        <f>Q$24*'6-PlantJurisdiction'!$F$46</f>
        <v>807810860.24509895</v>
      </c>
      <c r="R74" s="275">
        <f>R$24*'6-PlantJurisdiction'!$F$46</f>
        <v>1739592259.2476482</v>
      </c>
      <c r="S74" s="275">
        <f>S$24*'6-PlantJurisdiction'!$F$47</f>
        <v>0</v>
      </c>
      <c r="T74" s="275">
        <f>T$24*'6-PlantJurisdiction'!$F$47</f>
        <v>0</v>
      </c>
      <c r="U74" s="275">
        <f>U$24*'6-PlantJurisdiction'!$F$48</f>
        <v>0</v>
      </c>
      <c r="V74" s="275">
        <f>V$24*'6-PlantJurisdiction'!$F$48</f>
        <v>0</v>
      </c>
      <c r="W74" s="275">
        <f>W$24*'6-PlantJurisdiction'!$F$48</f>
        <v>0</v>
      </c>
      <c r="X74" s="275">
        <f>X$24*'6-PlantJurisdiction'!$F$49</f>
        <v>0</v>
      </c>
      <c r="Y74" s="275">
        <f>Y$24*'6-PlantJurisdiction'!$F$50</f>
        <v>0</v>
      </c>
      <c r="Z74" s="275">
        <f>Z$24*'6-PlantJurisdiction'!$F$50</f>
        <v>0</v>
      </c>
      <c r="AA74" s="275">
        <f>AA$24*'6-PlantJurisdiction'!$F$50</f>
        <v>0</v>
      </c>
      <c r="AB74" s="275">
        <f>AB$24*'6-PlantJurisdiction'!$F$50</f>
        <v>0</v>
      </c>
      <c r="AC74" s="24">
        <f t="shared" si="10"/>
        <v>8149514756.1926565</v>
      </c>
      <c r="AD74" s="91">
        <f t="shared" si="9"/>
        <v>311</v>
      </c>
    </row>
    <row r="75" spans="1:30">
      <c r="A75" s="91">
        <f t="shared" si="11"/>
        <v>312</v>
      </c>
      <c r="B75" s="377" t="s">
        <v>449</v>
      </c>
      <c r="C75" s="140">
        <f>'1-DRR'!$K$2</f>
        <v>2022</v>
      </c>
      <c r="D75" s="275">
        <f>D$25*'6-PlantJurisdiction'!$F$37</f>
        <v>-97358.267679612443</v>
      </c>
      <c r="E75" s="275">
        <f>E$25*'6-PlantJurisdiction'!$F$37</f>
        <v>10868520.438254395</v>
      </c>
      <c r="F75" s="275">
        <f>F$25*'6-PlantJurisdiction'!$F$38</f>
        <v>0</v>
      </c>
      <c r="G75" s="275">
        <f>G$25*'6-PlantJurisdiction'!$F$38</f>
        <v>0</v>
      </c>
      <c r="H75" s="275">
        <f>H$25*'6-PlantJurisdiction'!$F$39</f>
        <v>0</v>
      </c>
      <c r="I75" s="275">
        <f>I$25*'6-PlantJurisdiction'!$F$40</f>
        <v>0</v>
      </c>
      <c r="J75" s="275">
        <f>J$25*'6-PlantJurisdiction'!$F$40</f>
        <v>0</v>
      </c>
      <c r="K75" s="275">
        <f>K$25*'6-PlantJurisdiction'!$F$41</f>
        <v>661882295.70049739</v>
      </c>
      <c r="L75" s="275">
        <f>L$25*'6-PlantJurisdiction'!$F$42</f>
        <v>617421506.03524578</v>
      </c>
      <c r="M75" s="275">
        <f>M$25*'6-PlantJurisdiction'!$F$43</f>
        <v>838116599.25380063</v>
      </c>
      <c r="N75" s="275">
        <f>N$25*'6-PlantJurisdiction'!$F$44</f>
        <v>1945507139.2393126</v>
      </c>
      <c r="O75" s="275">
        <f>O$25*'6-PlantJurisdiction'!$F$45</f>
        <v>1160745622.9646215</v>
      </c>
      <c r="P75" s="275">
        <f>P$25*'6-PlantJurisdiction'!$F$45</f>
        <v>432103820.03999996</v>
      </c>
      <c r="Q75" s="275">
        <f>Q$25*'6-PlantJurisdiction'!$F$46</f>
        <v>811115090.8456589</v>
      </c>
      <c r="R75" s="275">
        <f>R$25*'6-PlantJurisdiction'!$F$46</f>
        <v>1753848382.1192636</v>
      </c>
      <c r="S75" s="275">
        <f>S$25*'6-PlantJurisdiction'!$F$47</f>
        <v>0</v>
      </c>
      <c r="T75" s="275">
        <f>T$25*'6-PlantJurisdiction'!$F$47</f>
        <v>0</v>
      </c>
      <c r="U75" s="275">
        <f>U$25*'6-PlantJurisdiction'!$F$48</f>
        <v>0</v>
      </c>
      <c r="V75" s="275">
        <f>V$25*'6-PlantJurisdiction'!$F$48</f>
        <v>0</v>
      </c>
      <c r="W75" s="275">
        <f>W$25*'6-PlantJurisdiction'!$F$48</f>
        <v>0</v>
      </c>
      <c r="X75" s="275">
        <f>X$25*'6-PlantJurisdiction'!$F$49</f>
        <v>0</v>
      </c>
      <c r="Y75" s="275">
        <f>Y$25*'6-PlantJurisdiction'!$F$50</f>
        <v>0</v>
      </c>
      <c r="Z75" s="275">
        <f>Z$25*'6-PlantJurisdiction'!$F$50</f>
        <v>0</v>
      </c>
      <c r="AA75" s="275">
        <f>AA$25*'6-PlantJurisdiction'!$F$50</f>
        <v>0</v>
      </c>
      <c r="AB75" s="275">
        <f>AB$25*'6-PlantJurisdiction'!$F$50</f>
        <v>0</v>
      </c>
      <c r="AC75" s="24">
        <f t="shared" si="10"/>
        <v>8231511618.3689756</v>
      </c>
      <c r="AD75" s="91">
        <f t="shared" si="9"/>
        <v>312</v>
      </c>
    </row>
    <row r="76" spans="1:30">
      <c r="A76" s="91">
        <f t="shared" si="11"/>
        <v>313</v>
      </c>
      <c r="B76" s="699" t="s">
        <v>738</v>
      </c>
      <c r="C76" s="489"/>
      <c r="D76" s="696">
        <f>SUM(D63:D75)/13</f>
        <v>-94899.135512856941</v>
      </c>
      <c r="E76" s="696">
        <f t="shared" ref="E76:AC76" si="12">SUM(E63:E75)/13</f>
        <v>9916990.9895011652</v>
      </c>
      <c r="F76" s="696">
        <f t="shared" si="12"/>
        <v>0</v>
      </c>
      <c r="G76" s="696">
        <f t="shared" si="12"/>
        <v>0</v>
      </c>
      <c r="H76" s="696">
        <f t="shared" si="12"/>
        <v>0</v>
      </c>
      <c r="I76" s="696">
        <f t="shared" si="12"/>
        <v>0</v>
      </c>
      <c r="J76" s="696">
        <f t="shared" si="12"/>
        <v>0</v>
      </c>
      <c r="K76" s="696">
        <f t="shared" si="12"/>
        <v>633694032.99700844</v>
      </c>
      <c r="L76" s="696">
        <f t="shared" si="12"/>
        <v>605270803.11167061</v>
      </c>
      <c r="M76" s="696">
        <f t="shared" si="12"/>
        <v>817844610.13286734</v>
      </c>
      <c r="N76" s="696">
        <f t="shared" si="12"/>
        <v>1895069318.377054</v>
      </c>
      <c r="O76" s="696">
        <f t="shared" si="12"/>
        <v>1116660411.6734796</v>
      </c>
      <c r="P76" s="696">
        <f t="shared" si="12"/>
        <v>410981358.34095728</v>
      </c>
      <c r="Q76" s="696">
        <f t="shared" si="12"/>
        <v>797546919.04962718</v>
      </c>
      <c r="R76" s="696">
        <f t="shared" si="12"/>
        <v>1715159058.1166434</v>
      </c>
      <c r="S76" s="696">
        <f t="shared" si="12"/>
        <v>0</v>
      </c>
      <c r="T76" s="696">
        <f t="shared" si="12"/>
        <v>0</v>
      </c>
      <c r="U76" s="696">
        <f t="shared" si="12"/>
        <v>0</v>
      </c>
      <c r="V76" s="696">
        <f t="shared" si="12"/>
        <v>0</v>
      </c>
      <c r="W76" s="696">
        <f t="shared" si="12"/>
        <v>0</v>
      </c>
      <c r="X76" s="696">
        <f t="shared" si="12"/>
        <v>0</v>
      </c>
      <c r="Y76" s="696">
        <f t="shared" si="12"/>
        <v>0</v>
      </c>
      <c r="Z76" s="696">
        <f t="shared" si="12"/>
        <v>0</v>
      </c>
      <c r="AA76" s="696">
        <f t="shared" si="12"/>
        <v>0</v>
      </c>
      <c r="AB76" s="696">
        <f t="shared" si="12"/>
        <v>0</v>
      </c>
      <c r="AC76" s="696">
        <f t="shared" si="12"/>
        <v>8002048603.6532955</v>
      </c>
      <c r="AD76" s="91">
        <f t="shared" si="9"/>
        <v>313</v>
      </c>
    </row>
    <row r="77" spans="1:30">
      <c r="A77" s="91"/>
      <c r="B77" s="380"/>
      <c r="C77" s="380"/>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D77" s="91"/>
    </row>
    <row r="78" spans="1:30">
      <c r="A78" s="91"/>
      <c r="B78" s="380"/>
      <c r="C78" s="380"/>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D78" s="91"/>
    </row>
    <row r="79" spans="1:30">
      <c r="B79" s="45" t="s">
        <v>885</v>
      </c>
      <c r="C79" s="45"/>
      <c r="D79" s="103"/>
      <c r="E79" s="103"/>
      <c r="F79" s="103"/>
      <c r="G79" s="103"/>
      <c r="H79" s="103"/>
      <c r="I79" s="43"/>
      <c r="J79" s="43"/>
      <c r="K79" s="43"/>
      <c r="L79" s="103"/>
      <c r="M79" s="103"/>
      <c r="N79" s="103"/>
      <c r="O79" s="103"/>
      <c r="P79" s="103"/>
      <c r="Q79" s="103"/>
      <c r="R79" s="43"/>
      <c r="S79" s="43"/>
      <c r="T79" s="43"/>
      <c r="U79" s="43"/>
      <c r="V79" s="43"/>
      <c r="W79" s="43"/>
      <c r="X79" s="43"/>
      <c r="Y79" s="43"/>
      <c r="Z79" s="43"/>
      <c r="AA79" s="43"/>
      <c r="AB79" s="43"/>
      <c r="AC79" s="43"/>
    </row>
    <row r="80" spans="1:30">
      <c r="B80" s="377" t="s">
        <v>886</v>
      </c>
      <c r="C80" s="377"/>
      <c r="D80" s="377"/>
      <c r="E80" s="377"/>
      <c r="F80" s="377"/>
      <c r="G80" s="377"/>
      <c r="H80" s="377"/>
      <c r="I80" s="377"/>
      <c r="J80" s="377"/>
      <c r="K80" s="377"/>
      <c r="L80" s="377"/>
      <c r="M80" s="377"/>
      <c r="N80" s="377"/>
      <c r="O80" s="377"/>
      <c r="P80" s="377"/>
      <c r="Q80" s="377"/>
      <c r="R80" s="377"/>
      <c r="S80" s="377"/>
      <c r="T80" s="377"/>
      <c r="U80" s="377"/>
      <c r="V80" s="377"/>
      <c r="W80" s="377"/>
      <c r="X80" s="377"/>
      <c r="Y80" s="377"/>
      <c r="Z80" s="377"/>
      <c r="AA80" s="377"/>
      <c r="AB80" s="377"/>
      <c r="AC80" s="377"/>
    </row>
    <row r="81" spans="1:30">
      <c r="B81" s="377"/>
      <c r="C81" s="377"/>
      <c r="D81" s="377"/>
      <c r="E81" s="377"/>
      <c r="F81" s="377"/>
      <c r="G81" s="377"/>
      <c r="H81" s="377"/>
      <c r="I81" s="377"/>
      <c r="J81" s="377"/>
      <c r="K81" s="377"/>
      <c r="L81" s="377"/>
      <c r="M81" s="377"/>
      <c r="N81" s="377"/>
      <c r="O81" s="377"/>
      <c r="P81" s="377"/>
      <c r="Q81" s="377"/>
      <c r="R81" s="377"/>
      <c r="S81" s="377"/>
      <c r="T81" s="377"/>
      <c r="U81" s="377"/>
      <c r="V81" s="377"/>
      <c r="W81" s="377"/>
      <c r="X81" s="377"/>
      <c r="Y81" s="377"/>
      <c r="Z81" s="377"/>
      <c r="AA81" s="377"/>
      <c r="AB81" s="377"/>
      <c r="AC81" s="377"/>
    </row>
    <row r="82" spans="1:30">
      <c r="A82" s="4"/>
      <c r="D82" s="83" t="s">
        <v>124</v>
      </c>
      <c r="E82" s="83" t="s">
        <v>125</v>
      </c>
      <c r="F82" s="83" t="s">
        <v>126</v>
      </c>
      <c r="G82" s="83"/>
      <c r="H82" s="83"/>
      <c r="I82" s="83"/>
      <c r="J82" s="83"/>
      <c r="K82" s="83"/>
      <c r="L82" s="83"/>
      <c r="M82" s="83"/>
      <c r="N82" s="83"/>
      <c r="O82" s="83"/>
      <c r="P82" s="83"/>
      <c r="AC82" s="91"/>
      <c r="AD82"/>
    </row>
    <row r="83" spans="1:30" ht="43.5">
      <c r="B83" s="91"/>
      <c r="C83" s="91"/>
      <c r="D83" s="100" t="s">
        <v>103</v>
      </c>
      <c r="E83" s="133" t="s">
        <v>794</v>
      </c>
      <c r="F83" s="133" t="s">
        <v>795</v>
      </c>
      <c r="AC83" s="91"/>
      <c r="AD83"/>
    </row>
    <row r="84" spans="1:30">
      <c r="B84" s="91"/>
      <c r="C84" s="91"/>
      <c r="D84" s="100"/>
      <c r="E84" s="100"/>
      <c r="AC84" s="91"/>
      <c r="AD84"/>
    </row>
    <row r="85" spans="1:30">
      <c r="B85" s="91"/>
      <c r="C85" s="91"/>
      <c r="D85" s="84" t="s">
        <v>796</v>
      </c>
      <c r="E85" s="4" t="s">
        <v>434</v>
      </c>
      <c r="F85" s="4" t="s">
        <v>462</v>
      </c>
      <c r="AC85" s="91"/>
      <c r="AD85"/>
    </row>
    <row r="86" spans="1:30">
      <c r="A86" s="80" t="s">
        <v>92</v>
      </c>
      <c r="B86" s="80" t="s">
        <v>440</v>
      </c>
      <c r="C86" s="80" t="s">
        <v>441</v>
      </c>
      <c r="D86" s="381" t="s">
        <v>797</v>
      </c>
      <c r="E86" s="3" t="s">
        <v>661</v>
      </c>
      <c r="F86" s="3" t="s">
        <v>661</v>
      </c>
      <c r="G86" s="83"/>
      <c r="H86" s="83"/>
      <c r="I86" s="83"/>
      <c r="J86" s="83"/>
      <c r="K86" s="83"/>
      <c r="L86" s="83"/>
      <c r="M86" s="83"/>
      <c r="N86" s="83"/>
      <c r="O86" s="83"/>
      <c r="P86" s="80"/>
      <c r="AD86" s="80" t="str">
        <f>A86</f>
        <v>Line</v>
      </c>
    </row>
    <row r="87" spans="1:30">
      <c r="A87" s="91">
        <v>400</v>
      </c>
      <c r="B87" s="377" t="s">
        <v>449</v>
      </c>
      <c r="C87" s="140">
        <f>'1-DRR'!$K$2-1</f>
        <v>2021</v>
      </c>
      <c r="D87" s="272">
        <v>434947003</v>
      </c>
      <c r="E87" s="121">
        <f>$D87*'6-PlantJurisdiction'!E$85</f>
        <v>210587507.24484333</v>
      </c>
      <c r="F87" s="121">
        <f>$D87*'6-PlantJurisdiction'!F$85</f>
        <v>204643314.12697089</v>
      </c>
      <c r="G87" s="111" t="str">
        <f>"See RY"&amp;'1-DRR'!K1-1&amp;" Model, 10-AccDep, L. 401, col 1"</f>
        <v>See RY2023 Model, 10-AccDep, L. 401, col 1</v>
      </c>
      <c r="H87" s="111"/>
      <c r="I87" s="111"/>
      <c r="J87" s="111"/>
      <c r="K87" s="111"/>
      <c r="L87" s="111"/>
      <c r="M87" s="111"/>
      <c r="N87" s="111"/>
      <c r="O87" s="111"/>
      <c r="P87" s="11"/>
      <c r="AD87" s="91">
        <f>A87</f>
        <v>400</v>
      </c>
    </row>
    <row r="88" spans="1:30">
      <c r="A88" s="91">
        <f>+A87+1</f>
        <v>401</v>
      </c>
      <c r="B88" s="382" t="s">
        <v>449</v>
      </c>
      <c r="C88" s="140">
        <f>'1-DRR'!$K$2</f>
        <v>2022</v>
      </c>
      <c r="D88" s="273">
        <v>460483683.66000003</v>
      </c>
      <c r="E88" s="121">
        <f>$D88*'6-PlantJurisdiction'!E$85</f>
        <v>222951555.93676409</v>
      </c>
      <c r="F88" s="121">
        <f>$D88*'6-PlantJurisdiction'!F$85</f>
        <v>216658366.36556405</v>
      </c>
      <c r="G88" s="111" t="s">
        <v>887</v>
      </c>
      <c r="H88" s="383"/>
      <c r="I88" s="383"/>
      <c r="J88" s="383"/>
      <c r="K88" s="383"/>
      <c r="L88" s="383"/>
      <c r="M88" s="383"/>
      <c r="N88" s="383"/>
      <c r="O88" s="383"/>
      <c r="P88" s="383"/>
      <c r="AD88" s="91">
        <f>A88</f>
        <v>401</v>
      </c>
    </row>
    <row r="89" spans="1:30">
      <c r="A89" s="91">
        <f t="shared" ref="A89" si="13">A88+1</f>
        <v>402</v>
      </c>
      <c r="B89" s="384" t="s">
        <v>799</v>
      </c>
      <c r="C89" s="489"/>
      <c r="D89" s="385">
        <f>AVERAGE(D87:D88)</f>
        <v>447715343.33000004</v>
      </c>
      <c r="E89" s="490">
        <f>AVERAGE(E87:E88)</f>
        <v>216769531.59080371</v>
      </c>
      <c r="F89" s="490">
        <f>AVERAGE(F87:F88)</f>
        <v>210650840.24626747</v>
      </c>
      <c r="G89" s="11" t="str">
        <f>"(Line "&amp;$A87&amp;" + Line "&amp;$A88&amp;")/2"</f>
        <v>(Line 400 + Line 401)/2</v>
      </c>
      <c r="H89" s="11"/>
      <c r="I89" s="11"/>
      <c r="J89" s="11"/>
      <c r="K89" s="11"/>
      <c r="L89" s="11"/>
      <c r="M89" s="11"/>
      <c r="N89" s="11"/>
      <c r="O89" s="11"/>
      <c r="P89" s="11"/>
      <c r="AD89" s="91">
        <f>A89</f>
        <v>402</v>
      </c>
    </row>
    <row r="90" spans="1:30">
      <c r="A90" s="91"/>
      <c r="B90" s="380"/>
      <c r="C90" s="380"/>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D90" s="91"/>
    </row>
    <row r="91" spans="1:30">
      <c r="A91" s="91"/>
      <c r="B91" s="380"/>
      <c r="C91" s="380"/>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D91" s="91"/>
    </row>
    <row r="92" spans="1:30">
      <c r="B92" s="45" t="s">
        <v>888</v>
      </c>
      <c r="C92" s="45"/>
      <c r="D92" s="103"/>
      <c r="E92" s="103"/>
      <c r="F92" s="103"/>
      <c r="G92" s="103"/>
      <c r="H92" s="103"/>
      <c r="I92" s="103"/>
      <c r="J92" s="103"/>
      <c r="K92" s="103"/>
      <c r="L92" s="103"/>
      <c r="M92" s="43"/>
      <c r="N92" s="103"/>
      <c r="O92" s="103"/>
      <c r="P92" s="103"/>
      <c r="Q92" s="103"/>
      <c r="R92" s="43"/>
      <c r="S92" s="43"/>
      <c r="T92" s="43"/>
      <c r="U92" s="43"/>
      <c r="V92" s="43"/>
      <c r="W92" s="43"/>
      <c r="X92" s="43"/>
      <c r="Y92" s="43"/>
      <c r="Z92" s="43"/>
      <c r="AA92" s="43"/>
      <c r="AB92" s="43"/>
      <c r="AC92" s="43"/>
    </row>
    <row r="93" spans="1:30">
      <c r="A93" s="18"/>
      <c r="B93" s="729" t="s">
        <v>889</v>
      </c>
      <c r="C93" s="729"/>
      <c r="D93" s="729"/>
      <c r="E93" s="729"/>
      <c r="F93" s="729"/>
      <c r="G93" s="729"/>
      <c r="H93" s="729"/>
      <c r="I93" s="729"/>
      <c r="J93" s="729"/>
      <c r="K93" s="729"/>
      <c r="L93" s="729"/>
      <c r="M93" s="729"/>
      <c r="N93" s="729"/>
      <c r="O93" s="377"/>
      <c r="P93" s="377"/>
      <c r="Q93" s="377"/>
      <c r="R93" s="377"/>
      <c r="S93" s="377"/>
      <c r="T93" s="377"/>
      <c r="U93" s="377"/>
      <c r="V93" s="377"/>
      <c r="W93" s="377"/>
      <c r="X93" s="377"/>
      <c r="Y93" s="377"/>
      <c r="Z93" s="377"/>
      <c r="AA93" s="377"/>
      <c r="AB93" s="377"/>
      <c r="AC93" s="377"/>
      <c r="AD93" s="91"/>
    </row>
    <row r="94" spans="1:30">
      <c r="A94" s="18"/>
      <c r="B94" s="729"/>
      <c r="C94" s="729"/>
      <c r="D94" s="729"/>
      <c r="E94" s="729"/>
      <c r="F94" s="729"/>
      <c r="G94" s="729"/>
      <c r="H94" s="729"/>
      <c r="I94" s="729"/>
      <c r="J94" s="729"/>
      <c r="K94" s="729"/>
      <c r="L94" s="729"/>
      <c r="M94" s="729"/>
      <c r="N94" s="729"/>
      <c r="O94" s="8"/>
      <c r="AC94" s="91"/>
      <c r="AD94"/>
    </row>
    <row r="95" spans="1:30">
      <c r="A95" s="4"/>
      <c r="D95" s="83" t="s">
        <v>124</v>
      </c>
      <c r="E95" s="83" t="s">
        <v>125</v>
      </c>
      <c r="F95" s="83" t="s">
        <v>126</v>
      </c>
      <c r="G95" s="83" t="s">
        <v>127</v>
      </c>
      <c r="H95" s="83" t="s">
        <v>420</v>
      </c>
      <c r="J95" s="83"/>
      <c r="K95" s="83"/>
      <c r="L95" s="83"/>
      <c r="M95" s="83"/>
      <c r="N95" s="83"/>
      <c r="O95" s="83"/>
      <c r="P95" s="83"/>
      <c r="AC95" s="91"/>
      <c r="AD95"/>
    </row>
    <row r="96" spans="1:30" ht="43.5">
      <c r="B96" s="91"/>
      <c r="C96" s="91"/>
      <c r="D96" s="133" t="s">
        <v>425</v>
      </c>
      <c r="E96" s="386" t="str">
        <f>"24-Allocators, Line " &amp; '24-Allocators'!$A$24</f>
        <v>24-Allocators, Line 113</v>
      </c>
      <c r="F96" s="386" t="s">
        <v>802</v>
      </c>
      <c r="G96" s="133" t="s">
        <v>803</v>
      </c>
      <c r="H96" s="133" t="s">
        <v>804</v>
      </c>
      <c r="AC96" s="91"/>
      <c r="AD96"/>
    </row>
    <row r="97" spans="1:30">
      <c r="B97" s="91"/>
      <c r="C97" s="91"/>
      <c r="D97" s="83"/>
      <c r="F97" s="100"/>
      <c r="AC97" s="91"/>
      <c r="AD97"/>
    </row>
    <row r="98" spans="1:30">
      <c r="B98" s="91"/>
      <c r="C98" s="91"/>
      <c r="D98" s="84"/>
      <c r="E98" s="4" t="s">
        <v>805</v>
      </c>
      <c r="F98" s="4" t="s">
        <v>806</v>
      </c>
      <c r="AC98" s="91"/>
      <c r="AD98"/>
    </row>
    <row r="99" spans="1:30">
      <c r="B99" s="91"/>
      <c r="C99" s="91"/>
      <c r="D99" s="84" t="s">
        <v>807</v>
      </c>
      <c r="E99" s="4" t="s">
        <v>661</v>
      </c>
      <c r="F99" s="4" t="s">
        <v>661</v>
      </c>
      <c r="G99" s="4" t="s">
        <v>434</v>
      </c>
      <c r="H99" s="4" t="s">
        <v>462</v>
      </c>
      <c r="AC99" s="91"/>
      <c r="AD99"/>
    </row>
    <row r="100" spans="1:30">
      <c r="A100" s="80" t="s">
        <v>92</v>
      </c>
      <c r="B100" s="80" t="s">
        <v>440</v>
      </c>
      <c r="C100" s="80" t="s">
        <v>441</v>
      </c>
      <c r="D100" s="110" t="s">
        <v>808</v>
      </c>
      <c r="E100" s="110" t="s">
        <v>809</v>
      </c>
      <c r="F100" s="381" t="s">
        <v>810</v>
      </c>
      <c r="G100" s="3" t="s">
        <v>661</v>
      </c>
      <c r="H100" s="3" t="s">
        <v>661</v>
      </c>
      <c r="J100" s="83"/>
      <c r="K100" s="83"/>
      <c r="L100" s="83"/>
      <c r="M100" s="83"/>
      <c r="N100" s="83"/>
      <c r="O100" s="83"/>
      <c r="P100" s="80"/>
      <c r="AD100" s="80" t="str">
        <f>A100</f>
        <v>Line</v>
      </c>
    </row>
    <row r="101" spans="1:30">
      <c r="A101" s="91">
        <v>500</v>
      </c>
      <c r="B101" s="377" t="s">
        <v>449</v>
      </c>
      <c r="C101" s="140">
        <f>'1-DRR'!$K$2-1</f>
        <v>2021</v>
      </c>
      <c r="D101" s="272">
        <v>1006714730.6500001</v>
      </c>
      <c r="E101" s="19">
        <f>'24-Allocators'!$C$24</f>
        <v>0.30581601944770853</v>
      </c>
      <c r="F101" s="265">
        <f>+E101*D101</f>
        <v>307869491.6467551</v>
      </c>
      <c r="G101" s="121">
        <f>$F101*'6-PlantJurisdiction'!E$85</f>
        <v>149060617.39808625</v>
      </c>
      <c r="H101" s="121">
        <f>$F101*'6-PlantJurisdiction'!F$85</f>
        <v>144853126.13862923</v>
      </c>
      <c r="I101" t="str">
        <f>"See RY"&amp;'1-DRR'!K1-1&amp;" Model, 10-AccDep, L. 501, col 1"</f>
        <v>See RY2023 Model, 10-AccDep, L. 501, col 1</v>
      </c>
      <c r="J101" s="111"/>
      <c r="K101" s="111"/>
      <c r="L101" s="111"/>
      <c r="M101" s="111"/>
      <c r="N101" s="111"/>
      <c r="O101" s="111"/>
      <c r="P101" s="11"/>
      <c r="AD101" s="91">
        <f>A101</f>
        <v>500</v>
      </c>
    </row>
    <row r="102" spans="1:30">
      <c r="A102" s="91">
        <f>+A101+1</f>
        <v>501</v>
      </c>
      <c r="B102" s="377" t="s">
        <v>449</v>
      </c>
      <c r="C102" s="140">
        <f>'1-DRR'!$K$2</f>
        <v>2022</v>
      </c>
      <c r="D102" s="488">
        <v>1120986952.8200002</v>
      </c>
      <c r="E102" s="19">
        <f>'24-Allocators'!$C$24</f>
        <v>0.30581601944770853</v>
      </c>
      <c r="F102" s="387">
        <f>+E102*D102</f>
        <v>342815767.7642287</v>
      </c>
      <c r="G102" s="121">
        <f>$F102*'6-PlantJurisdiction'!E$85</f>
        <v>165980492.97904012</v>
      </c>
      <c r="H102" s="121">
        <f>$F102*'6-PlantJurisdiction'!F$85</f>
        <v>161295409.2484085</v>
      </c>
      <c r="I102" s="111" t="s">
        <v>890</v>
      </c>
      <c r="J102" s="111"/>
      <c r="K102" s="111"/>
      <c r="L102" s="383"/>
      <c r="M102" s="383"/>
      <c r="N102" s="383"/>
      <c r="O102" s="383"/>
      <c r="P102" s="383"/>
      <c r="AD102" s="91">
        <f>A102</f>
        <v>501</v>
      </c>
    </row>
    <row r="103" spans="1:30">
      <c r="A103" s="91">
        <f t="shared" ref="A103" si="14">A102+1</f>
        <v>502</v>
      </c>
      <c r="B103" s="489" t="s">
        <v>799</v>
      </c>
      <c r="C103" s="489"/>
      <c r="D103" s="490">
        <f>AVERAGE(D101:D102)</f>
        <v>1063850841.7350001</v>
      </c>
      <c r="E103" s="491"/>
      <c r="F103" s="385">
        <f>AVERAGE(F101:F102)</f>
        <v>325342629.7054919</v>
      </c>
      <c r="G103" s="490">
        <f>AVERAGE(G101:G102)</f>
        <v>157520555.18856317</v>
      </c>
      <c r="H103" s="490">
        <f>AVERAGE(H101:H102)</f>
        <v>153074267.69351888</v>
      </c>
      <c r="I103" s="11" t="str">
        <f>"(Line "&amp;$A101&amp;" + Line "&amp;$A102&amp;")/2"</f>
        <v>(Line 500 + Line 501)/2</v>
      </c>
      <c r="J103" s="11"/>
      <c r="K103" s="11"/>
      <c r="L103" s="11"/>
      <c r="M103" s="11"/>
      <c r="N103" s="11"/>
      <c r="O103" s="11"/>
      <c r="P103" s="11"/>
      <c r="AD103" s="91">
        <f>A103</f>
        <v>502</v>
      </c>
    </row>
    <row r="104" spans="1:30">
      <c r="A104" s="91"/>
      <c r="B104" s="377"/>
      <c r="C104" s="377"/>
      <c r="D104" s="11"/>
      <c r="E104" s="19"/>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D104" s="91"/>
    </row>
    <row r="105" spans="1:30">
      <c r="A105" s="91"/>
      <c r="B105" s="377"/>
      <c r="C105" s="377"/>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D105" s="91"/>
    </row>
    <row r="106" spans="1:30">
      <c r="B106" s="45" t="s">
        <v>891</v>
      </c>
      <c r="C106" s="45"/>
      <c r="D106" s="103"/>
      <c r="E106" s="103"/>
      <c r="F106" s="103"/>
      <c r="G106" s="103"/>
      <c r="H106" s="103"/>
      <c r="I106" s="103"/>
      <c r="J106" s="103"/>
      <c r="K106" s="103"/>
      <c r="L106" s="103"/>
      <c r="M106" s="43"/>
      <c r="N106" s="46"/>
      <c r="O106" s="46"/>
      <c r="P106" s="46"/>
      <c r="Q106" s="46"/>
      <c r="R106" s="46"/>
      <c r="S106" s="46"/>
      <c r="T106" s="46"/>
      <c r="U106" s="46"/>
      <c r="V106" s="46"/>
      <c r="W106" s="46"/>
      <c r="X106" s="46"/>
      <c r="Y106" s="46"/>
      <c r="Z106" s="46"/>
      <c r="AA106" s="46"/>
      <c r="AB106" s="46"/>
      <c r="AC106" s="43"/>
    </row>
    <row r="107" spans="1:30">
      <c r="A107" s="18"/>
      <c r="B107" s="729" t="s">
        <v>892</v>
      </c>
      <c r="C107" s="729"/>
      <c r="D107" s="729"/>
      <c r="E107" s="729"/>
      <c r="F107" s="729"/>
      <c r="G107" s="729"/>
      <c r="H107" s="729"/>
      <c r="I107" s="729"/>
      <c r="J107" s="729"/>
      <c r="K107" s="729"/>
      <c r="L107" s="729"/>
      <c r="M107" s="729"/>
      <c r="N107" s="729"/>
      <c r="O107" s="377"/>
      <c r="P107" s="377"/>
      <c r="Q107" s="377"/>
      <c r="R107" s="377"/>
      <c r="S107" s="377"/>
      <c r="T107" s="377"/>
      <c r="U107" s="377"/>
      <c r="V107" s="377"/>
      <c r="W107" s="377"/>
      <c r="X107" s="377"/>
      <c r="Y107" s="377"/>
      <c r="Z107" s="377"/>
      <c r="AA107" s="377"/>
      <c r="AB107" s="377"/>
      <c r="AC107" s="377"/>
      <c r="AD107" s="91"/>
    </row>
    <row r="108" spans="1:30">
      <c r="A108" s="18"/>
      <c r="B108" s="729"/>
      <c r="C108" s="729"/>
      <c r="D108" s="729"/>
      <c r="E108" s="729"/>
      <c r="F108" s="729"/>
      <c r="G108" s="729"/>
      <c r="H108" s="729"/>
      <c r="I108" s="729"/>
      <c r="J108" s="729"/>
      <c r="K108" s="729"/>
      <c r="L108" s="729"/>
      <c r="M108" s="729"/>
      <c r="N108" s="729"/>
      <c r="O108" s="377"/>
      <c r="P108" s="377"/>
      <c r="Q108" s="377"/>
      <c r="R108" s="377"/>
      <c r="S108" s="377"/>
      <c r="T108" s="377"/>
      <c r="U108" s="377"/>
      <c r="V108" s="377"/>
      <c r="W108" s="377"/>
      <c r="X108" s="377"/>
      <c r="Y108" s="377"/>
      <c r="Z108" s="377"/>
      <c r="AA108" s="377"/>
      <c r="AB108" s="377"/>
      <c r="AC108" s="91"/>
      <c r="AD108"/>
    </row>
    <row r="109" spans="1:30">
      <c r="A109" s="4"/>
      <c r="D109" s="83" t="s">
        <v>124</v>
      </c>
      <c r="E109" s="83" t="s">
        <v>125</v>
      </c>
      <c r="F109" s="83" t="s">
        <v>126</v>
      </c>
      <c r="G109" s="83" t="s">
        <v>127</v>
      </c>
      <c r="H109" s="83" t="s">
        <v>420</v>
      </c>
      <c r="J109" s="11"/>
      <c r="K109" s="11"/>
      <c r="L109" s="11"/>
      <c r="M109" s="11"/>
      <c r="N109" s="11"/>
      <c r="O109" s="11"/>
      <c r="P109" s="11"/>
      <c r="AC109" s="91"/>
      <c r="AD109"/>
    </row>
    <row r="110" spans="1:30" ht="43.5">
      <c r="B110" s="91"/>
      <c r="C110" s="91"/>
      <c r="D110" s="133" t="s">
        <v>426</v>
      </c>
      <c r="E110" s="386" t="str">
        <f>"24-Allocators, Line " &amp; '24-Allocators'!$A$23</f>
        <v>24-Allocators, Line 112</v>
      </c>
      <c r="F110" s="386" t="s">
        <v>802</v>
      </c>
      <c r="G110" s="133" t="s">
        <v>803</v>
      </c>
      <c r="H110" s="133" t="s">
        <v>804</v>
      </c>
      <c r="J110" s="11"/>
      <c r="K110" s="11"/>
      <c r="L110" s="11"/>
      <c r="M110" s="11"/>
      <c r="N110" s="11"/>
      <c r="O110" s="11"/>
      <c r="P110" s="11"/>
      <c r="AC110" s="91"/>
      <c r="AD110"/>
    </row>
    <row r="111" spans="1:30">
      <c r="B111" s="91"/>
      <c r="C111" s="91"/>
      <c r="D111" s="83"/>
      <c r="F111" s="100"/>
      <c r="H111" s="11"/>
      <c r="J111" s="11"/>
      <c r="K111" s="11"/>
      <c r="L111" s="11"/>
      <c r="M111" s="11"/>
      <c r="N111" s="11"/>
      <c r="O111" s="11"/>
      <c r="P111" s="11"/>
      <c r="AC111" s="91"/>
      <c r="AD111"/>
    </row>
    <row r="112" spans="1:30">
      <c r="B112" s="91"/>
      <c r="C112" s="91"/>
      <c r="D112" s="83"/>
      <c r="E112" s="4" t="s">
        <v>805</v>
      </c>
      <c r="F112" s="4" t="s">
        <v>806</v>
      </c>
      <c r="H112" s="11"/>
      <c r="J112" s="11"/>
      <c r="K112" s="11"/>
      <c r="L112" s="11"/>
      <c r="M112" s="11"/>
      <c r="N112" s="11"/>
      <c r="O112" s="11"/>
      <c r="P112" s="11"/>
      <c r="AC112" s="91"/>
      <c r="AD112"/>
    </row>
    <row r="113" spans="1:30">
      <c r="B113" s="91"/>
      <c r="C113" s="91"/>
      <c r="D113" s="84" t="s">
        <v>814</v>
      </c>
      <c r="E113" s="4" t="s">
        <v>661</v>
      </c>
      <c r="F113" s="4" t="s">
        <v>661</v>
      </c>
      <c r="G113" s="4" t="s">
        <v>434</v>
      </c>
      <c r="H113" s="4" t="s">
        <v>462</v>
      </c>
      <c r="J113" s="11"/>
      <c r="K113" s="11"/>
      <c r="L113" s="11"/>
      <c r="M113" s="11"/>
      <c r="N113" s="11"/>
      <c r="O113" s="11"/>
      <c r="P113" s="11"/>
      <c r="AC113" s="91"/>
      <c r="AD113"/>
    </row>
    <row r="114" spans="1:30">
      <c r="A114" s="80" t="s">
        <v>92</v>
      </c>
      <c r="B114" s="80" t="s">
        <v>440</v>
      </c>
      <c r="C114" s="80" t="s">
        <v>441</v>
      </c>
      <c r="D114" s="110" t="s">
        <v>808</v>
      </c>
      <c r="E114" s="110" t="s">
        <v>809</v>
      </c>
      <c r="F114" s="381" t="s">
        <v>810</v>
      </c>
      <c r="G114" s="3" t="s">
        <v>661</v>
      </c>
      <c r="H114" s="3" t="s">
        <v>661</v>
      </c>
      <c r="J114" s="11"/>
      <c r="K114" s="11"/>
      <c r="L114" s="11"/>
      <c r="M114" s="11"/>
      <c r="N114" s="11"/>
      <c r="O114" s="11"/>
      <c r="P114" s="11"/>
      <c r="AD114" s="80" t="str">
        <f>A114</f>
        <v>Line</v>
      </c>
    </row>
    <row r="115" spans="1:30">
      <c r="A115" s="91">
        <v>600</v>
      </c>
      <c r="B115" s="377" t="s">
        <v>449</v>
      </c>
      <c r="C115" s="140">
        <f>'1-DRR'!$K$2-1</f>
        <v>2021</v>
      </c>
      <c r="D115" s="272">
        <v>77287812.320000008</v>
      </c>
      <c r="E115" s="19">
        <f>'24-Allocators'!$C$23</f>
        <v>0.43241887477592089</v>
      </c>
      <c r="F115" s="265">
        <f>+E115*D115</f>
        <v>33420708.837306958</v>
      </c>
      <c r="G115" s="121">
        <f>$F115*'6-PlantJurisdiction'!E$85</f>
        <v>16181244.417964593</v>
      </c>
      <c r="H115" s="121">
        <f>$F115*'6-PlantJurisdiction'!F$85</f>
        <v>15724501.076603672</v>
      </c>
      <c r="I115" t="str">
        <f>"See RY"&amp;'1-DRR'!K1-1&amp;" Model, 10-AccDep, L. 601, col 1"</f>
        <v>See RY2023 Model, 10-AccDep, L. 601, col 1</v>
      </c>
      <c r="J115" s="111"/>
      <c r="K115" s="111"/>
      <c r="L115" s="11"/>
      <c r="M115" s="11"/>
      <c r="N115" s="11"/>
      <c r="O115" s="11"/>
      <c r="P115" s="11"/>
      <c r="AD115" s="91">
        <f>A115</f>
        <v>600</v>
      </c>
    </row>
    <row r="116" spans="1:30">
      <c r="A116" s="91">
        <f>+A115+1</f>
        <v>601</v>
      </c>
      <c r="B116" s="382" t="s">
        <v>449</v>
      </c>
      <c r="C116" s="140">
        <f>'1-DRR'!$K$2</f>
        <v>2022</v>
      </c>
      <c r="D116" s="273">
        <v>93272378.620000109</v>
      </c>
      <c r="E116" s="19">
        <f>'24-Allocators'!$C$23</f>
        <v>0.43241887477592089</v>
      </c>
      <c r="F116" s="387">
        <f>+E116*D116</f>
        <v>40332737.010534108</v>
      </c>
      <c r="G116" s="121">
        <f>$F116*'6-PlantJurisdiction'!E$85</f>
        <v>19527828.652288042</v>
      </c>
      <c r="H116" s="121">
        <f>$F116*'6-PlantJurisdiction'!F$85</f>
        <v>18976622.238381617</v>
      </c>
      <c r="I116" s="111" t="s">
        <v>893</v>
      </c>
      <c r="J116" s="111"/>
      <c r="K116" s="111"/>
      <c r="L116" s="11"/>
      <c r="M116" s="11"/>
      <c r="N116" s="11"/>
      <c r="O116" s="11"/>
      <c r="P116" s="11"/>
      <c r="AD116" s="91">
        <f>A116</f>
        <v>601</v>
      </c>
    </row>
    <row r="117" spans="1:30">
      <c r="A117" s="91">
        <f t="shared" ref="A117" si="15">A116+1</f>
        <v>602</v>
      </c>
      <c r="B117" s="384" t="s">
        <v>799</v>
      </c>
      <c r="C117" s="489"/>
      <c r="D117" s="385">
        <f>AVERAGE(D115:D116)</f>
        <v>85280095.470000058</v>
      </c>
      <c r="E117" s="491"/>
      <c r="F117" s="385">
        <f>AVERAGE(F115:F116)</f>
        <v>36876722.923920535</v>
      </c>
      <c r="G117" s="490">
        <f>AVERAGE(G115:G116)</f>
        <v>17854536.535126317</v>
      </c>
      <c r="H117" s="490">
        <f>AVERAGE(H115:H116)</f>
        <v>17350561.657492645</v>
      </c>
      <c r="I117" s="11" t="str">
        <f>"(Line "&amp;$A115&amp;" + Line "&amp;$A116&amp;")/2"</f>
        <v>(Line 600 + Line 601)/2</v>
      </c>
      <c r="J117" s="11"/>
      <c r="K117" s="11"/>
      <c r="L117" s="11"/>
      <c r="M117" s="11"/>
      <c r="N117" s="11"/>
      <c r="O117" s="11"/>
      <c r="P117" s="11"/>
      <c r="AD117" s="91">
        <f>A117</f>
        <v>602</v>
      </c>
    </row>
    <row r="118" spans="1:30">
      <c r="A118" s="91"/>
      <c r="B118" s="377"/>
      <c r="C118" s="377"/>
      <c r="D118" s="11"/>
      <c r="E118" s="19"/>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D118" s="91"/>
    </row>
    <row r="119" spans="1:30">
      <c r="A119" s="91"/>
      <c r="B119" s="377"/>
      <c r="C119" s="377"/>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D119" s="91"/>
    </row>
    <row r="120" spans="1:30" ht="15" customHeight="1">
      <c r="B120" s="45" t="s">
        <v>894</v>
      </c>
      <c r="C120" s="45"/>
      <c r="D120" s="103"/>
      <c r="E120" s="103"/>
      <c r="F120" s="103"/>
      <c r="G120" s="103"/>
      <c r="H120" s="103"/>
      <c r="I120" s="103"/>
      <c r="J120" s="103"/>
      <c r="K120" s="103"/>
      <c r="L120" s="103"/>
      <c r="M120" s="43"/>
      <c r="N120" s="43"/>
      <c r="O120" s="103"/>
      <c r="P120" s="103"/>
      <c r="Q120" s="103"/>
      <c r="R120" s="43"/>
      <c r="S120" s="43"/>
      <c r="T120" s="43"/>
      <c r="U120" s="43"/>
      <c r="V120" s="43"/>
      <c r="W120" s="43"/>
      <c r="X120" s="43"/>
      <c r="Y120" s="43"/>
      <c r="Z120" s="43"/>
      <c r="AA120" s="43"/>
      <c r="AB120" s="43"/>
      <c r="AC120" s="43"/>
    </row>
    <row r="121" spans="1:30">
      <c r="A121" s="18"/>
      <c r="B121" s="377" t="s">
        <v>895</v>
      </c>
      <c r="C121" s="377"/>
      <c r="D121" s="377"/>
      <c r="E121" s="377"/>
      <c r="F121" s="377"/>
      <c r="G121" s="377"/>
      <c r="H121" s="377"/>
      <c r="I121" s="377"/>
      <c r="J121" s="377"/>
      <c r="K121" s="377"/>
      <c r="L121" s="377"/>
      <c r="M121" s="377"/>
      <c r="N121" s="377"/>
      <c r="O121" s="377"/>
      <c r="P121" s="377"/>
      <c r="Q121" s="377"/>
      <c r="R121" s="377"/>
      <c r="S121" s="377"/>
      <c r="T121" s="377"/>
      <c r="U121" s="377"/>
      <c r="V121" s="377"/>
      <c r="W121" s="377"/>
      <c r="X121" s="377"/>
      <c r="Y121" s="377"/>
      <c r="Z121" s="377"/>
      <c r="AA121" s="377"/>
      <c r="AB121" s="377"/>
      <c r="AC121" s="377"/>
      <c r="AD121" s="91"/>
    </row>
    <row r="122" spans="1:30">
      <c r="A122" s="18"/>
      <c r="C122" s="8"/>
      <c r="D122" s="8"/>
      <c r="E122" s="8"/>
      <c r="F122" s="8"/>
      <c r="G122" s="8"/>
      <c r="H122" s="8"/>
      <c r="I122" s="8"/>
      <c r="J122" s="8"/>
      <c r="K122" s="8"/>
      <c r="L122" s="8"/>
      <c r="M122" s="8"/>
      <c r="N122" s="8"/>
      <c r="O122" s="8"/>
      <c r="P122" s="8"/>
      <c r="Q122" s="8"/>
      <c r="AD122" s="91"/>
    </row>
    <row r="123" spans="1:30">
      <c r="A123" s="4"/>
      <c r="D123" s="83" t="s">
        <v>124</v>
      </c>
      <c r="E123" s="83" t="s">
        <v>125</v>
      </c>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D123" s="91"/>
    </row>
    <row r="124" spans="1:30" ht="29">
      <c r="B124" s="91"/>
      <c r="C124" s="91"/>
      <c r="D124" s="133" t="s">
        <v>818</v>
      </c>
      <c r="E124" s="133" t="s">
        <v>818</v>
      </c>
      <c r="F124" s="133"/>
      <c r="AD124" s="91"/>
    </row>
    <row r="125" spans="1:30">
      <c r="B125" s="91"/>
      <c r="C125" s="91"/>
      <c r="D125" s="84"/>
      <c r="AC125" s="91"/>
      <c r="AD125"/>
    </row>
    <row r="126" spans="1:30">
      <c r="B126" s="91"/>
      <c r="C126" s="91"/>
      <c r="D126" s="4" t="s">
        <v>434</v>
      </c>
      <c r="E126" s="4" t="s">
        <v>462</v>
      </c>
      <c r="AC126" s="91"/>
      <c r="AD126"/>
    </row>
    <row r="127" spans="1:30">
      <c r="A127" s="80" t="s">
        <v>92</v>
      </c>
      <c r="B127" s="80" t="s">
        <v>440</v>
      </c>
      <c r="C127" s="80" t="s">
        <v>441</v>
      </c>
      <c r="D127" s="3" t="s">
        <v>661</v>
      </c>
      <c r="E127" s="3" t="s">
        <v>661</v>
      </c>
      <c r="F127" s="83"/>
      <c r="G127" s="83"/>
      <c r="H127" s="83"/>
      <c r="I127" s="83"/>
      <c r="J127" s="83"/>
      <c r="K127" s="83"/>
      <c r="L127" s="83"/>
      <c r="M127" s="83"/>
      <c r="N127" s="83"/>
      <c r="O127" s="83"/>
      <c r="P127" s="83"/>
      <c r="Q127" s="80"/>
      <c r="R127" s="80"/>
      <c r="S127" s="80"/>
      <c r="T127" s="80"/>
      <c r="U127" s="80"/>
      <c r="V127" s="80"/>
      <c r="W127" s="80"/>
      <c r="X127" s="80"/>
      <c r="Y127" s="80"/>
      <c r="Z127" s="80"/>
      <c r="AA127" s="80"/>
      <c r="AD127" s="80" t="str">
        <f>A127</f>
        <v>Line</v>
      </c>
    </row>
    <row r="128" spans="1:30">
      <c r="A128" s="91">
        <v>700</v>
      </c>
      <c r="B128" s="377" t="s">
        <v>449</v>
      </c>
      <c r="C128" s="140">
        <f>'1-DRR'!$K$2-1</f>
        <v>2021</v>
      </c>
      <c r="D128" s="121">
        <f>E87+G101+G115</f>
        <v>375829369.06089413</v>
      </c>
      <c r="E128" s="121">
        <f>F87+H101+H115</f>
        <v>365220941.34220374</v>
      </c>
      <c r="F128" s="83"/>
      <c r="G128" s="111"/>
      <c r="H128" s="111"/>
      <c r="I128" s="111"/>
      <c r="J128" s="111"/>
      <c r="K128" s="111"/>
      <c r="L128" s="111"/>
      <c r="M128" s="111"/>
      <c r="N128" s="111"/>
      <c r="O128" s="111"/>
      <c r="P128" s="111"/>
      <c r="Q128" s="11"/>
      <c r="R128" s="11"/>
      <c r="S128" s="11"/>
      <c r="T128" s="11"/>
      <c r="U128" s="11"/>
      <c r="V128" s="11"/>
      <c r="W128" s="11"/>
      <c r="X128" s="11"/>
      <c r="Y128" s="11"/>
      <c r="Z128" s="11"/>
      <c r="AA128" s="11"/>
      <c r="AD128" s="91">
        <f>A128</f>
        <v>700</v>
      </c>
    </row>
    <row r="129" spans="1:30">
      <c r="A129" s="91">
        <f>+A128+1</f>
        <v>701</v>
      </c>
      <c r="B129" s="377" t="s">
        <v>449</v>
      </c>
      <c r="C129" s="140">
        <f>'1-DRR'!$K$2</f>
        <v>2022</v>
      </c>
      <c r="D129" s="121">
        <f>E88+G102+G116</f>
        <v>408459877.56809223</v>
      </c>
      <c r="E129" s="121">
        <f>F88+H102+H116</f>
        <v>396930397.85235417</v>
      </c>
      <c r="F129" s="111" t="s">
        <v>896</v>
      </c>
      <c r="G129" s="383"/>
      <c r="H129" s="383"/>
      <c r="I129" s="383"/>
      <c r="J129" s="383"/>
      <c r="K129" s="383"/>
      <c r="L129" s="383"/>
      <c r="M129" s="383"/>
      <c r="N129" s="383"/>
      <c r="O129" s="383"/>
      <c r="P129" s="383"/>
      <c r="Q129" s="383"/>
      <c r="R129" s="383"/>
      <c r="S129" s="383"/>
      <c r="T129" s="383"/>
      <c r="U129" s="383"/>
      <c r="V129" s="383"/>
      <c r="W129" s="383"/>
      <c r="X129" s="383"/>
      <c r="Y129" s="383"/>
      <c r="Z129" s="383"/>
      <c r="AA129" s="383"/>
      <c r="AD129" s="91">
        <f>A129</f>
        <v>701</v>
      </c>
    </row>
    <row r="130" spans="1:30">
      <c r="A130" s="91">
        <f t="shared" ref="A130" si="16">A129+1</f>
        <v>702</v>
      </c>
      <c r="B130" s="489" t="s">
        <v>799</v>
      </c>
      <c r="C130" s="489"/>
      <c r="D130" s="490">
        <f>AVERAGE(D128:D129)</f>
        <v>392144623.31449318</v>
      </c>
      <c r="E130" s="490">
        <f>AVERAGE(E128:E129)</f>
        <v>381075669.59727895</v>
      </c>
      <c r="F130" s="11" t="str">
        <f>"(Line "&amp;$A128&amp;" + Line "&amp;$A129&amp;")/2"</f>
        <v>(Line 700 + Line 701)/2</v>
      </c>
      <c r="G130" s="11"/>
      <c r="H130" s="11"/>
      <c r="I130" s="11"/>
      <c r="J130" s="11"/>
      <c r="K130" s="11"/>
      <c r="L130" s="11"/>
      <c r="M130" s="11"/>
      <c r="N130" s="11"/>
      <c r="O130" s="11"/>
      <c r="P130" s="11"/>
      <c r="Q130" s="11"/>
      <c r="R130" s="11"/>
      <c r="S130" s="11"/>
      <c r="T130" s="11"/>
      <c r="U130" s="11"/>
      <c r="V130" s="11"/>
      <c r="W130" s="11"/>
      <c r="X130" s="11"/>
      <c r="Y130" s="11"/>
      <c r="Z130" s="11"/>
      <c r="AA130" s="11"/>
      <c r="AD130" s="91">
        <f>A130</f>
        <v>702</v>
      </c>
    </row>
    <row r="131" spans="1:30">
      <c r="A131" s="91"/>
      <c r="B131" s="380"/>
      <c r="C131" s="380"/>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row>
    <row r="132" spans="1:30">
      <c r="A132" s="91"/>
      <c r="C132" s="380"/>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row>
    <row r="133" spans="1:30">
      <c r="B133" s="7" t="s">
        <v>598</v>
      </c>
      <c r="C133" s="384"/>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row>
    <row r="134" spans="1:30">
      <c r="B134" s="8" t="s">
        <v>897</v>
      </c>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row>
    <row r="135" spans="1:30">
      <c r="A135" s="91"/>
      <c r="B135" s="8" t="s">
        <v>898</v>
      </c>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row>
    <row r="136" spans="1:30">
      <c r="B136" s="8" t="s">
        <v>899</v>
      </c>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row>
    <row r="137" spans="1:30">
      <c r="B137" s="8" t="s">
        <v>687</v>
      </c>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row>
    <row r="138" spans="1:30">
      <c r="B138" s="91"/>
      <c r="C138" s="91"/>
      <c r="D138" s="11"/>
      <c r="E138" s="11"/>
      <c r="F138" s="83"/>
      <c r="G138" s="83"/>
      <c r="L138" s="8"/>
      <c r="M138" s="8"/>
      <c r="P138" s="8"/>
      <c r="Q138" s="8"/>
    </row>
  </sheetData>
  <mergeCells count="2">
    <mergeCell ref="B93:N94"/>
    <mergeCell ref="B107:N108"/>
  </mergeCells>
  <printOptions horizontalCentered="1"/>
  <pageMargins left="1" right="1" top="1" bottom="1" header="0.5" footer="0.5"/>
  <pageSetup scale="22" fitToHeight="0" orientation="landscape" r:id="rId1"/>
  <headerFooter>
    <oddHeader xml:space="preserve">&amp;C&amp;"-,Bold"Pacific Gas and Electric Company
Formula Rate Model
Schedule &amp;A&amp;R&amp;10Docket No. ER20-2878-000, et al.
Annual Update RY2024
&amp;F
</oddHeader>
  </headerFooter>
  <rowBreaks count="2" manualBreakCount="2">
    <brk id="51" max="17" man="1"/>
    <brk id="90" max="29" man="1"/>
  </rowBreaks>
  <customProperties>
    <customPr name="_pios_id" r:id="rId2"/>
    <customPr name="EpmWorksheetKeyString_GUID" r:id="rId3"/>
  </customProperties>
  <ignoredErrors>
    <ignoredError sqref="AC13:AC25"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C240D-99F9-4028-9E30-259D61B6D190}">
  <sheetPr codeName="Sheet17">
    <pageSetUpPr fitToPage="1"/>
  </sheetPr>
  <dimension ref="A1:AE70"/>
  <sheetViews>
    <sheetView view="pageBreakPreview" topLeftCell="A45" zoomScale="25" zoomScaleNormal="90" zoomScaleSheetLayoutView="25" zoomScalePageLayoutView="55" workbookViewId="0">
      <selection activeCell="D45" sqref="D45"/>
    </sheetView>
  </sheetViews>
  <sheetFormatPr defaultColWidth="8.81640625" defaultRowHeight="14.5"/>
  <cols>
    <col min="1" max="1" width="4.7265625" style="21" bestFit="1" customWidth="1"/>
    <col min="2" max="2" width="28" customWidth="1"/>
    <col min="3" max="3" width="22.453125" customWidth="1"/>
    <col min="4" max="4" width="21.81640625" customWidth="1"/>
    <col min="5" max="5" width="18.453125" customWidth="1"/>
    <col min="6" max="7" width="22.1796875" customWidth="1"/>
    <col min="8" max="28" width="14" customWidth="1"/>
    <col min="29" max="29" width="15.7265625" bestFit="1" customWidth="1"/>
    <col min="30" max="30" width="4.7265625" bestFit="1" customWidth="1"/>
  </cols>
  <sheetData>
    <row r="1" spans="1:31">
      <c r="B1" s="2" t="s">
        <v>900</v>
      </c>
      <c r="P1" s="101"/>
      <c r="R1" s="8"/>
      <c r="S1" s="8"/>
      <c r="T1" s="8"/>
      <c r="U1" s="8"/>
      <c r="V1" s="8"/>
      <c r="W1" s="8"/>
      <c r="X1" s="8"/>
      <c r="Y1" s="8"/>
      <c r="Z1" s="8"/>
      <c r="AA1" s="8"/>
      <c r="AB1" s="8"/>
      <c r="AC1" s="6" t="str">
        <f>CONCATENATE("Prior Year: ",'1-DRR'!$K$2)</f>
        <v>Prior Year: 2022</v>
      </c>
    </row>
    <row r="2" spans="1:31">
      <c r="B2" s="78" t="s">
        <v>122</v>
      </c>
      <c r="C2" s="38"/>
      <c r="R2" s="8"/>
      <c r="S2" s="8"/>
      <c r="T2" s="8"/>
      <c r="U2" s="8"/>
      <c r="V2" s="8"/>
      <c r="W2" s="8"/>
      <c r="X2" s="8"/>
      <c r="Y2" s="8"/>
      <c r="Z2" s="8"/>
      <c r="AA2" s="8"/>
      <c r="AB2" s="8"/>
    </row>
    <row r="3" spans="1:31">
      <c r="A3" s="4"/>
    </row>
    <row r="4" spans="1:31">
      <c r="B4" s="79" t="s">
        <v>901</v>
      </c>
      <c r="C4" s="103"/>
      <c r="D4" s="103"/>
      <c r="E4" s="103"/>
      <c r="F4" s="103"/>
      <c r="G4" s="103"/>
      <c r="H4" s="103"/>
      <c r="I4" s="103"/>
      <c r="J4" s="103"/>
      <c r="K4" s="103"/>
      <c r="L4" s="103"/>
      <c r="M4" s="103"/>
      <c r="N4" s="103"/>
      <c r="O4" s="103"/>
      <c r="P4" s="103"/>
      <c r="Q4" s="103"/>
      <c r="R4" s="388"/>
      <c r="S4" s="388"/>
      <c r="T4" s="388"/>
      <c r="U4" s="388"/>
      <c r="V4" s="388"/>
      <c r="W4" s="388"/>
      <c r="X4" s="388"/>
      <c r="Y4" s="388"/>
      <c r="Z4" s="388"/>
      <c r="AA4" s="388"/>
      <c r="AB4" s="388"/>
      <c r="AC4" s="43"/>
    </row>
    <row r="5" spans="1:31">
      <c r="B5" t="s">
        <v>902</v>
      </c>
    </row>
    <row r="6" spans="1:31">
      <c r="B6" s="377" t="s">
        <v>903</v>
      </c>
    </row>
    <row r="8" spans="1:31">
      <c r="A8" s="91"/>
      <c r="D8" s="83" t="s">
        <v>124</v>
      </c>
      <c r="E8" s="83" t="s">
        <v>125</v>
      </c>
      <c r="F8" s="83" t="s">
        <v>126</v>
      </c>
      <c r="G8" s="83" t="s">
        <v>127</v>
      </c>
      <c r="H8" s="83" t="s">
        <v>420</v>
      </c>
      <c r="I8" s="83" t="s">
        <v>421</v>
      </c>
      <c r="J8" s="83" t="s">
        <v>422</v>
      </c>
      <c r="K8" s="83" t="s">
        <v>423</v>
      </c>
      <c r="L8" s="83" t="s">
        <v>424</v>
      </c>
      <c r="M8" s="83" t="s">
        <v>692</v>
      </c>
      <c r="N8" s="83" t="s">
        <v>693</v>
      </c>
      <c r="O8" s="83" t="s">
        <v>694</v>
      </c>
      <c r="P8" s="83" t="s">
        <v>695</v>
      </c>
      <c r="Q8" s="83" t="s">
        <v>696</v>
      </c>
      <c r="R8" s="83" t="s">
        <v>697</v>
      </c>
      <c r="S8" s="83" t="s">
        <v>698</v>
      </c>
      <c r="T8" s="83" t="s">
        <v>699</v>
      </c>
      <c r="U8" s="83" t="s">
        <v>700</v>
      </c>
      <c r="V8" s="83" t="s">
        <v>701</v>
      </c>
      <c r="W8" s="83" t="s">
        <v>702</v>
      </c>
      <c r="X8" s="83" t="s">
        <v>703</v>
      </c>
      <c r="Y8" s="83" t="s">
        <v>704</v>
      </c>
      <c r="Z8" s="83" t="s">
        <v>705</v>
      </c>
      <c r="AA8" s="83" t="s">
        <v>706</v>
      </c>
      <c r="AB8" s="83" t="s">
        <v>707</v>
      </c>
      <c r="AC8" s="83" t="s">
        <v>708</v>
      </c>
      <c r="AD8" s="83"/>
    </row>
    <row r="9" spans="1:31">
      <c r="A9" s="91"/>
      <c r="D9" s="18"/>
      <c r="E9" s="18"/>
      <c r="F9" s="18"/>
      <c r="G9" s="18"/>
      <c r="H9" s="18"/>
      <c r="I9" s="18"/>
      <c r="J9" s="18"/>
      <c r="K9" s="18"/>
      <c r="L9" s="18"/>
      <c r="M9" s="18"/>
      <c r="N9" s="18"/>
      <c r="O9" s="18"/>
      <c r="P9" s="18"/>
      <c r="Q9" s="18"/>
      <c r="R9" s="18"/>
      <c r="S9" s="18"/>
      <c r="T9" s="18"/>
      <c r="U9" s="18"/>
      <c r="V9" s="18"/>
      <c r="W9" s="18"/>
      <c r="X9" s="18"/>
      <c r="Y9" s="18"/>
      <c r="Z9" s="18"/>
      <c r="AA9" s="18"/>
      <c r="AB9" s="18"/>
      <c r="AC9" s="133" t="s">
        <v>709</v>
      </c>
      <c r="AD9" s="18"/>
    </row>
    <row r="10" spans="1:31">
      <c r="A10" s="91"/>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row>
    <row r="11" spans="1:31">
      <c r="C11" s="90" t="s">
        <v>710</v>
      </c>
      <c r="D11" s="84">
        <v>360</v>
      </c>
      <c r="E11" s="84">
        <v>360</v>
      </c>
      <c r="F11" s="84">
        <v>361</v>
      </c>
      <c r="G11" s="84">
        <v>361</v>
      </c>
      <c r="H11" s="84">
        <v>362</v>
      </c>
      <c r="I11" s="84">
        <v>363</v>
      </c>
      <c r="J11" s="84">
        <v>363</v>
      </c>
      <c r="K11" s="84">
        <v>364</v>
      </c>
      <c r="L11" s="84">
        <v>365</v>
      </c>
      <c r="M11" s="84">
        <v>366</v>
      </c>
      <c r="N11" s="84">
        <v>367</v>
      </c>
      <c r="O11" s="84">
        <v>368</v>
      </c>
      <c r="P11" s="84">
        <v>368</v>
      </c>
      <c r="Q11" s="84">
        <v>369</v>
      </c>
      <c r="R11" s="84">
        <v>369</v>
      </c>
      <c r="S11" s="84">
        <v>370</v>
      </c>
      <c r="T11" s="84">
        <v>370</v>
      </c>
      <c r="U11" s="84">
        <v>371</v>
      </c>
      <c r="V11" s="84">
        <v>371</v>
      </c>
      <c r="W11" s="84">
        <v>371</v>
      </c>
      <c r="X11" s="84">
        <v>372</v>
      </c>
      <c r="Y11" s="84">
        <v>373</v>
      </c>
      <c r="Z11" s="84">
        <v>373</v>
      </c>
      <c r="AA11" s="84">
        <v>373</v>
      </c>
      <c r="AB11" s="84">
        <v>373</v>
      </c>
    </row>
    <row r="12" spans="1:31">
      <c r="A12" s="80" t="s">
        <v>92</v>
      </c>
      <c r="C12" s="80" t="s">
        <v>441</v>
      </c>
      <c r="D12" s="83" t="s">
        <v>711</v>
      </c>
      <c r="E12" s="83" t="s">
        <v>712</v>
      </c>
      <c r="F12" s="83" t="s">
        <v>713</v>
      </c>
      <c r="G12" s="83" t="s">
        <v>714</v>
      </c>
      <c r="H12" s="83" t="s">
        <v>715</v>
      </c>
      <c r="I12" s="83" t="s">
        <v>716</v>
      </c>
      <c r="J12" s="83" t="s">
        <v>717</v>
      </c>
      <c r="K12" s="83" t="s">
        <v>718</v>
      </c>
      <c r="L12" s="83" t="s">
        <v>719</v>
      </c>
      <c r="M12" s="83" t="s">
        <v>720</v>
      </c>
      <c r="N12" s="83" t="s">
        <v>721</v>
      </c>
      <c r="O12" s="83" t="s">
        <v>722</v>
      </c>
      <c r="P12" s="83" t="s">
        <v>723</v>
      </c>
      <c r="Q12" s="83" t="s">
        <v>724</v>
      </c>
      <c r="R12" s="83" t="s">
        <v>725</v>
      </c>
      <c r="S12" s="83" t="s">
        <v>726</v>
      </c>
      <c r="T12" s="83" t="s">
        <v>727</v>
      </c>
      <c r="U12" s="83" t="s">
        <v>728</v>
      </c>
      <c r="V12" s="83" t="s">
        <v>729</v>
      </c>
      <c r="W12" s="83" t="s">
        <v>730</v>
      </c>
      <c r="X12" s="83" t="s">
        <v>731</v>
      </c>
      <c r="Y12" s="83" t="s">
        <v>732</v>
      </c>
      <c r="Z12" s="83" t="s">
        <v>733</v>
      </c>
      <c r="AA12" s="83" t="s">
        <v>734</v>
      </c>
      <c r="AB12" s="83" t="s">
        <v>735</v>
      </c>
      <c r="AC12" s="80" t="s">
        <v>736</v>
      </c>
      <c r="AD12" s="80" t="str">
        <f>A12</f>
        <v>Line</v>
      </c>
    </row>
    <row r="13" spans="1:31">
      <c r="A13" s="91">
        <v>100</v>
      </c>
      <c r="B13" t="s">
        <v>904</v>
      </c>
      <c r="C13" s="140">
        <f>'1-DRR'!$K$2</f>
        <v>2022</v>
      </c>
      <c r="D13" s="272">
        <v>-46080.845994463882</v>
      </c>
      <c r="E13" s="272">
        <v>3806993.0756649999</v>
      </c>
      <c r="F13" s="272">
        <v>4441092.7805420272</v>
      </c>
      <c r="G13" s="272">
        <v>397658.75824747019</v>
      </c>
      <c r="H13" s="272">
        <v>123605428.92148283</v>
      </c>
      <c r="I13" s="272">
        <v>0</v>
      </c>
      <c r="J13" s="272">
        <v>2007655.08</v>
      </c>
      <c r="K13" s="272">
        <v>408844031.68352097</v>
      </c>
      <c r="L13" s="272">
        <v>232374596.83827996</v>
      </c>
      <c r="M13" s="272">
        <v>80590951.703874633</v>
      </c>
      <c r="N13" s="272">
        <v>187999254.4868983</v>
      </c>
      <c r="O13" s="272">
        <v>158708165.17591688</v>
      </c>
      <c r="P13" s="272">
        <v>60294382.172971204</v>
      </c>
      <c r="Q13" s="272">
        <v>39980604.932756089</v>
      </c>
      <c r="R13" s="272">
        <v>78827634.902813777</v>
      </c>
      <c r="S13" s="272">
        <v>7939907.7654301431</v>
      </c>
      <c r="T13" s="272">
        <v>87972874.544204935</v>
      </c>
      <c r="U13" s="272">
        <v>0</v>
      </c>
      <c r="V13" s="272">
        <v>5983.09</v>
      </c>
      <c r="W13" s="272">
        <v>138142.88</v>
      </c>
      <c r="X13" s="272">
        <v>0</v>
      </c>
      <c r="Y13" s="272">
        <v>574846.57532038621</v>
      </c>
      <c r="Z13" s="272">
        <v>1682003.1310395836</v>
      </c>
      <c r="AA13" s="272">
        <v>5121201.6807099581</v>
      </c>
      <c r="AB13" s="272">
        <v>2865303.8407170326</v>
      </c>
      <c r="AC13" s="389">
        <f>SUM(D13:AB13)</f>
        <v>1488132633.1743968</v>
      </c>
      <c r="AD13" s="91">
        <f>A13</f>
        <v>100</v>
      </c>
    </row>
    <row r="14" spans="1:31">
      <c r="A14" s="91">
        <f>A13+1</f>
        <v>101</v>
      </c>
      <c r="B14" s="694" t="s">
        <v>135</v>
      </c>
      <c r="C14" s="492">
        <f>'1-DRR'!$K$2</f>
        <v>2022</v>
      </c>
      <c r="D14" s="708">
        <f>D$13*'6-PlantJurisdiction'!$E$37</f>
        <v>-23370.255747509356</v>
      </c>
      <c r="E14" s="708">
        <f>E$13*'6-PlantJurisdiction'!$E$37</f>
        <v>1930745.8421656825</v>
      </c>
      <c r="F14" s="708">
        <f>F$13*'6-PlantJurisdiction'!$E$38</f>
        <v>4441092.7805420272</v>
      </c>
      <c r="G14" s="708">
        <f>G$13*'6-PlantJurisdiction'!$E$38</f>
        <v>397658.75824747019</v>
      </c>
      <c r="H14" s="708">
        <f>H$13*'6-PlantJurisdiction'!$E$39</f>
        <v>123605428.92148283</v>
      </c>
      <c r="I14" s="708">
        <f>I$13*'6-PlantJurisdiction'!$E$40</f>
        <v>0</v>
      </c>
      <c r="J14" s="708">
        <f>J$13*'6-PlantJurisdiction'!$E$40</f>
        <v>2007655.08</v>
      </c>
      <c r="K14" s="708">
        <f>K$13*'6-PlantJurisdiction'!$E$41</f>
        <v>323930643.97015637</v>
      </c>
      <c r="L14" s="708">
        <f>L$13*'6-PlantJurisdiction'!$E$42</f>
        <v>184112392.41079885</v>
      </c>
      <c r="M14" s="708">
        <f>M$13*'6-PlantJurisdiction'!$E$43</f>
        <v>31572598.727634106</v>
      </c>
      <c r="N14" s="708">
        <f>N$13*'6-PlantJurisdiction'!$E$44</f>
        <v>73651258.578248486</v>
      </c>
      <c r="O14" s="708">
        <f>O$13*'6-PlantJurisdiction'!$E$45</f>
        <v>0</v>
      </c>
      <c r="P14" s="708">
        <f>P$13*'6-PlantJurisdiction'!$E$45</f>
        <v>0</v>
      </c>
      <c r="Q14" s="708">
        <f>Q$13*'6-PlantJurisdiction'!$E$46</f>
        <v>0</v>
      </c>
      <c r="R14" s="708">
        <f>R$13*'6-PlantJurisdiction'!$E$46</f>
        <v>0</v>
      </c>
      <c r="S14" s="708">
        <f>S$13*'6-PlantJurisdiction'!$E$47</f>
        <v>0</v>
      </c>
      <c r="T14" s="708">
        <f>T$13*'6-PlantJurisdiction'!$E$47</f>
        <v>0</v>
      </c>
      <c r="U14" s="708">
        <f>U$13*'6-PlantJurisdiction'!$E$48</f>
        <v>0</v>
      </c>
      <c r="V14" s="708">
        <f>V$13*'6-PlantJurisdiction'!$E$48</f>
        <v>0</v>
      </c>
      <c r="W14" s="708">
        <f>W$13*'6-PlantJurisdiction'!$E$48</f>
        <v>0</v>
      </c>
      <c r="X14" s="708">
        <f>X$13*'6-PlantJurisdiction'!$E$49</f>
        <v>0</v>
      </c>
      <c r="Y14" s="708">
        <f>Y$13*'6-PlantJurisdiction'!$E$50</f>
        <v>0</v>
      </c>
      <c r="Z14" s="708">
        <f>Z$13*'6-PlantJurisdiction'!$E$50</f>
        <v>0</v>
      </c>
      <c r="AA14" s="708">
        <f>AA$13*'6-PlantJurisdiction'!$E$50</f>
        <v>0</v>
      </c>
      <c r="AB14" s="708">
        <f>AB$13*'6-PlantJurisdiction'!$E$50</f>
        <v>0</v>
      </c>
      <c r="AC14" s="709">
        <f t="shared" ref="AC14:AC15" si="0">SUM(D14:AB14)</f>
        <v>745626104.8135283</v>
      </c>
      <c r="AD14" s="91">
        <f t="shared" ref="AD14:AD15" si="1">A14</f>
        <v>101</v>
      </c>
      <c r="AE14" s="21"/>
    </row>
    <row r="15" spans="1:31">
      <c r="A15" s="91">
        <f>A14+1</f>
        <v>102</v>
      </c>
      <c r="B15" s="8" t="s">
        <v>136</v>
      </c>
      <c r="C15" s="140">
        <f>'1-DRR'!$K$2</f>
        <v>2022</v>
      </c>
      <c r="D15" s="275">
        <f>D$13*'6-PlantJurisdiction'!$F$37</f>
        <v>-22710.590246954525</v>
      </c>
      <c r="E15" s="275">
        <f>E$13*'6-PlantJurisdiction'!$F$37</f>
        <v>1876247.2334993174</v>
      </c>
      <c r="F15" s="275">
        <f>F$13*'6-PlantJurisdiction'!$F$38</f>
        <v>0</v>
      </c>
      <c r="G15" s="275">
        <f>G$13*'6-PlantJurisdiction'!$F$38</f>
        <v>0</v>
      </c>
      <c r="H15" s="275">
        <f>H$13*'6-PlantJurisdiction'!$F$39</f>
        <v>0</v>
      </c>
      <c r="I15" s="275">
        <f>I$13*'6-PlantJurisdiction'!$F$40</f>
        <v>0</v>
      </c>
      <c r="J15" s="275">
        <f>J$13*'6-PlantJurisdiction'!$F$40</f>
        <v>0</v>
      </c>
      <c r="K15" s="275">
        <f>K$13*'6-PlantJurisdiction'!$F$41</f>
        <v>84913387.713364601</v>
      </c>
      <c r="L15" s="275">
        <f>L$13*'6-PlantJurisdiction'!$F$42</f>
        <v>48262204.427481115</v>
      </c>
      <c r="M15" s="275">
        <f>M$13*'6-PlantJurisdiction'!$F$43</f>
        <v>49018352.976240523</v>
      </c>
      <c r="N15" s="275">
        <f>N$13*'6-PlantJurisdiction'!$F$44</f>
        <v>114347995.9086498</v>
      </c>
      <c r="O15" s="275">
        <f>O$13*'6-PlantJurisdiction'!$F$45</f>
        <v>158708165.17591688</v>
      </c>
      <c r="P15" s="275">
        <f>P$13*'6-PlantJurisdiction'!$F$45</f>
        <v>60294382.172971204</v>
      </c>
      <c r="Q15" s="275">
        <f>Q$13*'6-PlantJurisdiction'!$F$46</f>
        <v>39980604.932756089</v>
      </c>
      <c r="R15" s="275">
        <f>R$13*'6-PlantJurisdiction'!$F$46</f>
        <v>78827634.902813777</v>
      </c>
      <c r="S15" s="275">
        <f>S$13*'6-PlantJurisdiction'!$F$47</f>
        <v>0</v>
      </c>
      <c r="T15" s="275">
        <f>T$13*'6-PlantJurisdiction'!$F$47</f>
        <v>0</v>
      </c>
      <c r="U15" s="275">
        <f>U$13*'6-PlantJurisdiction'!$F$48</f>
        <v>0</v>
      </c>
      <c r="V15" s="275">
        <f>V$13*'6-PlantJurisdiction'!$F$48</f>
        <v>0</v>
      </c>
      <c r="W15" s="275">
        <f>W$13*'6-PlantJurisdiction'!$F$48</f>
        <v>0</v>
      </c>
      <c r="X15" s="275">
        <f>X$13*'6-PlantJurisdiction'!$F$49</f>
        <v>0</v>
      </c>
      <c r="Y15" s="275">
        <f>Y$13*'6-PlantJurisdiction'!$F$50</f>
        <v>0</v>
      </c>
      <c r="Z15" s="275">
        <f>Z$13*'6-PlantJurisdiction'!$F$50</f>
        <v>0</v>
      </c>
      <c r="AA15" s="275">
        <f>AA$13*'6-PlantJurisdiction'!$F$50</f>
        <v>0</v>
      </c>
      <c r="AB15" s="275">
        <f>AB$13*'6-PlantJurisdiction'!$F$50</f>
        <v>0</v>
      </c>
      <c r="AC15" s="389">
        <f t="shared" si="0"/>
        <v>636206264.85344636</v>
      </c>
      <c r="AD15" s="91">
        <f t="shared" si="1"/>
        <v>102</v>
      </c>
      <c r="AE15" s="21"/>
    </row>
    <row r="16" spans="1:31">
      <c r="A16" s="18"/>
      <c r="C16" s="8"/>
      <c r="D16" s="8"/>
      <c r="E16" s="8"/>
      <c r="F16" s="8"/>
      <c r="G16" s="8"/>
      <c r="H16" s="8"/>
      <c r="I16" s="8"/>
      <c r="J16" s="8"/>
      <c r="K16" s="8"/>
      <c r="L16" s="8"/>
      <c r="M16" s="8"/>
      <c r="N16" s="8"/>
      <c r="O16" s="8"/>
      <c r="P16" s="8"/>
      <c r="Q16" s="8"/>
      <c r="R16" s="8"/>
      <c r="S16" s="8"/>
      <c r="T16" s="8"/>
      <c r="U16" s="8"/>
      <c r="V16" s="8"/>
      <c r="W16" s="8"/>
      <c r="X16" s="8"/>
      <c r="Y16" s="8"/>
      <c r="Z16" s="8"/>
      <c r="AA16" s="8"/>
      <c r="AB16" s="8"/>
      <c r="AE16" s="21"/>
    </row>
    <row r="17" spans="1:30">
      <c r="A17" s="18"/>
      <c r="B17" s="8"/>
      <c r="C17" s="8"/>
      <c r="D17" s="8"/>
      <c r="E17" s="8"/>
      <c r="F17" s="8"/>
      <c r="G17" s="8"/>
      <c r="H17" s="8"/>
      <c r="I17" s="8"/>
      <c r="J17" s="8"/>
      <c r="K17" s="8"/>
      <c r="L17" s="8"/>
      <c r="M17" s="8"/>
      <c r="N17" s="8"/>
      <c r="O17" s="8"/>
      <c r="P17" s="8"/>
      <c r="Q17" s="8"/>
      <c r="R17" s="8"/>
      <c r="S17" s="8"/>
      <c r="T17" s="8"/>
      <c r="U17" s="8"/>
      <c r="V17" s="8"/>
      <c r="W17" s="8"/>
      <c r="X17" s="8"/>
      <c r="Y17" s="8"/>
      <c r="Z17" s="8"/>
      <c r="AA17" s="8"/>
      <c r="AB17" s="8"/>
      <c r="AD17" s="21"/>
    </row>
    <row r="18" spans="1:30">
      <c r="B18" s="45" t="s">
        <v>905</v>
      </c>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43"/>
      <c r="AD18" s="21"/>
    </row>
    <row r="19" spans="1:30">
      <c r="B19" s="377" t="s">
        <v>906</v>
      </c>
    </row>
    <row r="21" spans="1:30">
      <c r="A21" s="18"/>
      <c r="B21" s="8"/>
      <c r="C21" s="83" t="s">
        <v>124</v>
      </c>
      <c r="D21" s="83" t="s">
        <v>125</v>
      </c>
      <c r="E21" s="83" t="s">
        <v>126</v>
      </c>
      <c r="F21" s="8"/>
      <c r="G21" s="8"/>
      <c r="H21" s="8"/>
      <c r="I21" s="8"/>
      <c r="J21" s="8"/>
      <c r="K21" s="8"/>
      <c r="L21" s="8"/>
      <c r="M21" s="8"/>
      <c r="N21" s="8"/>
      <c r="O21" s="8"/>
      <c r="P21" s="8"/>
      <c r="Q21" s="8"/>
      <c r="R21" s="8"/>
      <c r="S21" s="8"/>
      <c r="T21" s="8"/>
      <c r="U21" s="8"/>
      <c r="V21" s="8"/>
      <c r="W21" s="8"/>
      <c r="X21" s="8"/>
      <c r="Y21" s="8"/>
      <c r="Z21" s="8"/>
      <c r="AA21" s="8"/>
      <c r="AB21" s="8"/>
      <c r="AD21" s="21"/>
    </row>
    <row r="22" spans="1:30" ht="43.5">
      <c r="C22" s="133" t="s">
        <v>103</v>
      </c>
      <c r="D22" s="133" t="s">
        <v>794</v>
      </c>
      <c r="E22" s="133" t="s">
        <v>795</v>
      </c>
      <c r="F22" s="8"/>
      <c r="G22" s="8"/>
      <c r="H22" s="8"/>
      <c r="I22" s="8"/>
      <c r="J22" s="8"/>
      <c r="K22" s="8"/>
      <c r="L22" s="8"/>
      <c r="M22" s="8"/>
      <c r="N22" s="8"/>
      <c r="O22" s="8"/>
      <c r="P22" s="8"/>
      <c r="Q22" s="8"/>
      <c r="R22" s="8"/>
      <c r="S22" s="8"/>
      <c r="T22" s="8"/>
      <c r="U22" s="8"/>
      <c r="V22" s="8"/>
      <c r="W22" s="8"/>
      <c r="X22" s="8"/>
      <c r="Y22" s="8"/>
      <c r="Z22" s="8"/>
      <c r="AA22" s="8"/>
      <c r="AB22" s="8"/>
      <c r="AD22" s="21"/>
    </row>
    <row r="23" spans="1:30">
      <c r="C23" s="100"/>
      <c r="D23" s="100"/>
      <c r="F23" s="8"/>
      <c r="G23" s="8"/>
      <c r="H23" s="8"/>
      <c r="I23" s="8"/>
      <c r="J23" s="8"/>
      <c r="K23" s="8"/>
      <c r="L23" s="8"/>
      <c r="M23" s="8"/>
      <c r="N23" s="8"/>
      <c r="O23" s="8"/>
      <c r="P23" s="8"/>
      <c r="Q23" s="8"/>
      <c r="R23" s="8"/>
      <c r="S23" s="8"/>
      <c r="T23" s="8"/>
      <c r="U23" s="8"/>
      <c r="V23" s="8"/>
      <c r="W23" s="8"/>
      <c r="X23" s="8"/>
      <c r="Y23" s="8"/>
      <c r="Z23" s="8"/>
      <c r="AA23" s="8"/>
      <c r="AB23" s="8"/>
      <c r="AD23" s="21"/>
    </row>
    <row r="24" spans="1:30">
      <c r="C24" s="84" t="s">
        <v>796</v>
      </c>
      <c r="D24" s="4" t="s">
        <v>434</v>
      </c>
      <c r="E24" s="4" t="s">
        <v>462</v>
      </c>
      <c r="F24" s="8"/>
      <c r="G24" s="8"/>
      <c r="H24" s="8"/>
      <c r="I24" s="8"/>
      <c r="J24" s="8"/>
      <c r="K24" s="8"/>
      <c r="L24" s="8"/>
      <c r="M24" s="8"/>
      <c r="N24" s="8"/>
      <c r="O24" s="8"/>
      <c r="P24" s="8"/>
      <c r="Q24" s="8"/>
      <c r="R24" s="8"/>
      <c r="S24" s="8"/>
      <c r="T24" s="8"/>
      <c r="U24" s="8"/>
      <c r="V24" s="8"/>
      <c r="W24" s="8"/>
      <c r="X24" s="8"/>
      <c r="Y24" s="8"/>
      <c r="Z24" s="8"/>
      <c r="AA24" s="8"/>
      <c r="AB24" s="8"/>
      <c r="AD24" s="21"/>
    </row>
    <row r="25" spans="1:30">
      <c r="A25" s="80" t="s">
        <v>92</v>
      </c>
      <c r="B25" s="80" t="s">
        <v>441</v>
      </c>
      <c r="C25" s="381" t="s">
        <v>797</v>
      </c>
      <c r="D25" s="3" t="s">
        <v>661</v>
      </c>
      <c r="E25" s="3" t="s">
        <v>661</v>
      </c>
      <c r="F25" s="8"/>
      <c r="G25" s="8"/>
      <c r="H25" s="8"/>
      <c r="I25" s="8"/>
      <c r="J25" s="8"/>
      <c r="K25" s="8"/>
      <c r="L25" s="8"/>
      <c r="M25" s="8"/>
      <c r="N25" s="8"/>
      <c r="O25" s="8"/>
      <c r="P25" s="8"/>
      <c r="Q25" s="8"/>
      <c r="R25" s="8"/>
      <c r="S25" s="8"/>
      <c r="T25" s="8"/>
      <c r="U25" s="8"/>
      <c r="V25" s="8"/>
      <c r="W25" s="8"/>
      <c r="X25" s="8"/>
      <c r="Y25" s="8"/>
      <c r="Z25" s="8"/>
      <c r="AA25" s="8"/>
      <c r="AB25" s="8"/>
      <c r="AD25" s="80" t="str">
        <f>A25</f>
        <v>Line</v>
      </c>
    </row>
    <row r="26" spans="1:30">
      <c r="A26" s="91">
        <v>200</v>
      </c>
      <c r="B26" s="140">
        <f>'1-DRR'!$K$2</f>
        <v>2022</v>
      </c>
      <c r="C26" s="272">
        <v>68166026.29319711</v>
      </c>
      <c r="D26" s="121">
        <f>$C26*'6-PlantJurisdiction'!E$85</f>
        <v>33003822.205600593</v>
      </c>
      <c r="E26" s="121">
        <f>$C26*'6-PlantJurisdiction'!F$85</f>
        <v>32072232.78994773</v>
      </c>
      <c r="F26" s="111" t="s">
        <v>907</v>
      </c>
      <c r="G26" s="8"/>
      <c r="H26" s="8"/>
      <c r="I26" s="8"/>
      <c r="J26" s="8"/>
      <c r="K26" s="8"/>
      <c r="L26" s="8"/>
      <c r="M26" s="8"/>
      <c r="N26" s="8"/>
      <c r="O26" s="8"/>
      <c r="P26" s="8"/>
      <c r="Q26" s="8"/>
      <c r="R26" s="8"/>
      <c r="S26" s="8"/>
      <c r="T26" s="8"/>
      <c r="U26" s="8"/>
      <c r="V26" s="8"/>
      <c r="W26" s="8"/>
      <c r="X26" s="8"/>
      <c r="Y26" s="8"/>
      <c r="Z26" s="8"/>
      <c r="AA26" s="8"/>
      <c r="AB26" s="8"/>
      <c r="AD26" s="91">
        <f>A26</f>
        <v>200</v>
      </c>
    </row>
    <row r="27" spans="1:30">
      <c r="A27" s="107"/>
      <c r="B27" s="11"/>
      <c r="C27" s="11"/>
      <c r="D27" s="11"/>
      <c r="E27" s="11"/>
      <c r="F27" s="11"/>
      <c r="G27" s="11"/>
      <c r="H27" s="11"/>
      <c r="I27" s="11"/>
      <c r="J27" s="11"/>
      <c r="K27" s="11"/>
      <c r="L27" s="11"/>
      <c r="M27" s="11"/>
      <c r="N27" s="8"/>
      <c r="O27" s="8"/>
      <c r="P27" s="8"/>
      <c r="Q27" s="8"/>
      <c r="R27" s="8"/>
      <c r="S27" s="8"/>
      <c r="T27" s="8"/>
      <c r="U27" s="8"/>
      <c r="V27" s="8"/>
      <c r="W27" s="8"/>
      <c r="X27" s="8"/>
      <c r="Y27" s="8"/>
      <c r="Z27" s="8"/>
      <c r="AA27" s="8"/>
      <c r="AB27" s="8"/>
      <c r="AD27" s="21"/>
    </row>
    <row r="28" spans="1:30">
      <c r="A28" s="107"/>
      <c r="B28" s="11"/>
      <c r="C28" s="11"/>
      <c r="D28" s="11"/>
      <c r="E28" s="11"/>
      <c r="F28" s="11"/>
      <c r="G28" s="11"/>
      <c r="H28" s="11"/>
      <c r="I28" s="11"/>
      <c r="J28" s="11"/>
      <c r="K28" s="11"/>
      <c r="L28" s="11"/>
      <c r="M28" s="11"/>
      <c r="N28" s="8"/>
      <c r="O28" s="8"/>
      <c r="P28" s="8"/>
      <c r="Q28" s="8"/>
      <c r="R28" s="8"/>
      <c r="S28" s="8"/>
      <c r="T28" s="8"/>
      <c r="U28" s="8"/>
      <c r="V28" s="8"/>
      <c r="W28" s="8"/>
      <c r="X28" s="8"/>
      <c r="Y28" s="8"/>
      <c r="Z28" s="8"/>
      <c r="AA28" s="8"/>
      <c r="AB28" s="8"/>
      <c r="AD28" s="21"/>
    </row>
    <row r="29" spans="1:30">
      <c r="B29" s="45" t="s">
        <v>908</v>
      </c>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43"/>
      <c r="AD29" s="21"/>
    </row>
    <row r="30" spans="1:30">
      <c r="B30" s="729" t="s">
        <v>909</v>
      </c>
      <c r="C30" s="729"/>
      <c r="D30" s="729"/>
      <c r="E30" s="729"/>
      <c r="F30" s="729"/>
      <c r="G30" s="729"/>
      <c r="H30" s="729"/>
      <c r="I30" s="729"/>
      <c r="J30" s="729"/>
      <c r="K30" s="729"/>
      <c r="L30" s="729"/>
      <c r="M30" s="729"/>
      <c r="N30" s="729"/>
    </row>
    <row r="31" spans="1:30">
      <c r="B31" s="729"/>
      <c r="C31" s="729"/>
      <c r="D31" s="729"/>
      <c r="E31" s="729"/>
      <c r="F31" s="729"/>
      <c r="G31" s="729"/>
      <c r="H31" s="729"/>
      <c r="I31" s="729"/>
      <c r="J31" s="729"/>
      <c r="K31" s="729"/>
      <c r="L31" s="729"/>
      <c r="M31" s="729"/>
      <c r="N31" s="729"/>
    </row>
    <row r="32" spans="1:30">
      <c r="B32" s="8"/>
      <c r="C32" s="83" t="s">
        <v>124</v>
      </c>
      <c r="D32" s="83" t="s">
        <v>125</v>
      </c>
      <c r="E32" s="83" t="s">
        <v>126</v>
      </c>
      <c r="F32" s="83" t="s">
        <v>127</v>
      </c>
      <c r="G32" s="83" t="s">
        <v>420</v>
      </c>
      <c r="H32" s="83"/>
      <c r="I32" s="83"/>
      <c r="J32" s="83"/>
      <c r="K32" s="83"/>
      <c r="L32" s="83"/>
      <c r="M32" s="83"/>
      <c r="O32" s="8"/>
      <c r="P32" s="8"/>
      <c r="Q32" s="8"/>
      <c r="R32" s="8"/>
      <c r="S32" s="8"/>
      <c r="T32" s="8"/>
      <c r="U32" s="8"/>
      <c r="V32" s="8"/>
      <c r="W32" s="8"/>
      <c r="X32" s="8"/>
      <c r="Y32" s="8"/>
      <c r="Z32" s="8"/>
      <c r="AA32" s="8"/>
      <c r="AB32" s="8"/>
      <c r="AD32" s="21"/>
    </row>
    <row r="33" spans="1:31" ht="43.5">
      <c r="A33" s="390"/>
      <c r="B33" s="391"/>
      <c r="C33" s="133" t="s">
        <v>425</v>
      </c>
      <c r="D33" s="386" t="str">
        <f>"24-Allocators, Line " &amp; '24-Allocators'!$A$24</f>
        <v>24-Allocators, Line 113</v>
      </c>
      <c r="E33" s="386" t="s">
        <v>802</v>
      </c>
      <c r="F33" s="133" t="s">
        <v>803</v>
      </c>
      <c r="G33" s="133" t="s">
        <v>804</v>
      </c>
      <c r="H33" s="133"/>
      <c r="I33" s="133"/>
      <c r="J33" s="133"/>
      <c r="K33" s="133"/>
      <c r="L33" s="133"/>
      <c r="M33" s="133"/>
      <c r="O33" s="392"/>
      <c r="P33" s="392"/>
      <c r="Q33" s="392"/>
      <c r="R33" s="392"/>
      <c r="S33" s="392"/>
      <c r="T33" s="392"/>
      <c r="U33" s="392"/>
      <c r="V33" s="392"/>
      <c r="W33" s="392"/>
      <c r="X33" s="392"/>
      <c r="Y33" s="392"/>
      <c r="Z33" s="392"/>
      <c r="AA33" s="392"/>
      <c r="AB33" s="392"/>
      <c r="AC33" s="391"/>
      <c r="AD33" s="21"/>
    </row>
    <row r="34" spans="1:31">
      <c r="E34" s="100"/>
      <c r="H34" s="393"/>
      <c r="I34" s="393"/>
      <c r="J34" s="393"/>
      <c r="K34" s="393"/>
      <c r="L34" s="393"/>
      <c r="M34" s="393"/>
      <c r="O34" s="8"/>
      <c r="P34" s="8"/>
      <c r="Q34" s="8"/>
      <c r="R34" s="8"/>
      <c r="S34" s="8"/>
      <c r="T34" s="8"/>
      <c r="U34" s="8"/>
      <c r="V34" s="8"/>
      <c r="W34" s="8"/>
      <c r="X34" s="8"/>
      <c r="Y34" s="8"/>
      <c r="Z34" s="8"/>
      <c r="AA34" s="8"/>
      <c r="AB34" s="8"/>
      <c r="AD34" s="21"/>
    </row>
    <row r="35" spans="1:31">
      <c r="C35" s="84" t="s">
        <v>807</v>
      </c>
      <c r="D35" s="4" t="s">
        <v>805</v>
      </c>
      <c r="E35" s="4" t="s">
        <v>806</v>
      </c>
      <c r="H35" s="4"/>
      <c r="I35" s="4"/>
      <c r="J35" s="4"/>
      <c r="K35" s="4"/>
      <c r="L35" s="4"/>
      <c r="M35" s="4"/>
      <c r="O35" s="8"/>
      <c r="P35" s="8"/>
      <c r="Q35" s="8"/>
      <c r="R35" s="8"/>
      <c r="S35" s="8"/>
      <c r="T35" s="8"/>
      <c r="U35" s="8"/>
      <c r="V35" s="8"/>
      <c r="W35" s="8"/>
      <c r="X35" s="8"/>
      <c r="Y35" s="8"/>
      <c r="Z35" s="8"/>
      <c r="AA35" s="8"/>
      <c r="AB35" s="8"/>
      <c r="AD35" s="21"/>
    </row>
    <row r="36" spans="1:31">
      <c r="C36" s="4" t="s">
        <v>910</v>
      </c>
      <c r="D36" s="4" t="s">
        <v>661</v>
      </c>
      <c r="E36" s="4" t="s">
        <v>661</v>
      </c>
      <c r="F36" s="4" t="s">
        <v>434</v>
      </c>
      <c r="G36" s="4" t="s">
        <v>462</v>
      </c>
      <c r="H36" s="4"/>
      <c r="I36" s="4"/>
      <c r="J36" s="4"/>
      <c r="K36" s="4"/>
      <c r="L36" s="4"/>
      <c r="M36" s="4"/>
      <c r="O36" s="8"/>
      <c r="P36" s="8"/>
      <c r="Q36" s="8"/>
      <c r="R36" s="8"/>
      <c r="S36" s="8"/>
      <c r="T36" s="8"/>
      <c r="U36" s="8"/>
      <c r="V36" s="8"/>
      <c r="W36" s="8"/>
      <c r="X36" s="8"/>
      <c r="Y36" s="8"/>
      <c r="Z36" s="8"/>
      <c r="AA36" s="8"/>
      <c r="AB36" s="8"/>
      <c r="AD36" s="21"/>
    </row>
    <row r="37" spans="1:31">
      <c r="A37" s="80" t="s">
        <v>92</v>
      </c>
      <c r="B37" s="80" t="s">
        <v>441</v>
      </c>
      <c r="C37" s="110" t="s">
        <v>808</v>
      </c>
      <c r="D37" s="110" t="s">
        <v>809</v>
      </c>
      <c r="E37" s="381" t="s">
        <v>810</v>
      </c>
      <c r="F37" s="3" t="s">
        <v>661</v>
      </c>
      <c r="G37" s="3" t="s">
        <v>661</v>
      </c>
      <c r="H37" s="110"/>
      <c r="I37" s="110"/>
      <c r="J37" s="110"/>
      <c r="K37" s="110"/>
      <c r="L37" s="110"/>
      <c r="M37" s="110"/>
      <c r="O37" s="8"/>
      <c r="P37" s="8"/>
      <c r="Q37" s="8"/>
      <c r="R37" s="8"/>
      <c r="S37" s="8"/>
      <c r="T37" s="8"/>
      <c r="U37" s="8"/>
      <c r="V37" s="8"/>
      <c r="W37" s="8"/>
      <c r="X37" s="8"/>
      <c r="Y37" s="8"/>
      <c r="Z37" s="8"/>
      <c r="AA37" s="8"/>
      <c r="AB37" s="8"/>
      <c r="AD37" s="80" t="str">
        <f>A37</f>
        <v>Line</v>
      </c>
    </row>
    <row r="38" spans="1:31">
      <c r="A38" s="91">
        <v>300</v>
      </c>
      <c r="B38" s="140">
        <f>'1-DRR'!$K$2</f>
        <v>2022</v>
      </c>
      <c r="C38" s="272">
        <v>269126508.51370502</v>
      </c>
      <c r="D38" s="19">
        <f>'24-Allocators'!$C$24</f>
        <v>0.30581601944770853</v>
      </c>
      <c r="E38" s="265">
        <f>+D38*C38</f>
        <v>82303197.561521113</v>
      </c>
      <c r="F38" s="121">
        <f>$E38*'6-PlantJurisdiction'!E$85</f>
        <v>39848590.962151311</v>
      </c>
      <c r="G38" s="121">
        <f>$E38*'6-PlantJurisdiction'!F$85</f>
        <v>38723796.223597638</v>
      </c>
      <c r="H38" s="111"/>
      <c r="I38" s="22"/>
      <c r="J38" s="22"/>
      <c r="K38" s="22"/>
      <c r="L38" s="22"/>
      <c r="M38" s="22"/>
      <c r="O38" s="8"/>
      <c r="P38" s="8"/>
      <c r="Q38" s="8"/>
      <c r="R38" s="8"/>
      <c r="S38" s="8"/>
      <c r="T38" s="8"/>
      <c r="U38" s="8"/>
      <c r="V38" s="8"/>
      <c r="W38" s="8"/>
      <c r="X38" s="8"/>
      <c r="Y38" s="8"/>
      <c r="Z38" s="8"/>
      <c r="AA38" s="8"/>
      <c r="AB38" s="8"/>
      <c r="AD38" s="91">
        <f>A38</f>
        <v>300</v>
      </c>
    </row>
    <row r="39" spans="1:31">
      <c r="A39" s="91"/>
      <c r="B39" s="377"/>
      <c r="C39" s="111"/>
      <c r="D39" s="19"/>
      <c r="E39" s="394"/>
      <c r="F39" s="394"/>
      <c r="G39" s="394"/>
      <c r="H39" s="394"/>
      <c r="I39" s="394"/>
      <c r="J39" s="394"/>
      <c r="K39" s="394"/>
      <c r="L39" s="394"/>
      <c r="M39" s="394"/>
      <c r="N39" s="11"/>
      <c r="O39" s="8"/>
      <c r="P39" s="8"/>
      <c r="Q39" s="8"/>
      <c r="R39" s="8"/>
      <c r="S39" s="8"/>
      <c r="T39" s="8"/>
      <c r="U39" s="8"/>
      <c r="V39" s="8"/>
      <c r="W39" s="8"/>
      <c r="X39" s="8"/>
      <c r="Y39" s="8"/>
      <c r="Z39" s="8"/>
      <c r="AA39" s="8"/>
      <c r="AB39" s="8"/>
      <c r="AD39" s="21"/>
    </row>
    <row r="40" spans="1:31">
      <c r="A40" s="91"/>
      <c r="B40" s="377"/>
      <c r="C40" s="111"/>
      <c r="D40" s="394"/>
      <c r="E40" s="394"/>
      <c r="F40" s="394"/>
      <c r="G40" s="394"/>
      <c r="H40" s="394"/>
      <c r="I40" s="394"/>
      <c r="J40" s="394"/>
      <c r="K40" s="394"/>
      <c r="L40" s="394"/>
      <c r="M40" s="394"/>
      <c r="N40" s="11"/>
      <c r="O40" s="8"/>
      <c r="P40" s="8"/>
      <c r="Q40" s="8"/>
      <c r="R40" s="8"/>
      <c r="S40" s="8"/>
      <c r="T40" s="8"/>
      <c r="U40" s="8"/>
      <c r="V40" s="8"/>
      <c r="W40" s="8"/>
      <c r="X40" s="8"/>
      <c r="Y40" s="8"/>
      <c r="Z40" s="8"/>
      <c r="AA40" s="8"/>
      <c r="AB40" s="8"/>
      <c r="AD40" s="21"/>
    </row>
    <row r="41" spans="1:31">
      <c r="B41" s="45" t="s">
        <v>911</v>
      </c>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43"/>
      <c r="AD41" s="21"/>
    </row>
    <row r="42" spans="1:31">
      <c r="B42" s="729" t="s">
        <v>912</v>
      </c>
      <c r="C42" s="729"/>
      <c r="D42" s="729"/>
      <c r="E42" s="729"/>
      <c r="F42" s="729"/>
      <c r="G42" s="729"/>
      <c r="H42" s="729"/>
      <c r="I42" s="729"/>
      <c r="J42" s="729"/>
      <c r="K42" s="729"/>
      <c r="L42" s="729"/>
      <c r="M42" s="729"/>
      <c r="N42" s="729"/>
    </row>
    <row r="43" spans="1:31">
      <c r="B43" s="729"/>
      <c r="C43" s="729"/>
      <c r="D43" s="729"/>
      <c r="E43" s="729"/>
      <c r="F43" s="729"/>
      <c r="G43" s="729"/>
      <c r="H43" s="729"/>
      <c r="I43" s="729"/>
      <c r="J43" s="729"/>
      <c r="K43" s="729"/>
      <c r="L43" s="729"/>
      <c r="M43" s="729"/>
      <c r="N43" s="729"/>
      <c r="AE43" s="105"/>
    </row>
    <row r="44" spans="1:31">
      <c r="B44" s="8"/>
      <c r="C44" s="83" t="s">
        <v>124</v>
      </c>
      <c r="D44" s="83" t="s">
        <v>125</v>
      </c>
      <c r="E44" s="83" t="s">
        <v>126</v>
      </c>
      <c r="F44" s="83" t="s">
        <v>127</v>
      </c>
      <c r="G44" s="83" t="s">
        <v>420</v>
      </c>
      <c r="H44" s="83"/>
      <c r="I44" s="83"/>
      <c r="J44" s="83"/>
      <c r="K44" s="83"/>
      <c r="L44" s="83"/>
      <c r="M44" s="83"/>
      <c r="O44" s="8"/>
      <c r="P44" s="8"/>
      <c r="Q44" s="8"/>
      <c r="R44" s="8"/>
      <c r="S44" s="8"/>
      <c r="T44" s="8"/>
      <c r="U44" s="8"/>
      <c r="V44" s="8"/>
      <c r="W44" s="8"/>
      <c r="X44" s="8"/>
      <c r="Y44" s="8"/>
      <c r="Z44" s="8"/>
      <c r="AA44" s="8"/>
      <c r="AB44" s="8"/>
      <c r="AD44" s="21"/>
    </row>
    <row r="45" spans="1:31" ht="43.5">
      <c r="A45" s="390"/>
      <c r="B45" s="391"/>
      <c r="C45" s="133" t="s">
        <v>426</v>
      </c>
      <c r="D45" s="386" t="str">
        <f>"24-Allocators, Line " &amp; '24-Allocators'!$A$23</f>
        <v>24-Allocators, Line 112</v>
      </c>
      <c r="E45" s="386" t="s">
        <v>802</v>
      </c>
      <c r="F45" s="133" t="s">
        <v>803</v>
      </c>
      <c r="G45" s="133" t="s">
        <v>804</v>
      </c>
      <c r="H45" s="133"/>
      <c r="I45" s="133"/>
      <c r="J45" s="133"/>
      <c r="K45" s="133"/>
      <c r="L45" s="133"/>
      <c r="M45" s="133"/>
      <c r="O45" s="392"/>
      <c r="P45" s="392"/>
      <c r="Q45" s="392"/>
      <c r="R45" s="392"/>
      <c r="S45" s="392"/>
      <c r="T45" s="392"/>
      <c r="U45" s="392"/>
      <c r="V45" s="392"/>
      <c r="W45" s="392"/>
      <c r="X45" s="392"/>
      <c r="Y45" s="392"/>
      <c r="Z45" s="392"/>
      <c r="AA45" s="392"/>
      <c r="AB45" s="392"/>
      <c r="AC45" s="391"/>
      <c r="AD45" s="21"/>
    </row>
    <row r="46" spans="1:31">
      <c r="E46" s="100"/>
      <c r="G46" s="11"/>
      <c r="H46" s="393"/>
      <c r="I46" s="393"/>
      <c r="J46" s="393"/>
      <c r="K46" s="393"/>
      <c r="L46" s="393"/>
      <c r="M46" s="393"/>
      <c r="O46" s="8"/>
      <c r="P46" s="8"/>
      <c r="Q46" s="8"/>
      <c r="R46" s="8"/>
      <c r="S46" s="8"/>
      <c r="T46" s="8"/>
      <c r="U46" s="8"/>
      <c r="V46" s="8"/>
      <c r="W46" s="8"/>
      <c r="X46" s="8"/>
      <c r="Y46" s="8"/>
      <c r="Z46" s="8"/>
      <c r="AA46" s="8"/>
      <c r="AB46" s="8"/>
      <c r="AD46" s="21"/>
    </row>
    <row r="47" spans="1:31">
      <c r="C47" s="84" t="s">
        <v>807</v>
      </c>
      <c r="D47" s="4" t="s">
        <v>805</v>
      </c>
      <c r="E47" s="4" t="s">
        <v>806</v>
      </c>
      <c r="G47" s="11"/>
      <c r="H47" s="4"/>
      <c r="I47" s="4"/>
      <c r="J47" s="4"/>
      <c r="K47" s="4"/>
      <c r="L47" s="4"/>
      <c r="M47" s="4"/>
      <c r="O47" s="8"/>
      <c r="P47" s="8"/>
      <c r="Q47" s="8"/>
      <c r="R47" s="8"/>
      <c r="S47" s="8"/>
      <c r="T47" s="8"/>
      <c r="U47" s="8"/>
      <c r="V47" s="8"/>
      <c r="W47" s="8"/>
      <c r="X47" s="8"/>
      <c r="Y47" s="8"/>
      <c r="Z47" s="8"/>
      <c r="AA47" s="8"/>
      <c r="AB47" s="8"/>
      <c r="AD47" s="21"/>
    </row>
    <row r="48" spans="1:31">
      <c r="C48" s="84" t="s">
        <v>607</v>
      </c>
      <c r="D48" s="4" t="s">
        <v>661</v>
      </c>
      <c r="E48" s="4" t="s">
        <v>661</v>
      </c>
      <c r="F48" s="4" t="s">
        <v>434</v>
      </c>
      <c r="G48" s="4" t="s">
        <v>462</v>
      </c>
      <c r="H48" s="4"/>
      <c r="I48" s="4"/>
      <c r="J48" s="4"/>
      <c r="K48" s="4"/>
      <c r="L48" s="4"/>
      <c r="M48" s="4"/>
      <c r="O48" s="8"/>
      <c r="P48" s="8"/>
      <c r="Q48" s="8"/>
      <c r="R48" s="8"/>
      <c r="S48" s="8"/>
      <c r="T48" s="8"/>
      <c r="U48" s="8"/>
      <c r="V48" s="8"/>
      <c r="W48" s="8"/>
      <c r="X48" s="8"/>
      <c r="Y48" s="8"/>
      <c r="Z48" s="8"/>
      <c r="AA48" s="8"/>
      <c r="AB48" s="8"/>
      <c r="AD48" s="21"/>
    </row>
    <row r="49" spans="1:30">
      <c r="A49" s="80" t="s">
        <v>92</v>
      </c>
      <c r="B49" s="80" t="s">
        <v>441</v>
      </c>
      <c r="C49" s="110" t="s">
        <v>808</v>
      </c>
      <c r="D49" s="110" t="s">
        <v>809</v>
      </c>
      <c r="E49" s="381" t="s">
        <v>810</v>
      </c>
      <c r="F49" s="3" t="s">
        <v>661</v>
      </c>
      <c r="G49" s="3" t="s">
        <v>661</v>
      </c>
      <c r="H49" s="110"/>
      <c r="I49" s="110"/>
      <c r="J49" s="110"/>
      <c r="K49" s="110"/>
      <c r="L49" s="110"/>
      <c r="M49" s="110"/>
      <c r="O49" s="8"/>
      <c r="P49" s="8"/>
      <c r="Q49" s="8"/>
      <c r="R49" s="8"/>
      <c r="S49" s="8"/>
      <c r="T49" s="8"/>
      <c r="U49" s="8"/>
      <c r="V49" s="8"/>
      <c r="W49" s="8"/>
      <c r="X49" s="8"/>
      <c r="Y49" s="8"/>
      <c r="Z49" s="8"/>
      <c r="AA49" s="8"/>
      <c r="AB49" s="8"/>
      <c r="AD49" s="80" t="str">
        <f>A49</f>
        <v>Line</v>
      </c>
    </row>
    <row r="50" spans="1:30">
      <c r="A50" s="91">
        <v>400</v>
      </c>
      <c r="B50" s="140">
        <f>'1-DRR'!$K$2</f>
        <v>2022</v>
      </c>
      <c r="C50" s="272">
        <v>3874902.3722063196</v>
      </c>
      <c r="D50" s="19">
        <f>'24-Allocators'!$C$23</f>
        <v>0.43241887477592089</v>
      </c>
      <c r="E50" s="265">
        <f>+D50*C50</f>
        <v>1675580.9236560033</v>
      </c>
      <c r="F50" s="121">
        <f>$E50*'6-PlantJurisdiction'!E$85</f>
        <v>811262.99863188132</v>
      </c>
      <c r="G50" s="121">
        <f>$E50*'6-PlantJurisdiction'!F$85</f>
        <v>788363.71084248053</v>
      </c>
      <c r="H50" s="111"/>
      <c r="I50" s="22"/>
      <c r="J50" s="22"/>
      <c r="K50" s="22"/>
      <c r="L50" s="22"/>
      <c r="M50" s="22"/>
      <c r="O50" s="8"/>
      <c r="P50" s="8"/>
      <c r="Q50" s="8"/>
      <c r="R50" s="8"/>
      <c r="S50" s="8"/>
      <c r="T50" s="8"/>
      <c r="U50" s="8"/>
      <c r="V50" s="8"/>
      <c r="W50" s="8"/>
      <c r="X50" s="8"/>
      <c r="Y50" s="8"/>
      <c r="Z50" s="8"/>
      <c r="AA50" s="8"/>
      <c r="AB50" s="8"/>
      <c r="AD50" s="91">
        <f>A50</f>
        <v>400</v>
      </c>
    </row>
    <row r="51" spans="1:30">
      <c r="A51" s="91"/>
      <c r="B51" s="377"/>
      <c r="C51" s="111"/>
      <c r="D51" s="428"/>
      <c r="E51" s="394"/>
      <c r="F51" s="394"/>
      <c r="G51" s="394"/>
      <c r="H51" s="394"/>
      <c r="I51" s="394"/>
      <c r="J51" s="394"/>
      <c r="K51" s="394"/>
      <c r="L51" s="394"/>
      <c r="M51" s="394"/>
      <c r="N51" s="11"/>
      <c r="O51" s="8"/>
      <c r="P51" s="8"/>
      <c r="Q51" s="8"/>
      <c r="R51" s="8"/>
      <c r="S51" s="8"/>
      <c r="T51" s="8"/>
      <c r="U51" s="8"/>
      <c r="V51" s="8"/>
      <c r="W51" s="8"/>
      <c r="X51" s="8"/>
      <c r="Y51" s="8"/>
      <c r="Z51" s="8"/>
      <c r="AA51" s="8"/>
      <c r="AB51" s="8"/>
      <c r="AD51" s="21"/>
    </row>
    <row r="52" spans="1:30">
      <c r="A52" s="91"/>
      <c r="B52" s="377"/>
      <c r="C52" s="111"/>
      <c r="D52" s="394"/>
      <c r="E52" s="394"/>
      <c r="F52" s="394"/>
      <c r="G52" s="394"/>
      <c r="H52" s="394"/>
      <c r="I52" s="394"/>
      <c r="J52" s="394"/>
      <c r="K52" s="394"/>
      <c r="L52" s="394"/>
      <c r="M52" s="394"/>
      <c r="N52" s="11"/>
      <c r="O52" s="8"/>
      <c r="P52" s="8"/>
      <c r="Q52" s="8"/>
      <c r="R52" s="8"/>
      <c r="S52" s="8"/>
      <c r="T52" s="8"/>
      <c r="U52" s="8"/>
      <c r="V52" s="8"/>
      <c r="W52" s="8"/>
      <c r="X52" s="8"/>
      <c r="Y52" s="8"/>
      <c r="Z52" s="8"/>
      <c r="AA52" s="8"/>
      <c r="AB52" s="8"/>
      <c r="AD52" s="21"/>
    </row>
    <row r="53" spans="1:30">
      <c r="B53" s="45" t="s">
        <v>913</v>
      </c>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43"/>
      <c r="AD53" s="21"/>
    </row>
    <row r="54" spans="1:30">
      <c r="B54" s="377" t="s">
        <v>914</v>
      </c>
    </row>
    <row r="56" spans="1:30">
      <c r="B56" s="8"/>
      <c r="C56" s="83" t="s">
        <v>124</v>
      </c>
      <c r="D56" s="83" t="s">
        <v>125</v>
      </c>
      <c r="E56" s="83"/>
      <c r="F56" s="8"/>
      <c r="G56" s="8"/>
      <c r="H56" s="8"/>
      <c r="I56" s="8"/>
      <c r="J56" s="8"/>
      <c r="K56" s="8"/>
      <c r="L56" s="8"/>
      <c r="M56" s="8"/>
      <c r="N56" s="8"/>
      <c r="O56" s="8"/>
      <c r="P56" s="8"/>
      <c r="Q56" s="8"/>
      <c r="R56" s="8"/>
      <c r="S56" s="8"/>
      <c r="T56" s="8"/>
      <c r="U56" s="8"/>
      <c r="V56" s="8"/>
      <c r="W56" s="8"/>
      <c r="X56" s="8"/>
      <c r="Y56" s="8"/>
      <c r="Z56" s="8"/>
      <c r="AA56" s="8"/>
      <c r="AB56" s="8"/>
      <c r="AD56" s="21"/>
    </row>
    <row r="57" spans="1:30" ht="29">
      <c r="B57" s="8"/>
      <c r="C57" s="133" t="s">
        <v>915</v>
      </c>
      <c r="D57" s="133" t="s">
        <v>915</v>
      </c>
      <c r="E57" s="133"/>
      <c r="F57" s="8"/>
      <c r="G57" s="8"/>
      <c r="H57" s="8"/>
      <c r="I57" s="8"/>
      <c r="J57" s="8"/>
      <c r="K57" s="8"/>
      <c r="L57" s="8"/>
      <c r="M57" s="8"/>
      <c r="N57" s="8"/>
      <c r="O57" s="8"/>
      <c r="P57" s="8"/>
      <c r="Q57" s="8"/>
      <c r="R57" s="8"/>
      <c r="S57" s="8"/>
      <c r="T57" s="8"/>
      <c r="U57" s="8"/>
      <c r="V57" s="8"/>
      <c r="W57" s="8"/>
      <c r="X57" s="8"/>
      <c r="Y57" s="8"/>
      <c r="Z57" s="8"/>
      <c r="AA57" s="8"/>
      <c r="AB57" s="8"/>
      <c r="AD57" s="21"/>
    </row>
    <row r="58" spans="1:30">
      <c r="B58" s="8"/>
      <c r="C58" s="8"/>
      <c r="D58" s="8"/>
      <c r="E58" s="8"/>
      <c r="F58" s="8"/>
      <c r="G58" s="8"/>
      <c r="H58" s="8"/>
      <c r="I58" s="8"/>
      <c r="J58" s="8"/>
      <c r="K58" s="8"/>
      <c r="L58" s="8"/>
      <c r="M58" s="8"/>
      <c r="N58" s="8"/>
      <c r="O58" s="8"/>
      <c r="P58" s="8"/>
      <c r="Q58" s="8"/>
      <c r="R58" s="8"/>
      <c r="S58" s="8"/>
      <c r="T58" s="8"/>
      <c r="U58" s="8"/>
      <c r="V58" s="8"/>
      <c r="W58" s="8"/>
      <c r="X58" s="8"/>
      <c r="Y58" s="8"/>
      <c r="Z58" s="8"/>
      <c r="AA58" s="8"/>
      <c r="AC58" s="21"/>
    </row>
    <row r="59" spans="1:30">
      <c r="C59" s="4" t="s">
        <v>434</v>
      </c>
      <c r="D59" s="4" t="s">
        <v>462</v>
      </c>
      <c r="E59" s="8"/>
      <c r="F59" s="8"/>
      <c r="G59" s="8"/>
      <c r="H59" s="8"/>
      <c r="I59" s="8"/>
      <c r="J59" s="8"/>
      <c r="K59" s="8"/>
      <c r="L59" s="8"/>
      <c r="M59" s="8"/>
      <c r="N59" s="8"/>
      <c r="O59" s="8"/>
      <c r="P59" s="8"/>
      <c r="Q59" s="8"/>
      <c r="R59" s="8"/>
      <c r="S59" s="8"/>
      <c r="T59" s="8"/>
      <c r="U59" s="8"/>
      <c r="V59" s="8"/>
      <c r="W59" s="8"/>
      <c r="X59" s="8"/>
      <c r="Y59" s="8"/>
      <c r="Z59" s="8"/>
      <c r="AA59" s="8"/>
      <c r="AC59" s="21"/>
    </row>
    <row r="60" spans="1:30">
      <c r="A60" s="80" t="s">
        <v>92</v>
      </c>
      <c r="B60" s="80" t="s">
        <v>441</v>
      </c>
      <c r="C60" s="3" t="s">
        <v>661</v>
      </c>
      <c r="D60" s="3" t="s">
        <v>661</v>
      </c>
      <c r="E60" s="8"/>
      <c r="F60" s="8"/>
      <c r="G60" s="8"/>
      <c r="H60" s="8"/>
      <c r="I60" s="8"/>
      <c r="J60" s="8"/>
      <c r="K60" s="8"/>
      <c r="L60" s="8"/>
      <c r="M60" s="8"/>
      <c r="N60" s="8"/>
      <c r="O60" s="8"/>
      <c r="P60" s="8"/>
      <c r="Q60" s="8"/>
      <c r="R60" s="8"/>
      <c r="S60" s="8"/>
      <c r="T60" s="8"/>
      <c r="U60" s="8"/>
      <c r="V60" s="8"/>
      <c r="W60" s="8"/>
      <c r="X60" s="8"/>
      <c r="Y60" s="8"/>
      <c r="Z60" s="8"/>
      <c r="AA60" s="8"/>
      <c r="AD60" s="80" t="str">
        <f>A60</f>
        <v>Line</v>
      </c>
    </row>
    <row r="61" spans="1:30">
      <c r="A61" s="91">
        <v>500</v>
      </c>
      <c r="B61" s="140">
        <f>'1-DRR'!$K$2</f>
        <v>2022</v>
      </c>
      <c r="C61" s="395">
        <f>+D26+F38+F50</f>
        <v>73663676.166383788</v>
      </c>
      <c r="D61" s="395">
        <f>+E26+G38+G50</f>
        <v>71584392.724387839</v>
      </c>
      <c r="E61" s="111" t="s">
        <v>916</v>
      </c>
      <c r="F61" s="111"/>
      <c r="G61" s="111"/>
      <c r="H61" s="111"/>
      <c r="I61" s="111"/>
      <c r="J61" s="111"/>
      <c r="K61" s="111"/>
      <c r="L61" s="111"/>
      <c r="M61" s="8"/>
      <c r="N61" s="8"/>
      <c r="O61" s="8"/>
      <c r="P61" s="8"/>
      <c r="Q61" s="8"/>
      <c r="R61" s="8"/>
      <c r="S61" s="8"/>
      <c r="T61" s="8"/>
      <c r="U61" s="8"/>
      <c r="V61" s="8"/>
      <c r="W61" s="8"/>
      <c r="X61" s="8"/>
      <c r="Y61" s="8"/>
      <c r="Z61" s="8"/>
      <c r="AA61" s="8"/>
      <c r="AD61" s="91">
        <f>A61</f>
        <v>500</v>
      </c>
    </row>
    <row r="62" spans="1:30">
      <c r="M62" s="8"/>
      <c r="N62" s="8"/>
      <c r="O62" s="8"/>
      <c r="P62" s="8"/>
      <c r="Q62" s="8"/>
      <c r="R62" s="8"/>
      <c r="S62" s="8"/>
      <c r="T62" s="8"/>
      <c r="U62" s="8"/>
      <c r="V62" s="8"/>
      <c r="W62" s="8"/>
      <c r="X62" s="8"/>
      <c r="Y62" s="8"/>
      <c r="Z62" s="8"/>
      <c r="AA62" s="8"/>
      <c r="AC62" s="21"/>
    </row>
    <row r="63" spans="1:30">
      <c r="A63" s="18"/>
      <c r="B63" s="8"/>
      <c r="C63" s="8"/>
      <c r="G63" s="8"/>
      <c r="H63" s="8"/>
      <c r="I63" s="8"/>
      <c r="J63" s="8"/>
      <c r="K63" s="8"/>
      <c r="L63" s="8"/>
      <c r="M63" s="8"/>
      <c r="N63" s="8"/>
      <c r="O63" s="8"/>
      <c r="P63" s="8"/>
      <c r="Q63" s="8"/>
      <c r="R63" s="8"/>
      <c r="S63" s="8"/>
      <c r="T63" s="8"/>
      <c r="U63" s="8"/>
      <c r="V63" s="8"/>
      <c r="W63" s="8"/>
      <c r="X63" s="8"/>
      <c r="Y63" s="8"/>
      <c r="Z63" s="8"/>
      <c r="AA63" s="8"/>
      <c r="AB63" s="8"/>
      <c r="AD63" s="21"/>
    </row>
    <row r="64" spans="1:30">
      <c r="B64" s="7" t="s">
        <v>598</v>
      </c>
      <c r="C64" s="83"/>
      <c r="D64" s="83"/>
      <c r="E64" s="83"/>
      <c r="F64" s="83"/>
      <c r="G64" s="83"/>
      <c r="H64" s="83"/>
      <c r="I64" s="83"/>
      <c r="J64" s="83"/>
      <c r="K64" s="83"/>
      <c r="L64" s="83"/>
      <c r="M64" s="83"/>
    </row>
    <row r="65" spans="2:29">
      <c r="B65" s="727" t="s">
        <v>917</v>
      </c>
      <c r="C65" s="727"/>
      <c r="D65" s="727"/>
      <c r="E65" s="727"/>
      <c r="F65" s="727"/>
      <c r="G65" s="727"/>
      <c r="H65" s="727"/>
      <c r="I65" s="727"/>
      <c r="J65" s="727"/>
      <c r="K65" s="727"/>
      <c r="L65" s="727"/>
      <c r="M65" s="727"/>
      <c r="N65" s="727"/>
      <c r="O65" s="8"/>
      <c r="P65" s="8"/>
      <c r="Q65" s="8"/>
      <c r="R65" s="8"/>
      <c r="S65" s="8"/>
      <c r="T65" s="8"/>
      <c r="U65" s="8"/>
      <c r="V65" s="8"/>
      <c r="W65" s="8"/>
      <c r="X65" s="8"/>
      <c r="Y65" s="8"/>
      <c r="Z65" s="8"/>
      <c r="AA65" s="8"/>
      <c r="AB65" s="8"/>
      <c r="AC65" s="8"/>
    </row>
    <row r="66" spans="2:29">
      <c r="B66" s="727"/>
      <c r="C66" s="727"/>
      <c r="D66" s="727"/>
      <c r="E66" s="727"/>
      <c r="F66" s="727"/>
      <c r="G66" s="727"/>
      <c r="H66" s="727"/>
      <c r="I66" s="727"/>
      <c r="J66" s="727"/>
      <c r="K66" s="727"/>
      <c r="L66" s="727"/>
      <c r="M66" s="727"/>
      <c r="N66" s="727"/>
      <c r="O66" s="106"/>
      <c r="P66" s="106"/>
      <c r="Q66" s="106"/>
      <c r="R66" s="106"/>
      <c r="S66" s="106"/>
      <c r="T66" s="106"/>
      <c r="U66" s="106"/>
      <c r="V66" s="106"/>
      <c r="W66" s="106"/>
      <c r="X66" s="106"/>
      <c r="Y66" s="106"/>
      <c r="Z66" s="106"/>
      <c r="AA66" s="106"/>
      <c r="AB66" s="106"/>
      <c r="AC66" s="106"/>
    </row>
    <row r="67" spans="2:29">
      <c r="B67" s="727" t="s">
        <v>918</v>
      </c>
      <c r="C67" s="727"/>
      <c r="D67" s="727"/>
      <c r="E67" s="727"/>
      <c r="F67" s="727"/>
      <c r="G67" s="727"/>
      <c r="H67" s="727"/>
      <c r="I67" s="727"/>
      <c r="J67" s="727"/>
      <c r="K67" s="727"/>
      <c r="L67" s="727"/>
      <c r="M67" s="727"/>
      <c r="N67" s="727"/>
      <c r="O67" s="8"/>
      <c r="P67" s="8"/>
      <c r="Q67" s="8"/>
      <c r="R67" s="8"/>
      <c r="S67" s="8"/>
      <c r="T67" s="8"/>
      <c r="U67" s="8"/>
      <c r="V67" s="8"/>
      <c r="W67" s="8"/>
      <c r="X67" s="8"/>
      <c r="Y67" s="8"/>
      <c r="Z67" s="8"/>
      <c r="AA67" s="8"/>
      <c r="AB67" s="8"/>
      <c r="AC67" s="8"/>
    </row>
    <row r="68" spans="2:29">
      <c r="B68" s="727"/>
      <c r="C68" s="727"/>
      <c r="D68" s="727"/>
      <c r="E68" s="727"/>
      <c r="F68" s="727"/>
      <c r="G68" s="727"/>
      <c r="H68" s="727"/>
      <c r="I68" s="727"/>
      <c r="J68" s="727"/>
      <c r="K68" s="727"/>
      <c r="L68" s="727"/>
      <c r="M68" s="727"/>
      <c r="N68" s="727"/>
      <c r="O68" s="106"/>
      <c r="P68" s="106"/>
      <c r="Q68" s="106"/>
      <c r="R68" s="106"/>
      <c r="S68" s="106"/>
      <c r="T68" s="106"/>
      <c r="U68" s="106"/>
      <c r="V68" s="106"/>
      <c r="W68" s="106"/>
      <c r="X68" s="106"/>
      <c r="Y68" s="106"/>
      <c r="Z68" s="106"/>
      <c r="AA68" s="106"/>
      <c r="AB68" s="106"/>
      <c r="AC68" s="106"/>
    </row>
    <row r="69" spans="2:29" ht="15" customHeight="1">
      <c r="B69" s="727" t="s">
        <v>919</v>
      </c>
      <c r="C69" s="727"/>
      <c r="D69" s="727"/>
      <c r="E69" s="727"/>
      <c r="F69" s="727"/>
      <c r="G69" s="727"/>
      <c r="H69" s="727"/>
      <c r="I69" s="727"/>
      <c r="J69" s="727"/>
      <c r="K69" s="727"/>
      <c r="L69" s="727"/>
      <c r="M69" s="727"/>
      <c r="N69" s="727"/>
      <c r="O69" s="8"/>
      <c r="P69" s="8"/>
      <c r="Q69" s="8"/>
      <c r="R69" s="8"/>
      <c r="S69" s="8"/>
      <c r="T69" s="8"/>
      <c r="U69" s="8"/>
      <c r="V69" s="8"/>
      <c r="W69" s="8"/>
      <c r="X69" s="8"/>
      <c r="Y69" s="8"/>
      <c r="Z69" s="8"/>
      <c r="AA69" s="8"/>
      <c r="AB69" s="8"/>
      <c r="AC69" s="8"/>
    </row>
    <row r="70" spans="2:29">
      <c r="B70" s="735" t="s">
        <v>687</v>
      </c>
      <c r="C70" s="735"/>
      <c r="D70" s="735"/>
      <c r="E70" s="735"/>
      <c r="F70" s="735"/>
      <c r="G70" s="735"/>
      <c r="H70" s="735"/>
      <c r="I70" s="735"/>
      <c r="J70" s="735"/>
      <c r="K70" s="735"/>
      <c r="L70" s="735"/>
      <c r="M70" s="735"/>
      <c r="N70" s="735"/>
      <c r="O70" s="735"/>
      <c r="P70" s="735"/>
      <c r="Q70" s="735"/>
      <c r="R70" s="735"/>
      <c r="S70" s="735"/>
      <c r="T70" s="735"/>
      <c r="U70" s="735"/>
      <c r="V70" s="735"/>
      <c r="W70" s="735"/>
      <c r="X70" s="735"/>
      <c r="Y70" s="735"/>
      <c r="Z70" s="735"/>
      <c r="AA70" s="735"/>
      <c r="AB70" s="735"/>
      <c r="AC70" s="735"/>
    </row>
  </sheetData>
  <mergeCells count="6">
    <mergeCell ref="B70:AC70"/>
    <mergeCell ref="B30:N31"/>
    <mergeCell ref="B42:N43"/>
    <mergeCell ref="B65:N66"/>
    <mergeCell ref="B67:N68"/>
    <mergeCell ref="B69:N69"/>
  </mergeCells>
  <printOptions horizontalCentered="1"/>
  <pageMargins left="1" right="1" top="1" bottom="1" header="0.5" footer="0.5"/>
  <pageSetup scale="24"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39" max="16383" man="1"/>
  </rowBreaks>
  <customProperties>
    <customPr name="_pios_id" r:id="rId2"/>
    <customPr name="EpmWorksheetKeyString_GUID" r:id="rId3"/>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H88"/>
  <sheetViews>
    <sheetView view="pageBreakPreview" topLeftCell="A51" zoomScale="85" zoomScaleNormal="90" zoomScaleSheetLayoutView="85" zoomScalePageLayoutView="55" workbookViewId="0">
      <selection activeCell="D45" sqref="D45"/>
    </sheetView>
  </sheetViews>
  <sheetFormatPr defaultColWidth="8.81640625" defaultRowHeight="14.5"/>
  <cols>
    <col min="1" max="1" width="6.7265625" style="4" bestFit="1" customWidth="1"/>
    <col min="2" max="2" width="16.54296875" customWidth="1"/>
    <col min="3" max="3" width="14.54296875" style="33" customWidth="1"/>
    <col min="4" max="4" width="15.26953125" style="21" customWidth="1"/>
    <col min="5" max="5" width="66.1796875" bestFit="1" customWidth="1"/>
    <col min="6" max="6" width="17.7265625" customWidth="1"/>
    <col min="7" max="7" width="6.7265625" bestFit="1" customWidth="1"/>
    <col min="8" max="8" width="14.453125" customWidth="1"/>
  </cols>
  <sheetData>
    <row r="1" spans="1:7">
      <c r="B1" s="105" t="s">
        <v>920</v>
      </c>
      <c r="F1" s="6" t="str">
        <f>CONCATENATE("Prior Year: ",'1-DRR'!$K$2)</f>
        <v>Prior Year: 2022</v>
      </c>
    </row>
    <row r="2" spans="1:7">
      <c r="B2" s="105"/>
    </row>
    <row r="3" spans="1:7">
      <c r="B3" s="45" t="s">
        <v>921</v>
      </c>
      <c r="C3" s="42"/>
      <c r="D3" s="432"/>
      <c r="E3" s="43"/>
      <c r="F3" s="43"/>
    </row>
    <row r="4" spans="1:7">
      <c r="B4" s="2"/>
      <c r="D4" s="4"/>
    </row>
    <row r="5" spans="1:7">
      <c r="B5" s="2"/>
      <c r="C5" s="4"/>
      <c r="D5" s="4"/>
      <c r="F5" s="4" t="s">
        <v>922</v>
      </c>
    </row>
    <row r="6" spans="1:7">
      <c r="A6" s="3" t="s">
        <v>92</v>
      </c>
      <c r="B6" s="3" t="s">
        <v>923</v>
      </c>
      <c r="C6" s="3" t="s">
        <v>608</v>
      </c>
      <c r="D6" s="3" t="s">
        <v>924</v>
      </c>
      <c r="E6" s="3" t="s">
        <v>925</v>
      </c>
      <c r="F6" s="110" t="s">
        <v>926</v>
      </c>
      <c r="G6" s="3" t="str">
        <f t="shared" ref="G6:G25" si="0">A6</f>
        <v>Line</v>
      </c>
    </row>
    <row r="7" spans="1:7">
      <c r="A7" s="4">
        <v>100</v>
      </c>
      <c r="B7" t="s">
        <v>927</v>
      </c>
      <c r="C7" s="33">
        <v>360.01</v>
      </c>
      <c r="D7" s="21" t="s">
        <v>711</v>
      </c>
      <c r="E7" t="s">
        <v>928</v>
      </c>
      <c r="F7" s="20">
        <v>0</v>
      </c>
      <c r="G7" s="4">
        <f t="shared" si="0"/>
        <v>100</v>
      </c>
    </row>
    <row r="8" spans="1:7">
      <c r="A8" s="4">
        <f t="shared" ref="A8:A25" si="1">+A7+1</f>
        <v>101</v>
      </c>
      <c r="B8" t="s">
        <v>927</v>
      </c>
      <c r="C8" s="33">
        <v>360.02</v>
      </c>
      <c r="D8" s="21" t="s">
        <v>712</v>
      </c>
      <c r="E8" t="s">
        <v>929</v>
      </c>
      <c r="F8" s="20">
        <v>3.3099999999999997E-2</v>
      </c>
      <c r="G8" s="4">
        <f t="shared" si="0"/>
        <v>101</v>
      </c>
    </row>
    <row r="9" spans="1:7">
      <c r="A9" s="4">
        <f t="shared" si="1"/>
        <v>102</v>
      </c>
      <c r="B9" t="s">
        <v>927</v>
      </c>
      <c r="C9" s="33">
        <v>361.01</v>
      </c>
      <c r="D9" s="21" t="s">
        <v>713</v>
      </c>
      <c r="E9" t="s">
        <v>930</v>
      </c>
      <c r="F9" s="20">
        <v>1.5900000000000001E-2</v>
      </c>
      <c r="G9" s="4">
        <f t="shared" si="0"/>
        <v>102</v>
      </c>
    </row>
    <row r="10" spans="1:7">
      <c r="A10" s="4">
        <f t="shared" si="1"/>
        <v>103</v>
      </c>
      <c r="B10" t="s">
        <v>927</v>
      </c>
      <c r="C10" s="33">
        <v>361.02</v>
      </c>
      <c r="D10" s="21" t="s">
        <v>714</v>
      </c>
      <c r="E10" t="s">
        <v>931</v>
      </c>
      <c r="F10" s="20">
        <v>1.66E-2</v>
      </c>
      <c r="G10" s="4">
        <f t="shared" si="0"/>
        <v>103</v>
      </c>
    </row>
    <row r="11" spans="1:7">
      <c r="A11" s="4">
        <f t="shared" si="1"/>
        <v>104</v>
      </c>
      <c r="B11" t="s">
        <v>927</v>
      </c>
      <c r="C11" s="33">
        <v>362</v>
      </c>
      <c r="D11" s="21" t="s">
        <v>715</v>
      </c>
      <c r="E11" t="s">
        <v>932</v>
      </c>
      <c r="F11" s="20">
        <v>3.0599999999999999E-2</v>
      </c>
      <c r="G11" s="4">
        <f t="shared" si="0"/>
        <v>104</v>
      </c>
    </row>
    <row r="12" spans="1:7">
      <c r="A12" s="4">
        <f t="shared" si="1"/>
        <v>105</v>
      </c>
      <c r="B12" t="s">
        <v>927</v>
      </c>
      <c r="C12" s="33">
        <v>363</v>
      </c>
      <c r="D12" s="21" t="s">
        <v>716</v>
      </c>
      <c r="E12" t="s">
        <v>933</v>
      </c>
      <c r="F12" s="20">
        <v>3.7400000000000003E-2</v>
      </c>
      <c r="G12" s="4">
        <f t="shared" si="0"/>
        <v>105</v>
      </c>
    </row>
    <row r="13" spans="1:7">
      <c r="A13" s="4">
        <f t="shared" si="1"/>
        <v>106</v>
      </c>
      <c r="B13" t="s">
        <v>927</v>
      </c>
      <c r="C13" s="33">
        <v>363.01</v>
      </c>
      <c r="D13" s="21" t="s">
        <v>717</v>
      </c>
      <c r="E13" t="s">
        <v>934</v>
      </c>
      <c r="F13" s="20">
        <v>6.6199999999999995E-2</v>
      </c>
      <c r="G13" s="4">
        <f t="shared" si="0"/>
        <v>106</v>
      </c>
    </row>
    <row r="14" spans="1:7">
      <c r="A14" s="4">
        <f t="shared" si="1"/>
        <v>107</v>
      </c>
      <c r="B14" t="s">
        <v>927</v>
      </c>
      <c r="C14" s="33">
        <v>364</v>
      </c>
      <c r="D14" s="21" t="s">
        <v>718</v>
      </c>
      <c r="E14" t="s">
        <v>935</v>
      </c>
      <c r="F14" s="20">
        <v>6.0699999999999997E-2</v>
      </c>
      <c r="G14" s="4">
        <f t="shared" si="0"/>
        <v>107</v>
      </c>
    </row>
    <row r="15" spans="1:7">
      <c r="A15" s="4">
        <f t="shared" si="1"/>
        <v>108</v>
      </c>
      <c r="B15" t="s">
        <v>927</v>
      </c>
      <c r="C15" s="33">
        <v>365</v>
      </c>
      <c r="D15" s="21" t="s">
        <v>719</v>
      </c>
      <c r="E15" t="s">
        <v>936</v>
      </c>
      <c r="F15" s="20">
        <v>3.9600000000000003E-2</v>
      </c>
      <c r="G15" s="4">
        <f t="shared" si="0"/>
        <v>108</v>
      </c>
    </row>
    <row r="16" spans="1:7">
      <c r="A16" s="4">
        <f t="shared" si="1"/>
        <v>109</v>
      </c>
      <c r="B16" t="s">
        <v>927</v>
      </c>
      <c r="C16" s="33">
        <v>366</v>
      </c>
      <c r="D16" s="21" t="s">
        <v>720</v>
      </c>
      <c r="E16" t="s">
        <v>937</v>
      </c>
      <c r="F16" s="20">
        <v>2.41E-2</v>
      </c>
      <c r="G16" s="4">
        <f t="shared" si="0"/>
        <v>109</v>
      </c>
    </row>
    <row r="17" spans="1:8">
      <c r="A17" s="4">
        <f t="shared" si="1"/>
        <v>110</v>
      </c>
      <c r="B17" t="s">
        <v>927</v>
      </c>
      <c r="C17" s="33">
        <v>367</v>
      </c>
      <c r="D17" s="21" t="s">
        <v>721</v>
      </c>
      <c r="E17" t="s">
        <v>938</v>
      </c>
      <c r="F17" s="20">
        <v>3.1199999999999999E-2</v>
      </c>
      <c r="G17" s="4">
        <f t="shared" si="0"/>
        <v>110</v>
      </c>
    </row>
    <row r="18" spans="1:8">
      <c r="A18" s="4">
        <f t="shared" si="1"/>
        <v>111</v>
      </c>
      <c r="B18" t="s">
        <v>927</v>
      </c>
      <c r="C18" s="33">
        <v>368.01</v>
      </c>
      <c r="D18" s="21" t="s">
        <v>722</v>
      </c>
      <c r="E18" t="s">
        <v>939</v>
      </c>
      <c r="F18" s="20">
        <v>4.3900000000000002E-2</v>
      </c>
      <c r="G18" s="4">
        <f t="shared" si="0"/>
        <v>111</v>
      </c>
    </row>
    <row r="19" spans="1:8">
      <c r="A19" s="4">
        <f t="shared" si="1"/>
        <v>112</v>
      </c>
      <c r="B19" t="s">
        <v>927</v>
      </c>
      <c r="C19" s="33">
        <v>368.02</v>
      </c>
      <c r="D19" s="21" t="s">
        <v>723</v>
      </c>
      <c r="E19" t="s">
        <v>940</v>
      </c>
      <c r="F19" s="20">
        <v>3.9100000000000003E-2</v>
      </c>
      <c r="G19" s="4">
        <f t="shared" si="0"/>
        <v>112</v>
      </c>
    </row>
    <row r="20" spans="1:8">
      <c r="A20" s="4">
        <f t="shared" si="1"/>
        <v>113</v>
      </c>
      <c r="B20" t="s">
        <v>927</v>
      </c>
      <c r="C20" s="33">
        <v>369.01</v>
      </c>
      <c r="D20" s="21" t="s">
        <v>724</v>
      </c>
      <c r="E20" t="s">
        <v>941</v>
      </c>
      <c r="F20" s="20">
        <v>3.9800000000000002E-2</v>
      </c>
      <c r="G20" s="4">
        <f t="shared" si="0"/>
        <v>113</v>
      </c>
    </row>
    <row r="21" spans="1:8">
      <c r="A21" s="4">
        <f t="shared" si="1"/>
        <v>114</v>
      </c>
      <c r="B21" t="s">
        <v>927</v>
      </c>
      <c r="C21" s="33">
        <v>369.02</v>
      </c>
      <c r="D21" s="21" t="s">
        <v>725</v>
      </c>
      <c r="E21" t="s">
        <v>942</v>
      </c>
      <c r="F21" s="20">
        <v>2.7099999999999999E-2</v>
      </c>
      <c r="G21" s="4">
        <f t="shared" si="0"/>
        <v>114</v>
      </c>
    </row>
    <row r="22" spans="1:8">
      <c r="A22" s="4">
        <f t="shared" si="1"/>
        <v>115</v>
      </c>
      <c r="B22" t="s">
        <v>927</v>
      </c>
      <c r="C22" s="33">
        <v>370</v>
      </c>
      <c r="D22" s="21" t="s">
        <v>726</v>
      </c>
      <c r="E22" t="s">
        <v>943</v>
      </c>
      <c r="F22" s="20">
        <v>6.8599999999999994E-2</v>
      </c>
      <c r="G22" s="4">
        <f t="shared" si="0"/>
        <v>115</v>
      </c>
    </row>
    <row r="23" spans="1:8">
      <c r="A23" s="4">
        <f t="shared" si="1"/>
        <v>116</v>
      </c>
      <c r="B23" t="s">
        <v>927</v>
      </c>
      <c r="C23" s="33">
        <v>370.01</v>
      </c>
      <c r="D23" s="21" t="s">
        <v>727</v>
      </c>
      <c r="E23" t="s">
        <v>943</v>
      </c>
      <c r="F23" s="365">
        <v>6.8599999999999994E-2</v>
      </c>
      <c r="G23" s="4">
        <f t="shared" si="0"/>
        <v>116</v>
      </c>
    </row>
    <row r="24" spans="1:8">
      <c r="A24" s="4">
        <f t="shared" si="1"/>
        <v>117</v>
      </c>
      <c r="B24" t="s">
        <v>927</v>
      </c>
      <c r="C24" s="33">
        <v>371</v>
      </c>
      <c r="D24" s="21" t="s">
        <v>728</v>
      </c>
      <c r="E24" t="s">
        <v>944</v>
      </c>
      <c r="F24" s="20">
        <v>0</v>
      </c>
      <c r="G24" s="4">
        <f t="shared" si="0"/>
        <v>117</v>
      </c>
    </row>
    <row r="25" spans="1:8">
      <c r="A25" s="4">
        <f t="shared" si="1"/>
        <v>118</v>
      </c>
      <c r="B25" t="s">
        <v>927</v>
      </c>
      <c r="C25" s="33">
        <v>372</v>
      </c>
      <c r="D25" s="21" t="s">
        <v>731</v>
      </c>
      <c r="E25" t="s">
        <v>945</v>
      </c>
      <c r="F25" s="20">
        <v>0</v>
      </c>
      <c r="G25" s="4">
        <f t="shared" si="0"/>
        <v>118</v>
      </c>
    </row>
    <row r="26" spans="1:8">
      <c r="F26" s="20"/>
    </row>
    <row r="27" spans="1:8">
      <c r="F27" s="20"/>
    </row>
    <row r="28" spans="1:8">
      <c r="A28"/>
    </row>
    <row r="29" spans="1:8">
      <c r="A29"/>
      <c r="B29" s="45" t="s">
        <v>946</v>
      </c>
      <c r="C29" s="42"/>
      <c r="D29" s="388"/>
      <c r="E29" s="43"/>
      <c r="F29" s="43"/>
      <c r="H29" s="19"/>
    </row>
    <row r="30" spans="1:8">
      <c r="A30"/>
      <c r="H30" s="19"/>
    </row>
    <row r="31" spans="1:8">
      <c r="A31"/>
      <c r="D31" s="4"/>
      <c r="F31" s="4" t="s">
        <v>922</v>
      </c>
      <c r="H31" s="19"/>
    </row>
    <row r="32" spans="1:8">
      <c r="A32" s="3" t="s">
        <v>92</v>
      </c>
      <c r="B32" s="3" t="s">
        <v>923</v>
      </c>
      <c r="C32" s="3" t="s">
        <v>608</v>
      </c>
      <c r="D32" s="3" t="s">
        <v>924</v>
      </c>
      <c r="E32" s="3" t="s">
        <v>925</v>
      </c>
      <c r="F32" s="110" t="s">
        <v>926</v>
      </c>
      <c r="G32" s="3" t="s">
        <v>92</v>
      </c>
      <c r="H32" s="19"/>
    </row>
    <row r="33" spans="1:8">
      <c r="A33" s="4">
        <v>200</v>
      </c>
      <c r="D33" s="21" t="s">
        <v>947</v>
      </c>
      <c r="E33" t="s">
        <v>948</v>
      </c>
      <c r="F33" s="20">
        <v>0</v>
      </c>
      <c r="G33" s="4">
        <f t="shared" ref="G33:G81" si="2">A33</f>
        <v>200</v>
      </c>
      <c r="H33" s="19"/>
    </row>
    <row r="34" spans="1:8">
      <c r="A34" s="4">
        <f>A33+1</f>
        <v>201</v>
      </c>
      <c r="D34" s="21" t="s">
        <v>949</v>
      </c>
      <c r="E34" t="s">
        <v>950</v>
      </c>
      <c r="F34" s="20">
        <v>0</v>
      </c>
      <c r="G34" s="4">
        <f t="shared" si="2"/>
        <v>201</v>
      </c>
      <c r="H34" s="19"/>
    </row>
    <row r="35" spans="1:8">
      <c r="A35" s="4">
        <f t="shared" ref="A35:A81" si="3">A34+1</f>
        <v>202</v>
      </c>
      <c r="D35" s="21" t="s">
        <v>951</v>
      </c>
      <c r="E35" t="s">
        <v>952</v>
      </c>
      <c r="F35" s="20">
        <v>3.39E-2</v>
      </c>
      <c r="G35" s="4">
        <f t="shared" si="2"/>
        <v>202</v>
      </c>
      <c r="H35" s="19"/>
    </row>
    <row r="36" spans="1:8">
      <c r="A36" s="4">
        <f t="shared" si="3"/>
        <v>203</v>
      </c>
      <c r="D36" s="21" t="s">
        <v>953</v>
      </c>
      <c r="E36" t="s">
        <v>954</v>
      </c>
      <c r="F36" s="20">
        <v>0.1736</v>
      </c>
      <c r="G36" s="4">
        <f t="shared" si="2"/>
        <v>203</v>
      </c>
      <c r="H36" s="19"/>
    </row>
    <row r="37" spans="1:8">
      <c r="A37" s="4">
        <f t="shared" si="3"/>
        <v>204</v>
      </c>
      <c r="D37" s="21" t="s">
        <v>955</v>
      </c>
      <c r="E37" t="s">
        <v>956</v>
      </c>
      <c r="F37" s="20">
        <v>9.01E-2</v>
      </c>
      <c r="G37" s="4">
        <f t="shared" si="2"/>
        <v>204</v>
      </c>
      <c r="H37" s="19"/>
    </row>
    <row r="38" spans="1:8">
      <c r="A38" s="4">
        <f t="shared" si="3"/>
        <v>205</v>
      </c>
      <c r="D38" s="21" t="s">
        <v>957</v>
      </c>
      <c r="E38" t="s">
        <v>958</v>
      </c>
      <c r="F38" s="20">
        <v>0</v>
      </c>
      <c r="G38" s="4">
        <f t="shared" si="2"/>
        <v>205</v>
      </c>
      <c r="H38" s="19"/>
    </row>
    <row r="39" spans="1:8">
      <c r="A39" s="4">
        <f t="shared" si="3"/>
        <v>206</v>
      </c>
      <c r="D39" s="21" t="s">
        <v>959</v>
      </c>
      <c r="E39" t="s">
        <v>929</v>
      </c>
      <c r="F39" s="20">
        <v>2.58E-2</v>
      </c>
      <c r="G39" s="4">
        <f t="shared" si="2"/>
        <v>206</v>
      </c>
      <c r="H39" s="19"/>
    </row>
    <row r="40" spans="1:8">
      <c r="A40" s="4">
        <f t="shared" si="3"/>
        <v>207</v>
      </c>
      <c r="D40" s="21" t="s">
        <v>960</v>
      </c>
      <c r="E40" t="s">
        <v>930</v>
      </c>
      <c r="F40" s="20">
        <v>1.9699999999999999E-2</v>
      </c>
      <c r="G40" s="4">
        <f t="shared" si="2"/>
        <v>207</v>
      </c>
      <c r="H40" s="19"/>
    </row>
    <row r="41" spans="1:8">
      <c r="A41" s="4">
        <f t="shared" si="3"/>
        <v>208</v>
      </c>
      <c r="D41" s="21" t="s">
        <v>961</v>
      </c>
      <c r="E41" t="s">
        <v>962</v>
      </c>
      <c r="F41" s="20">
        <v>0.2</v>
      </c>
      <c r="G41" s="4">
        <f t="shared" si="2"/>
        <v>208</v>
      </c>
      <c r="H41" s="19"/>
    </row>
    <row r="42" spans="1:8">
      <c r="A42" s="4">
        <f t="shared" si="3"/>
        <v>209</v>
      </c>
      <c r="D42" s="21" t="s">
        <v>963</v>
      </c>
      <c r="E42" t="s">
        <v>964</v>
      </c>
      <c r="F42" s="20">
        <v>0.27310000000000001</v>
      </c>
      <c r="G42" s="4">
        <f t="shared" si="2"/>
        <v>209</v>
      </c>
      <c r="H42" s="19"/>
    </row>
    <row r="43" spans="1:8">
      <c r="A43" s="4">
        <f t="shared" si="3"/>
        <v>210</v>
      </c>
      <c r="D43" s="21" t="s">
        <v>965</v>
      </c>
      <c r="E43" t="s">
        <v>966</v>
      </c>
      <c r="F43" s="20">
        <v>0.14169999999999999</v>
      </c>
      <c r="G43" s="4">
        <f t="shared" si="2"/>
        <v>210</v>
      </c>
      <c r="H43" s="19"/>
    </row>
    <row r="44" spans="1:8">
      <c r="A44" s="4">
        <f t="shared" si="3"/>
        <v>211</v>
      </c>
      <c r="D44" s="21" t="s">
        <v>967</v>
      </c>
      <c r="E44" t="s">
        <v>968</v>
      </c>
      <c r="F44" s="20">
        <v>7.4999999999999997E-2</v>
      </c>
      <c r="G44" s="4">
        <f t="shared" si="2"/>
        <v>211</v>
      </c>
      <c r="H44" s="19"/>
    </row>
    <row r="45" spans="1:8">
      <c r="A45" s="4">
        <f t="shared" si="3"/>
        <v>212</v>
      </c>
      <c r="D45" s="21" t="s">
        <v>969</v>
      </c>
      <c r="E45" t="s">
        <v>970</v>
      </c>
      <c r="F45" s="20">
        <v>0.27310000000000001</v>
      </c>
      <c r="G45" s="4">
        <f t="shared" si="2"/>
        <v>212</v>
      </c>
      <c r="H45" s="19"/>
    </row>
    <row r="46" spans="1:8">
      <c r="A46" s="4">
        <f t="shared" si="3"/>
        <v>213</v>
      </c>
      <c r="D46" s="21" t="s">
        <v>971</v>
      </c>
      <c r="E46" t="s">
        <v>972</v>
      </c>
      <c r="F46" s="20">
        <v>1.3600000000000001E-2</v>
      </c>
      <c r="G46" s="4">
        <f t="shared" si="2"/>
        <v>213</v>
      </c>
      <c r="H46" s="19"/>
    </row>
    <row r="47" spans="1:8">
      <c r="A47" s="4">
        <f t="shared" si="3"/>
        <v>214</v>
      </c>
      <c r="D47" s="21" t="s">
        <v>973</v>
      </c>
      <c r="E47" t="s">
        <v>974</v>
      </c>
      <c r="F47" s="20">
        <v>0.1348</v>
      </c>
      <c r="G47" s="4">
        <f t="shared" si="2"/>
        <v>214</v>
      </c>
      <c r="H47" s="19"/>
    </row>
    <row r="48" spans="1:8">
      <c r="A48" s="4">
        <f t="shared" si="3"/>
        <v>215</v>
      </c>
      <c r="D48" s="21" t="s">
        <v>975</v>
      </c>
      <c r="E48" t="s">
        <v>976</v>
      </c>
      <c r="F48" s="20">
        <v>9.9199999999999997E-2</v>
      </c>
      <c r="G48" s="4">
        <f t="shared" si="2"/>
        <v>215</v>
      </c>
      <c r="H48" s="19"/>
    </row>
    <row r="49" spans="1:8">
      <c r="A49" s="4">
        <f t="shared" si="3"/>
        <v>216</v>
      </c>
      <c r="D49" s="21" t="s">
        <v>977</v>
      </c>
      <c r="E49" t="s">
        <v>978</v>
      </c>
      <c r="F49" s="20">
        <v>0.1013</v>
      </c>
      <c r="G49" s="4">
        <f t="shared" si="2"/>
        <v>216</v>
      </c>
      <c r="H49" s="19"/>
    </row>
    <row r="50" spans="1:8">
      <c r="A50" s="4">
        <f t="shared" si="3"/>
        <v>217</v>
      </c>
      <c r="D50" s="21" t="s">
        <v>979</v>
      </c>
      <c r="E50" t="s">
        <v>980</v>
      </c>
      <c r="F50" s="20">
        <v>0.1011</v>
      </c>
      <c r="G50" s="4">
        <f t="shared" si="2"/>
        <v>217</v>
      </c>
      <c r="H50" s="19"/>
    </row>
    <row r="51" spans="1:8">
      <c r="A51" s="4">
        <f t="shared" si="3"/>
        <v>218</v>
      </c>
      <c r="D51" s="21" t="s">
        <v>981</v>
      </c>
      <c r="E51" t="s">
        <v>982</v>
      </c>
      <c r="F51" s="20">
        <v>9.0999999999999998E-2</v>
      </c>
      <c r="G51" s="4">
        <f t="shared" si="2"/>
        <v>218</v>
      </c>
      <c r="H51" s="19"/>
    </row>
    <row r="52" spans="1:8">
      <c r="A52" s="4">
        <f t="shared" si="3"/>
        <v>219</v>
      </c>
      <c r="D52" s="21" t="s">
        <v>983</v>
      </c>
      <c r="E52" t="s">
        <v>984</v>
      </c>
      <c r="F52" s="20">
        <v>6.8199999999999997E-2</v>
      </c>
      <c r="G52" s="4">
        <f t="shared" si="2"/>
        <v>219</v>
      </c>
      <c r="H52" s="19"/>
    </row>
    <row r="53" spans="1:8">
      <c r="A53" s="4">
        <f t="shared" si="3"/>
        <v>220</v>
      </c>
      <c r="D53" s="21" t="s">
        <v>985</v>
      </c>
      <c r="E53" t="s">
        <v>986</v>
      </c>
      <c r="F53" s="20">
        <v>4.1500000000000002E-2</v>
      </c>
      <c r="G53" s="4">
        <f t="shared" si="2"/>
        <v>220</v>
      </c>
      <c r="H53" s="19"/>
    </row>
    <row r="54" spans="1:8">
      <c r="A54" s="4">
        <f t="shared" si="3"/>
        <v>221</v>
      </c>
      <c r="D54" s="21" t="s">
        <v>987</v>
      </c>
      <c r="E54" t="s">
        <v>988</v>
      </c>
      <c r="F54" s="20">
        <v>3.0699999999999998E-2</v>
      </c>
      <c r="G54" s="4">
        <f t="shared" si="2"/>
        <v>221</v>
      </c>
      <c r="H54" s="19"/>
    </row>
    <row r="55" spans="1:8">
      <c r="A55" s="4">
        <f t="shared" si="3"/>
        <v>222</v>
      </c>
      <c r="D55" s="21" t="s">
        <v>989</v>
      </c>
      <c r="E55" t="s">
        <v>990</v>
      </c>
      <c r="F55" s="20">
        <v>6.25E-2</v>
      </c>
      <c r="G55" s="4">
        <f t="shared" si="2"/>
        <v>222</v>
      </c>
      <c r="H55" s="19"/>
    </row>
    <row r="56" spans="1:8">
      <c r="A56" s="4">
        <f t="shared" si="3"/>
        <v>223</v>
      </c>
      <c r="D56" s="21" t="s">
        <v>991</v>
      </c>
      <c r="E56" t="s">
        <v>992</v>
      </c>
      <c r="F56" s="20">
        <v>3.3399999999999999E-2</v>
      </c>
      <c r="G56" s="4">
        <f t="shared" si="2"/>
        <v>223</v>
      </c>
      <c r="H56" s="19"/>
    </row>
    <row r="57" spans="1:8">
      <c r="A57" s="4">
        <f t="shared" si="3"/>
        <v>224</v>
      </c>
      <c r="D57" s="21" t="s">
        <v>993</v>
      </c>
      <c r="E57" t="s">
        <v>994</v>
      </c>
      <c r="F57" s="20">
        <v>7.7699999999999991E-2</v>
      </c>
      <c r="G57" s="4">
        <f t="shared" si="2"/>
        <v>224</v>
      </c>
      <c r="H57" s="19"/>
    </row>
    <row r="58" spans="1:8">
      <c r="A58" s="4">
        <f t="shared" si="3"/>
        <v>225</v>
      </c>
      <c r="D58" s="21" t="s">
        <v>995</v>
      </c>
      <c r="E58" t="s">
        <v>996</v>
      </c>
      <c r="F58" s="20">
        <v>6.4500000000000002E-2</v>
      </c>
      <c r="G58" s="4">
        <f t="shared" si="2"/>
        <v>225</v>
      </c>
      <c r="H58" s="19"/>
    </row>
    <row r="59" spans="1:8">
      <c r="A59" s="4">
        <f t="shared" si="3"/>
        <v>226</v>
      </c>
      <c r="D59" s="21" t="s">
        <v>997</v>
      </c>
      <c r="E59" t="s">
        <v>998</v>
      </c>
      <c r="F59" s="20">
        <v>0.14449999999999999</v>
      </c>
      <c r="G59" s="4">
        <f t="shared" si="2"/>
        <v>226</v>
      </c>
      <c r="H59" s="19"/>
    </row>
    <row r="60" spans="1:8">
      <c r="A60" s="4">
        <f t="shared" si="3"/>
        <v>227</v>
      </c>
      <c r="D60" s="21" t="s">
        <v>999</v>
      </c>
      <c r="E60" t="s">
        <v>1000</v>
      </c>
      <c r="F60" s="20">
        <v>0.20469999999999999</v>
      </c>
      <c r="G60" s="4">
        <f t="shared" si="2"/>
        <v>227</v>
      </c>
      <c r="H60" s="19"/>
    </row>
    <row r="61" spans="1:8">
      <c r="A61" s="4">
        <f t="shared" si="3"/>
        <v>228</v>
      </c>
      <c r="D61" s="21" t="s">
        <v>1001</v>
      </c>
      <c r="E61" t="s">
        <v>1002</v>
      </c>
      <c r="F61" s="20">
        <v>0.1525</v>
      </c>
      <c r="G61" s="4">
        <f t="shared" si="2"/>
        <v>228</v>
      </c>
      <c r="H61" s="19"/>
    </row>
    <row r="62" spans="1:8">
      <c r="A62" s="4">
        <f t="shared" si="3"/>
        <v>229</v>
      </c>
      <c r="D62" s="21" t="s">
        <v>1003</v>
      </c>
      <c r="E62" t="s">
        <v>1004</v>
      </c>
      <c r="F62" s="20">
        <v>0.14610000000000001</v>
      </c>
      <c r="G62" s="4">
        <f t="shared" si="2"/>
        <v>229</v>
      </c>
      <c r="H62" s="19"/>
    </row>
    <row r="63" spans="1:8">
      <c r="A63" s="4">
        <f t="shared" si="3"/>
        <v>230</v>
      </c>
      <c r="D63" s="21" t="s">
        <v>1005</v>
      </c>
      <c r="E63" t="s">
        <v>1006</v>
      </c>
      <c r="F63" s="20">
        <v>4.7899999999999998E-2</v>
      </c>
      <c r="G63" s="4">
        <f t="shared" si="2"/>
        <v>230</v>
      </c>
      <c r="H63" s="19"/>
    </row>
    <row r="64" spans="1:8">
      <c r="A64" s="4">
        <f t="shared" si="3"/>
        <v>231</v>
      </c>
      <c r="D64" s="21" t="s">
        <v>1007</v>
      </c>
      <c r="E64" t="s">
        <v>1008</v>
      </c>
      <c r="F64" s="20">
        <v>5.1399999999999994E-2</v>
      </c>
      <c r="G64" s="4">
        <f t="shared" si="2"/>
        <v>231</v>
      </c>
      <c r="H64" s="19"/>
    </row>
    <row r="65" spans="1:8">
      <c r="A65" s="4">
        <f t="shared" si="3"/>
        <v>232</v>
      </c>
      <c r="D65" s="21" t="s">
        <v>1009</v>
      </c>
      <c r="E65" t="s">
        <v>1010</v>
      </c>
      <c r="F65" s="20">
        <v>8.3000000000000001E-3</v>
      </c>
      <c r="G65" s="4">
        <f t="shared" si="2"/>
        <v>232</v>
      </c>
      <c r="H65" s="19"/>
    </row>
    <row r="66" spans="1:8">
      <c r="A66" s="4">
        <f t="shared" si="3"/>
        <v>233</v>
      </c>
      <c r="D66" s="21" t="s">
        <v>1011</v>
      </c>
      <c r="E66" t="s">
        <v>1012</v>
      </c>
      <c r="F66" s="20">
        <v>4.87E-2</v>
      </c>
      <c r="G66" s="4">
        <f t="shared" si="2"/>
        <v>233</v>
      </c>
      <c r="H66" s="19"/>
    </row>
    <row r="67" spans="1:8">
      <c r="A67" s="4">
        <f t="shared" si="3"/>
        <v>234</v>
      </c>
      <c r="D67" s="21" t="s">
        <v>1013</v>
      </c>
      <c r="E67" t="s">
        <v>1014</v>
      </c>
      <c r="F67" s="20">
        <v>5.3600000000000002E-2</v>
      </c>
      <c r="G67" s="4">
        <f t="shared" si="2"/>
        <v>234</v>
      </c>
      <c r="H67" s="19"/>
    </row>
    <row r="68" spans="1:8">
      <c r="A68" s="4">
        <f t="shared" si="3"/>
        <v>235</v>
      </c>
      <c r="D68" s="21" t="s">
        <v>1015</v>
      </c>
      <c r="E68" t="s">
        <v>1016</v>
      </c>
      <c r="F68" s="20">
        <v>2.0999999999999999E-3</v>
      </c>
      <c r="G68" s="4">
        <f t="shared" si="2"/>
        <v>235</v>
      </c>
      <c r="H68" s="19"/>
    </row>
    <row r="69" spans="1:8">
      <c r="A69" s="4">
        <f t="shared" si="3"/>
        <v>236</v>
      </c>
      <c r="D69" s="21" t="s">
        <v>1017</v>
      </c>
      <c r="E69" t="s">
        <v>928</v>
      </c>
      <c r="F69" s="20">
        <v>0</v>
      </c>
      <c r="G69" s="4">
        <f t="shared" si="2"/>
        <v>236</v>
      </c>
      <c r="H69" s="19"/>
    </row>
    <row r="70" spans="1:8">
      <c r="A70" s="4">
        <f t="shared" si="3"/>
        <v>237</v>
      </c>
      <c r="D70" s="21" t="s">
        <v>1018</v>
      </c>
      <c r="E70" t="s">
        <v>929</v>
      </c>
      <c r="F70" s="20">
        <v>2.9900000000000003E-2</v>
      </c>
      <c r="G70" s="4">
        <f t="shared" si="2"/>
        <v>237</v>
      </c>
      <c r="H70" s="19"/>
    </row>
    <row r="71" spans="1:8">
      <c r="A71" s="4">
        <f t="shared" si="3"/>
        <v>238</v>
      </c>
      <c r="D71" s="21" t="s">
        <v>1019</v>
      </c>
      <c r="E71" t="s">
        <v>930</v>
      </c>
      <c r="F71" s="20">
        <v>1.5800000000000002E-2</v>
      </c>
      <c r="G71" s="4">
        <f t="shared" si="2"/>
        <v>238</v>
      </c>
      <c r="H71" s="19"/>
    </row>
    <row r="72" spans="1:8">
      <c r="A72" s="4">
        <f t="shared" si="3"/>
        <v>239</v>
      </c>
      <c r="D72" s="21" t="s">
        <v>1020</v>
      </c>
      <c r="E72" t="s">
        <v>968</v>
      </c>
      <c r="F72" s="20">
        <v>5.9299999999999999E-2</v>
      </c>
      <c r="G72" s="4">
        <f t="shared" si="2"/>
        <v>239</v>
      </c>
      <c r="H72" s="19"/>
    </row>
    <row r="73" spans="1:8">
      <c r="A73" s="4">
        <f t="shared" si="3"/>
        <v>240</v>
      </c>
      <c r="D73" s="21" t="s">
        <v>1021</v>
      </c>
      <c r="E73" t="s">
        <v>1022</v>
      </c>
      <c r="F73" s="20">
        <v>3.9399999999999998E-2</v>
      </c>
      <c r="G73" s="4">
        <f t="shared" si="2"/>
        <v>240</v>
      </c>
      <c r="H73" s="19"/>
    </row>
    <row r="74" spans="1:8">
      <c r="A74" s="4">
        <f t="shared" si="3"/>
        <v>241</v>
      </c>
      <c r="D74" s="21" t="s">
        <v>1023</v>
      </c>
      <c r="E74" t="s">
        <v>994</v>
      </c>
      <c r="F74" s="20">
        <v>4.7400000000000005E-2</v>
      </c>
      <c r="G74" s="4">
        <f t="shared" si="2"/>
        <v>241</v>
      </c>
      <c r="H74" s="19"/>
    </row>
    <row r="75" spans="1:8">
      <c r="A75" s="4">
        <f t="shared" si="3"/>
        <v>242</v>
      </c>
      <c r="D75" s="21" t="s">
        <v>1024</v>
      </c>
      <c r="E75" t="s">
        <v>996</v>
      </c>
      <c r="F75" s="20">
        <v>7.8899999999999998E-2</v>
      </c>
      <c r="G75" s="4">
        <f t="shared" si="2"/>
        <v>242</v>
      </c>
      <c r="H75" s="19"/>
    </row>
    <row r="76" spans="1:8">
      <c r="A76" s="4">
        <f t="shared" si="3"/>
        <v>243</v>
      </c>
      <c r="D76" s="21" t="s">
        <v>1025</v>
      </c>
      <c r="E76" t="s">
        <v>1026</v>
      </c>
      <c r="F76" s="20">
        <v>6.9199999999999998E-2</v>
      </c>
      <c r="G76" s="4">
        <f t="shared" si="2"/>
        <v>243</v>
      </c>
    </row>
    <row r="77" spans="1:8">
      <c r="A77" s="4">
        <f t="shared" si="3"/>
        <v>244</v>
      </c>
      <c r="D77" s="21" t="s">
        <v>1027</v>
      </c>
      <c r="E77" t="s">
        <v>1012</v>
      </c>
      <c r="F77" s="20">
        <v>4.9599999999999998E-2</v>
      </c>
      <c r="G77" s="4">
        <f t="shared" si="2"/>
        <v>244</v>
      </c>
    </row>
    <row r="78" spans="1:8">
      <c r="A78" s="4">
        <f t="shared" si="3"/>
        <v>245</v>
      </c>
      <c r="D78" s="21" t="s">
        <v>1028</v>
      </c>
      <c r="E78" t="s">
        <v>1014</v>
      </c>
      <c r="F78" s="20">
        <v>6.8499999999999991E-2</v>
      </c>
      <c r="G78" s="4">
        <f t="shared" si="2"/>
        <v>245</v>
      </c>
    </row>
    <row r="79" spans="1:8">
      <c r="A79" s="4">
        <f t="shared" si="3"/>
        <v>246</v>
      </c>
      <c r="D79" s="21" t="s">
        <v>1029</v>
      </c>
      <c r="E79" t="s">
        <v>1030</v>
      </c>
      <c r="F79" s="20">
        <v>2.4E-2</v>
      </c>
      <c r="G79" s="4">
        <f t="shared" si="2"/>
        <v>246</v>
      </c>
    </row>
    <row r="80" spans="1:8">
      <c r="A80" s="4">
        <f t="shared" si="3"/>
        <v>247</v>
      </c>
      <c r="D80" s="21" t="s">
        <v>1031</v>
      </c>
      <c r="E80" t="s">
        <v>1032</v>
      </c>
      <c r="F80" s="20">
        <v>0</v>
      </c>
      <c r="G80" s="4">
        <f t="shared" si="2"/>
        <v>247</v>
      </c>
    </row>
    <row r="81" spans="1:7">
      <c r="A81" s="4">
        <f t="shared" si="3"/>
        <v>248</v>
      </c>
      <c r="D81" s="21" t="s">
        <v>1033</v>
      </c>
      <c r="E81" t="s">
        <v>1034</v>
      </c>
      <c r="F81" s="20">
        <v>0.20420000000000002</v>
      </c>
      <c r="G81" s="4">
        <f t="shared" si="2"/>
        <v>248</v>
      </c>
    </row>
    <row r="82" spans="1:7" ht="15" customHeight="1"/>
    <row r="83" spans="1:7">
      <c r="B83" s="236" t="s">
        <v>598</v>
      </c>
      <c r="C83"/>
    </row>
    <row r="84" spans="1:7" ht="32.25" customHeight="1">
      <c r="B84" s="727" t="s">
        <v>1035</v>
      </c>
      <c r="C84" s="727"/>
      <c r="D84" s="727"/>
      <c r="E84" s="727"/>
      <c r="F84" s="727"/>
    </row>
    <row r="85" spans="1:7">
      <c r="B85" s="727" t="s">
        <v>687</v>
      </c>
      <c r="C85" s="727"/>
      <c r="D85" s="727"/>
      <c r="E85" s="727"/>
      <c r="F85" s="727"/>
    </row>
    <row r="86" spans="1:7">
      <c r="C86"/>
      <c r="E86" s="33"/>
      <c r="F86" s="33"/>
    </row>
    <row r="88" spans="1:7">
      <c r="C88"/>
    </row>
  </sheetData>
  <mergeCells count="2">
    <mergeCell ref="B84:F84"/>
    <mergeCell ref="B85:F85"/>
  </mergeCells>
  <phoneticPr fontId="104" type="noConversion"/>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28" max="16383" man="1"/>
  </rowBreaks>
  <customProperties>
    <customPr name="_pios_id" r:id="rId2"/>
    <customPr name="EpmWorksheetKeyString_GUID"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R74"/>
  <sheetViews>
    <sheetView view="pageBreakPreview" topLeftCell="A29" zoomScale="70" zoomScaleNormal="85" zoomScaleSheetLayoutView="70" zoomScalePageLayoutView="55" workbookViewId="0">
      <selection activeCell="D45" sqref="D45"/>
    </sheetView>
  </sheetViews>
  <sheetFormatPr defaultColWidth="9.1796875" defaultRowHeight="14.5"/>
  <cols>
    <col min="1" max="1" width="5.453125" customWidth="1"/>
    <col min="2" max="2" width="27.453125" customWidth="1"/>
    <col min="3" max="3" width="18.81640625" customWidth="1"/>
    <col min="4" max="4" width="25.1796875" bestFit="1" customWidth="1"/>
    <col min="5" max="5" width="19.26953125" customWidth="1"/>
    <col min="6" max="6" width="20" customWidth="1"/>
    <col min="7" max="7" width="20.453125" customWidth="1"/>
    <col min="8" max="9" width="17.81640625" customWidth="1"/>
    <col min="10" max="10" width="8.1796875" customWidth="1"/>
    <col min="11" max="11" width="4.54296875" bestFit="1" customWidth="1"/>
    <col min="12" max="14" width="12.7265625" customWidth="1"/>
    <col min="15" max="15" width="2.453125" customWidth="1"/>
    <col min="16" max="18" width="12.7265625" customWidth="1"/>
  </cols>
  <sheetData>
    <row r="1" spans="1:10">
      <c r="B1" s="105" t="s">
        <v>39</v>
      </c>
      <c r="I1" s="6" t="str">
        <f>CONCATENATE("Prior Year: ",'1-DRR'!$K$2)</f>
        <v>Prior Year: 2022</v>
      </c>
    </row>
    <row r="2" spans="1:10">
      <c r="B2" s="78" t="s">
        <v>122</v>
      </c>
      <c r="C2" s="38"/>
      <c r="I2" s="6"/>
    </row>
    <row r="4" spans="1:10">
      <c r="B4" s="79" t="s">
        <v>1036</v>
      </c>
      <c r="C4" s="43"/>
      <c r="D4" s="43"/>
      <c r="E4" s="43"/>
      <c r="F4" s="43"/>
      <c r="G4" s="43"/>
      <c r="H4" s="43"/>
      <c r="I4" s="43"/>
    </row>
    <row r="5" spans="1:10">
      <c r="B5" s="8" t="s">
        <v>1037</v>
      </c>
      <c r="D5" s="130"/>
      <c r="E5" s="131"/>
    </row>
    <row r="6" spans="1:10">
      <c r="D6" s="130"/>
      <c r="E6" s="131"/>
    </row>
    <row r="7" spans="1:10">
      <c r="D7" s="83" t="s">
        <v>124</v>
      </c>
      <c r="E7" s="83" t="s">
        <v>125</v>
      </c>
      <c r="F7" s="83"/>
      <c r="G7" s="83"/>
      <c r="H7" s="83"/>
    </row>
    <row r="8" spans="1:10">
      <c r="B8" s="132"/>
      <c r="C8" s="133"/>
      <c r="D8" s="120" t="s">
        <v>103</v>
      </c>
      <c r="E8" s="429" t="s">
        <v>425</v>
      </c>
      <c r="F8" s="133"/>
      <c r="G8" s="133"/>
    </row>
    <row r="9" spans="1:10">
      <c r="D9" s="134"/>
      <c r="E9" s="131"/>
      <c r="F9" s="463"/>
      <c r="G9" s="463"/>
    </row>
    <row r="10" spans="1:10">
      <c r="D10" s="135" t="s">
        <v>1038</v>
      </c>
      <c r="E10" s="135" t="s">
        <v>607</v>
      </c>
      <c r="F10" s="463"/>
      <c r="G10" s="463"/>
    </row>
    <row r="11" spans="1:10">
      <c r="B11" s="136"/>
      <c r="C11" s="137"/>
      <c r="D11" s="135" t="s">
        <v>1039</v>
      </c>
      <c r="E11" s="684" t="s">
        <v>661</v>
      </c>
      <c r="F11" s="135"/>
      <c r="G11" s="135"/>
    </row>
    <row r="12" spans="1:10" ht="15.75" customHeight="1">
      <c r="A12" s="138" t="s">
        <v>1040</v>
      </c>
      <c r="B12" s="139" t="s">
        <v>440</v>
      </c>
      <c r="C12" s="139" t="s">
        <v>441</v>
      </c>
      <c r="D12" s="139" t="s">
        <v>1041</v>
      </c>
      <c r="E12" s="139" t="s">
        <v>1041</v>
      </c>
      <c r="F12" s="139"/>
      <c r="G12" s="139"/>
      <c r="J12" s="138" t="str">
        <f t="shared" ref="J12:J26" si="0">A12</f>
        <v xml:space="preserve">Line </v>
      </c>
    </row>
    <row r="13" spans="1:10">
      <c r="A13" s="91">
        <v>100</v>
      </c>
      <c r="B13" s="137" t="s">
        <v>449</v>
      </c>
      <c r="C13" s="140">
        <f>'1-DRR'!$K$2-1</f>
        <v>2021</v>
      </c>
      <c r="D13" s="276">
        <v>552298301.95000005</v>
      </c>
      <c r="E13" s="430">
        <v>243542773.03879631</v>
      </c>
      <c r="F13" s="462"/>
      <c r="G13" s="462"/>
      <c r="J13" s="91">
        <f t="shared" si="0"/>
        <v>100</v>
      </c>
    </row>
    <row r="14" spans="1:10">
      <c r="A14" s="91">
        <f t="shared" ref="A14:A26" si="1">A13+1</f>
        <v>101</v>
      </c>
      <c r="B14" s="137" t="s">
        <v>451</v>
      </c>
      <c r="C14" s="140">
        <f>'1-DRR'!$K$2</f>
        <v>2022</v>
      </c>
      <c r="D14" s="220">
        <v>564783471.21000004</v>
      </c>
      <c r="E14" s="220">
        <v>250499779.23514125</v>
      </c>
      <c r="F14" s="462"/>
      <c r="G14" s="462"/>
      <c r="J14" s="91">
        <f t="shared" si="0"/>
        <v>101</v>
      </c>
    </row>
    <row r="15" spans="1:10">
      <c r="A15" s="91">
        <f t="shared" si="1"/>
        <v>102</v>
      </c>
      <c r="B15" s="137" t="s">
        <v>452</v>
      </c>
      <c r="C15" s="140">
        <f>'1-DRR'!$K$2</f>
        <v>2022</v>
      </c>
      <c r="D15" s="220">
        <v>574682220.38</v>
      </c>
      <c r="E15" s="220">
        <v>250789568.57260394</v>
      </c>
      <c r="F15" s="462"/>
      <c r="G15" s="462"/>
      <c r="J15" s="91">
        <f t="shared" si="0"/>
        <v>102</v>
      </c>
    </row>
    <row r="16" spans="1:10">
      <c r="A16" s="91">
        <f t="shared" si="1"/>
        <v>103</v>
      </c>
      <c r="B16" s="137" t="s">
        <v>453</v>
      </c>
      <c r="C16" s="140">
        <f>'1-DRR'!$K$2</f>
        <v>2022</v>
      </c>
      <c r="D16" s="220">
        <v>588948416.83000004</v>
      </c>
      <c r="E16" s="220">
        <v>250643461.45415491</v>
      </c>
      <c r="F16" s="462"/>
      <c r="G16" s="462"/>
      <c r="J16" s="91">
        <f t="shared" si="0"/>
        <v>103</v>
      </c>
    </row>
    <row r="17" spans="1:10">
      <c r="A17" s="91">
        <f t="shared" si="1"/>
        <v>104</v>
      </c>
      <c r="B17" s="137" t="s">
        <v>454</v>
      </c>
      <c r="C17" s="140">
        <f>'1-DRR'!$K$2</f>
        <v>2022</v>
      </c>
      <c r="D17" s="220">
        <v>604137329.42999995</v>
      </c>
      <c r="E17" s="220">
        <v>253044371.39319199</v>
      </c>
      <c r="F17" s="462"/>
      <c r="G17" s="462"/>
      <c r="J17" s="91">
        <f t="shared" si="0"/>
        <v>104</v>
      </c>
    </row>
    <row r="18" spans="1:10">
      <c r="A18" s="91">
        <f t="shared" si="1"/>
        <v>105</v>
      </c>
      <c r="B18" s="137" t="s">
        <v>455</v>
      </c>
      <c r="C18" s="140">
        <f>'1-DRR'!$K$2</f>
        <v>2022</v>
      </c>
      <c r="D18" s="220">
        <v>615409861.60000002</v>
      </c>
      <c r="E18" s="220">
        <v>279337809.72569239</v>
      </c>
      <c r="F18" s="462"/>
      <c r="G18" s="462"/>
      <c r="J18" s="91">
        <f t="shared" si="0"/>
        <v>105</v>
      </c>
    </row>
    <row r="19" spans="1:10">
      <c r="A19" s="91">
        <f t="shared" si="1"/>
        <v>106</v>
      </c>
      <c r="B19" s="137" t="s">
        <v>737</v>
      </c>
      <c r="C19" s="140">
        <f>'1-DRR'!$K$2</f>
        <v>2022</v>
      </c>
      <c r="D19" s="220">
        <v>614743669.75</v>
      </c>
      <c r="E19" s="220">
        <v>281522879.7351349</v>
      </c>
      <c r="F19" s="462"/>
      <c r="G19" s="462"/>
      <c r="J19" s="91">
        <f t="shared" si="0"/>
        <v>106</v>
      </c>
    </row>
    <row r="20" spans="1:10">
      <c r="A20" s="91">
        <f t="shared" si="1"/>
        <v>107</v>
      </c>
      <c r="B20" s="137" t="s">
        <v>457</v>
      </c>
      <c r="C20" s="140">
        <f>'1-DRR'!$K$2</f>
        <v>2022</v>
      </c>
      <c r="D20" s="220">
        <v>626365737.22000003</v>
      </c>
      <c r="E20" s="220">
        <v>291751454.24328339</v>
      </c>
      <c r="F20" s="462"/>
      <c r="G20" s="462"/>
      <c r="J20" s="91">
        <f t="shared" si="0"/>
        <v>107</v>
      </c>
    </row>
    <row r="21" spans="1:10">
      <c r="A21" s="91">
        <f t="shared" si="1"/>
        <v>108</v>
      </c>
      <c r="B21" s="137" t="s">
        <v>458</v>
      </c>
      <c r="C21" s="140">
        <f>'1-DRR'!$K$2</f>
        <v>2022</v>
      </c>
      <c r="D21" s="220">
        <v>654666817.51999998</v>
      </c>
      <c r="E21" s="220">
        <v>311403313.45613426</v>
      </c>
      <c r="F21" s="462"/>
      <c r="G21" s="462"/>
      <c r="J21" s="91">
        <f t="shared" si="0"/>
        <v>108</v>
      </c>
    </row>
    <row r="22" spans="1:10">
      <c r="A22" s="91">
        <f t="shared" si="1"/>
        <v>109</v>
      </c>
      <c r="B22" s="137" t="s">
        <v>459</v>
      </c>
      <c r="C22" s="140">
        <f>'1-DRR'!$K$2</f>
        <v>2022</v>
      </c>
      <c r="D22" s="220">
        <v>666037933.67999995</v>
      </c>
      <c r="E22" s="220">
        <v>321586700.40340877</v>
      </c>
      <c r="F22" s="462"/>
      <c r="G22" s="462"/>
      <c r="J22" s="91">
        <f t="shared" si="0"/>
        <v>109</v>
      </c>
    </row>
    <row r="23" spans="1:10">
      <c r="A23" s="91">
        <f t="shared" si="1"/>
        <v>110</v>
      </c>
      <c r="B23" s="137" t="s">
        <v>460</v>
      </c>
      <c r="C23" s="140">
        <f>'1-DRR'!$K$2</f>
        <v>2022</v>
      </c>
      <c r="D23" s="220">
        <v>682317106.79999995</v>
      </c>
      <c r="E23" s="220">
        <v>332253954.90506619</v>
      </c>
      <c r="F23" s="462"/>
      <c r="G23" s="462"/>
      <c r="J23" s="91">
        <f t="shared" si="0"/>
        <v>110</v>
      </c>
    </row>
    <row r="24" spans="1:10">
      <c r="A24" s="91">
        <f t="shared" si="1"/>
        <v>111</v>
      </c>
      <c r="B24" s="137" t="s">
        <v>461</v>
      </c>
      <c r="C24" s="140">
        <f>'1-DRR'!$K$2</f>
        <v>2022</v>
      </c>
      <c r="D24" s="256">
        <v>720967137.90999997</v>
      </c>
      <c r="E24" s="256">
        <v>356273730.4106155</v>
      </c>
      <c r="F24" s="462"/>
      <c r="G24" s="462"/>
      <c r="J24" s="91">
        <f t="shared" si="0"/>
        <v>111</v>
      </c>
    </row>
    <row r="25" spans="1:10">
      <c r="A25" s="91">
        <f t="shared" si="1"/>
        <v>112</v>
      </c>
      <c r="B25" s="141" t="s">
        <v>449</v>
      </c>
      <c r="C25" s="142">
        <f>'1-DRR'!$K$2</f>
        <v>2022</v>
      </c>
      <c r="D25" s="277">
        <v>751427248.86000001</v>
      </c>
      <c r="E25" s="430">
        <v>377486048.99807775</v>
      </c>
      <c r="F25" s="462"/>
      <c r="G25" s="462"/>
      <c r="J25" s="91">
        <f t="shared" si="0"/>
        <v>112</v>
      </c>
    </row>
    <row r="26" spans="1:10">
      <c r="A26" s="91">
        <f t="shared" si="1"/>
        <v>113</v>
      </c>
      <c r="B26" s="143" t="s">
        <v>738</v>
      </c>
      <c r="C26" s="143"/>
      <c r="D26" s="221">
        <f>SUM(D13:D25)/13</f>
        <v>632060404.08769226</v>
      </c>
      <c r="E26" s="710">
        <f t="shared" ref="E26" si="2">SUM(E13:E25)/13</f>
        <v>292318141.96702325</v>
      </c>
      <c r="F26" s="461"/>
      <c r="G26" s="461"/>
      <c r="J26" s="91">
        <f t="shared" si="0"/>
        <v>113</v>
      </c>
    </row>
    <row r="27" spans="1:10">
      <c r="C27" s="8"/>
    </row>
    <row r="28" spans="1:10">
      <c r="C28" s="8"/>
    </row>
    <row r="29" spans="1:10">
      <c r="B29" s="79" t="s">
        <v>1042</v>
      </c>
      <c r="C29" s="43"/>
      <c r="D29" s="43"/>
      <c r="E29" s="43"/>
      <c r="F29" s="43"/>
      <c r="G29" s="43"/>
      <c r="H29" s="43"/>
      <c r="I29" s="43"/>
    </row>
    <row r="30" spans="1:10" ht="15" customHeight="1">
      <c r="B30" s="736" t="s">
        <v>1043</v>
      </c>
      <c r="C30" s="736"/>
      <c r="D30" s="736"/>
      <c r="E30" s="736"/>
      <c r="F30" s="736"/>
      <c r="G30" s="736"/>
      <c r="H30" s="736"/>
      <c r="I30" s="736"/>
      <c r="J30" s="144"/>
    </row>
    <row r="31" spans="1:10">
      <c r="B31" s="736"/>
      <c r="C31" s="736"/>
      <c r="D31" s="736"/>
      <c r="E31" s="736"/>
      <c r="F31" s="736"/>
      <c r="G31" s="736"/>
      <c r="H31" s="736"/>
      <c r="I31" s="736"/>
      <c r="J31" s="144"/>
    </row>
    <row r="32" spans="1:10">
      <c r="B32" s="144"/>
      <c r="C32" s="144"/>
      <c r="D32" s="144"/>
      <c r="E32" s="144"/>
      <c r="F32" s="144"/>
      <c r="G32" s="737"/>
      <c r="H32" s="737"/>
      <c r="I32" s="737"/>
    </row>
    <row r="33" spans="1:18">
      <c r="B33" s="83" t="s">
        <v>124</v>
      </c>
      <c r="C33" s="83" t="s">
        <v>125</v>
      </c>
      <c r="D33" s="83" t="s">
        <v>126</v>
      </c>
      <c r="E33" s="83" t="s">
        <v>127</v>
      </c>
      <c r="F33" s="83" t="s">
        <v>420</v>
      </c>
      <c r="G33" s="83" t="s">
        <v>421</v>
      </c>
      <c r="H33" s="83" t="s">
        <v>422</v>
      </c>
      <c r="I33" s="83" t="s">
        <v>423</v>
      </c>
      <c r="J33" s="83"/>
    </row>
    <row r="34" spans="1:18">
      <c r="B34" s="100" t="s">
        <v>1044</v>
      </c>
      <c r="C34" s="83"/>
      <c r="D34" s="587" t="s">
        <v>1045</v>
      </c>
      <c r="E34" s="100" t="s">
        <v>426</v>
      </c>
      <c r="F34" s="100" t="s">
        <v>1046</v>
      </c>
      <c r="G34" s="100" t="s">
        <v>427</v>
      </c>
      <c r="H34" s="100" t="s">
        <v>428</v>
      </c>
      <c r="I34" s="100" t="s">
        <v>429</v>
      </c>
    </row>
    <row r="35" spans="1:18" ht="15" customHeight="1">
      <c r="E35" s="145" t="s">
        <v>1047</v>
      </c>
      <c r="G35" s="738" t="s">
        <v>1048</v>
      </c>
      <c r="H35" s="738"/>
      <c r="I35" s="738"/>
    </row>
    <row r="36" spans="1:18" ht="15" customHeight="1">
      <c r="A36" s="138" t="s">
        <v>92</v>
      </c>
      <c r="B36" s="138" t="s">
        <v>440</v>
      </c>
      <c r="C36" s="138" t="s">
        <v>441</v>
      </c>
      <c r="D36" s="138" t="s">
        <v>1049</v>
      </c>
      <c r="E36" s="138" t="s">
        <v>1050</v>
      </c>
      <c r="F36" s="138" t="s">
        <v>1051</v>
      </c>
      <c r="G36" s="138" t="s">
        <v>1052</v>
      </c>
      <c r="H36" s="138" t="s">
        <v>1053</v>
      </c>
      <c r="I36" s="138" t="s">
        <v>1054</v>
      </c>
      <c r="J36" s="146" t="str">
        <f t="shared" ref="J36:J49" si="3">A36</f>
        <v>Line</v>
      </c>
    </row>
    <row r="37" spans="1:18">
      <c r="A37" s="91">
        <v>200</v>
      </c>
      <c r="B37" s="137" t="s">
        <v>449</v>
      </c>
      <c r="C37" s="140">
        <f>'1-DRR'!$K$2-1</f>
        <v>2021</v>
      </c>
      <c r="D37" s="220">
        <v>520256194.68000007</v>
      </c>
      <c r="E37" s="220">
        <v>36907971.290000007</v>
      </c>
      <c r="F37" s="24">
        <f t="shared" ref="F37:F49" si="4">+D37-E37</f>
        <v>483348223.39000005</v>
      </c>
      <c r="G37" s="302">
        <v>5341192.0999999996</v>
      </c>
      <c r="H37" s="302">
        <v>329276041.40999997</v>
      </c>
      <c r="I37" s="302">
        <v>148730989.88</v>
      </c>
      <c r="J37" s="91">
        <f t="shared" si="3"/>
        <v>200</v>
      </c>
      <c r="K37" s="24"/>
      <c r="L37" s="147"/>
      <c r="M37" s="147"/>
      <c r="N37" s="147"/>
      <c r="O37" s="147"/>
      <c r="P37" s="148"/>
      <c r="Q37" s="149"/>
      <c r="R37" s="149"/>
    </row>
    <row r="38" spans="1:18">
      <c r="A38" s="91">
        <f t="shared" ref="A38:A49" si="5">A37+1</f>
        <v>201</v>
      </c>
      <c r="B38" s="137" t="s">
        <v>451</v>
      </c>
      <c r="C38" s="140">
        <f>'1-DRR'!$K$2</f>
        <v>2022</v>
      </c>
      <c r="D38" s="220">
        <v>503762533.92999995</v>
      </c>
      <c r="E38" s="220">
        <v>38798087.750000007</v>
      </c>
      <c r="F38" s="24">
        <f t="shared" si="4"/>
        <v>464964446.17999995</v>
      </c>
      <c r="G38" s="302">
        <v>2786956.73</v>
      </c>
      <c r="H38" s="302">
        <v>275211805.38</v>
      </c>
      <c r="I38" s="302">
        <v>186965684.06999999</v>
      </c>
      <c r="J38" s="91">
        <f t="shared" si="3"/>
        <v>201</v>
      </c>
      <c r="K38" s="24"/>
      <c r="L38" s="147"/>
      <c r="M38" s="147"/>
      <c r="N38" s="147"/>
      <c r="O38" s="147"/>
      <c r="P38" s="148"/>
      <c r="Q38" s="149"/>
      <c r="R38" s="149"/>
    </row>
    <row r="39" spans="1:18">
      <c r="A39" s="91">
        <f t="shared" si="5"/>
        <v>202</v>
      </c>
      <c r="B39" s="137" t="s">
        <v>452</v>
      </c>
      <c r="C39" s="140">
        <f>'1-DRR'!$K$2</f>
        <v>2022</v>
      </c>
      <c r="D39" s="220">
        <v>423722926.08000004</v>
      </c>
      <c r="E39" s="220">
        <v>13382736.170000006</v>
      </c>
      <c r="F39" s="24">
        <f t="shared" si="4"/>
        <v>410340189.91000003</v>
      </c>
      <c r="G39" s="302">
        <v>573395.49</v>
      </c>
      <c r="H39" s="302">
        <v>221147569.35000002</v>
      </c>
      <c r="I39" s="302">
        <v>188619225.07000002</v>
      </c>
      <c r="J39" s="91">
        <f t="shared" si="3"/>
        <v>202</v>
      </c>
      <c r="K39" s="24"/>
      <c r="L39" s="147"/>
      <c r="M39" s="147"/>
      <c r="N39" s="147"/>
      <c r="O39" s="147"/>
      <c r="P39" s="148"/>
      <c r="Q39" s="149"/>
      <c r="R39" s="149"/>
    </row>
    <row r="40" spans="1:18">
      <c r="A40" s="91">
        <f t="shared" si="5"/>
        <v>203</v>
      </c>
      <c r="B40" s="137" t="s">
        <v>453</v>
      </c>
      <c r="C40" s="140">
        <f>'1-DRR'!$K$2</f>
        <v>2022</v>
      </c>
      <c r="D40" s="220">
        <v>370427559.17999995</v>
      </c>
      <c r="E40" s="220">
        <v>5552604.5500000054</v>
      </c>
      <c r="F40" s="24">
        <f t="shared" si="4"/>
        <v>364874954.62999994</v>
      </c>
      <c r="G40" s="302">
        <v>22333895.199999999</v>
      </c>
      <c r="H40" s="302">
        <v>167083333.31999999</v>
      </c>
      <c r="I40" s="302">
        <v>175457726.10999998</v>
      </c>
      <c r="J40" s="91">
        <f t="shared" si="3"/>
        <v>203</v>
      </c>
      <c r="K40" s="24"/>
      <c r="L40" s="147"/>
      <c r="M40" s="147"/>
      <c r="N40" s="147"/>
      <c r="O40" s="147"/>
      <c r="P40" s="148"/>
      <c r="Q40" s="149"/>
      <c r="R40" s="149"/>
    </row>
    <row r="41" spans="1:18">
      <c r="A41" s="91">
        <f t="shared" si="5"/>
        <v>204</v>
      </c>
      <c r="B41" s="137" t="s">
        <v>454</v>
      </c>
      <c r="C41" s="140">
        <f>'1-DRR'!$K$2</f>
        <v>2022</v>
      </c>
      <c r="D41" s="220">
        <v>801359203.52999997</v>
      </c>
      <c r="E41" s="220">
        <v>5299740.7500000056</v>
      </c>
      <c r="F41" s="24">
        <f t="shared" si="4"/>
        <v>796059462.77999997</v>
      </c>
      <c r="G41" s="302">
        <v>26738852.169999998</v>
      </c>
      <c r="H41" s="302">
        <v>489152894.16000003</v>
      </c>
      <c r="I41" s="302">
        <v>280167716.44999999</v>
      </c>
      <c r="J41" s="91">
        <f t="shared" si="3"/>
        <v>204</v>
      </c>
      <c r="K41" s="24"/>
      <c r="L41" s="147"/>
      <c r="M41" s="147"/>
      <c r="N41" s="147"/>
      <c r="O41" s="147"/>
      <c r="P41" s="148"/>
      <c r="Q41" s="149"/>
      <c r="R41" s="149"/>
    </row>
    <row r="42" spans="1:18">
      <c r="A42" s="91">
        <f t="shared" si="5"/>
        <v>205</v>
      </c>
      <c r="B42" s="137" t="s">
        <v>455</v>
      </c>
      <c r="C42" s="140">
        <f>'1-DRR'!$K$2</f>
        <v>2022</v>
      </c>
      <c r="D42" s="220">
        <v>671198935.00999987</v>
      </c>
      <c r="E42" s="220">
        <v>5046876.9500000058</v>
      </c>
      <c r="F42" s="24">
        <f t="shared" si="4"/>
        <v>666152058.05999982</v>
      </c>
      <c r="G42" s="302">
        <v>26679849.780000001</v>
      </c>
      <c r="H42" s="302">
        <v>413909530.95999992</v>
      </c>
      <c r="I42" s="302">
        <v>225562677.31999996</v>
      </c>
      <c r="J42" s="91">
        <f t="shared" si="3"/>
        <v>205</v>
      </c>
      <c r="K42" s="24"/>
      <c r="L42" s="147"/>
      <c r="M42" s="147"/>
      <c r="N42" s="147"/>
      <c r="O42" s="147"/>
      <c r="P42" s="148"/>
      <c r="Q42" s="149"/>
      <c r="R42" s="149"/>
    </row>
    <row r="43" spans="1:18">
      <c r="A43" s="91">
        <f t="shared" si="5"/>
        <v>206</v>
      </c>
      <c r="B43" s="137" t="s">
        <v>737</v>
      </c>
      <c r="C43" s="140">
        <f>'1-DRR'!$K$2</f>
        <v>2022</v>
      </c>
      <c r="D43" s="220">
        <v>559367164.83999991</v>
      </c>
      <c r="E43" s="220">
        <v>6571160.4900000058</v>
      </c>
      <c r="F43" s="24">
        <f t="shared" si="4"/>
        <v>552796004.3499999</v>
      </c>
      <c r="G43" s="302">
        <v>23791903.09</v>
      </c>
      <c r="H43" s="302">
        <v>339101911.19999999</v>
      </c>
      <c r="I43" s="302">
        <v>189902190.06</v>
      </c>
      <c r="J43" s="91">
        <f t="shared" si="3"/>
        <v>206</v>
      </c>
      <c r="K43" s="24"/>
      <c r="L43" s="147"/>
      <c r="M43" s="147"/>
      <c r="N43" s="147"/>
      <c r="O43" s="147"/>
      <c r="P43" s="148"/>
      <c r="Q43" s="149"/>
      <c r="R43" s="149"/>
    </row>
    <row r="44" spans="1:18">
      <c r="A44" s="91">
        <f t="shared" si="5"/>
        <v>207</v>
      </c>
      <c r="B44" s="137" t="s">
        <v>457</v>
      </c>
      <c r="C44" s="140">
        <f>'1-DRR'!$K$2</f>
        <v>2022</v>
      </c>
      <c r="D44" s="220">
        <v>1010206675.9399998</v>
      </c>
      <c r="E44" s="220">
        <v>6318296.6900000051</v>
      </c>
      <c r="F44" s="24">
        <f t="shared" si="4"/>
        <v>1003888379.2499998</v>
      </c>
      <c r="G44" s="302">
        <v>20903956.399999999</v>
      </c>
      <c r="H44" s="302">
        <v>765544291.39999998</v>
      </c>
      <c r="I44" s="302">
        <v>217440131.44999996</v>
      </c>
      <c r="J44" s="91">
        <f t="shared" si="3"/>
        <v>207</v>
      </c>
      <c r="K44" s="24"/>
      <c r="L44" s="147"/>
      <c r="M44" s="147"/>
      <c r="N44" s="147"/>
      <c r="O44" s="147"/>
      <c r="P44" s="148"/>
      <c r="Q44" s="149"/>
      <c r="R44" s="149"/>
    </row>
    <row r="45" spans="1:18">
      <c r="A45" s="91">
        <f t="shared" si="5"/>
        <v>208</v>
      </c>
      <c r="B45" s="137" t="s">
        <v>458</v>
      </c>
      <c r="C45" s="140">
        <f>'1-DRR'!$K$2</f>
        <v>2022</v>
      </c>
      <c r="D45" s="220">
        <v>930491659.18999994</v>
      </c>
      <c r="E45" s="220">
        <v>7871449.6000000052</v>
      </c>
      <c r="F45" s="24">
        <f t="shared" si="4"/>
        <v>922620209.58999991</v>
      </c>
      <c r="G45" s="302">
        <v>18016009.710000001</v>
      </c>
      <c r="H45" s="302">
        <v>690736671.63999999</v>
      </c>
      <c r="I45" s="302">
        <v>213867528.24000001</v>
      </c>
      <c r="J45" s="91">
        <f t="shared" si="3"/>
        <v>208</v>
      </c>
      <c r="K45" s="24"/>
      <c r="L45" s="147"/>
      <c r="M45" s="147"/>
      <c r="N45" s="147"/>
      <c r="O45" s="147"/>
      <c r="P45" s="148"/>
      <c r="Q45" s="149"/>
      <c r="R45" s="149"/>
    </row>
    <row r="46" spans="1:18">
      <c r="A46" s="91">
        <f t="shared" si="5"/>
        <v>209</v>
      </c>
      <c r="B46" s="137" t="s">
        <v>459</v>
      </c>
      <c r="C46" s="140">
        <f>'1-DRR'!$K$2</f>
        <v>2022</v>
      </c>
      <c r="D46" s="220">
        <v>834413543.45999992</v>
      </c>
      <c r="E46" s="220">
        <v>9623467.9700000044</v>
      </c>
      <c r="F46" s="24">
        <f t="shared" si="4"/>
        <v>824790075.48999989</v>
      </c>
      <c r="G46" s="302">
        <v>15128063.020000001</v>
      </c>
      <c r="H46" s="302">
        <v>615929051.87999988</v>
      </c>
      <c r="I46" s="302">
        <v>193732960.59000003</v>
      </c>
      <c r="J46" s="91">
        <f t="shared" si="3"/>
        <v>209</v>
      </c>
      <c r="K46" s="24"/>
      <c r="L46" s="147"/>
      <c r="M46" s="147"/>
      <c r="N46" s="147"/>
      <c r="O46" s="147"/>
      <c r="P46" s="148"/>
      <c r="Q46" s="149"/>
      <c r="R46" s="149"/>
    </row>
    <row r="47" spans="1:18">
      <c r="A47" s="91">
        <f t="shared" si="5"/>
        <v>210</v>
      </c>
      <c r="B47" s="137" t="s">
        <v>460</v>
      </c>
      <c r="C47" s="140">
        <f>'1-DRR'!$K$2</f>
        <v>2022</v>
      </c>
      <c r="D47" s="220">
        <v>743906227.23000014</v>
      </c>
      <c r="E47" s="220">
        <v>9370604.1700000055</v>
      </c>
      <c r="F47" s="24">
        <f t="shared" si="4"/>
        <v>734535623.06000018</v>
      </c>
      <c r="G47" s="302">
        <v>12240116.329999998</v>
      </c>
      <c r="H47" s="302">
        <v>541121432.12</v>
      </c>
      <c r="I47" s="302">
        <v>181174074.61000007</v>
      </c>
      <c r="J47" s="91">
        <f t="shared" si="3"/>
        <v>210</v>
      </c>
      <c r="K47" s="24"/>
      <c r="L47" s="147"/>
      <c r="M47" s="147"/>
      <c r="N47" s="147"/>
      <c r="O47" s="147"/>
      <c r="P47" s="148"/>
      <c r="Q47" s="149"/>
      <c r="R47" s="149"/>
    </row>
    <row r="48" spans="1:18">
      <c r="A48" s="91">
        <f t="shared" si="5"/>
        <v>211</v>
      </c>
      <c r="B48" s="137" t="s">
        <v>461</v>
      </c>
      <c r="C48" s="140">
        <f>'1-DRR'!$K$2</f>
        <v>2022</v>
      </c>
      <c r="D48" s="220">
        <v>673741745.99000001</v>
      </c>
      <c r="E48" s="220">
        <v>9117740.3700000048</v>
      </c>
      <c r="F48" s="24">
        <f t="shared" si="4"/>
        <v>664624005.62</v>
      </c>
      <c r="G48" s="302">
        <v>9352169.6400000006</v>
      </c>
      <c r="H48" s="302">
        <v>466313812.36000001</v>
      </c>
      <c r="I48" s="302">
        <v>188958023.62</v>
      </c>
      <c r="J48" s="91">
        <f t="shared" si="3"/>
        <v>211</v>
      </c>
      <c r="K48" s="24"/>
      <c r="L48" s="147"/>
      <c r="M48" s="147"/>
      <c r="N48" s="147"/>
      <c r="O48" s="147"/>
      <c r="P48" s="148"/>
      <c r="Q48" s="149"/>
      <c r="R48" s="149"/>
    </row>
    <row r="49" spans="1:18">
      <c r="A49" s="91">
        <f t="shared" si="5"/>
        <v>212</v>
      </c>
      <c r="B49" s="136" t="s">
        <v>449</v>
      </c>
      <c r="C49" s="140">
        <f>'1-DRR'!$K$2</f>
        <v>2022</v>
      </c>
      <c r="D49" s="220">
        <v>570965644.62</v>
      </c>
      <c r="E49" s="220">
        <v>10875252.010000005</v>
      </c>
      <c r="F49" s="24">
        <f t="shared" si="4"/>
        <v>560090392.61000001</v>
      </c>
      <c r="G49" s="302">
        <v>6464222.9500000002</v>
      </c>
      <c r="H49" s="302">
        <v>391506192.60000002</v>
      </c>
      <c r="I49" s="302">
        <v>162119977.06</v>
      </c>
      <c r="J49" s="91">
        <f t="shared" si="3"/>
        <v>212</v>
      </c>
      <c r="K49" s="24"/>
      <c r="L49" s="147"/>
      <c r="M49" s="147"/>
      <c r="N49" s="147"/>
      <c r="O49" s="147"/>
      <c r="P49" s="148"/>
      <c r="Q49" s="149"/>
      <c r="R49" s="149"/>
    </row>
    <row r="50" spans="1:18">
      <c r="A50" s="91"/>
      <c r="B50" s="136"/>
      <c r="C50" s="140"/>
      <c r="D50" s="11"/>
      <c r="E50" s="11"/>
      <c r="F50" s="11"/>
      <c r="G50" s="150"/>
      <c r="H50" s="150"/>
      <c r="I50" s="150"/>
      <c r="J50" s="91"/>
      <c r="L50" s="147"/>
      <c r="M50" s="147"/>
      <c r="N50" s="147"/>
      <c r="O50" s="147"/>
      <c r="P50" s="148"/>
      <c r="Q50" s="149"/>
      <c r="R50" s="149"/>
    </row>
    <row r="51" spans="1:18">
      <c r="B51" s="136"/>
      <c r="C51" s="140"/>
      <c r="D51" s="151"/>
      <c r="E51" s="11"/>
      <c r="F51" s="151"/>
      <c r="G51" s="26"/>
      <c r="H51" s="21"/>
      <c r="J51" s="91"/>
    </row>
    <row r="52" spans="1:18">
      <c r="A52" s="91"/>
      <c r="C52" s="140"/>
      <c r="D52" s="151"/>
      <c r="E52" s="11"/>
      <c r="F52" s="151"/>
      <c r="G52" s="4"/>
      <c r="H52" s="109" t="s">
        <v>1055</v>
      </c>
      <c r="I52" s="4"/>
      <c r="J52" s="91"/>
    </row>
    <row r="53" spans="1:18">
      <c r="A53" s="91"/>
      <c r="B53" s="143" t="s">
        <v>1056</v>
      </c>
      <c r="C53" s="140"/>
      <c r="D53" s="151"/>
      <c r="E53" s="11"/>
      <c r="F53" s="151"/>
      <c r="G53" s="129" t="s">
        <v>1057</v>
      </c>
      <c r="H53" s="290" t="s">
        <v>1058</v>
      </c>
      <c r="I53" s="129" t="s">
        <v>1059</v>
      </c>
      <c r="J53" s="91"/>
    </row>
    <row r="54" spans="1:18">
      <c r="A54" s="91">
        <f>A49+1</f>
        <v>213</v>
      </c>
      <c r="B54" s="136" t="s">
        <v>1060</v>
      </c>
      <c r="C54" s="152" t="s">
        <v>1061</v>
      </c>
      <c r="D54" s="151"/>
      <c r="E54" s="11"/>
      <c r="F54" s="151"/>
      <c r="G54" s="288">
        <f>'24-Allocators'!C29</f>
        <v>0.41486697866425831</v>
      </c>
      <c r="H54" s="291">
        <f>'24-Allocators'!C36</f>
        <v>0.36034149905598345</v>
      </c>
      <c r="I54" s="289">
        <f>'24-Allocators'!C24</f>
        <v>0.30581601944770853</v>
      </c>
      <c r="J54" s="91">
        <f>A54</f>
        <v>213</v>
      </c>
    </row>
    <row r="55" spans="1:18">
      <c r="B55" s="136"/>
      <c r="C55" s="140"/>
      <c r="D55" s="151"/>
      <c r="E55" s="11"/>
      <c r="F55" s="151"/>
      <c r="G55" s="26"/>
      <c r="J55" s="91"/>
    </row>
    <row r="56" spans="1:18" ht="29.25" customHeight="1">
      <c r="A56" s="91">
        <f>+A54+1</f>
        <v>214</v>
      </c>
      <c r="B56" s="143" t="s">
        <v>1062</v>
      </c>
      <c r="C56" s="108" t="str">
        <f>"(Sum Line "&amp;A37&amp;" to Line "&amp;A49&amp;") / 13"</f>
        <v>(Sum Line 200 to Line 212) / 13</v>
      </c>
      <c r="D56" s="278">
        <f>SUM(D37:D49)/13</f>
        <v>662601539.51384604</v>
      </c>
      <c r="E56" s="278">
        <f t="shared" ref="E56:I56" si="6">SUM(E37:E49)/13</f>
        <v>12671999.135384623</v>
      </c>
      <c r="F56" s="278">
        <f t="shared" si="6"/>
        <v>649929540.37846148</v>
      </c>
      <c r="G56" s="278">
        <f t="shared" si="6"/>
        <v>14642352.508461539</v>
      </c>
      <c r="H56" s="278">
        <f t="shared" si="6"/>
        <v>438925733.67538458</v>
      </c>
      <c r="I56" s="278">
        <f t="shared" si="6"/>
        <v>196361454.19461536</v>
      </c>
      <c r="J56" s="91">
        <f>A56</f>
        <v>214</v>
      </c>
      <c r="L56" s="11"/>
    </row>
    <row r="57" spans="1:18">
      <c r="A57" s="91">
        <f>A56+1</f>
        <v>215</v>
      </c>
      <c r="B57" s="136" t="s">
        <v>1063</v>
      </c>
      <c r="C57" s="18" t="str">
        <f>"Line "&amp;A54&amp;" * Line "&amp;A56&amp;""</f>
        <v>Line 213 * Line 214</v>
      </c>
      <c r="D57" s="279"/>
      <c r="E57" s="279"/>
      <c r="F57" s="279">
        <f>+G57+H57+I57</f>
        <v>224288264</v>
      </c>
      <c r="G57" s="278">
        <f>ROUND(G56*G54,0)</f>
        <v>6074629</v>
      </c>
      <c r="H57" s="278">
        <f>ROUND(H56*H54,0)</f>
        <v>158163157</v>
      </c>
      <c r="I57" s="278">
        <f>ROUND(I56*I54,0)</f>
        <v>60050478</v>
      </c>
      <c r="J57" s="91">
        <f>A57</f>
        <v>215</v>
      </c>
      <c r="L57" s="11"/>
    </row>
    <row r="58" spans="1:18">
      <c r="B58" s="136"/>
      <c r="C58" s="134"/>
      <c r="D58" s="151"/>
      <c r="E58" s="151"/>
      <c r="F58" s="151"/>
      <c r="G58" s="151"/>
      <c r="H58" s="151"/>
      <c r="I58" s="151"/>
      <c r="J58" s="91"/>
    </row>
    <row r="59" spans="1:18">
      <c r="A59" s="91">
        <f>A57+1</f>
        <v>216</v>
      </c>
      <c r="B59" s="143" t="s">
        <v>1064</v>
      </c>
      <c r="C59" s="134" t="str">
        <f>"Line "&amp;A49&amp;""</f>
        <v>Line 212</v>
      </c>
      <c r="D59" s="278">
        <f t="shared" ref="D59:I59" si="7">+D49</f>
        <v>570965644.62</v>
      </c>
      <c r="E59" s="278">
        <f t="shared" si="7"/>
        <v>10875252.010000005</v>
      </c>
      <c r="F59" s="278">
        <f t="shared" si="7"/>
        <v>560090392.61000001</v>
      </c>
      <c r="G59" s="278">
        <f t="shared" si="7"/>
        <v>6464222.9500000002</v>
      </c>
      <c r="H59" s="278">
        <f t="shared" si="7"/>
        <v>391506192.60000002</v>
      </c>
      <c r="I59" s="278">
        <f t="shared" si="7"/>
        <v>162119977.06</v>
      </c>
      <c r="J59" s="91">
        <f>A59</f>
        <v>216</v>
      </c>
      <c r="L59" s="11"/>
    </row>
    <row r="60" spans="1:18">
      <c r="A60" s="91">
        <f>A59+1</f>
        <v>217</v>
      </c>
      <c r="B60" s="136" t="s">
        <v>1063</v>
      </c>
      <c r="C60" s="18" t="str">
        <f>"Line "&amp;A54&amp;" * Line "&amp;A59&amp;""</f>
        <v>Line 213 * Line 216</v>
      </c>
      <c r="D60" s="278"/>
      <c r="E60" s="278"/>
      <c r="F60" s="279">
        <f>+G60+H60+I60</f>
        <v>193336607</v>
      </c>
      <c r="G60" s="278">
        <f>ROUND(G59*G54,0)</f>
        <v>2681793</v>
      </c>
      <c r="H60" s="278">
        <f>ROUND(H59*H54,0)</f>
        <v>141075928</v>
      </c>
      <c r="I60" s="278">
        <f>ROUND(I59*I54,0)</f>
        <v>49578886</v>
      </c>
      <c r="J60" s="91">
        <f>A60</f>
        <v>217</v>
      </c>
      <c r="L60" s="11"/>
    </row>
    <row r="61" spans="1:18">
      <c r="A61" s="91"/>
      <c r="B61" s="143"/>
      <c r="C61" s="140"/>
      <c r="D61" s="151"/>
      <c r="E61" s="151"/>
      <c r="F61" s="151"/>
      <c r="G61" s="151"/>
      <c r="H61" s="151"/>
      <c r="I61" s="151"/>
      <c r="J61" s="91"/>
      <c r="L61" s="11"/>
    </row>
    <row r="62" spans="1:18">
      <c r="A62" s="91"/>
      <c r="B62" s="143" t="s">
        <v>598</v>
      </c>
      <c r="C62" s="140"/>
      <c r="D62" s="151"/>
      <c r="E62" s="151"/>
      <c r="F62" s="151"/>
      <c r="G62" s="151"/>
      <c r="H62" s="151"/>
      <c r="I62" s="151"/>
      <c r="J62" s="91"/>
      <c r="L62" s="11"/>
    </row>
    <row r="63" spans="1:18">
      <c r="A63" s="91"/>
      <c r="B63" s="136" t="s">
        <v>1065</v>
      </c>
      <c r="C63" s="140"/>
      <c r="D63" s="151"/>
      <c r="E63" s="151"/>
      <c r="F63" s="151"/>
      <c r="G63" s="151"/>
      <c r="H63" s="151"/>
      <c r="I63" s="151"/>
      <c r="J63" s="91"/>
      <c r="L63" s="11"/>
    </row>
    <row r="64" spans="1:18">
      <c r="A64" s="91"/>
      <c r="B64" s="136" t="s">
        <v>1066</v>
      </c>
      <c r="C64" s="140"/>
      <c r="D64" s="151"/>
      <c r="E64" s="151"/>
      <c r="F64" s="151"/>
      <c r="G64" s="151"/>
      <c r="H64" s="151"/>
      <c r="I64" s="151"/>
      <c r="J64" s="91"/>
      <c r="L64" s="11"/>
    </row>
    <row r="65" spans="1:12">
      <c r="A65" s="91"/>
      <c r="B65" s="136" t="s">
        <v>1067</v>
      </c>
      <c r="C65" s="140"/>
      <c r="D65" s="151"/>
      <c r="E65" s="151"/>
      <c r="F65" s="151"/>
      <c r="G65" s="151"/>
      <c r="H65" s="151"/>
      <c r="I65" s="151"/>
      <c r="J65" s="91"/>
      <c r="L65" s="11"/>
    </row>
    <row r="66" spans="1:12">
      <c r="A66" s="91"/>
      <c r="B66" s="136" t="s">
        <v>1068</v>
      </c>
      <c r="C66" s="140"/>
      <c r="D66" s="151"/>
      <c r="E66" s="151"/>
      <c r="F66" s="151"/>
      <c r="G66" s="151"/>
      <c r="H66" s="151"/>
      <c r="I66" s="151"/>
      <c r="J66" s="91"/>
      <c r="L66" s="11"/>
    </row>
    <row r="67" spans="1:12">
      <c r="A67" s="91"/>
      <c r="B67" s="136" t="s">
        <v>1069</v>
      </c>
      <c r="C67" s="140"/>
      <c r="D67" s="151"/>
      <c r="E67" s="151"/>
      <c r="F67" s="151"/>
      <c r="G67" s="151"/>
      <c r="H67" s="151"/>
      <c r="I67" s="151"/>
      <c r="J67" s="91"/>
      <c r="L67" s="11"/>
    </row>
    <row r="68" spans="1:12">
      <c r="A68" s="91"/>
      <c r="B68" s="136" t="s">
        <v>1070</v>
      </c>
      <c r="C68" s="140"/>
      <c r="D68" s="151"/>
      <c r="E68" s="151"/>
      <c r="F68" s="151"/>
      <c r="G68" s="151"/>
      <c r="H68" s="151"/>
      <c r="I68" s="151"/>
      <c r="J68" s="91"/>
      <c r="L68" s="11"/>
    </row>
    <row r="69" spans="1:12">
      <c r="B69" s="136" t="s">
        <v>1071</v>
      </c>
    </row>
    <row r="72" spans="1:12">
      <c r="H72" s="12"/>
    </row>
    <row r="74" spans="1:12">
      <c r="H74" s="153"/>
    </row>
  </sheetData>
  <mergeCells count="3">
    <mergeCell ref="B30:I31"/>
    <mergeCell ref="G32:I32"/>
    <mergeCell ref="G35:I35"/>
  </mergeCells>
  <printOptions horizontalCentered="1"/>
  <pageMargins left="1" right="1" top="1" bottom="1" header="0.5" footer="0.5"/>
  <pageSetup scale="63"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N126"/>
  <sheetViews>
    <sheetView view="pageBreakPreview" topLeftCell="A55" zoomScale="40" zoomScaleNormal="70" zoomScaleSheetLayoutView="40" zoomScalePageLayoutView="55" workbookViewId="0">
      <selection activeCell="D45" sqref="D45"/>
    </sheetView>
  </sheetViews>
  <sheetFormatPr defaultColWidth="9.1796875" defaultRowHeight="14.5"/>
  <cols>
    <col min="1" max="1" width="6.7265625" bestFit="1" customWidth="1"/>
    <col min="2" max="2" width="9.54296875" customWidth="1"/>
    <col min="3" max="3" width="48.453125" customWidth="1"/>
    <col min="4" max="4" width="25.1796875" customWidth="1"/>
    <col min="5" max="5" width="28.26953125" customWidth="1"/>
    <col min="6" max="6" width="30.1796875" customWidth="1"/>
    <col min="7" max="7" width="25.26953125" customWidth="1"/>
    <col min="8" max="8" width="22.26953125" customWidth="1"/>
    <col min="9" max="9" width="53.54296875" bestFit="1" customWidth="1"/>
    <col min="10" max="10" width="34.7265625" customWidth="1"/>
    <col min="11" max="11" width="19.26953125" bestFit="1" customWidth="1"/>
    <col min="12" max="12" width="15" customWidth="1"/>
    <col min="13" max="13" width="18.7265625" customWidth="1"/>
    <col min="17" max="17" width="11.453125" bestFit="1" customWidth="1"/>
  </cols>
  <sheetData>
    <row r="1" spans="1:14">
      <c r="B1" s="2" t="s">
        <v>41</v>
      </c>
      <c r="I1" s="6"/>
      <c r="M1" s="6" t="str">
        <f>CONCATENATE("Prior Year: ",'1-DRR'!$K$2)</f>
        <v>Prior Year: 2022</v>
      </c>
    </row>
    <row r="2" spans="1:14">
      <c r="B2" s="78" t="s">
        <v>122</v>
      </c>
      <c r="C2" s="154"/>
      <c r="I2" s="6"/>
      <c r="J2" s="6"/>
    </row>
    <row r="3" spans="1:14">
      <c r="B3" s="105" t="s">
        <v>1072</v>
      </c>
      <c r="C3" s="114"/>
      <c r="D3" s="114"/>
    </row>
    <row r="4" spans="1:14">
      <c r="B4" s="116" t="s">
        <v>1073</v>
      </c>
      <c r="C4" s="117"/>
      <c r="D4" s="117"/>
      <c r="E4" s="43"/>
      <c r="F4" s="43"/>
      <c r="G4" s="43"/>
      <c r="H4" s="43"/>
      <c r="I4" s="43"/>
      <c r="J4" s="43"/>
      <c r="K4" s="43"/>
      <c r="L4" s="43"/>
      <c r="M4" s="43"/>
    </row>
    <row r="5" spans="1:14">
      <c r="B5" s="155" t="s">
        <v>1074</v>
      </c>
      <c r="C5" s="114"/>
      <c r="D5" s="114"/>
    </row>
    <row r="6" spans="1:14">
      <c r="B6" s="115"/>
      <c r="C6" s="83" t="s">
        <v>124</v>
      </c>
      <c r="D6" s="83" t="s">
        <v>125</v>
      </c>
      <c r="E6" s="83" t="s">
        <v>126</v>
      </c>
    </row>
    <row r="7" spans="1:14">
      <c r="C7" s="114"/>
    </row>
    <row r="8" spans="1:14">
      <c r="A8" s="80" t="s">
        <v>92</v>
      </c>
      <c r="B8" s="115"/>
      <c r="C8" s="7" t="s">
        <v>1075</v>
      </c>
      <c r="D8" s="80" t="s">
        <v>1076</v>
      </c>
      <c r="E8" s="3" t="s">
        <v>128</v>
      </c>
      <c r="N8" s="80" t="str">
        <f t="shared" ref="N8:N13" si="0">A8</f>
        <v>Line</v>
      </c>
    </row>
    <row r="9" spans="1:14">
      <c r="A9" s="91">
        <v>100</v>
      </c>
      <c r="B9" s="115"/>
      <c r="C9" s="8" t="s">
        <v>1077</v>
      </c>
      <c r="D9" s="242">
        <f>+D41</f>
        <v>976314674.07108748</v>
      </c>
      <c r="E9" s="9" t="str">
        <f>"Line "&amp;A41&amp;", Col. 2"</f>
        <v>Line 212, Col. 2</v>
      </c>
      <c r="N9" s="4">
        <f t="shared" si="0"/>
        <v>100</v>
      </c>
    </row>
    <row r="10" spans="1:14">
      <c r="A10" s="91">
        <f>A9+1</f>
        <v>101</v>
      </c>
      <c r="B10" s="115"/>
      <c r="C10" s="8" t="s">
        <v>1078</v>
      </c>
      <c r="D10" s="242">
        <f>+D60</f>
        <v>-3794957272.9900513</v>
      </c>
      <c r="E10" s="9" t="str">
        <f>"Line "&amp;A60&amp;", Col. 2"</f>
        <v>Line 309, Col. 2</v>
      </c>
      <c r="N10" s="4">
        <f t="shared" si="0"/>
        <v>101</v>
      </c>
    </row>
    <row r="11" spans="1:14">
      <c r="A11" s="91">
        <f>A10+1</f>
        <v>102</v>
      </c>
      <c r="B11" s="115"/>
      <c r="C11" s="8" t="s">
        <v>1079</v>
      </c>
      <c r="D11" s="242">
        <f>+D79</f>
        <v>0</v>
      </c>
      <c r="E11" s="9" t="str">
        <f>"Line "&amp;A79&amp;", Col. 2"</f>
        <v>Line 406, Col. 2</v>
      </c>
      <c r="I11" s="128"/>
      <c r="N11" s="4">
        <f t="shared" si="0"/>
        <v>102</v>
      </c>
    </row>
    <row r="12" spans="1:14">
      <c r="A12" s="91">
        <f>A11+1</f>
        <v>103</v>
      </c>
      <c r="B12" s="115"/>
      <c r="C12" s="8" t="s">
        <v>1080</v>
      </c>
      <c r="D12" s="242">
        <f>+D95</f>
        <v>-22426773.560546413</v>
      </c>
      <c r="E12" s="9" t="str">
        <f>"Line "&amp;A95&amp;", Col. 2"</f>
        <v>Line 506, Col. 2</v>
      </c>
      <c r="I12" s="128"/>
      <c r="N12" s="4">
        <f t="shared" si="0"/>
        <v>103</v>
      </c>
    </row>
    <row r="13" spans="1:14">
      <c r="A13" s="91">
        <f>A12+1</f>
        <v>104</v>
      </c>
      <c r="B13" s="115"/>
      <c r="C13" s="8" t="s">
        <v>1081</v>
      </c>
      <c r="D13" s="711">
        <f>SUM(D9:D12)</f>
        <v>-2841069372.4795103</v>
      </c>
      <c r="E13" s="156" t="str">
        <f>"Sum of Lines "&amp;A9&amp;" to "&amp;A12&amp;""</f>
        <v>Sum of Lines 100 to 103</v>
      </c>
      <c r="N13" s="4">
        <f t="shared" si="0"/>
        <v>104</v>
      </c>
    </row>
    <row r="14" spans="1:14">
      <c r="A14" s="91"/>
      <c r="B14" s="115"/>
      <c r="G14" s="157"/>
      <c r="H14" s="26"/>
      <c r="I14" s="128"/>
      <c r="N14" s="4"/>
    </row>
    <row r="15" spans="1:14">
      <c r="A15" s="91"/>
      <c r="B15" s="155" t="s">
        <v>1082</v>
      </c>
      <c r="G15" s="128"/>
      <c r="H15" s="158"/>
      <c r="I15" s="128"/>
      <c r="N15" s="4"/>
    </row>
    <row r="16" spans="1:14">
      <c r="A16" s="91"/>
      <c r="B16" s="115"/>
      <c r="D16" s="80" t="s">
        <v>1083</v>
      </c>
      <c r="E16" s="3" t="s">
        <v>128</v>
      </c>
      <c r="G16" s="159"/>
      <c r="H16" s="128"/>
      <c r="I16" s="128"/>
      <c r="N16" s="4"/>
    </row>
    <row r="17" spans="1:14" ht="15" thickBot="1">
      <c r="A17" s="91">
        <f>A13+1</f>
        <v>105</v>
      </c>
      <c r="B17" s="115"/>
      <c r="C17" s="8" t="s">
        <v>1081</v>
      </c>
      <c r="D17" s="545">
        <v>-2870541021.8419414</v>
      </c>
      <c r="E17" s="26" t="s">
        <v>1084</v>
      </c>
      <c r="G17" s="128"/>
      <c r="H17" s="128"/>
      <c r="I17" s="128"/>
      <c r="N17" s="4">
        <f>A17</f>
        <v>105</v>
      </c>
    </row>
    <row r="18" spans="1:14" ht="15" thickTop="1">
      <c r="A18" s="91"/>
      <c r="B18" s="115"/>
      <c r="F18" s="128"/>
      <c r="G18" s="128"/>
      <c r="H18" s="128"/>
      <c r="I18" s="128"/>
      <c r="N18" s="4"/>
    </row>
    <row r="19" spans="1:14">
      <c r="A19" s="91"/>
      <c r="B19" s="155" t="s">
        <v>1085</v>
      </c>
      <c r="F19" s="128"/>
      <c r="G19" s="128"/>
      <c r="H19" s="128"/>
      <c r="I19" s="128"/>
      <c r="N19" s="4"/>
    </row>
    <row r="20" spans="1:14">
      <c r="A20" s="91"/>
      <c r="B20" s="114"/>
      <c r="D20" s="80" t="s">
        <v>1086</v>
      </c>
      <c r="E20" s="3" t="s">
        <v>128</v>
      </c>
      <c r="G20" s="159"/>
      <c r="N20" s="4"/>
    </row>
    <row r="21" spans="1:14">
      <c r="A21" s="91">
        <f>A17+1</f>
        <v>106</v>
      </c>
      <c r="B21" s="114"/>
      <c r="C21" s="160" t="s">
        <v>1087</v>
      </c>
      <c r="D21" s="255">
        <f>J120</f>
        <v>-2856888515.7788434</v>
      </c>
      <c r="E21" s="9" t="str">
        <f>"Line "&amp;A120&amp;", Col. 8"</f>
        <v>Line 614, Col. 8</v>
      </c>
      <c r="G21" s="128"/>
      <c r="N21" s="4">
        <f>A21</f>
        <v>106</v>
      </c>
    </row>
    <row r="22" spans="1:14">
      <c r="A22" s="91"/>
      <c r="B22" s="114"/>
      <c r="C22" s="161"/>
      <c r="D22" s="162"/>
      <c r="N22" s="4"/>
    </row>
    <row r="23" spans="1:14">
      <c r="A23" s="91"/>
      <c r="B23" s="557" t="s">
        <v>1088</v>
      </c>
      <c r="C23" s="163"/>
      <c r="D23" s="164"/>
      <c r="E23" s="43"/>
      <c r="F23" s="43"/>
      <c r="G23" s="43"/>
      <c r="H23" s="43"/>
      <c r="I23" s="43"/>
      <c r="J23" s="43"/>
      <c r="K23" s="43"/>
      <c r="L23" s="43"/>
      <c r="M23" s="43"/>
      <c r="N23" s="21"/>
    </row>
    <row r="24" spans="1:14">
      <c r="A24" s="91"/>
      <c r="B24" s="115"/>
      <c r="C24" s="83" t="s">
        <v>124</v>
      </c>
      <c r="D24" s="83" t="s">
        <v>125</v>
      </c>
      <c r="E24" s="83" t="s">
        <v>126</v>
      </c>
      <c r="F24" s="83" t="s">
        <v>127</v>
      </c>
      <c r="G24" s="83" t="s">
        <v>420</v>
      </c>
      <c r="H24" s="83" t="s">
        <v>421</v>
      </c>
      <c r="I24" s="83" t="s">
        <v>422</v>
      </c>
      <c r="N24" s="21"/>
    </row>
    <row r="25" spans="1:14">
      <c r="A25" s="18"/>
      <c r="B25" s="122"/>
      <c r="C25" s="122"/>
      <c r="D25" s="122" t="s">
        <v>1089</v>
      </c>
      <c r="E25" s="122" t="s">
        <v>1090</v>
      </c>
      <c r="F25" s="122"/>
      <c r="G25" s="122" t="s">
        <v>1091</v>
      </c>
      <c r="H25" s="122" t="s">
        <v>1092</v>
      </c>
      <c r="I25" s="165"/>
      <c r="N25" s="21"/>
    </row>
    <row r="26" spans="1:14">
      <c r="A26" s="80" t="s">
        <v>92</v>
      </c>
      <c r="B26" s="166" t="s">
        <v>1093</v>
      </c>
      <c r="C26" s="166" t="s">
        <v>1094</v>
      </c>
      <c r="D26" s="166" t="s">
        <v>1095</v>
      </c>
      <c r="E26" s="166" t="s">
        <v>1096</v>
      </c>
      <c r="F26" s="166" t="s">
        <v>1097</v>
      </c>
      <c r="G26" s="166" t="s">
        <v>426</v>
      </c>
      <c r="H26" s="166" t="s">
        <v>426</v>
      </c>
      <c r="I26" s="166" t="s">
        <v>7</v>
      </c>
      <c r="J26" s="122" t="s">
        <v>555</v>
      </c>
      <c r="N26" s="80" t="str">
        <f>A26</f>
        <v>Line</v>
      </c>
    </row>
    <row r="27" spans="1:14">
      <c r="A27" s="91"/>
      <c r="B27" s="114" t="s">
        <v>1098</v>
      </c>
      <c r="C27" s="114"/>
      <c r="D27" s="114"/>
      <c r="N27" s="4"/>
    </row>
    <row r="28" spans="1:14">
      <c r="A28" s="91">
        <v>200</v>
      </c>
      <c r="B28" s="167">
        <v>190</v>
      </c>
      <c r="C28" s="154" t="s">
        <v>1099</v>
      </c>
      <c r="D28" s="282">
        <f t="shared" ref="D28:D37" si="1">SUM(E28:H28)</f>
        <v>-265747491</v>
      </c>
      <c r="E28" s="243">
        <v>-265747491</v>
      </c>
      <c r="F28" s="220"/>
      <c r="G28" s="244"/>
      <c r="H28" s="244"/>
      <c r="I28" s="168" t="s">
        <v>1100</v>
      </c>
      <c r="J28" s="26" t="s">
        <v>1101</v>
      </c>
      <c r="N28" s="4">
        <f t="shared" ref="N28:N37" si="2">A28</f>
        <v>200</v>
      </c>
    </row>
    <row r="29" spans="1:14">
      <c r="A29" s="91">
        <f t="shared" ref="A29:A37" si="3">A28+1</f>
        <v>201</v>
      </c>
      <c r="B29" s="167">
        <v>190</v>
      </c>
      <c r="C29" s="154" t="s">
        <v>1102</v>
      </c>
      <c r="D29" s="282">
        <f t="shared" si="1"/>
        <v>51907982</v>
      </c>
      <c r="E29" s="243">
        <v>51907982</v>
      </c>
      <c r="F29" s="220"/>
      <c r="G29" s="244"/>
      <c r="H29" s="244"/>
      <c r="I29" s="168" t="s">
        <v>1100</v>
      </c>
      <c r="J29" s="26" t="s">
        <v>1103</v>
      </c>
      <c r="N29" s="4">
        <f t="shared" si="2"/>
        <v>201</v>
      </c>
    </row>
    <row r="30" spans="1:14">
      <c r="A30" s="91">
        <f t="shared" si="3"/>
        <v>202</v>
      </c>
      <c r="B30" s="167">
        <v>190</v>
      </c>
      <c r="C30" s="154" t="s">
        <v>1104</v>
      </c>
      <c r="D30" s="282">
        <f t="shared" si="1"/>
        <v>38055369</v>
      </c>
      <c r="E30" s="243">
        <f>38055369-H30</f>
        <v>11199258</v>
      </c>
      <c r="F30" s="220"/>
      <c r="G30" s="244"/>
      <c r="H30" s="244">
        <v>26856111</v>
      </c>
      <c r="I30" s="168" t="s">
        <v>1105</v>
      </c>
      <c r="J30" s="26" t="s">
        <v>1106</v>
      </c>
      <c r="N30" s="4">
        <f t="shared" si="2"/>
        <v>202</v>
      </c>
    </row>
    <row r="31" spans="1:14">
      <c r="A31" s="91">
        <f t="shared" si="3"/>
        <v>203</v>
      </c>
      <c r="B31" s="167">
        <v>190</v>
      </c>
      <c r="C31" s="154" t="s">
        <v>1107</v>
      </c>
      <c r="D31" s="282">
        <f t="shared" si="1"/>
        <v>67177504</v>
      </c>
      <c r="E31" s="243">
        <v>67177504</v>
      </c>
      <c r="F31" s="244"/>
      <c r="G31" s="244"/>
      <c r="H31" s="244"/>
      <c r="I31" s="168" t="s">
        <v>1100</v>
      </c>
      <c r="J31" s="26" t="s">
        <v>1108</v>
      </c>
      <c r="N31" s="4">
        <f t="shared" si="2"/>
        <v>203</v>
      </c>
    </row>
    <row r="32" spans="1:14">
      <c r="A32" s="91">
        <f t="shared" si="3"/>
        <v>204</v>
      </c>
      <c r="B32" s="167">
        <v>190</v>
      </c>
      <c r="C32" s="154" t="s">
        <v>1109</v>
      </c>
      <c r="D32" s="282">
        <f t="shared" si="1"/>
        <v>1326120555</v>
      </c>
      <c r="E32" s="243">
        <v>1326120555</v>
      </c>
      <c r="F32" s="220"/>
      <c r="G32" s="244"/>
      <c r="H32" s="244"/>
      <c r="I32" s="168" t="s">
        <v>1100</v>
      </c>
      <c r="J32" s="26" t="s">
        <v>1110</v>
      </c>
      <c r="N32" s="4">
        <f t="shared" si="2"/>
        <v>204</v>
      </c>
    </row>
    <row r="33" spans="1:14" ht="15.75" customHeight="1">
      <c r="A33" s="91">
        <f t="shared" si="3"/>
        <v>205</v>
      </c>
      <c r="B33" s="167">
        <v>190</v>
      </c>
      <c r="C33" s="154" t="s">
        <v>1111</v>
      </c>
      <c r="D33" s="282">
        <f t="shared" si="1"/>
        <v>-352127944</v>
      </c>
      <c r="E33" s="243">
        <f>-352127944-G33</f>
        <v>-351823303</v>
      </c>
      <c r="F33" s="256"/>
      <c r="G33" s="262">
        <v>-304641</v>
      </c>
      <c r="H33" s="244"/>
      <c r="I33" s="168" t="s">
        <v>1105</v>
      </c>
      <c r="J33" s="26" t="s">
        <v>1112</v>
      </c>
      <c r="N33" s="4">
        <f t="shared" si="2"/>
        <v>205</v>
      </c>
    </row>
    <row r="34" spans="1:14">
      <c r="A34" s="91">
        <f t="shared" si="3"/>
        <v>206</v>
      </c>
      <c r="B34" s="167">
        <v>190</v>
      </c>
      <c r="C34" s="154" t="s">
        <v>1113</v>
      </c>
      <c r="D34" s="282">
        <f t="shared" si="1"/>
        <v>7266371518</v>
      </c>
      <c r="E34" s="243">
        <f>7266371518-F34</f>
        <v>6267606059.6120605</v>
      </c>
      <c r="F34" s="220">
        <f>998765.45838794*1000</f>
        <v>998765458.38793993</v>
      </c>
      <c r="G34" s="244"/>
      <c r="H34" s="244"/>
      <c r="I34" s="168" t="s">
        <v>1114</v>
      </c>
      <c r="J34" s="26" t="s">
        <v>1115</v>
      </c>
      <c r="N34" s="4">
        <f t="shared" si="2"/>
        <v>206</v>
      </c>
    </row>
    <row r="35" spans="1:14">
      <c r="A35" s="91">
        <f t="shared" si="3"/>
        <v>207</v>
      </c>
      <c r="B35" s="167">
        <v>190</v>
      </c>
      <c r="C35" s="154" t="s">
        <v>1116</v>
      </c>
      <c r="D35" s="282">
        <f t="shared" si="1"/>
        <v>0</v>
      </c>
      <c r="E35" s="243">
        <v>0</v>
      </c>
      <c r="F35" s="220"/>
      <c r="G35" s="244"/>
      <c r="H35" s="244"/>
      <c r="I35" s="168" t="s">
        <v>1105</v>
      </c>
      <c r="J35" s="26" t="s">
        <v>1117</v>
      </c>
      <c r="N35" s="4">
        <f t="shared" si="2"/>
        <v>207</v>
      </c>
    </row>
    <row r="36" spans="1:14">
      <c r="A36" s="91">
        <f t="shared" si="3"/>
        <v>208</v>
      </c>
      <c r="B36" s="167">
        <v>190</v>
      </c>
      <c r="C36" s="154" t="s">
        <v>1118</v>
      </c>
      <c r="D36" s="282">
        <f t="shared" si="1"/>
        <v>-80712788</v>
      </c>
      <c r="E36" s="243">
        <f>-80712788-G36</f>
        <v>-20128773</v>
      </c>
      <c r="F36" s="220"/>
      <c r="G36" s="244">
        <v>-60584015</v>
      </c>
      <c r="H36" s="244"/>
      <c r="I36" s="168" t="s">
        <v>1105</v>
      </c>
      <c r="J36" s="26" t="s">
        <v>1119</v>
      </c>
      <c r="N36" s="4">
        <f t="shared" si="2"/>
        <v>208</v>
      </c>
    </row>
    <row r="37" spans="1:14">
      <c r="A37" s="91">
        <f t="shared" si="3"/>
        <v>209</v>
      </c>
      <c r="B37" s="167">
        <v>190</v>
      </c>
      <c r="C37" s="154" t="s">
        <v>1120</v>
      </c>
      <c r="D37" s="282">
        <f t="shared" si="1"/>
        <v>2152134507</v>
      </c>
      <c r="E37" s="243">
        <v>2152134507</v>
      </c>
      <c r="F37" s="220"/>
      <c r="G37" s="244"/>
      <c r="H37" s="244"/>
      <c r="I37" s="168" t="s">
        <v>1100</v>
      </c>
      <c r="J37" s="26" t="s">
        <v>1121</v>
      </c>
      <c r="N37" s="4">
        <f t="shared" si="2"/>
        <v>209</v>
      </c>
    </row>
    <row r="38" spans="1:14">
      <c r="A38" s="91"/>
      <c r="B38" s="169"/>
      <c r="C38" s="114"/>
      <c r="D38" s="119"/>
      <c r="E38" s="11"/>
      <c r="F38" s="11"/>
      <c r="G38" s="11"/>
      <c r="H38" s="11"/>
      <c r="I38" s="3"/>
      <c r="N38" s="4"/>
    </row>
    <row r="39" spans="1:14">
      <c r="A39" s="91">
        <f>+A37+1</f>
        <v>210</v>
      </c>
      <c r="B39" s="114"/>
      <c r="C39" s="114" t="s">
        <v>1122</v>
      </c>
      <c r="D39" s="245">
        <f>SUM(D28:D37)</f>
        <v>10203179212</v>
      </c>
      <c r="E39" s="245">
        <f>SUM(E28:E37)</f>
        <v>9238446298.6120605</v>
      </c>
      <c r="F39" s="246">
        <f>SUM(F28:F37)</f>
        <v>998765458.38793993</v>
      </c>
      <c r="G39" s="246">
        <f>SUM(G28:G37)</f>
        <v>-60888656</v>
      </c>
      <c r="H39" s="246">
        <f>SUM(H28:H37)</f>
        <v>26856111</v>
      </c>
      <c r="I39" s="26" t="str">
        <f>"Sum of Above Lines beginning on Line "&amp;A28&amp;""</f>
        <v>Sum of Above Lines beginning on Line 200</v>
      </c>
      <c r="N39" s="4">
        <f>A39</f>
        <v>210</v>
      </c>
    </row>
    <row r="40" spans="1:14">
      <c r="A40" s="91">
        <f>A39+1</f>
        <v>211</v>
      </c>
      <c r="B40" s="114"/>
      <c r="C40" s="114" t="s">
        <v>1123</v>
      </c>
      <c r="D40" s="171"/>
      <c r="E40" s="171"/>
      <c r="F40" s="171"/>
      <c r="G40" s="191">
        <f>'24-Allocators'!C33</f>
        <v>0.55944531960649113</v>
      </c>
      <c r="H40" s="191">
        <f>'24-Allocators'!C23</f>
        <v>0.43241887477592089</v>
      </c>
      <c r="I40" s="172" t="s">
        <v>1124</v>
      </c>
      <c r="N40" s="4">
        <f>A40</f>
        <v>211</v>
      </c>
    </row>
    <row r="41" spans="1:14">
      <c r="A41" s="91">
        <f>+A40+1</f>
        <v>212</v>
      </c>
      <c r="B41" s="114"/>
      <c r="C41" s="115" t="s">
        <v>1125</v>
      </c>
      <c r="D41" s="298">
        <f>SUM(F41:H41)</f>
        <v>976314674.07108748</v>
      </c>
      <c r="E41" s="246"/>
      <c r="F41" s="712">
        <f>+F39</f>
        <v>998765458.38793993</v>
      </c>
      <c r="G41" s="712">
        <f>+G39*G40</f>
        <v>-34063873.616329692</v>
      </c>
      <c r="H41" s="712">
        <f>+H39*H40</f>
        <v>11613089.299477231</v>
      </c>
      <c r="I41" s="173" t="str">
        <f>CONCATENATE("Line ",A39," * ","Line ",A40," for Cols 5 and 6")</f>
        <v>Line 210 * Line 211 for Cols 5 and 6</v>
      </c>
      <c r="N41" s="4">
        <f>A41</f>
        <v>212</v>
      </c>
    </row>
    <row r="42" spans="1:14">
      <c r="A42" s="91"/>
      <c r="B42" s="114"/>
      <c r="C42" s="174" t="s">
        <v>1126</v>
      </c>
      <c r="D42" s="171"/>
      <c r="E42" s="171"/>
      <c r="F42" s="171"/>
      <c r="G42" s="171"/>
      <c r="H42" s="171"/>
      <c r="I42" s="173"/>
      <c r="N42" s="4"/>
    </row>
    <row r="43" spans="1:14">
      <c r="A43" s="91"/>
      <c r="B43" s="114"/>
      <c r="C43" s="114"/>
      <c r="D43" s="171"/>
      <c r="E43" s="171"/>
      <c r="F43" s="171"/>
      <c r="G43" s="171"/>
      <c r="H43" s="171"/>
      <c r="I43" s="173"/>
      <c r="N43" s="4"/>
    </row>
    <row r="44" spans="1:14">
      <c r="A44" s="91">
        <f>+A41+1</f>
        <v>213</v>
      </c>
      <c r="B44" s="114"/>
      <c r="C44" s="114" t="s">
        <v>1127</v>
      </c>
      <c r="D44" s="247">
        <v>10203179212</v>
      </c>
      <c r="E44" s="175" t="str">
        <f>CONCATENATE("Must match amount on Line ",A39," ",D24)</f>
        <v>Must match amount on Line 210 Col 2</v>
      </c>
      <c r="G44" s="171"/>
      <c r="H44" s="171"/>
      <c r="J44" s="173" t="s">
        <v>1128</v>
      </c>
      <c r="N44" s="4">
        <f>A44</f>
        <v>213</v>
      </c>
    </row>
    <row r="45" spans="1:14">
      <c r="A45" s="91"/>
      <c r="B45" s="114"/>
      <c r="C45" s="114"/>
      <c r="D45" s="176"/>
      <c r="E45" s="176"/>
      <c r="F45" s="176"/>
      <c r="G45" s="176"/>
      <c r="H45" s="176"/>
      <c r="I45" s="126"/>
      <c r="N45" s="4"/>
    </row>
    <row r="46" spans="1:14">
      <c r="A46" s="18"/>
      <c r="B46" s="557" t="s">
        <v>1129</v>
      </c>
      <c r="C46" s="177"/>
      <c r="D46" s="178"/>
      <c r="E46" s="43"/>
      <c r="F46" s="43"/>
      <c r="G46" s="43"/>
      <c r="H46" s="43"/>
      <c r="I46" s="43"/>
      <c r="J46" s="43"/>
      <c r="K46" s="43"/>
      <c r="L46" s="43"/>
      <c r="M46" s="43"/>
      <c r="N46" s="4"/>
    </row>
    <row r="47" spans="1:14">
      <c r="A47" s="18"/>
      <c r="C47" s="83" t="s">
        <v>124</v>
      </c>
      <c r="D47" s="83" t="s">
        <v>125</v>
      </c>
      <c r="E47" s="83" t="s">
        <v>126</v>
      </c>
      <c r="F47" s="83" t="s">
        <v>127</v>
      </c>
      <c r="G47" s="83" t="s">
        <v>420</v>
      </c>
      <c r="H47" s="83" t="s">
        <v>421</v>
      </c>
      <c r="I47" s="83" t="s">
        <v>422</v>
      </c>
      <c r="N47" s="4"/>
    </row>
    <row r="48" spans="1:14">
      <c r="A48" s="18"/>
      <c r="B48" s="122"/>
      <c r="C48" s="122"/>
      <c r="D48" s="122" t="s">
        <v>1089</v>
      </c>
      <c r="E48" s="122" t="s">
        <v>1090</v>
      </c>
      <c r="F48" s="122"/>
      <c r="G48" s="122" t="s">
        <v>1130</v>
      </c>
      <c r="H48" s="122" t="s">
        <v>1131</v>
      </c>
      <c r="I48" s="165"/>
      <c r="N48" s="4"/>
    </row>
    <row r="49" spans="1:14">
      <c r="A49" s="80" t="s">
        <v>92</v>
      </c>
      <c r="B49" s="166" t="s">
        <v>1132</v>
      </c>
      <c r="C49" s="166" t="s">
        <v>1094</v>
      </c>
      <c r="D49" s="166" t="s">
        <v>1095</v>
      </c>
      <c r="E49" s="166" t="s">
        <v>1096</v>
      </c>
      <c r="F49" s="166" t="s">
        <v>1097</v>
      </c>
      <c r="G49" s="166" t="s">
        <v>427</v>
      </c>
      <c r="H49" s="166" t="s">
        <v>1133</v>
      </c>
      <c r="I49" s="166" t="s">
        <v>7</v>
      </c>
      <c r="N49" s="80" t="str">
        <f t="shared" ref="N49:N56" si="4">A49</f>
        <v>Line</v>
      </c>
    </row>
    <row r="50" spans="1:14">
      <c r="A50" s="91">
        <v>300</v>
      </c>
      <c r="B50" s="179">
        <v>282</v>
      </c>
      <c r="C50" s="55" t="s">
        <v>1134</v>
      </c>
      <c r="D50" s="283">
        <f t="shared" ref="D50:D55" si="5">SUM(E50:H50)</f>
        <v>-3588383147</v>
      </c>
      <c r="E50" s="244"/>
      <c r="F50" s="244">
        <v>-3588383147</v>
      </c>
      <c r="G50" s="244"/>
      <c r="H50" s="244"/>
      <c r="I50" s="168" t="s">
        <v>1114</v>
      </c>
      <c r="J50" s="26" t="s">
        <v>1135</v>
      </c>
      <c r="N50" s="4">
        <f t="shared" si="4"/>
        <v>300</v>
      </c>
    </row>
    <row r="51" spans="1:14">
      <c r="A51" s="91">
        <f t="shared" ref="A51:A56" si="6">A50+1</f>
        <v>301</v>
      </c>
      <c r="B51" s="179">
        <v>282</v>
      </c>
      <c r="C51" s="55" t="s">
        <v>1136</v>
      </c>
      <c r="D51" s="283">
        <f t="shared" si="5"/>
        <v>-6541504767</v>
      </c>
      <c r="E51" s="244">
        <v>-6541504767</v>
      </c>
      <c r="F51" s="244"/>
      <c r="G51" s="244"/>
      <c r="H51" s="244"/>
      <c r="I51" s="168" t="s">
        <v>1137</v>
      </c>
      <c r="J51" s="26"/>
      <c r="N51" s="4">
        <f t="shared" si="4"/>
        <v>301</v>
      </c>
    </row>
    <row r="52" spans="1:14">
      <c r="A52" s="91">
        <f t="shared" si="6"/>
        <v>302</v>
      </c>
      <c r="B52" s="179">
        <v>282</v>
      </c>
      <c r="C52" s="55" t="s">
        <v>1138</v>
      </c>
      <c r="D52" s="283">
        <f t="shared" si="5"/>
        <v>-497928581</v>
      </c>
      <c r="E52" s="244"/>
      <c r="F52" s="244"/>
      <c r="G52" s="244">
        <v>-497928581</v>
      </c>
      <c r="H52" s="244"/>
      <c r="I52" s="168" t="s">
        <v>1139</v>
      </c>
      <c r="J52" s="26"/>
      <c r="N52" s="4">
        <f t="shared" si="4"/>
        <v>302</v>
      </c>
    </row>
    <row r="53" spans="1:14">
      <c r="A53" s="91">
        <f t="shared" si="6"/>
        <v>303</v>
      </c>
      <c r="B53" s="179">
        <v>282</v>
      </c>
      <c r="C53" s="55" t="s">
        <v>1140</v>
      </c>
      <c r="D53" s="283">
        <f t="shared" si="5"/>
        <v>0</v>
      </c>
      <c r="E53" s="244"/>
      <c r="F53" s="244"/>
      <c r="G53" s="244"/>
      <c r="H53" s="244"/>
      <c r="I53" s="168" t="s">
        <v>1139</v>
      </c>
      <c r="J53" s="26"/>
      <c r="N53" s="4">
        <f t="shared" si="4"/>
        <v>303</v>
      </c>
    </row>
    <row r="54" spans="1:14">
      <c r="A54" s="91">
        <f t="shared" si="6"/>
        <v>304</v>
      </c>
      <c r="B54" s="179">
        <v>282</v>
      </c>
      <c r="C54" s="55" t="s">
        <v>1141</v>
      </c>
      <c r="D54" s="283">
        <f t="shared" si="5"/>
        <v>0</v>
      </c>
      <c r="E54" s="244"/>
      <c r="F54" s="244"/>
      <c r="G54" s="244"/>
      <c r="H54" s="244"/>
      <c r="I54" s="168" t="s">
        <v>1114</v>
      </c>
      <c r="J54" s="26" t="s">
        <v>1142</v>
      </c>
      <c r="N54" s="4">
        <f t="shared" si="4"/>
        <v>304</v>
      </c>
    </row>
    <row r="55" spans="1:14">
      <c r="A55" s="91">
        <f t="shared" si="6"/>
        <v>305</v>
      </c>
      <c r="B55" s="179">
        <v>282</v>
      </c>
      <c r="C55" s="55" t="s">
        <v>1136</v>
      </c>
      <c r="D55" s="283">
        <f t="shared" si="5"/>
        <v>0</v>
      </c>
      <c r="E55" s="244"/>
      <c r="F55" s="244"/>
      <c r="G55" s="244"/>
      <c r="H55" s="244"/>
      <c r="I55" s="168" t="s">
        <v>1100</v>
      </c>
      <c r="J55" s="26"/>
      <c r="N55" s="4">
        <f t="shared" si="4"/>
        <v>305</v>
      </c>
    </row>
    <row r="56" spans="1:14">
      <c r="A56" s="91">
        <f t="shared" si="6"/>
        <v>306</v>
      </c>
      <c r="B56" s="167" t="s">
        <v>119</v>
      </c>
      <c r="C56" s="180"/>
      <c r="D56" s="245"/>
      <c r="E56" s="220"/>
      <c r="F56" s="220"/>
      <c r="G56" s="220"/>
      <c r="H56" s="220"/>
      <c r="I56" s="38"/>
      <c r="N56" s="4">
        <f t="shared" si="4"/>
        <v>306</v>
      </c>
    </row>
    <row r="57" spans="1:14">
      <c r="A57" s="91"/>
      <c r="B57" s="100"/>
      <c r="C57" s="8"/>
      <c r="D57" s="170"/>
      <c r="E57" s="11"/>
      <c r="F57" s="11"/>
      <c r="G57" s="11"/>
      <c r="H57" s="11"/>
      <c r="N57" s="4"/>
    </row>
    <row r="58" spans="1:14">
      <c r="A58" s="91">
        <f>+A56+1</f>
        <v>307</v>
      </c>
      <c r="B58" s="18"/>
      <c r="C58" s="8" t="s">
        <v>1143</v>
      </c>
      <c r="D58" s="246">
        <f>SUM(D50:D56)</f>
        <v>-10627816495</v>
      </c>
      <c r="E58" s="246"/>
      <c r="F58" s="246">
        <f>SUM(F50:F56)</f>
        <v>-3588383147</v>
      </c>
      <c r="G58" s="246">
        <f>SUM(G50:G56)</f>
        <v>-497928581</v>
      </c>
      <c r="H58" s="246">
        <f>SUM(H50:H56)</f>
        <v>0</v>
      </c>
      <c r="I58" s="26" t="str">
        <f>"Sum of Above Lines beginning on Line "&amp;A50&amp;""</f>
        <v>Sum of Above Lines beginning on Line 300</v>
      </c>
      <c r="N58" s="4">
        <f>A58</f>
        <v>307</v>
      </c>
    </row>
    <row r="59" spans="1:14">
      <c r="A59" s="91">
        <f>+A58+1</f>
        <v>308</v>
      </c>
      <c r="B59" s="114"/>
      <c r="C59" s="114" t="s">
        <v>1123</v>
      </c>
      <c r="D59" s="171"/>
      <c r="E59" s="171"/>
      <c r="F59" s="171"/>
      <c r="G59" s="588">
        <f>'24-Allocators'!$C$29</f>
        <v>0.41486697866425831</v>
      </c>
      <c r="H59" s="191">
        <f>'24-Allocators'!$C$24</f>
        <v>0.30581601944770853</v>
      </c>
      <c r="I59" s="172" t="s">
        <v>1144</v>
      </c>
      <c r="N59" s="4">
        <f>A59</f>
        <v>308</v>
      </c>
    </row>
    <row r="60" spans="1:14">
      <c r="A60" s="91">
        <f>+A59+1</f>
        <v>309</v>
      </c>
      <c r="B60" s="114"/>
      <c r="C60" s="115" t="s">
        <v>1145</v>
      </c>
      <c r="D60" s="298">
        <f>SUM(F60:H60)</f>
        <v>-3794957272.9900513</v>
      </c>
      <c r="E60" s="249"/>
      <c r="F60" s="712">
        <f>+F58</f>
        <v>-3588383147</v>
      </c>
      <c r="G60" s="712">
        <f>+G58*G59</f>
        <v>-206574125.99005142</v>
      </c>
      <c r="H60" s="712">
        <f>+H58*H59</f>
        <v>0</v>
      </c>
      <c r="I60" s="173" t="str">
        <f>CONCATENATE("Line ",A58," * ","Line ",A59," for Cols 5 and 6")</f>
        <v>Line 307 * Line 308 for Cols 5 and 6</v>
      </c>
      <c r="N60" s="4">
        <f>A60</f>
        <v>309</v>
      </c>
    </row>
    <row r="61" spans="1:14">
      <c r="A61" s="91"/>
      <c r="B61" s="114"/>
      <c r="C61" s="174" t="s">
        <v>1126</v>
      </c>
      <c r="E61" s="171"/>
      <c r="F61" s="171"/>
      <c r="G61" s="171"/>
      <c r="H61" s="171"/>
      <c r="I61" s="173"/>
      <c r="N61" s="4"/>
    </row>
    <row r="62" spans="1:14">
      <c r="A62" s="91"/>
      <c r="B62" s="114"/>
      <c r="D62" s="174"/>
      <c r="E62" s="171"/>
      <c r="F62" s="171"/>
      <c r="G62" s="171"/>
      <c r="H62" s="171"/>
      <c r="I62" s="173"/>
      <c r="N62" s="4"/>
    </row>
    <row r="63" spans="1:14">
      <c r="A63" s="91">
        <f>+A60+1</f>
        <v>310</v>
      </c>
      <c r="B63" s="18"/>
      <c r="C63" s="114" t="s">
        <v>1146</v>
      </c>
      <c r="D63" s="493">
        <v>-10627816495</v>
      </c>
      <c r="E63" s="175"/>
      <c r="F63" s="171"/>
      <c r="G63" s="171"/>
      <c r="H63" s="171"/>
      <c r="J63" s="26" t="s">
        <v>1147</v>
      </c>
      <c r="N63" s="4">
        <f>A63</f>
        <v>310</v>
      </c>
    </row>
    <row r="64" spans="1:14">
      <c r="A64" s="91">
        <f>A63+1</f>
        <v>311</v>
      </c>
      <c r="B64" s="18"/>
      <c r="C64" s="114" t="s">
        <v>1148</v>
      </c>
      <c r="D64" s="245"/>
      <c r="E64" s="175"/>
      <c r="F64" s="171"/>
      <c r="G64" s="171"/>
      <c r="H64" s="171"/>
      <c r="J64" s="26"/>
      <c r="N64" s="4">
        <f>A64</f>
        <v>311</v>
      </c>
    </row>
    <row r="65" spans="1:14" ht="15" thickBot="1">
      <c r="A65" s="91">
        <f>A64+1</f>
        <v>312</v>
      </c>
      <c r="B65" s="18"/>
      <c r="C65" s="114" t="s">
        <v>1146</v>
      </c>
      <c r="D65" s="494">
        <f>SUM(D63:D64)</f>
        <v>-10627816495</v>
      </c>
      <c r="E65" s="175" t="str">
        <f>CONCATENATE("Must match amount on Line ",A58," ",D47)</f>
        <v>Must match amount on Line 307 Col 2</v>
      </c>
      <c r="F65" s="171"/>
      <c r="G65" s="171"/>
      <c r="H65" s="171"/>
      <c r="I65" s="126"/>
      <c r="N65" s="4">
        <f>A65</f>
        <v>312</v>
      </c>
    </row>
    <row r="66" spans="1:14" ht="15" thickTop="1">
      <c r="A66" s="91"/>
      <c r="B66" s="18"/>
      <c r="C66" s="8"/>
      <c r="D66" s="170"/>
      <c r="E66" s="175"/>
      <c r="F66" s="171"/>
      <c r="G66" s="171"/>
      <c r="H66" s="171"/>
      <c r="I66" s="126"/>
      <c r="N66" s="4"/>
    </row>
    <row r="67" spans="1:14">
      <c r="A67" s="18"/>
      <c r="B67" s="116" t="s">
        <v>1149</v>
      </c>
      <c r="C67" s="117"/>
      <c r="D67" s="181"/>
      <c r="E67" s="46"/>
      <c r="F67" s="46"/>
      <c r="G67" s="46"/>
      <c r="H67" s="46"/>
      <c r="I67" s="43"/>
      <c r="J67" s="43"/>
      <c r="K67" s="43"/>
      <c r="L67" s="43"/>
      <c r="M67" s="43"/>
      <c r="N67" s="4"/>
    </row>
    <row r="68" spans="1:14">
      <c r="A68" s="18"/>
      <c r="B68" s="115"/>
      <c r="C68" s="83" t="s">
        <v>124</v>
      </c>
      <c r="D68" s="83" t="s">
        <v>125</v>
      </c>
      <c r="E68" s="83" t="s">
        <v>126</v>
      </c>
      <c r="F68" s="83" t="s">
        <v>127</v>
      </c>
      <c r="G68" s="83" t="s">
        <v>420</v>
      </c>
      <c r="H68" s="83" t="s">
        <v>421</v>
      </c>
      <c r="I68" s="83" t="s">
        <v>422</v>
      </c>
      <c r="N68" s="4"/>
    </row>
    <row r="69" spans="1:14">
      <c r="A69" s="18"/>
      <c r="B69" s="122"/>
      <c r="C69" s="122"/>
      <c r="D69" s="122" t="s">
        <v>1089</v>
      </c>
      <c r="E69" s="182" t="s">
        <v>1090</v>
      </c>
      <c r="F69" s="182"/>
      <c r="G69" s="182" t="s">
        <v>1130</v>
      </c>
      <c r="H69" s="182" t="s">
        <v>1092</v>
      </c>
      <c r="I69" s="165"/>
      <c r="N69" s="4"/>
    </row>
    <row r="70" spans="1:14">
      <c r="A70" s="80" t="s">
        <v>92</v>
      </c>
      <c r="B70" s="166" t="s">
        <v>1150</v>
      </c>
      <c r="C70" s="166" t="s">
        <v>1094</v>
      </c>
      <c r="D70" s="166" t="s">
        <v>1095</v>
      </c>
      <c r="E70" s="183" t="s">
        <v>1096</v>
      </c>
      <c r="F70" s="183" t="s">
        <v>1097</v>
      </c>
      <c r="G70" s="552"/>
      <c r="H70" s="552"/>
      <c r="I70" s="166" t="s">
        <v>7</v>
      </c>
      <c r="N70" s="80" t="str">
        <f>A70</f>
        <v>Line</v>
      </c>
    </row>
    <row r="71" spans="1:14">
      <c r="A71" s="91"/>
      <c r="B71" s="114" t="s">
        <v>1098</v>
      </c>
      <c r="D71" s="11"/>
      <c r="E71" s="11"/>
      <c r="F71" s="11"/>
      <c r="G71" s="11"/>
      <c r="H71" s="11"/>
      <c r="N71" s="4"/>
    </row>
    <row r="72" spans="1:14">
      <c r="A72" s="91">
        <v>400</v>
      </c>
      <c r="B72" s="179">
        <v>283</v>
      </c>
      <c r="C72" s="55" t="s">
        <v>1151</v>
      </c>
      <c r="D72" s="283">
        <f>SUM(E72:H72)</f>
        <v>-35791746</v>
      </c>
      <c r="E72" s="247">
        <v>-35791746</v>
      </c>
      <c r="F72" s="248"/>
      <c r="G72" s="248"/>
      <c r="H72" s="248"/>
      <c r="I72" s="168" t="s">
        <v>1100</v>
      </c>
      <c r="J72" s="26" t="s">
        <v>1152</v>
      </c>
      <c r="N72" s="4">
        <f>A72</f>
        <v>400</v>
      </c>
    </row>
    <row r="73" spans="1:14">
      <c r="A73" s="91">
        <f>A72+1</f>
        <v>401</v>
      </c>
      <c r="B73" s="179">
        <v>283</v>
      </c>
      <c r="C73" s="55" t="s">
        <v>1153</v>
      </c>
      <c r="D73" s="283">
        <f>SUM(E73:H73)</f>
        <v>-2322462756</v>
      </c>
      <c r="E73" s="247">
        <v>-2322462756</v>
      </c>
      <c r="F73" s="248"/>
      <c r="G73" s="248"/>
      <c r="H73" s="248"/>
      <c r="I73" s="168" t="s">
        <v>1154</v>
      </c>
      <c r="J73" s="26" t="s">
        <v>1155</v>
      </c>
      <c r="N73" s="4">
        <f>A73</f>
        <v>401</v>
      </c>
    </row>
    <row r="74" spans="1:14">
      <c r="A74" s="91">
        <f>A73+1</f>
        <v>402</v>
      </c>
      <c r="B74" s="179">
        <v>283</v>
      </c>
      <c r="C74" s="55" t="s">
        <v>1120</v>
      </c>
      <c r="D74" s="283">
        <f>SUM(E74:H74)</f>
        <v>-421270881</v>
      </c>
      <c r="E74" s="247">
        <v>-421270881</v>
      </c>
      <c r="F74" s="248"/>
      <c r="G74" s="248"/>
      <c r="H74" s="248"/>
      <c r="I74" s="168" t="s">
        <v>1100</v>
      </c>
      <c r="J74" s="26" t="s">
        <v>1156</v>
      </c>
      <c r="N74" s="4">
        <f>A74</f>
        <v>402</v>
      </c>
    </row>
    <row r="75" spans="1:14">
      <c r="A75" s="91">
        <f>A74+1</f>
        <v>403</v>
      </c>
      <c r="B75" s="179"/>
      <c r="C75" s="55"/>
      <c r="D75" s="283"/>
      <c r="E75" s="248"/>
      <c r="F75" s="248"/>
      <c r="G75" s="248"/>
      <c r="H75" s="248"/>
      <c r="I75" s="168"/>
      <c r="J75" s="26"/>
      <c r="N75" s="4">
        <f>A75</f>
        <v>403</v>
      </c>
    </row>
    <row r="76" spans="1:14">
      <c r="A76" s="91"/>
      <c r="B76" s="77"/>
      <c r="C76" s="8"/>
      <c r="D76" s="111"/>
      <c r="E76" s="11"/>
      <c r="F76" s="11"/>
      <c r="G76" s="11"/>
      <c r="H76" s="11"/>
      <c r="N76" s="4"/>
    </row>
    <row r="77" spans="1:14">
      <c r="A77" s="91">
        <f>A75+1</f>
        <v>404</v>
      </c>
      <c r="B77" s="8"/>
      <c r="C77" s="8" t="s">
        <v>1157</v>
      </c>
      <c r="D77" s="246">
        <f>SUM(D72:D75)</f>
        <v>-2779525383</v>
      </c>
      <c r="E77" s="246">
        <f>SUM(E72:E75)</f>
        <v>-2779525383</v>
      </c>
      <c r="F77" s="246">
        <f>SUM(F72:F75)</f>
        <v>0</v>
      </c>
      <c r="G77" s="246">
        <f>SUM(G72:G75)</f>
        <v>0</v>
      </c>
      <c r="H77" s="246">
        <f>SUM(H72:H75)</f>
        <v>0</v>
      </c>
      <c r="I77" s="26" t="str">
        <f>"Sum of Above Lines beginning on Line "&amp;A72&amp;""</f>
        <v>Sum of Above Lines beginning on Line 400</v>
      </c>
      <c r="N77" s="4">
        <f>A77</f>
        <v>404</v>
      </c>
    </row>
    <row r="78" spans="1:14">
      <c r="A78" s="91">
        <f>A77+1</f>
        <v>405</v>
      </c>
      <c r="B78" s="114"/>
      <c r="C78" s="114" t="s">
        <v>1123</v>
      </c>
      <c r="D78" s="184"/>
      <c r="E78" s="184"/>
      <c r="F78" s="171"/>
      <c r="G78" s="588">
        <f>'24-Allocators'!$C$29</f>
        <v>0.41486697866425831</v>
      </c>
      <c r="H78" s="191">
        <f>'24-Allocators'!$C$24</f>
        <v>0.30581601944770853</v>
      </c>
      <c r="I78" s="172" t="s">
        <v>1158</v>
      </c>
      <c r="N78" s="4">
        <f>A78</f>
        <v>405</v>
      </c>
    </row>
    <row r="79" spans="1:14">
      <c r="A79" s="91">
        <f>+A78+1</f>
        <v>406</v>
      </c>
      <c r="B79" s="114"/>
      <c r="C79" s="115" t="s">
        <v>1159</v>
      </c>
      <c r="D79" s="299">
        <f>SUM(F79:H79)</f>
        <v>0</v>
      </c>
      <c r="E79" s="171"/>
      <c r="F79" s="713">
        <f>+F77</f>
        <v>0</v>
      </c>
      <c r="G79" s="713">
        <f>+G77*G78</f>
        <v>0</v>
      </c>
      <c r="H79" s="714">
        <f>+H77*H78</f>
        <v>0</v>
      </c>
      <c r="I79" s="173" t="str">
        <f>CONCATENATE("Line ",A77," * ","Line ",A78," for Cols 5 and 6")</f>
        <v>Line 404 * Line 405 for Cols 5 and 6</v>
      </c>
      <c r="N79" s="4">
        <f>A79</f>
        <v>406</v>
      </c>
    </row>
    <row r="80" spans="1:14">
      <c r="A80" s="91"/>
      <c r="C80" s="174" t="s">
        <v>1126</v>
      </c>
      <c r="D80" s="111"/>
      <c r="E80" s="111"/>
      <c r="F80" s="111"/>
      <c r="G80" s="111"/>
      <c r="H80" s="111"/>
      <c r="I80" s="173"/>
      <c r="J80" s="11"/>
      <c r="N80" s="4"/>
    </row>
    <row r="81" spans="1:14">
      <c r="A81" s="91"/>
      <c r="C81" s="8"/>
      <c r="D81" s="111"/>
      <c r="E81" s="111"/>
      <c r="F81" s="111"/>
      <c r="G81" s="111"/>
      <c r="H81" s="111"/>
      <c r="I81" s="173"/>
      <c r="N81" s="4"/>
    </row>
    <row r="82" spans="1:14">
      <c r="A82" s="91">
        <f>A79+1</f>
        <v>407</v>
      </c>
      <c r="C82" s="114" t="s">
        <v>1160</v>
      </c>
      <c r="D82" s="247">
        <v>-2779525383</v>
      </c>
      <c r="E82" s="175" t="s">
        <v>1161</v>
      </c>
      <c r="F82" s="171"/>
      <c r="G82" s="171"/>
      <c r="H82" s="171"/>
      <c r="J82" s="26" t="s">
        <v>1162</v>
      </c>
      <c r="N82" s="4">
        <f>A82</f>
        <v>407</v>
      </c>
    </row>
    <row r="83" spans="1:14">
      <c r="A83" s="91"/>
      <c r="C83" s="114"/>
      <c r="D83" s="175"/>
      <c r="E83" s="175"/>
      <c r="F83" s="171"/>
      <c r="G83" s="171"/>
      <c r="H83" s="171"/>
      <c r="I83" s="26"/>
      <c r="N83" s="4"/>
    </row>
    <row r="84" spans="1:14">
      <c r="A84" s="18"/>
      <c r="B84" s="116" t="s">
        <v>1163</v>
      </c>
      <c r="C84" s="117"/>
      <c r="D84" s="181"/>
      <c r="E84" s="46"/>
      <c r="F84" s="46"/>
      <c r="G84" s="46"/>
      <c r="H84" s="46"/>
      <c r="I84" s="43"/>
      <c r="J84" s="43"/>
      <c r="K84" s="43"/>
      <c r="L84" s="43"/>
      <c r="M84" s="43"/>
      <c r="N84" s="4"/>
    </row>
    <row r="85" spans="1:14">
      <c r="A85" s="18"/>
      <c r="B85" s="115"/>
      <c r="C85" s="83" t="s">
        <v>124</v>
      </c>
      <c r="D85" s="83" t="s">
        <v>125</v>
      </c>
      <c r="E85" s="83" t="s">
        <v>126</v>
      </c>
      <c r="F85" s="83" t="s">
        <v>127</v>
      </c>
      <c r="G85" s="83" t="s">
        <v>420</v>
      </c>
      <c r="H85" s="83" t="s">
        <v>421</v>
      </c>
      <c r="I85" s="83" t="s">
        <v>422</v>
      </c>
      <c r="N85" s="4"/>
    </row>
    <row r="86" spans="1:14">
      <c r="A86" s="18"/>
      <c r="B86" s="122"/>
      <c r="C86" s="122"/>
      <c r="D86" s="122" t="s">
        <v>1089</v>
      </c>
      <c r="E86" s="182" t="s">
        <v>1090</v>
      </c>
      <c r="F86" s="182"/>
      <c r="G86" s="182" t="s">
        <v>1130</v>
      </c>
      <c r="H86" s="182" t="s">
        <v>1131</v>
      </c>
      <c r="I86" s="165"/>
      <c r="N86" s="4"/>
    </row>
    <row r="87" spans="1:14">
      <c r="A87" s="80" t="s">
        <v>92</v>
      </c>
      <c r="B87" s="166" t="s">
        <v>1164</v>
      </c>
      <c r="C87" s="166" t="s">
        <v>1094</v>
      </c>
      <c r="D87" s="166" t="s">
        <v>1095</v>
      </c>
      <c r="E87" s="183" t="s">
        <v>1096</v>
      </c>
      <c r="F87" s="183" t="s">
        <v>1097</v>
      </c>
      <c r="G87" s="183" t="s">
        <v>427</v>
      </c>
      <c r="H87" s="183" t="s">
        <v>1133</v>
      </c>
      <c r="I87" s="166" t="s">
        <v>7</v>
      </c>
      <c r="N87" s="80" t="str">
        <f>A87</f>
        <v>Line</v>
      </c>
    </row>
    <row r="88" spans="1:14">
      <c r="A88" s="91"/>
      <c r="B88" s="114" t="s">
        <v>1098</v>
      </c>
      <c r="D88" s="11"/>
      <c r="E88" s="11"/>
      <c r="F88" s="11"/>
      <c r="G88" s="11"/>
      <c r="H88" s="11"/>
      <c r="N88" s="4"/>
    </row>
    <row r="89" spans="1:14">
      <c r="A89" s="91">
        <v>500</v>
      </c>
      <c r="B89" s="179">
        <v>255</v>
      </c>
      <c r="C89" s="55" t="s">
        <v>1165</v>
      </c>
      <c r="D89" s="283">
        <f>SUM(E89:H89)</f>
        <v>-18490631</v>
      </c>
      <c r="E89" s="248"/>
      <c r="F89" s="248">
        <v>-18490631</v>
      </c>
      <c r="G89" s="248"/>
      <c r="H89" s="248"/>
      <c r="I89" s="168" t="s">
        <v>1114</v>
      </c>
      <c r="J89" s="26" t="s">
        <v>1166</v>
      </c>
      <c r="N89" s="4">
        <f>A89</f>
        <v>500</v>
      </c>
    </row>
    <row r="90" spans="1:14">
      <c r="A90" s="91">
        <f>A89+1</f>
        <v>501</v>
      </c>
      <c r="B90" s="179">
        <v>255</v>
      </c>
      <c r="C90" s="55" t="s">
        <v>1167</v>
      </c>
      <c r="D90" s="283">
        <f>SUM(E90:H90)</f>
        <v>-9487722</v>
      </c>
      <c r="E90" s="248"/>
      <c r="F90" s="248"/>
      <c r="G90" s="248">
        <v>-9487722</v>
      </c>
      <c r="H90" s="248"/>
      <c r="I90" s="168" t="s">
        <v>1168</v>
      </c>
      <c r="J90" s="26" t="s">
        <v>1169</v>
      </c>
      <c r="N90" s="4">
        <f>A90</f>
        <v>501</v>
      </c>
    </row>
    <row r="91" spans="1:14">
      <c r="A91" s="91">
        <f>+A90+1</f>
        <v>502</v>
      </c>
      <c r="B91" s="179">
        <v>255</v>
      </c>
      <c r="C91" s="55" t="s">
        <v>1170</v>
      </c>
      <c r="D91" s="283">
        <f>SUM(E91:H91)</f>
        <v>-63407316.600000001</v>
      </c>
      <c r="E91" s="248">
        <v>-63407316.600000001</v>
      </c>
      <c r="F91" s="248"/>
      <c r="G91" s="248"/>
      <c r="H91" s="248"/>
      <c r="I91" s="168" t="s">
        <v>1100</v>
      </c>
      <c r="N91" s="4">
        <f>A91</f>
        <v>502</v>
      </c>
    </row>
    <row r="92" spans="1:14">
      <c r="A92" s="91">
        <f t="shared" ref="A92:A95" si="7">+A91+1</f>
        <v>503</v>
      </c>
      <c r="B92" s="179">
        <v>256</v>
      </c>
      <c r="C92" s="55" t="s">
        <v>1170</v>
      </c>
      <c r="D92" s="283">
        <f>SUM(E92:H92)</f>
        <v>36396</v>
      </c>
      <c r="E92" s="248">
        <v>36396</v>
      </c>
      <c r="F92" s="248"/>
      <c r="G92" s="248"/>
      <c r="H92" s="248"/>
      <c r="I92" s="359"/>
      <c r="N92" s="4"/>
    </row>
    <row r="93" spans="1:14">
      <c r="A93" s="91">
        <f t="shared" si="7"/>
        <v>504</v>
      </c>
      <c r="B93" s="8"/>
      <c r="C93" s="8" t="s">
        <v>1171</v>
      </c>
      <c r="D93" s="246">
        <f>SUM(D89:D92)</f>
        <v>-91349273.599999994</v>
      </c>
      <c r="E93" s="246">
        <f>SUM(E89:E91)</f>
        <v>-63407316.600000001</v>
      </c>
      <c r="F93" s="246">
        <f t="shared" ref="F93:H93" si="8">SUM(F89:F91)</f>
        <v>-18490631</v>
      </c>
      <c r="G93" s="246">
        <f t="shared" si="8"/>
        <v>-9487722</v>
      </c>
      <c r="H93" s="246">
        <f t="shared" si="8"/>
        <v>0</v>
      </c>
      <c r="I93" s="26" t="str">
        <f>"Sum of Above Lines beginning on Line "&amp;A89&amp;""</f>
        <v>Sum of Above Lines beginning on Line 500</v>
      </c>
      <c r="N93" s="4">
        <f>A93</f>
        <v>504</v>
      </c>
    </row>
    <row r="94" spans="1:14">
      <c r="A94" s="91">
        <f t="shared" si="7"/>
        <v>505</v>
      </c>
      <c r="B94" s="114"/>
      <c r="C94" s="114" t="s">
        <v>1123</v>
      </c>
      <c r="D94" s="184"/>
      <c r="E94" s="184"/>
      <c r="F94" s="171"/>
      <c r="G94" s="588">
        <f>'24-Allocators'!$C$29</f>
        <v>0.41486697866425831</v>
      </c>
      <c r="H94" s="191">
        <f>'24-Allocators'!$C$24</f>
        <v>0.30581601944770853</v>
      </c>
      <c r="I94" s="172" t="s">
        <v>1144</v>
      </c>
      <c r="N94" s="4">
        <f>A94</f>
        <v>505</v>
      </c>
    </row>
    <row r="95" spans="1:14">
      <c r="A95" s="91">
        <f t="shared" si="7"/>
        <v>506</v>
      </c>
      <c r="B95" s="114"/>
      <c r="C95" s="115" t="s">
        <v>1172</v>
      </c>
      <c r="D95" s="300">
        <f>SUM(F95:H95)</f>
        <v>-22426773.560546413</v>
      </c>
      <c r="E95" s="246"/>
      <c r="F95" s="712">
        <f>+F93</f>
        <v>-18490631</v>
      </c>
      <c r="G95" s="712">
        <f>+G93*G94</f>
        <v>-3936142.560546414</v>
      </c>
      <c r="H95" s="715">
        <f>+H93*H94</f>
        <v>0</v>
      </c>
      <c r="I95" s="173" t="str">
        <f>CONCATENATE("Line ",A93," * ","Line ",A94," for Cols 5 and 6")</f>
        <v>Line 504 * Line 505 for Cols 5 and 6</v>
      </c>
      <c r="N95" s="4">
        <f>A95</f>
        <v>506</v>
      </c>
    </row>
    <row r="96" spans="1:14">
      <c r="A96" s="91"/>
      <c r="C96" s="174" t="s">
        <v>1126</v>
      </c>
      <c r="D96" s="111"/>
      <c r="E96" s="111"/>
      <c r="F96" s="111"/>
      <c r="G96" s="111"/>
      <c r="H96" s="111"/>
      <c r="I96" s="173"/>
      <c r="J96" s="11"/>
      <c r="N96" s="4"/>
    </row>
    <row r="97" spans="1:14">
      <c r="A97" s="91"/>
      <c r="C97" s="8"/>
      <c r="D97" s="111"/>
      <c r="E97" s="111"/>
      <c r="F97" s="111"/>
      <c r="G97" s="111"/>
      <c r="H97" s="111"/>
      <c r="I97" s="173"/>
      <c r="N97" s="4"/>
    </row>
    <row r="98" spans="1:14">
      <c r="A98" s="91">
        <f>A95+1</f>
        <v>507</v>
      </c>
      <c r="C98" s="114" t="s">
        <v>1173</v>
      </c>
      <c r="D98" s="247">
        <v>-91349274</v>
      </c>
      <c r="E98" s="175" t="str">
        <f>CONCATENATE("Must match amount on Line ",A93," ",D85)</f>
        <v>Must match amount on Line 504 Col 2</v>
      </c>
      <c r="F98" s="171"/>
      <c r="G98" s="171"/>
      <c r="H98" s="171"/>
      <c r="J98" s="26" t="s">
        <v>1174</v>
      </c>
      <c r="N98" s="4">
        <f>A98</f>
        <v>507</v>
      </c>
    </row>
    <row r="99" spans="1:14">
      <c r="A99" s="91"/>
      <c r="C99" s="114"/>
      <c r="D99" s="175"/>
      <c r="E99" s="175"/>
      <c r="F99" s="171"/>
      <c r="G99" s="171"/>
      <c r="H99" s="171"/>
      <c r="I99" s="26"/>
      <c r="N99" s="4"/>
    </row>
    <row r="100" spans="1:14">
      <c r="A100" s="91"/>
      <c r="B100" s="79" t="s">
        <v>1175</v>
      </c>
      <c r="C100" s="117"/>
      <c r="D100" s="185"/>
      <c r="E100" s="185"/>
      <c r="F100" s="181"/>
      <c r="G100" s="181"/>
      <c r="H100" s="181"/>
      <c r="I100" s="186"/>
      <c r="J100" s="103"/>
      <c r="K100" s="43"/>
      <c r="L100" s="43"/>
      <c r="M100" s="43"/>
      <c r="N100" s="4"/>
    </row>
    <row r="101" spans="1:14">
      <c r="A101" s="91"/>
      <c r="B101" s="8"/>
      <c r="C101" s="83" t="s">
        <v>124</v>
      </c>
      <c r="D101" s="83" t="s">
        <v>125</v>
      </c>
      <c r="E101" s="83" t="s">
        <v>126</v>
      </c>
      <c r="F101" s="83" t="s">
        <v>127</v>
      </c>
      <c r="G101" s="83" t="s">
        <v>420</v>
      </c>
      <c r="H101" s="83" t="s">
        <v>421</v>
      </c>
      <c r="I101" s="83" t="s">
        <v>422</v>
      </c>
      <c r="J101" s="83" t="s">
        <v>423</v>
      </c>
      <c r="N101" s="4"/>
    </row>
    <row r="102" spans="1:14">
      <c r="A102" s="91"/>
      <c r="B102" s="8"/>
      <c r="C102" s="114"/>
      <c r="D102" s="187" t="s">
        <v>1176</v>
      </c>
      <c r="E102" s="187" t="s">
        <v>1177</v>
      </c>
      <c r="F102" s="171"/>
      <c r="G102" s="171"/>
      <c r="H102" s="187" t="s">
        <v>1178</v>
      </c>
      <c r="I102" s="188" t="s">
        <v>1179</v>
      </c>
      <c r="J102" s="187" t="s">
        <v>1180</v>
      </c>
      <c r="N102" s="4"/>
    </row>
    <row r="103" spans="1:14">
      <c r="A103" s="91"/>
      <c r="B103" s="8"/>
      <c r="C103" s="114"/>
      <c r="D103" s="175"/>
      <c r="E103" s="175"/>
      <c r="F103" s="171"/>
      <c r="G103" s="171"/>
      <c r="H103" s="171"/>
      <c r="I103" s="9"/>
      <c r="J103" s="8"/>
      <c r="N103" s="4"/>
    </row>
    <row r="104" spans="1:14">
      <c r="A104" s="91"/>
      <c r="B104" s="8"/>
      <c r="C104" s="118"/>
      <c r="D104" s="187" t="s">
        <v>1181</v>
      </c>
      <c r="E104" s="187" t="s">
        <v>1182</v>
      </c>
      <c r="F104" s="187"/>
      <c r="G104" s="187" t="s">
        <v>1183</v>
      </c>
      <c r="H104" s="187" t="s">
        <v>1184</v>
      </c>
      <c r="I104" s="91" t="s">
        <v>1185</v>
      </c>
      <c r="J104" s="91" t="s">
        <v>1186</v>
      </c>
      <c r="N104" s="4"/>
    </row>
    <row r="105" spans="1:14">
      <c r="A105" s="80" t="s">
        <v>92</v>
      </c>
      <c r="B105" s="80" t="s">
        <v>441</v>
      </c>
      <c r="C105" s="118" t="s">
        <v>1187</v>
      </c>
      <c r="D105" s="189" t="s">
        <v>1188</v>
      </c>
      <c r="E105" s="189" t="s">
        <v>1189</v>
      </c>
      <c r="F105" s="189" t="s">
        <v>1190</v>
      </c>
      <c r="G105" s="189" t="s">
        <v>1191</v>
      </c>
      <c r="H105" s="189" t="s">
        <v>1192</v>
      </c>
      <c r="I105" s="80" t="s">
        <v>1193</v>
      </c>
      <c r="J105" s="80" t="s">
        <v>1194</v>
      </c>
      <c r="N105" s="80" t="str">
        <f t="shared" ref="N105:N120" si="9">A105</f>
        <v>Line</v>
      </c>
    </row>
    <row r="106" spans="1:14">
      <c r="A106" s="91">
        <v>600</v>
      </c>
      <c r="B106" s="8"/>
      <c r="C106" s="190" t="s">
        <v>1195</v>
      </c>
      <c r="D106" s="250"/>
      <c r="E106" s="124">
        <f>D17</f>
        <v>-2870541021.8419414</v>
      </c>
      <c r="F106" s="171"/>
      <c r="G106" s="34">
        <f>+F107+G107-G118</f>
        <v>365</v>
      </c>
      <c r="H106" s="191">
        <f>1</f>
        <v>1</v>
      </c>
      <c r="I106" s="192"/>
      <c r="J106" s="252">
        <f>+E106</f>
        <v>-2870541021.8419414</v>
      </c>
      <c r="N106" s="4">
        <f t="shared" si="9"/>
        <v>600</v>
      </c>
    </row>
    <row r="107" spans="1:14">
      <c r="A107" s="91">
        <f t="shared" ref="A107:A120" si="10">A106+1</f>
        <v>601</v>
      </c>
      <c r="B107" s="18">
        <f>'1-DRR'!$K$2</f>
        <v>2022</v>
      </c>
      <c r="C107" s="190" t="s">
        <v>451</v>
      </c>
      <c r="D107" s="124">
        <f t="shared" ref="D107:D118" si="11">($D$13-$D$17)/12</f>
        <v>2455970.7802025876</v>
      </c>
      <c r="E107" s="124">
        <f t="shared" ref="E107:E118" si="12">E106+D107</f>
        <v>-2868085051.061739</v>
      </c>
      <c r="F107" s="34">
        <v>31</v>
      </c>
      <c r="G107" s="34">
        <f t="shared" ref="G107:G116" si="13">+F108+G108</f>
        <v>335</v>
      </c>
      <c r="H107" s="191">
        <f>G107/G106</f>
        <v>0.9178082191780822</v>
      </c>
      <c r="I107" s="251">
        <f t="shared" ref="I107:I118" si="14">D107*H107</f>
        <v>2254110.1681311419</v>
      </c>
      <c r="J107" s="128">
        <f t="shared" ref="J107:J118" si="15">J106+I107</f>
        <v>-2868286911.67381</v>
      </c>
      <c r="N107" s="4">
        <f t="shared" si="9"/>
        <v>601</v>
      </c>
    </row>
    <row r="108" spans="1:14">
      <c r="A108" s="91">
        <f t="shared" si="10"/>
        <v>602</v>
      </c>
      <c r="B108" s="18">
        <f>'1-DRR'!$K$2</f>
        <v>2022</v>
      </c>
      <c r="C108" s="190" t="s">
        <v>452</v>
      </c>
      <c r="D108" s="124">
        <f t="shared" si="11"/>
        <v>2455970.7802025876</v>
      </c>
      <c r="E108" s="124">
        <f t="shared" si="12"/>
        <v>-2865629080.2815366</v>
      </c>
      <c r="F108" s="190">
        <f>IF(OR(MOD(RIGHT($M$1,4),400)=0,AND(MOD(RIGHT($M$1,4),4)=0,MOD(RIGHT($M$1,4),100)&lt;&gt;0)),29,28)</f>
        <v>28</v>
      </c>
      <c r="G108" s="34">
        <f t="shared" si="13"/>
        <v>307</v>
      </c>
      <c r="H108" s="191">
        <f>G108/G106</f>
        <v>0.84109589041095889</v>
      </c>
      <c r="I108" s="251">
        <f t="shared" si="14"/>
        <v>2065706.9301977928</v>
      </c>
      <c r="J108" s="128">
        <f t="shared" si="15"/>
        <v>-2866221204.7436123</v>
      </c>
      <c r="N108" s="4">
        <f t="shared" si="9"/>
        <v>602</v>
      </c>
    </row>
    <row r="109" spans="1:14">
      <c r="A109" s="91">
        <f t="shared" si="10"/>
        <v>603</v>
      </c>
      <c r="B109" s="18">
        <f>'1-DRR'!$K$2</f>
        <v>2022</v>
      </c>
      <c r="C109" s="190" t="s">
        <v>453</v>
      </c>
      <c r="D109" s="124">
        <f t="shared" si="11"/>
        <v>2455970.7802025876</v>
      </c>
      <c r="E109" s="124">
        <f t="shared" si="12"/>
        <v>-2863173109.5013342</v>
      </c>
      <c r="F109" s="34">
        <v>31</v>
      </c>
      <c r="G109" s="34">
        <f t="shared" si="13"/>
        <v>276</v>
      </c>
      <c r="H109" s="191">
        <f>G109/G106</f>
        <v>0.75616438356164384</v>
      </c>
      <c r="I109" s="251">
        <f t="shared" si="14"/>
        <v>1857117.6310572992</v>
      </c>
      <c r="J109" s="128">
        <f t="shared" si="15"/>
        <v>-2864364087.112555</v>
      </c>
      <c r="N109" s="4">
        <f t="shared" si="9"/>
        <v>603</v>
      </c>
    </row>
    <row r="110" spans="1:14">
      <c r="A110" s="91">
        <f t="shared" si="10"/>
        <v>604</v>
      </c>
      <c r="B110" s="18">
        <f>'1-DRR'!$K$2</f>
        <v>2022</v>
      </c>
      <c r="C110" s="190" t="s">
        <v>454</v>
      </c>
      <c r="D110" s="124">
        <f t="shared" si="11"/>
        <v>2455970.7802025876</v>
      </c>
      <c r="E110" s="124">
        <f t="shared" si="12"/>
        <v>-2860717138.7211318</v>
      </c>
      <c r="F110" s="34">
        <v>30</v>
      </c>
      <c r="G110" s="34">
        <f t="shared" si="13"/>
        <v>246</v>
      </c>
      <c r="H110" s="191">
        <f>G110/G106</f>
        <v>0.67397260273972603</v>
      </c>
      <c r="I110" s="251">
        <f t="shared" si="14"/>
        <v>1655257.0189858535</v>
      </c>
      <c r="J110" s="128">
        <f t="shared" si="15"/>
        <v>-2862708830.0935693</v>
      </c>
      <c r="N110" s="4">
        <f t="shared" si="9"/>
        <v>604</v>
      </c>
    </row>
    <row r="111" spans="1:14">
      <c r="A111" s="91">
        <f t="shared" si="10"/>
        <v>605</v>
      </c>
      <c r="B111" s="18">
        <f>'1-DRR'!$K$2</f>
        <v>2022</v>
      </c>
      <c r="C111" s="190" t="s">
        <v>455</v>
      </c>
      <c r="D111" s="124">
        <f t="shared" si="11"/>
        <v>2455970.7802025876</v>
      </c>
      <c r="E111" s="124">
        <f t="shared" si="12"/>
        <v>-2858261167.9409294</v>
      </c>
      <c r="F111" s="34">
        <v>31</v>
      </c>
      <c r="G111" s="34">
        <f t="shared" si="13"/>
        <v>215</v>
      </c>
      <c r="H111" s="191">
        <f>G111/G106</f>
        <v>0.58904109589041098</v>
      </c>
      <c r="I111" s="251">
        <f t="shared" si="14"/>
        <v>1446667.7198453599</v>
      </c>
      <c r="J111" s="128">
        <f t="shared" si="15"/>
        <v>-2861262162.373724</v>
      </c>
      <c r="N111" s="4">
        <f t="shared" si="9"/>
        <v>605</v>
      </c>
    </row>
    <row r="112" spans="1:14">
      <c r="A112" s="91">
        <f t="shared" si="10"/>
        <v>606</v>
      </c>
      <c r="B112" s="18">
        <f>'1-DRR'!$K$2</f>
        <v>2022</v>
      </c>
      <c r="C112" s="190" t="s">
        <v>737</v>
      </c>
      <c r="D112" s="124">
        <f t="shared" si="11"/>
        <v>2455970.7802025876</v>
      </c>
      <c r="E112" s="124">
        <f t="shared" si="12"/>
        <v>-2855805197.160727</v>
      </c>
      <c r="F112" s="34">
        <v>30</v>
      </c>
      <c r="G112" s="34">
        <f t="shared" si="13"/>
        <v>185</v>
      </c>
      <c r="H112" s="191">
        <f>G112/G106</f>
        <v>0.50684931506849318</v>
      </c>
      <c r="I112" s="251">
        <f t="shared" si="14"/>
        <v>1244807.1077739142</v>
      </c>
      <c r="J112" s="128">
        <f t="shared" si="15"/>
        <v>-2860017355.2659502</v>
      </c>
      <c r="N112" s="4">
        <f t="shared" si="9"/>
        <v>606</v>
      </c>
    </row>
    <row r="113" spans="1:14">
      <c r="A113" s="91">
        <f t="shared" si="10"/>
        <v>607</v>
      </c>
      <c r="B113" s="18">
        <f>'1-DRR'!$K$2</f>
        <v>2022</v>
      </c>
      <c r="C113" s="190" t="s">
        <v>457</v>
      </c>
      <c r="D113" s="124">
        <f t="shared" si="11"/>
        <v>2455970.7802025876</v>
      </c>
      <c r="E113" s="124">
        <f t="shared" si="12"/>
        <v>-2853349226.3805246</v>
      </c>
      <c r="F113" s="34">
        <v>31</v>
      </c>
      <c r="G113" s="34">
        <f t="shared" si="13"/>
        <v>154</v>
      </c>
      <c r="H113" s="191">
        <f>G113/G106</f>
        <v>0.42191780821917807</v>
      </c>
      <c r="I113" s="251">
        <f t="shared" si="14"/>
        <v>1036217.8086334205</v>
      </c>
      <c r="J113" s="128">
        <f t="shared" si="15"/>
        <v>-2858981137.4573169</v>
      </c>
      <c r="N113" s="4">
        <f t="shared" si="9"/>
        <v>607</v>
      </c>
    </row>
    <row r="114" spans="1:14">
      <c r="A114" s="91">
        <f t="shared" si="10"/>
        <v>608</v>
      </c>
      <c r="B114" s="18">
        <f>'1-DRR'!$K$2</f>
        <v>2022</v>
      </c>
      <c r="C114" s="190" t="s">
        <v>458</v>
      </c>
      <c r="D114" s="124">
        <f t="shared" si="11"/>
        <v>2455970.7802025876</v>
      </c>
      <c r="E114" s="124">
        <f t="shared" si="12"/>
        <v>-2850893255.6003222</v>
      </c>
      <c r="F114" s="34">
        <v>31</v>
      </c>
      <c r="G114" s="34">
        <f t="shared" si="13"/>
        <v>123</v>
      </c>
      <c r="H114" s="191">
        <f>G114/G106</f>
        <v>0.33698630136986302</v>
      </c>
      <c r="I114" s="251">
        <f t="shared" si="14"/>
        <v>827628.50949292677</v>
      </c>
      <c r="J114" s="128">
        <f t="shared" si="15"/>
        <v>-2858153508.947824</v>
      </c>
      <c r="N114" s="4">
        <f t="shared" si="9"/>
        <v>608</v>
      </c>
    </row>
    <row r="115" spans="1:14">
      <c r="A115" s="91">
        <f t="shared" si="10"/>
        <v>609</v>
      </c>
      <c r="B115" s="18">
        <f>'1-DRR'!$K$2</f>
        <v>2022</v>
      </c>
      <c r="C115" s="190" t="s">
        <v>459</v>
      </c>
      <c r="D115" s="124">
        <f t="shared" si="11"/>
        <v>2455970.7802025876</v>
      </c>
      <c r="E115" s="124">
        <f t="shared" si="12"/>
        <v>-2848437284.8201199</v>
      </c>
      <c r="F115" s="34">
        <v>30</v>
      </c>
      <c r="G115" s="34">
        <f t="shared" si="13"/>
        <v>93</v>
      </c>
      <c r="H115" s="191">
        <f>G115/G106</f>
        <v>0.25479452054794521</v>
      </c>
      <c r="I115" s="251">
        <f t="shared" si="14"/>
        <v>625767.8974214812</v>
      </c>
      <c r="J115" s="128">
        <f t="shared" si="15"/>
        <v>-2857527741.0504026</v>
      </c>
      <c r="N115" s="4">
        <f t="shared" si="9"/>
        <v>609</v>
      </c>
    </row>
    <row r="116" spans="1:14">
      <c r="A116" s="91">
        <f t="shared" si="10"/>
        <v>610</v>
      </c>
      <c r="B116" s="18">
        <f>'1-DRR'!$K$2</f>
        <v>2022</v>
      </c>
      <c r="C116" s="190" t="s">
        <v>460</v>
      </c>
      <c r="D116" s="124">
        <f t="shared" si="11"/>
        <v>2455970.7802025876</v>
      </c>
      <c r="E116" s="124">
        <f t="shared" si="12"/>
        <v>-2845981314.0399175</v>
      </c>
      <c r="F116" s="34">
        <v>31</v>
      </c>
      <c r="G116" s="34">
        <f t="shared" si="13"/>
        <v>62</v>
      </c>
      <c r="H116" s="191">
        <f>G116/G106</f>
        <v>0.16986301369863013</v>
      </c>
      <c r="I116" s="251">
        <f t="shared" si="14"/>
        <v>417178.59828098747</v>
      </c>
      <c r="J116" s="128">
        <f t="shared" si="15"/>
        <v>-2857110562.4521217</v>
      </c>
      <c r="N116" s="4">
        <f t="shared" si="9"/>
        <v>610</v>
      </c>
    </row>
    <row r="117" spans="1:14">
      <c r="A117" s="91">
        <f t="shared" si="10"/>
        <v>611</v>
      </c>
      <c r="B117" s="18">
        <f>'1-DRR'!$K$2</f>
        <v>2022</v>
      </c>
      <c r="C117" s="190" t="s">
        <v>461</v>
      </c>
      <c r="D117" s="124">
        <f t="shared" si="11"/>
        <v>2455970.7802025876</v>
      </c>
      <c r="E117" s="124">
        <f t="shared" si="12"/>
        <v>-2843525343.2597151</v>
      </c>
      <c r="F117" s="34">
        <v>30</v>
      </c>
      <c r="G117" s="34">
        <f>+F118+G118</f>
        <v>32</v>
      </c>
      <c r="H117" s="191">
        <f>G117/G106</f>
        <v>8.7671232876712329E-2</v>
      </c>
      <c r="I117" s="251">
        <f t="shared" si="14"/>
        <v>215317.98620954194</v>
      </c>
      <c r="J117" s="128">
        <f t="shared" si="15"/>
        <v>-2856895244.4659123</v>
      </c>
      <c r="N117" s="4">
        <f t="shared" si="9"/>
        <v>611</v>
      </c>
    </row>
    <row r="118" spans="1:14">
      <c r="A118" s="91">
        <f t="shared" si="10"/>
        <v>612</v>
      </c>
      <c r="B118" s="18">
        <f>'1-DRR'!$K$2</f>
        <v>2022</v>
      </c>
      <c r="C118" s="190" t="s">
        <v>449</v>
      </c>
      <c r="D118" s="124">
        <f t="shared" si="11"/>
        <v>2455970.7802025876</v>
      </c>
      <c r="E118" s="124">
        <f t="shared" si="12"/>
        <v>-2841069372.4795127</v>
      </c>
      <c r="F118" s="34">
        <v>31</v>
      </c>
      <c r="G118" s="34">
        <v>1</v>
      </c>
      <c r="H118" s="191">
        <f>G118/G106</f>
        <v>2.7397260273972603E-3</v>
      </c>
      <c r="I118" s="251">
        <f t="shared" si="14"/>
        <v>6728.6870690481855</v>
      </c>
      <c r="J118" s="253">
        <f t="shared" si="15"/>
        <v>-2856888515.7788434</v>
      </c>
      <c r="N118" s="4">
        <f t="shared" si="9"/>
        <v>612</v>
      </c>
    </row>
    <row r="119" spans="1:14">
      <c r="A119" s="91">
        <f t="shared" si="10"/>
        <v>613</v>
      </c>
      <c r="B119" s="8"/>
      <c r="C119" s="190" t="s">
        <v>1196</v>
      </c>
      <c r="D119" s="124"/>
      <c r="E119" s="124">
        <f>D13</f>
        <v>-2841069372.4795103</v>
      </c>
      <c r="F119" s="171"/>
      <c r="G119" s="171"/>
      <c r="H119" s="171"/>
      <c r="I119" s="9"/>
      <c r="J119" s="254"/>
      <c r="N119" s="4">
        <f t="shared" si="9"/>
        <v>613</v>
      </c>
    </row>
    <row r="120" spans="1:14">
      <c r="A120" s="91">
        <f t="shared" si="10"/>
        <v>614</v>
      </c>
      <c r="B120" s="8"/>
      <c r="C120" s="114"/>
      <c r="D120" s="175"/>
      <c r="E120" s="175"/>
      <c r="F120" s="171"/>
      <c r="G120" s="171"/>
      <c r="H120" s="171"/>
      <c r="I120" s="194" t="s">
        <v>1197</v>
      </c>
      <c r="J120" s="301">
        <f>+J118</f>
        <v>-2856888515.7788434</v>
      </c>
      <c r="N120" s="4">
        <f t="shared" si="9"/>
        <v>614</v>
      </c>
    </row>
    <row r="121" spans="1:14">
      <c r="A121" s="21"/>
      <c r="C121" s="8"/>
      <c r="K121" s="4"/>
    </row>
    <row r="122" spans="1:14">
      <c r="A122" s="21"/>
      <c r="B122" s="123" t="s">
        <v>598</v>
      </c>
      <c r="K122" s="4"/>
    </row>
    <row r="123" spans="1:14">
      <c r="A123" s="21"/>
      <c r="B123" s="735" t="s">
        <v>1198</v>
      </c>
      <c r="C123" s="735"/>
      <c r="D123" s="735"/>
      <c r="E123" s="735"/>
      <c r="F123" s="735"/>
      <c r="G123" s="735"/>
      <c r="H123" s="735"/>
      <c r="I123" s="735"/>
      <c r="J123" s="735"/>
      <c r="K123" s="4"/>
    </row>
    <row r="124" spans="1:14">
      <c r="A124" s="21"/>
      <c r="B124" s="735" t="s">
        <v>1199</v>
      </c>
      <c r="C124" s="735"/>
      <c r="D124" s="735"/>
      <c r="E124" s="735"/>
      <c r="F124" s="735"/>
      <c r="G124" s="735"/>
      <c r="H124" s="735"/>
      <c r="I124" s="735"/>
      <c r="J124" s="735"/>
      <c r="K124" s="4"/>
    </row>
    <row r="125" spans="1:14">
      <c r="B125" s="8" t="s">
        <v>1200</v>
      </c>
    </row>
    <row r="126" spans="1:14">
      <c r="B126" s="8" t="s">
        <v>1201</v>
      </c>
    </row>
  </sheetData>
  <protectedRanges>
    <protectedRange password="F1C4" sqref="D13:D14 D16 D21 F18 D18:E20 D22:F27 B7:C27 E14:E17 D48:D49 D69:D70 D86:D87 J50:J53 J89:J90 J28:J37 J72:J75 J55" name="AAReport1_23_1_1_2"/>
    <protectedRange password="F1C4" sqref="F29:F30" name="AAReport1_23_1_1_2_1"/>
    <protectedRange password="F1C4" sqref="D17" name="AAReport1_23_1_1_2_2"/>
    <protectedRange password="F1C4" sqref="J54" name="AAReport1_23_1_1_2_3"/>
  </protectedRanges>
  <mergeCells count="2">
    <mergeCell ref="B123:J123"/>
    <mergeCell ref="B124:J124"/>
  </mergeCells>
  <phoneticPr fontId="104" type="noConversion"/>
  <conditionalFormatting sqref="B76 D76">
    <cfRule type="expression" dxfId="4" priority="8" stopIfTrue="1">
      <formula>Formulas</formula>
    </cfRule>
  </conditionalFormatting>
  <conditionalFormatting sqref="C72:C75">
    <cfRule type="expression" dxfId="3" priority="6" stopIfTrue="1">
      <formula>#REF!&lt;&gt;""</formula>
    </cfRule>
  </conditionalFormatting>
  <conditionalFormatting sqref="C76">
    <cfRule type="expression" dxfId="2" priority="7" stopIfTrue="1">
      <formula>#REF!&lt;&gt;""</formula>
    </cfRule>
  </conditionalFormatting>
  <conditionalFormatting sqref="C89">
    <cfRule type="expression" dxfId="1" priority="3" stopIfTrue="1">
      <formula>#REF!&lt;&gt;""</formula>
    </cfRule>
  </conditionalFormatting>
  <conditionalFormatting sqref="C90:C92">
    <cfRule type="expression" dxfId="0" priority="1" stopIfTrue="1">
      <formula>#REF!&lt;&gt;""</formula>
    </cfRule>
  </conditionalFormatting>
  <printOptions horizontalCentered="1"/>
  <pageMargins left="1" right="1" top="1" bottom="1" header="0.5" footer="0.5"/>
  <pageSetup scale="33"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65" max="13" man="1"/>
  </rowBreaks>
  <customProperties>
    <customPr name="_pios_id" r:id="rId2"/>
    <customPr name="EpmWorksheetKeyString_GUID" r:id="rId3"/>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49DE2-ED6C-4C72-BA2C-28D2FBD5F9DB}">
  <sheetPr codeName="Sheet21">
    <pageSetUpPr fitToPage="1"/>
  </sheetPr>
  <dimension ref="A1:BD1012"/>
  <sheetViews>
    <sheetView view="pageBreakPreview" zoomScale="85" zoomScaleNormal="100" zoomScaleSheetLayoutView="85" workbookViewId="0">
      <selection activeCell="D45" sqref="D45"/>
    </sheetView>
  </sheetViews>
  <sheetFormatPr defaultColWidth="10.1796875" defaultRowHeight="14.5"/>
  <cols>
    <col min="1" max="1" width="4.7265625" style="333" bestFit="1" customWidth="1"/>
    <col min="2" max="2" width="45.26953125" style="333" customWidth="1"/>
    <col min="3" max="4" width="14.7265625" style="333" customWidth="1"/>
    <col min="5" max="5" width="5.81640625" style="333" customWidth="1"/>
    <col min="6" max="7" width="14.7265625" style="333" customWidth="1"/>
    <col min="8" max="8" width="4.7265625" style="333" bestFit="1" customWidth="1"/>
    <col min="9" max="16384" width="10.1796875" style="333"/>
  </cols>
  <sheetData>
    <row r="1" spans="1:56">
      <c r="B1" s="337" t="s">
        <v>1202</v>
      </c>
      <c r="G1" s="6" t="str">
        <f>CONCATENATE("Prior Year: ",'1-DRR'!$K$2)</f>
        <v>Prior Year: 2022</v>
      </c>
    </row>
    <row r="2" spans="1:56">
      <c r="B2" s="78" t="s">
        <v>122</v>
      </c>
    </row>
    <row r="3" spans="1:56">
      <c r="B3" s="105"/>
    </row>
    <row r="4" spans="1:56">
      <c r="A4" s="740" t="s">
        <v>1203</v>
      </c>
      <c r="B4" s="740"/>
      <c r="C4" s="740"/>
      <c r="D4" s="740"/>
      <c r="E4" s="740"/>
      <c r="F4" s="740"/>
      <c r="G4" s="740"/>
    </row>
    <row r="5" spans="1:56">
      <c r="A5" s="741"/>
      <c r="B5" s="741"/>
      <c r="C5" s="741"/>
      <c r="D5" s="741"/>
      <c r="E5" s="741"/>
      <c r="F5" s="741"/>
      <c r="G5" s="741"/>
    </row>
    <row r="7" spans="1:56">
      <c r="C7" s="740" t="s">
        <v>1204</v>
      </c>
      <c r="D7" s="740"/>
      <c r="F7" s="740" t="s">
        <v>1205</v>
      </c>
      <c r="G7" s="740"/>
    </row>
    <row r="8" spans="1:56">
      <c r="C8" s="335" t="s">
        <v>124</v>
      </c>
      <c r="D8" s="335" t="s">
        <v>125</v>
      </c>
      <c r="E8" s="336"/>
      <c r="F8" s="335" t="s">
        <v>126</v>
      </c>
      <c r="G8" s="335" t="s">
        <v>127</v>
      </c>
    </row>
    <row r="10" spans="1:56">
      <c r="C10" s="334" t="s">
        <v>1206</v>
      </c>
      <c r="D10" s="334" t="s">
        <v>1207</v>
      </c>
      <c r="E10" s="337"/>
      <c r="F10" s="334" t="s">
        <v>1206</v>
      </c>
      <c r="G10" s="334" t="s">
        <v>1207</v>
      </c>
    </row>
    <row r="11" spans="1:56">
      <c r="A11" s="338" t="s">
        <v>92</v>
      </c>
      <c r="B11" s="338" t="s">
        <v>1208</v>
      </c>
      <c r="C11" s="338" t="s">
        <v>1209</v>
      </c>
      <c r="D11" s="338" t="s">
        <v>1210</v>
      </c>
      <c r="E11" s="336"/>
      <c r="F11" s="338" t="s">
        <v>1209</v>
      </c>
      <c r="G11" s="338" t="s">
        <v>1210</v>
      </c>
      <c r="H11" s="338" t="s">
        <v>92</v>
      </c>
    </row>
    <row r="12" spans="1:56">
      <c r="A12" s="334"/>
      <c r="C12" s="339"/>
      <c r="D12" s="339"/>
      <c r="E12" s="339"/>
      <c r="F12" s="339"/>
      <c r="G12" s="339"/>
      <c r="H12" s="334"/>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0"/>
      <c r="AG12" s="340"/>
      <c r="AH12" s="340"/>
      <c r="AI12" s="340"/>
      <c r="AJ12" s="340"/>
      <c r="AK12" s="340"/>
      <c r="AL12" s="340"/>
      <c r="AM12" s="340"/>
      <c r="AN12" s="340"/>
      <c r="AO12" s="340"/>
      <c r="AP12" s="340"/>
      <c r="AQ12" s="340"/>
      <c r="AR12" s="340"/>
      <c r="AS12" s="340"/>
      <c r="AT12" s="340"/>
      <c r="AU12" s="340"/>
      <c r="AV12" s="340"/>
      <c r="AW12" s="340"/>
      <c r="AX12" s="340"/>
      <c r="AY12" s="340"/>
      <c r="AZ12" s="340"/>
      <c r="BA12" s="340"/>
      <c r="BB12" s="340"/>
      <c r="BC12" s="340"/>
      <c r="BD12" s="340"/>
    </row>
    <row r="13" spans="1:56">
      <c r="A13" s="334">
        <v>100</v>
      </c>
      <c r="B13" s="333" t="s">
        <v>1211</v>
      </c>
      <c r="C13" s="341">
        <v>1.0021145</v>
      </c>
      <c r="D13" s="341">
        <v>0.99789000000000005</v>
      </c>
      <c r="E13" s="339"/>
      <c r="F13" s="341">
        <v>1.0018530000000001</v>
      </c>
      <c r="G13" s="341">
        <v>0.99814999999999998</v>
      </c>
      <c r="H13" s="334">
        <v>100</v>
      </c>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0"/>
      <c r="AY13" s="340"/>
      <c r="AZ13" s="340"/>
      <c r="BA13" s="340"/>
      <c r="BB13" s="340"/>
      <c r="BC13" s="340"/>
      <c r="BD13" s="340"/>
    </row>
    <row r="14" spans="1:56">
      <c r="A14" s="334"/>
      <c r="C14" s="339"/>
      <c r="D14" s="339"/>
      <c r="E14" s="339"/>
      <c r="F14" s="339"/>
      <c r="G14" s="339"/>
      <c r="H14" s="334"/>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0"/>
      <c r="AY14" s="340"/>
      <c r="AZ14" s="340"/>
      <c r="BA14" s="340"/>
      <c r="BB14" s="340"/>
      <c r="BC14" s="340"/>
      <c r="BD14" s="340"/>
    </row>
    <row r="15" spans="1:56">
      <c r="A15" s="334">
        <v>101</v>
      </c>
      <c r="B15" s="333" t="s">
        <v>1212</v>
      </c>
      <c r="C15" s="341">
        <v>1.0232026999999999</v>
      </c>
      <c r="D15" s="341">
        <v>0.97732300000000005</v>
      </c>
      <c r="E15" s="339"/>
      <c r="F15" s="341">
        <v>1.0199780000000001</v>
      </c>
      <c r="G15" s="341">
        <v>0.98041299999999998</v>
      </c>
      <c r="H15" s="334">
        <v>101</v>
      </c>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340"/>
      <c r="AG15" s="340"/>
      <c r="AH15" s="340"/>
      <c r="AI15" s="340"/>
      <c r="AJ15" s="340"/>
      <c r="AK15" s="340"/>
      <c r="AL15" s="340"/>
      <c r="AM15" s="340"/>
      <c r="AN15" s="340"/>
      <c r="AO15" s="340"/>
      <c r="AP15" s="340"/>
      <c r="AQ15" s="340"/>
      <c r="AR15" s="340"/>
      <c r="AS15" s="340"/>
      <c r="AT15" s="340"/>
      <c r="AU15" s="340"/>
      <c r="AV15" s="340"/>
      <c r="AW15" s="340"/>
      <c r="AX15" s="340"/>
      <c r="AY15" s="340"/>
      <c r="AZ15" s="340"/>
      <c r="BA15" s="340"/>
      <c r="BB15" s="340"/>
      <c r="BC15" s="340"/>
      <c r="BD15" s="340"/>
    </row>
    <row r="16" spans="1:56">
      <c r="A16" s="334"/>
      <c r="C16" s="339"/>
      <c r="D16" s="339"/>
      <c r="E16" s="339"/>
      <c r="F16" s="339"/>
      <c r="G16" s="339"/>
      <c r="H16" s="334"/>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0"/>
      <c r="AN16" s="340"/>
      <c r="AO16" s="340"/>
      <c r="AP16" s="340"/>
      <c r="AQ16" s="340"/>
      <c r="AR16" s="340"/>
      <c r="AS16" s="340"/>
      <c r="AT16" s="340"/>
      <c r="AU16" s="340"/>
      <c r="AV16" s="340"/>
      <c r="AW16" s="340"/>
      <c r="AX16" s="340"/>
      <c r="AY16" s="340"/>
      <c r="AZ16" s="340"/>
      <c r="BA16" s="340"/>
      <c r="BB16" s="340"/>
      <c r="BC16" s="340"/>
      <c r="BD16" s="340"/>
    </row>
    <row r="17" spans="1:56">
      <c r="A17" s="334">
        <v>102</v>
      </c>
      <c r="B17" s="333" t="s">
        <v>1213</v>
      </c>
      <c r="C17" s="341">
        <v>1.0435094</v>
      </c>
      <c r="D17" s="341">
        <v>0.95830499999999996</v>
      </c>
      <c r="E17" s="339"/>
      <c r="F17" s="341">
        <v>1.035974</v>
      </c>
      <c r="G17" s="341">
        <v>0.96527499999999999</v>
      </c>
      <c r="H17" s="334">
        <v>102</v>
      </c>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0"/>
      <c r="AN17" s="340"/>
      <c r="AO17" s="340"/>
      <c r="AP17" s="340"/>
      <c r="AQ17" s="340"/>
      <c r="AR17" s="340"/>
      <c r="AS17" s="340"/>
      <c r="AT17" s="340"/>
      <c r="AU17" s="340"/>
      <c r="AV17" s="340"/>
      <c r="AW17" s="340"/>
      <c r="AX17" s="340"/>
      <c r="AY17" s="340"/>
      <c r="AZ17" s="340"/>
      <c r="BA17" s="340"/>
      <c r="BB17" s="340"/>
      <c r="BC17" s="340"/>
      <c r="BD17" s="340"/>
    </row>
    <row r="18" spans="1:56">
      <c r="A18" s="334"/>
      <c r="C18" s="339"/>
      <c r="D18" s="339"/>
      <c r="E18" s="339"/>
      <c r="F18" s="339"/>
      <c r="G18" s="339"/>
      <c r="H18" s="334"/>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c r="AL18" s="340"/>
      <c r="AM18" s="340"/>
      <c r="AN18" s="340"/>
      <c r="AO18" s="340"/>
      <c r="AP18" s="340"/>
      <c r="AQ18" s="340"/>
      <c r="AR18" s="340"/>
      <c r="AS18" s="340"/>
      <c r="AT18" s="340"/>
      <c r="AU18" s="340"/>
      <c r="AV18" s="340"/>
      <c r="AW18" s="340"/>
      <c r="AX18" s="340"/>
      <c r="AY18" s="340"/>
      <c r="AZ18" s="340"/>
      <c r="BA18" s="340"/>
      <c r="BB18" s="340"/>
      <c r="BC18" s="340"/>
      <c r="BD18" s="340"/>
    </row>
    <row r="19" spans="1:56">
      <c r="A19" s="334"/>
      <c r="B19" s="338" t="s">
        <v>1214</v>
      </c>
      <c r="C19" s="339"/>
      <c r="D19" s="339"/>
      <c r="E19" s="339"/>
      <c r="F19" s="339"/>
      <c r="G19" s="339"/>
      <c r="H19" s="334"/>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c r="AL19" s="340"/>
      <c r="AM19" s="340"/>
      <c r="AN19" s="340"/>
      <c r="AO19" s="340"/>
      <c r="AP19" s="340"/>
      <c r="AQ19" s="340"/>
      <c r="AR19" s="340"/>
      <c r="AS19" s="340"/>
      <c r="AT19" s="340"/>
      <c r="AU19" s="340"/>
      <c r="AV19" s="340"/>
      <c r="AW19" s="340"/>
      <c r="AX19" s="340"/>
      <c r="AY19" s="340"/>
      <c r="AZ19" s="340"/>
      <c r="BA19" s="340"/>
      <c r="BB19" s="340"/>
      <c r="BC19" s="340"/>
      <c r="BD19" s="340"/>
    </row>
    <row r="20" spans="1:56">
      <c r="A20" s="334"/>
      <c r="C20" s="339"/>
      <c r="D20" s="339"/>
      <c r="E20" s="339"/>
      <c r="F20" s="339"/>
      <c r="G20" s="339"/>
      <c r="H20" s="334"/>
      <c r="I20" s="340"/>
      <c r="J20" s="340"/>
      <c r="K20" s="340"/>
      <c r="L20" s="340"/>
      <c r="M20" s="340"/>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0"/>
      <c r="AM20" s="340"/>
      <c r="AN20" s="340"/>
      <c r="AO20" s="340"/>
      <c r="AP20" s="340"/>
      <c r="AQ20" s="340"/>
      <c r="AR20" s="340"/>
      <c r="AS20" s="340"/>
      <c r="AT20" s="340"/>
      <c r="AU20" s="340"/>
      <c r="AV20" s="340"/>
      <c r="AW20" s="340"/>
      <c r="AX20" s="340"/>
      <c r="AY20" s="340"/>
      <c r="AZ20" s="340"/>
      <c r="BA20" s="340"/>
      <c r="BB20" s="340"/>
      <c r="BC20" s="340"/>
      <c r="BD20" s="340"/>
    </row>
    <row r="21" spans="1:56">
      <c r="A21" s="334">
        <v>103</v>
      </c>
      <c r="B21" s="333" t="s">
        <v>1215</v>
      </c>
      <c r="C21" s="341">
        <v>1.0741400000000001</v>
      </c>
      <c r="D21" s="341">
        <v>0.93096999999999996</v>
      </c>
      <c r="E21" s="339"/>
      <c r="F21" s="341">
        <v>1.0554699999999999</v>
      </c>
      <c r="G21" s="341">
        <v>0.94745000000000001</v>
      </c>
      <c r="H21" s="334">
        <v>103</v>
      </c>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0"/>
      <c r="AY21" s="340"/>
      <c r="AZ21" s="340"/>
      <c r="BA21" s="340"/>
      <c r="BB21" s="340"/>
      <c r="BC21" s="340"/>
      <c r="BD21" s="340"/>
    </row>
    <row r="22" spans="1:56">
      <c r="A22" s="334"/>
      <c r="C22" s="339"/>
      <c r="D22" s="339"/>
      <c r="E22" s="339"/>
      <c r="F22" s="339"/>
      <c r="G22" s="339"/>
      <c r="H22" s="334"/>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0"/>
      <c r="BC22" s="340"/>
      <c r="BD22" s="340"/>
    </row>
    <row r="23" spans="1:56">
      <c r="A23" s="334">
        <v>104</v>
      </c>
      <c r="B23" s="333" t="s">
        <v>1216</v>
      </c>
      <c r="C23" s="341">
        <v>1.1384799999999999</v>
      </c>
      <c r="D23" s="341">
        <v>0.87836000000000003</v>
      </c>
      <c r="E23" s="339"/>
      <c r="F23" s="341">
        <v>1.1076999999999999</v>
      </c>
      <c r="G23" s="341">
        <v>0.90276999999999996</v>
      </c>
      <c r="H23" s="334">
        <v>104</v>
      </c>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340"/>
      <c r="AH23" s="340"/>
      <c r="AI23" s="340"/>
      <c r="AJ23" s="340"/>
      <c r="AK23" s="340"/>
      <c r="AL23" s="340"/>
      <c r="AM23" s="340"/>
      <c r="AN23" s="340"/>
      <c r="AO23" s="340"/>
      <c r="AP23" s="340"/>
      <c r="AQ23" s="340"/>
      <c r="AR23" s="340"/>
      <c r="AS23" s="340"/>
      <c r="AT23" s="340"/>
      <c r="AU23" s="340"/>
      <c r="AV23" s="340"/>
      <c r="AW23" s="340"/>
      <c r="AX23" s="340"/>
      <c r="AY23" s="340"/>
      <c r="AZ23" s="340"/>
      <c r="BA23" s="340"/>
      <c r="BB23" s="340"/>
      <c r="BC23" s="340"/>
      <c r="BD23" s="340"/>
    </row>
    <row r="24" spans="1:56">
      <c r="C24" s="340"/>
      <c r="D24" s="339"/>
      <c r="E24" s="339"/>
      <c r="F24" s="339"/>
      <c r="G24" s="339"/>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340"/>
      <c r="AH24" s="340"/>
      <c r="AI24" s="340"/>
      <c r="AJ24" s="340"/>
      <c r="AK24" s="340"/>
      <c r="AL24" s="340"/>
      <c r="AM24" s="340"/>
      <c r="AN24" s="340"/>
      <c r="AO24" s="340"/>
      <c r="AP24" s="340"/>
      <c r="AQ24" s="340"/>
      <c r="AR24" s="340"/>
      <c r="AS24" s="340"/>
      <c r="AT24" s="340"/>
      <c r="AU24" s="340"/>
      <c r="AV24" s="340"/>
      <c r="AW24" s="340"/>
      <c r="AX24" s="340"/>
      <c r="AY24" s="340"/>
      <c r="AZ24" s="340"/>
      <c r="BA24" s="340"/>
      <c r="BB24" s="340"/>
      <c r="BC24" s="340"/>
      <c r="BD24" s="340"/>
    </row>
    <row r="25" spans="1:56">
      <c r="C25" s="340"/>
      <c r="D25" s="339"/>
      <c r="E25" s="339"/>
      <c r="F25" s="339"/>
      <c r="G25" s="339"/>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0"/>
      <c r="BC25" s="340"/>
      <c r="BD25" s="340"/>
    </row>
    <row r="26" spans="1:56" ht="15" customHeight="1">
      <c r="B26" s="739" t="s">
        <v>1217</v>
      </c>
      <c r="C26" s="739"/>
      <c r="D26" s="739"/>
      <c r="E26" s="739"/>
      <c r="F26" s="739"/>
      <c r="G26" s="739"/>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G26" s="340"/>
      <c r="AH26" s="340"/>
      <c r="AI26" s="340"/>
      <c r="AJ26" s="340"/>
      <c r="AK26" s="340"/>
      <c r="AL26" s="340"/>
      <c r="AM26" s="340"/>
      <c r="AN26" s="340"/>
      <c r="AO26" s="340"/>
      <c r="AP26" s="340"/>
      <c r="AQ26" s="340"/>
      <c r="AR26" s="340"/>
      <c r="AS26" s="340"/>
      <c r="AT26" s="340"/>
      <c r="AU26" s="340"/>
      <c r="AV26" s="340"/>
      <c r="AW26" s="340"/>
      <c r="AX26" s="340"/>
      <c r="AY26" s="340"/>
      <c r="AZ26" s="340"/>
      <c r="BA26" s="340"/>
      <c r="BB26" s="340"/>
      <c r="BC26" s="340"/>
      <c r="BD26" s="340"/>
    </row>
    <row r="27" spans="1:56">
      <c r="B27" s="739"/>
      <c r="C27" s="739"/>
      <c r="D27" s="739"/>
      <c r="E27" s="739"/>
      <c r="F27" s="739"/>
      <c r="G27" s="739"/>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c r="AG27" s="340"/>
      <c r="AH27" s="340"/>
      <c r="AI27" s="340"/>
      <c r="AJ27" s="340"/>
      <c r="AK27" s="340"/>
      <c r="AL27" s="340"/>
      <c r="AM27" s="340"/>
      <c r="AN27" s="340"/>
      <c r="AO27" s="340"/>
      <c r="AP27" s="340"/>
      <c r="AQ27" s="340"/>
      <c r="AR27" s="340"/>
      <c r="AS27" s="340"/>
      <c r="AT27" s="340"/>
      <c r="AU27" s="340"/>
      <c r="AV27" s="340"/>
      <c r="AW27" s="340"/>
      <c r="AX27" s="340"/>
      <c r="AY27" s="340"/>
      <c r="AZ27" s="340"/>
      <c r="BA27" s="340"/>
      <c r="BB27" s="340"/>
      <c r="BC27" s="340"/>
      <c r="BD27" s="340"/>
    </row>
    <row r="28" spans="1:56" ht="15" customHeight="1">
      <c r="B28" s="739" t="s">
        <v>1218</v>
      </c>
      <c r="C28" s="739"/>
      <c r="D28" s="739"/>
      <c r="E28" s="739"/>
      <c r="F28" s="739"/>
      <c r="G28" s="739"/>
      <c r="H28" s="340"/>
      <c r="I28" s="340"/>
      <c r="J28" s="340"/>
      <c r="K28" s="340"/>
      <c r="L28" s="340"/>
      <c r="M28" s="340"/>
      <c r="N28" s="340"/>
      <c r="O28" s="340"/>
      <c r="P28" s="340"/>
      <c r="Q28" s="340"/>
      <c r="R28" s="340"/>
      <c r="S28" s="340"/>
      <c r="T28" s="340"/>
      <c r="U28" s="340"/>
      <c r="V28" s="340"/>
      <c r="W28" s="340"/>
      <c r="X28" s="340"/>
      <c r="Y28" s="340"/>
      <c r="Z28" s="340"/>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0"/>
      <c r="BC28" s="340"/>
      <c r="BD28" s="340"/>
    </row>
    <row r="29" spans="1:56">
      <c r="B29" s="739"/>
      <c r="C29" s="739"/>
      <c r="D29" s="739"/>
      <c r="E29" s="739"/>
      <c r="F29" s="739"/>
      <c r="G29" s="739"/>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0"/>
      <c r="BC29" s="340"/>
      <c r="BD29" s="340"/>
    </row>
    <row r="30" spans="1:56">
      <c r="C30" s="340"/>
      <c r="D30" s="340"/>
      <c r="E30" s="340"/>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0"/>
      <c r="AN30" s="340"/>
      <c r="AO30" s="340"/>
      <c r="AP30" s="340"/>
      <c r="AQ30" s="340"/>
      <c r="AR30" s="340"/>
      <c r="AS30" s="340"/>
      <c r="AT30" s="340"/>
      <c r="AU30" s="340"/>
      <c r="AV30" s="340"/>
      <c r="AW30" s="340"/>
      <c r="AX30" s="340"/>
      <c r="AY30" s="340"/>
      <c r="AZ30" s="340"/>
      <c r="BA30" s="340"/>
      <c r="BB30" s="340"/>
      <c r="BC30" s="340"/>
      <c r="BD30" s="340"/>
    </row>
    <row r="31" spans="1:56">
      <c r="C31" s="340"/>
      <c r="D31" s="340"/>
      <c r="E31" s="340"/>
      <c r="F31" s="340"/>
      <c r="G31" s="340"/>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0"/>
      <c r="BC31" s="340"/>
      <c r="BD31" s="340"/>
    </row>
    <row r="32" spans="1:56">
      <c r="C32" s="340"/>
      <c r="D32" s="340"/>
      <c r="E32" s="340"/>
      <c r="F32" s="340"/>
      <c r="G32" s="340"/>
      <c r="H32" s="340"/>
      <c r="I32" s="340"/>
      <c r="J32" s="340"/>
      <c r="K32" s="340"/>
      <c r="L32" s="340"/>
      <c r="M32" s="340"/>
      <c r="N32" s="340"/>
      <c r="O32" s="340"/>
      <c r="P32" s="340"/>
      <c r="Q32" s="340"/>
      <c r="R32" s="340"/>
      <c r="S32" s="340"/>
      <c r="T32" s="340"/>
      <c r="U32" s="340"/>
      <c r="V32" s="340"/>
      <c r="W32" s="340"/>
      <c r="X32" s="340"/>
      <c r="Y32" s="340"/>
      <c r="Z32" s="340"/>
      <c r="AA32" s="340"/>
      <c r="AB32" s="340"/>
      <c r="AC32" s="340"/>
      <c r="AD32" s="340"/>
      <c r="AE32" s="340"/>
      <c r="AF32" s="340"/>
      <c r="AG32" s="340"/>
      <c r="AH32" s="340"/>
      <c r="AI32" s="340"/>
      <c r="AJ32" s="340"/>
      <c r="AK32" s="340"/>
      <c r="AL32" s="340"/>
      <c r="AM32" s="340"/>
      <c r="AN32" s="340"/>
      <c r="AO32" s="340"/>
      <c r="AP32" s="340"/>
      <c r="AQ32" s="340"/>
      <c r="AR32" s="340"/>
      <c r="AS32" s="340"/>
      <c r="AT32" s="340"/>
      <c r="AU32" s="340"/>
      <c r="AV32" s="340"/>
      <c r="AW32" s="340"/>
      <c r="AX32" s="340"/>
      <c r="AY32" s="340"/>
      <c r="AZ32" s="340"/>
      <c r="BA32" s="340"/>
      <c r="BB32" s="340"/>
      <c r="BC32" s="340"/>
      <c r="BD32" s="340"/>
    </row>
    <row r="33" spans="3:56">
      <c r="C33" s="340"/>
      <c r="D33" s="340"/>
      <c r="E33" s="340"/>
      <c r="F33" s="340"/>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c r="AI33" s="340"/>
      <c r="AJ33" s="340"/>
      <c r="AK33" s="340"/>
      <c r="AL33" s="340"/>
      <c r="AM33" s="340"/>
      <c r="AN33" s="340"/>
      <c r="AO33" s="340"/>
      <c r="AP33" s="340"/>
      <c r="AQ33" s="340"/>
      <c r="AR33" s="340"/>
      <c r="AS33" s="340"/>
      <c r="AT33" s="340"/>
      <c r="AU33" s="340"/>
      <c r="AV33" s="340"/>
      <c r="AW33" s="340"/>
      <c r="AX33" s="340"/>
      <c r="AY33" s="340"/>
      <c r="AZ33" s="340"/>
      <c r="BA33" s="340"/>
      <c r="BB33" s="340"/>
      <c r="BC33" s="340"/>
      <c r="BD33" s="340"/>
    </row>
    <row r="34" spans="3:56">
      <c r="C34" s="340"/>
      <c r="D34" s="340"/>
      <c r="E34" s="340"/>
      <c r="F34" s="340"/>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0"/>
      <c r="AI34" s="340"/>
      <c r="AJ34" s="340"/>
      <c r="AK34" s="340"/>
      <c r="AL34" s="340"/>
      <c r="AM34" s="340"/>
      <c r="AN34" s="340"/>
      <c r="AO34" s="340"/>
      <c r="AP34" s="340"/>
      <c r="AQ34" s="340"/>
      <c r="AR34" s="340"/>
      <c r="AS34" s="340"/>
      <c r="AT34" s="340"/>
      <c r="AU34" s="340"/>
      <c r="AV34" s="340"/>
      <c r="AW34" s="340"/>
      <c r="AX34" s="340"/>
      <c r="AY34" s="340"/>
      <c r="AZ34" s="340"/>
      <c r="BA34" s="340"/>
      <c r="BB34" s="340"/>
      <c r="BC34" s="340"/>
      <c r="BD34" s="340"/>
    </row>
    <row r="35" spans="3:56">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row>
    <row r="36" spans="3:56">
      <c r="C36" s="340"/>
      <c r="D36" s="340"/>
      <c r="E36" s="340"/>
      <c r="F36" s="340"/>
      <c r="G36" s="340"/>
      <c r="H36" s="340"/>
      <c r="I36" s="340"/>
      <c r="J36" s="340"/>
      <c r="K36" s="340"/>
      <c r="L36" s="340"/>
      <c r="M36" s="340"/>
      <c r="N36" s="340"/>
      <c r="O36" s="340"/>
      <c r="P36" s="340"/>
      <c r="Q36" s="340"/>
      <c r="R36" s="340"/>
      <c r="S36" s="340"/>
      <c r="T36" s="340"/>
      <c r="U36" s="340"/>
      <c r="V36" s="340"/>
      <c r="W36" s="340"/>
      <c r="X36" s="340"/>
      <c r="Y36" s="340"/>
      <c r="Z36" s="340"/>
      <c r="AA36" s="340"/>
      <c r="AB36" s="340"/>
      <c r="AC36" s="340"/>
      <c r="AD36" s="340"/>
      <c r="AE36" s="340"/>
      <c r="AF36" s="340"/>
      <c r="AG36" s="340"/>
      <c r="AH36" s="340"/>
      <c r="AI36" s="340"/>
      <c r="AJ36" s="340"/>
      <c r="AK36" s="340"/>
      <c r="AL36" s="340"/>
      <c r="AM36" s="340"/>
      <c r="AN36" s="340"/>
      <c r="AO36" s="340"/>
      <c r="AP36" s="340"/>
      <c r="AQ36" s="340"/>
      <c r="AR36" s="340"/>
      <c r="AS36" s="340"/>
      <c r="AT36" s="340"/>
      <c r="AU36" s="340"/>
      <c r="AV36" s="340"/>
      <c r="AW36" s="340"/>
      <c r="AX36" s="340"/>
      <c r="AY36" s="340"/>
      <c r="AZ36" s="340"/>
      <c r="BA36" s="340"/>
      <c r="BB36" s="340"/>
      <c r="BC36" s="340"/>
      <c r="BD36" s="340"/>
    </row>
    <row r="37" spans="3:56">
      <c r="C37" s="340"/>
      <c r="D37" s="340"/>
      <c r="E37" s="340"/>
      <c r="F37" s="340"/>
      <c r="G37" s="340"/>
      <c r="H37" s="340"/>
      <c r="I37" s="340"/>
      <c r="J37" s="340"/>
      <c r="K37" s="340"/>
      <c r="L37" s="340"/>
      <c r="M37" s="340"/>
      <c r="N37" s="340"/>
      <c r="O37" s="340"/>
      <c r="P37" s="340"/>
      <c r="Q37" s="340"/>
      <c r="R37" s="340"/>
      <c r="S37" s="340"/>
      <c r="T37" s="340"/>
      <c r="U37" s="340"/>
      <c r="V37" s="340"/>
      <c r="W37" s="340"/>
      <c r="X37" s="340"/>
      <c r="Y37" s="340"/>
      <c r="Z37" s="340"/>
      <c r="AA37" s="340"/>
      <c r="AB37" s="340"/>
      <c r="AC37" s="340"/>
      <c r="AD37" s="340"/>
      <c r="AE37" s="340"/>
      <c r="AF37" s="340"/>
      <c r="AG37" s="340"/>
      <c r="AH37" s="340"/>
      <c r="AI37" s="340"/>
      <c r="AJ37" s="340"/>
      <c r="AK37" s="340"/>
      <c r="AL37" s="340"/>
      <c r="AM37" s="340"/>
      <c r="AN37" s="340"/>
      <c r="AO37" s="340"/>
      <c r="AP37" s="340"/>
      <c r="AQ37" s="340"/>
      <c r="AR37" s="340"/>
      <c r="AS37" s="340"/>
      <c r="AT37" s="340"/>
      <c r="AU37" s="340"/>
      <c r="AV37" s="340"/>
      <c r="AW37" s="340"/>
      <c r="AX37" s="340"/>
      <c r="AY37" s="340"/>
      <c r="AZ37" s="340"/>
      <c r="BA37" s="340"/>
      <c r="BB37" s="340"/>
      <c r="BC37" s="340"/>
      <c r="BD37" s="340"/>
    </row>
    <row r="38" spans="3:56">
      <c r="C38" s="340"/>
      <c r="D38" s="340"/>
      <c r="E38" s="340"/>
      <c r="F38" s="340"/>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340"/>
      <c r="BB38" s="340"/>
      <c r="BC38" s="340"/>
      <c r="BD38" s="340"/>
    </row>
    <row r="39" spans="3:56">
      <c r="C39" s="340"/>
      <c r="D39" s="340"/>
      <c r="E39" s="340"/>
      <c r="F39" s="340"/>
      <c r="G39" s="340"/>
      <c r="H39" s="340"/>
      <c r="I39" s="340"/>
      <c r="J39" s="340"/>
      <c r="K39" s="340"/>
      <c r="L39" s="340"/>
      <c r="M39" s="340"/>
      <c r="N39" s="340"/>
      <c r="O39" s="340"/>
      <c r="P39" s="340"/>
      <c r="Q39" s="340"/>
      <c r="R39" s="340"/>
      <c r="S39" s="340"/>
      <c r="T39" s="340"/>
      <c r="U39" s="340"/>
      <c r="V39" s="340"/>
      <c r="W39" s="340"/>
      <c r="X39" s="340"/>
      <c r="Y39" s="340"/>
      <c r="Z39" s="340"/>
      <c r="AA39" s="340"/>
      <c r="AB39" s="340"/>
      <c r="AC39" s="340"/>
      <c r="AD39" s="340"/>
      <c r="AE39" s="340"/>
      <c r="AF39" s="340"/>
      <c r="AG39" s="340"/>
      <c r="AH39" s="340"/>
      <c r="AI39" s="340"/>
      <c r="AJ39" s="340"/>
      <c r="AK39" s="340"/>
      <c r="AL39" s="340"/>
      <c r="AM39" s="340"/>
      <c r="AN39" s="340"/>
      <c r="AO39" s="340"/>
      <c r="AP39" s="340"/>
      <c r="AQ39" s="340"/>
      <c r="AR39" s="340"/>
      <c r="AS39" s="340"/>
      <c r="AT39" s="340"/>
      <c r="AU39" s="340"/>
      <c r="AV39" s="340"/>
      <c r="AW39" s="340"/>
      <c r="AX39" s="340"/>
      <c r="AY39" s="340"/>
      <c r="AZ39" s="340"/>
      <c r="BA39" s="340"/>
      <c r="BB39" s="340"/>
      <c r="BC39" s="340"/>
      <c r="BD39" s="340"/>
    </row>
    <row r="40" spans="3:56">
      <c r="C40" s="340"/>
      <c r="D40" s="340"/>
      <c r="E40" s="340"/>
      <c r="F40" s="340"/>
      <c r="G40" s="340"/>
      <c r="H40" s="340"/>
      <c r="I40" s="340"/>
      <c r="J40" s="340"/>
      <c r="K40" s="340"/>
      <c r="L40" s="340"/>
      <c r="M40" s="340"/>
      <c r="N40" s="340"/>
      <c r="O40" s="340"/>
      <c r="P40" s="340"/>
      <c r="Q40" s="340"/>
      <c r="R40" s="340"/>
      <c r="S40" s="340"/>
      <c r="T40" s="340"/>
      <c r="U40" s="340"/>
      <c r="V40" s="340"/>
      <c r="W40" s="340"/>
      <c r="X40" s="340"/>
      <c r="Y40" s="340"/>
      <c r="Z40" s="340"/>
      <c r="AA40" s="340"/>
      <c r="AB40" s="340"/>
      <c r="AC40" s="340"/>
      <c r="AD40" s="340"/>
      <c r="AE40" s="340"/>
      <c r="AF40" s="340"/>
      <c r="AG40" s="340"/>
      <c r="AH40" s="340"/>
      <c r="AI40" s="340"/>
      <c r="AJ40" s="340"/>
      <c r="AK40" s="340"/>
      <c r="AL40" s="340"/>
      <c r="AM40" s="340"/>
      <c r="AN40" s="340"/>
      <c r="AO40" s="340"/>
      <c r="AP40" s="340"/>
      <c r="AQ40" s="340"/>
      <c r="AR40" s="340"/>
      <c r="AS40" s="340"/>
      <c r="AT40" s="340"/>
      <c r="AU40" s="340"/>
      <c r="AV40" s="340"/>
      <c r="AW40" s="340"/>
      <c r="AX40" s="340"/>
      <c r="AY40" s="340"/>
      <c r="AZ40" s="340"/>
      <c r="BA40" s="340"/>
      <c r="BB40" s="340"/>
      <c r="BC40" s="340"/>
      <c r="BD40" s="340"/>
    </row>
    <row r="41" spans="3:56">
      <c r="C41" s="340"/>
      <c r="D41" s="340"/>
      <c r="E41" s="340"/>
      <c r="F41" s="340"/>
      <c r="G41" s="340"/>
      <c r="H41" s="340"/>
      <c r="I41" s="340"/>
      <c r="J41" s="340"/>
      <c r="K41" s="340"/>
      <c r="L41" s="340"/>
      <c r="M41" s="340"/>
      <c r="N41" s="340"/>
      <c r="O41" s="340"/>
      <c r="P41" s="340"/>
      <c r="Q41" s="340"/>
      <c r="R41" s="340"/>
      <c r="S41" s="340"/>
      <c r="T41" s="340"/>
      <c r="U41" s="340"/>
      <c r="V41" s="340"/>
      <c r="W41" s="340"/>
      <c r="X41" s="340"/>
      <c r="Y41" s="340"/>
      <c r="Z41" s="340"/>
      <c r="AA41" s="340"/>
      <c r="AB41" s="340"/>
      <c r="AC41" s="340"/>
      <c r="AD41" s="340"/>
      <c r="AE41" s="340"/>
      <c r="AF41" s="340"/>
      <c r="AG41" s="340"/>
      <c r="AH41" s="340"/>
      <c r="AI41" s="340"/>
      <c r="AJ41" s="340"/>
      <c r="AK41" s="340"/>
      <c r="AL41" s="340"/>
      <c r="AM41" s="340"/>
      <c r="AN41" s="340"/>
      <c r="AO41" s="340"/>
      <c r="AP41" s="340"/>
      <c r="AQ41" s="340"/>
      <c r="AR41" s="340"/>
      <c r="AS41" s="340"/>
      <c r="AT41" s="340"/>
      <c r="AU41" s="340"/>
      <c r="AV41" s="340"/>
      <c r="AW41" s="340"/>
      <c r="AX41" s="340"/>
      <c r="AY41" s="340"/>
      <c r="AZ41" s="340"/>
      <c r="BA41" s="340"/>
      <c r="BB41" s="340"/>
      <c r="BC41" s="340"/>
      <c r="BD41" s="340"/>
    </row>
    <row r="42" spans="3:56">
      <c r="C42" s="340"/>
      <c r="D42" s="340"/>
      <c r="E42" s="340"/>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c r="AD42" s="340"/>
      <c r="AE42" s="340"/>
      <c r="AF42" s="340"/>
      <c r="AG42" s="340"/>
      <c r="AH42" s="340"/>
      <c r="AI42" s="340"/>
      <c r="AJ42" s="340"/>
      <c r="AK42" s="340"/>
      <c r="AL42" s="340"/>
      <c r="AM42" s="340"/>
      <c r="AN42" s="340"/>
      <c r="AO42" s="340"/>
      <c r="AP42" s="340"/>
      <c r="AQ42" s="340"/>
      <c r="AR42" s="340"/>
      <c r="AS42" s="340"/>
      <c r="AT42" s="340"/>
      <c r="AU42" s="340"/>
      <c r="AV42" s="340"/>
      <c r="AW42" s="340"/>
      <c r="AX42" s="340"/>
      <c r="AY42" s="340"/>
      <c r="AZ42" s="340"/>
      <c r="BA42" s="340"/>
      <c r="BB42" s="340"/>
      <c r="BC42" s="340"/>
      <c r="BD42" s="340"/>
    </row>
    <row r="43" spans="3:56">
      <c r="C43" s="340"/>
      <c r="D43" s="340"/>
      <c r="E43" s="340"/>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0"/>
      <c r="AE43" s="340"/>
      <c r="AF43" s="340"/>
      <c r="AG43" s="340"/>
      <c r="AH43" s="340"/>
      <c r="AI43" s="340"/>
      <c r="AJ43" s="340"/>
      <c r="AK43" s="340"/>
      <c r="AL43" s="340"/>
      <c r="AM43" s="340"/>
      <c r="AN43" s="340"/>
      <c r="AO43" s="340"/>
      <c r="AP43" s="340"/>
      <c r="AQ43" s="340"/>
      <c r="AR43" s="340"/>
      <c r="AS43" s="340"/>
      <c r="AT43" s="340"/>
      <c r="AU43" s="340"/>
      <c r="AV43" s="340"/>
      <c r="AW43" s="340"/>
      <c r="AX43" s="340"/>
      <c r="AY43" s="340"/>
      <c r="AZ43" s="340"/>
      <c r="BA43" s="340"/>
      <c r="BB43" s="340"/>
      <c r="BC43" s="340"/>
      <c r="BD43" s="340"/>
    </row>
    <row r="44" spans="3:56">
      <c r="C44" s="340"/>
      <c r="D44" s="340"/>
      <c r="E44" s="340"/>
      <c r="F44" s="340"/>
      <c r="G44" s="340"/>
      <c r="H44" s="340"/>
      <c r="I44" s="340"/>
      <c r="J44" s="340"/>
      <c r="K44" s="340"/>
      <c r="L44" s="340"/>
      <c r="M44" s="340"/>
      <c r="N44" s="340"/>
      <c r="O44" s="340"/>
      <c r="P44" s="340"/>
      <c r="Q44" s="340"/>
      <c r="R44" s="340"/>
      <c r="S44" s="340"/>
      <c r="T44" s="340"/>
      <c r="U44" s="340"/>
      <c r="V44" s="340"/>
      <c r="W44" s="340"/>
      <c r="X44" s="340"/>
      <c r="Y44" s="340"/>
      <c r="Z44" s="340"/>
      <c r="AA44" s="340"/>
      <c r="AB44" s="340"/>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0"/>
      <c r="AY44" s="340"/>
      <c r="AZ44" s="340"/>
      <c r="BA44" s="340"/>
      <c r="BB44" s="340"/>
      <c r="BC44" s="340"/>
      <c r="BD44" s="340"/>
    </row>
    <row r="45" spans="3:56">
      <c r="C45" s="340"/>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row>
    <row r="46" spans="3:56">
      <c r="C46" s="340"/>
      <c r="D46" s="340"/>
      <c r="E46" s="340"/>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0"/>
      <c r="AY46" s="340"/>
      <c r="AZ46" s="340"/>
      <c r="BA46" s="340"/>
      <c r="BB46" s="340"/>
      <c r="BC46" s="340"/>
      <c r="BD46" s="340"/>
    </row>
    <row r="47" spans="3:56">
      <c r="C47" s="340"/>
      <c r="D47" s="340"/>
      <c r="E47" s="340"/>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0"/>
      <c r="AY47" s="340"/>
      <c r="AZ47" s="340"/>
      <c r="BA47" s="340"/>
      <c r="BB47" s="340"/>
      <c r="BC47" s="340"/>
      <c r="BD47" s="340"/>
    </row>
    <row r="48" spans="3:56">
      <c r="C48" s="340"/>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row>
    <row r="49" spans="3:56">
      <c r="C49" s="340"/>
      <c r="D49" s="340"/>
      <c r="E49" s="340"/>
      <c r="F49" s="340"/>
      <c r="G49" s="340"/>
      <c r="H49" s="340"/>
      <c r="I49" s="340"/>
      <c r="J49" s="340"/>
      <c r="K49" s="340"/>
      <c r="L49" s="340"/>
      <c r="M49" s="340"/>
      <c r="N49" s="340"/>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340"/>
      <c r="AY49" s="340"/>
      <c r="AZ49" s="340"/>
      <c r="BA49" s="340"/>
      <c r="BB49" s="340"/>
      <c r="BC49" s="340"/>
      <c r="BD49" s="340"/>
    </row>
    <row r="50" spans="3:56">
      <c r="C50" s="340"/>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340"/>
      <c r="AY50" s="340"/>
      <c r="AZ50" s="340"/>
      <c r="BA50" s="340"/>
      <c r="BB50" s="340"/>
      <c r="BC50" s="340"/>
      <c r="BD50" s="340"/>
    </row>
    <row r="51" spans="3:56">
      <c r="C51" s="340"/>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row>
    <row r="52" spans="3:56">
      <c r="C52" s="340"/>
      <c r="D52" s="340"/>
      <c r="E52" s="340"/>
      <c r="F52" s="340"/>
      <c r="G52" s="340"/>
      <c r="H52" s="340"/>
      <c r="I52" s="340"/>
      <c r="J52" s="340"/>
      <c r="K52" s="340"/>
      <c r="L52" s="340"/>
      <c r="M52" s="340"/>
      <c r="N52" s="340"/>
      <c r="O52" s="340"/>
      <c r="P52" s="340"/>
      <c r="Q52" s="340"/>
      <c r="R52" s="340"/>
      <c r="S52" s="340"/>
      <c r="T52" s="340"/>
      <c r="U52" s="340"/>
      <c r="V52" s="340"/>
      <c r="W52" s="340"/>
      <c r="X52" s="340"/>
      <c r="Y52" s="340"/>
      <c r="Z52" s="340"/>
      <c r="AA52" s="340"/>
      <c r="AB52" s="340"/>
      <c r="AC52" s="340"/>
      <c r="AD52" s="340"/>
      <c r="AE52" s="340"/>
      <c r="AF52" s="340"/>
      <c r="AG52" s="340"/>
      <c r="AH52" s="340"/>
      <c r="AI52" s="340"/>
      <c r="AJ52" s="340"/>
      <c r="AK52" s="340"/>
      <c r="AL52" s="340"/>
      <c r="AM52" s="340"/>
      <c r="AN52" s="340"/>
      <c r="AO52" s="340"/>
      <c r="AP52" s="340"/>
      <c r="AQ52" s="340"/>
      <c r="AR52" s="340"/>
      <c r="AS52" s="340"/>
      <c r="AT52" s="340"/>
      <c r="AU52" s="340"/>
      <c r="AV52" s="340"/>
      <c r="AW52" s="340"/>
      <c r="AX52" s="340"/>
      <c r="AY52" s="340"/>
      <c r="AZ52" s="340"/>
      <c r="BA52" s="340"/>
      <c r="BB52" s="340"/>
      <c r="BC52" s="340"/>
      <c r="BD52" s="340"/>
    </row>
    <row r="53" spans="3:56">
      <c r="C53" s="340"/>
      <c r="D53" s="340"/>
      <c r="E53" s="340"/>
      <c r="F53" s="340"/>
      <c r="G53" s="340"/>
      <c r="H53" s="340"/>
      <c r="I53" s="340"/>
      <c r="J53" s="340"/>
      <c r="K53" s="340"/>
      <c r="L53" s="340"/>
      <c r="M53" s="340"/>
      <c r="N53" s="340"/>
      <c r="O53" s="340"/>
      <c r="P53" s="340"/>
      <c r="Q53" s="340"/>
      <c r="R53" s="340"/>
      <c r="S53" s="340"/>
      <c r="T53" s="340"/>
      <c r="U53" s="340"/>
      <c r="V53" s="340"/>
      <c r="W53" s="340"/>
      <c r="X53" s="340"/>
      <c r="Y53" s="340"/>
      <c r="Z53" s="340"/>
      <c r="AA53" s="340"/>
      <c r="AB53" s="340"/>
      <c r="AC53" s="340"/>
      <c r="AD53" s="340"/>
      <c r="AE53" s="340"/>
      <c r="AF53" s="340"/>
      <c r="AG53" s="340"/>
      <c r="AH53" s="340"/>
      <c r="AI53" s="340"/>
      <c r="AJ53" s="340"/>
      <c r="AK53" s="340"/>
      <c r="AL53" s="340"/>
      <c r="AM53" s="340"/>
      <c r="AN53" s="340"/>
      <c r="AO53" s="340"/>
      <c r="AP53" s="340"/>
      <c r="AQ53" s="340"/>
      <c r="AR53" s="340"/>
      <c r="AS53" s="340"/>
      <c r="AT53" s="340"/>
      <c r="AU53" s="340"/>
      <c r="AV53" s="340"/>
      <c r="AW53" s="340"/>
      <c r="AX53" s="340"/>
      <c r="AY53" s="340"/>
      <c r="AZ53" s="340"/>
      <c r="BA53" s="340"/>
      <c r="BB53" s="340"/>
      <c r="BC53" s="340"/>
      <c r="BD53" s="340"/>
    </row>
    <row r="54" spans="3:56">
      <c r="C54" s="340"/>
      <c r="D54" s="340"/>
      <c r="E54" s="340"/>
      <c r="F54" s="340"/>
      <c r="G54" s="340"/>
      <c r="H54" s="340"/>
      <c r="I54" s="340"/>
      <c r="J54" s="340"/>
      <c r="K54" s="340"/>
      <c r="L54" s="340"/>
      <c r="M54" s="340"/>
      <c r="N54" s="340"/>
      <c r="O54" s="340"/>
      <c r="P54" s="340"/>
      <c r="Q54" s="340"/>
      <c r="R54" s="340"/>
      <c r="S54" s="340"/>
      <c r="T54" s="340"/>
      <c r="U54" s="340"/>
      <c r="V54" s="340"/>
      <c r="W54" s="340"/>
      <c r="X54" s="340"/>
      <c r="Y54" s="340"/>
      <c r="Z54" s="340"/>
      <c r="AA54" s="340"/>
      <c r="AB54" s="340"/>
      <c r="AC54" s="340"/>
      <c r="AD54" s="340"/>
      <c r="AE54" s="340"/>
      <c r="AF54" s="340"/>
      <c r="AG54" s="340"/>
      <c r="AH54" s="340"/>
      <c r="AI54" s="340"/>
      <c r="AJ54" s="340"/>
      <c r="AK54" s="340"/>
      <c r="AL54" s="340"/>
      <c r="AM54" s="340"/>
      <c r="AN54" s="340"/>
      <c r="AO54" s="340"/>
      <c r="AP54" s="340"/>
      <c r="AQ54" s="340"/>
      <c r="AR54" s="340"/>
      <c r="AS54" s="340"/>
      <c r="AT54" s="340"/>
      <c r="AU54" s="340"/>
      <c r="AV54" s="340"/>
      <c r="AW54" s="340"/>
      <c r="AX54" s="340"/>
      <c r="AY54" s="340"/>
      <c r="AZ54" s="340"/>
      <c r="BA54" s="340"/>
      <c r="BB54" s="340"/>
      <c r="BC54" s="340"/>
      <c r="BD54" s="340"/>
    </row>
    <row r="55" spans="3:56">
      <c r="C55" s="340"/>
      <c r="D55" s="340"/>
      <c r="E55" s="340"/>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0"/>
      <c r="AY55" s="340"/>
      <c r="AZ55" s="340"/>
      <c r="BA55" s="340"/>
      <c r="BB55" s="340"/>
      <c r="BC55" s="340"/>
      <c r="BD55" s="340"/>
    </row>
    <row r="56" spans="3:56">
      <c r="C56" s="340"/>
      <c r="D56" s="340"/>
      <c r="E56" s="340"/>
      <c r="F56" s="340"/>
      <c r="G56" s="340"/>
      <c r="H56" s="340"/>
      <c r="I56" s="340"/>
      <c r="J56" s="340"/>
      <c r="K56" s="340"/>
      <c r="L56" s="340"/>
      <c r="M56" s="340"/>
      <c r="N56" s="340"/>
      <c r="O56" s="340"/>
      <c r="P56" s="340"/>
      <c r="Q56" s="340"/>
      <c r="R56" s="340"/>
      <c r="S56" s="340"/>
      <c r="T56" s="340"/>
      <c r="U56" s="340"/>
      <c r="V56" s="340"/>
      <c r="W56" s="340"/>
      <c r="X56" s="340"/>
      <c r="Y56" s="340"/>
      <c r="Z56" s="340"/>
      <c r="AA56" s="340"/>
      <c r="AB56" s="340"/>
      <c r="AC56" s="340"/>
      <c r="AD56" s="340"/>
      <c r="AE56" s="340"/>
      <c r="AF56" s="340"/>
      <c r="AG56" s="340"/>
      <c r="AH56" s="340"/>
      <c r="AI56" s="340"/>
      <c r="AJ56" s="340"/>
      <c r="AK56" s="340"/>
      <c r="AL56" s="340"/>
      <c r="AM56" s="340"/>
      <c r="AN56" s="340"/>
      <c r="AO56" s="340"/>
      <c r="AP56" s="340"/>
      <c r="AQ56" s="340"/>
      <c r="AR56" s="340"/>
      <c r="AS56" s="340"/>
      <c r="AT56" s="340"/>
      <c r="AU56" s="340"/>
      <c r="AV56" s="340"/>
      <c r="AW56" s="340"/>
      <c r="AX56" s="340"/>
      <c r="AY56" s="340"/>
      <c r="AZ56" s="340"/>
      <c r="BA56" s="340"/>
      <c r="BB56" s="340"/>
      <c r="BC56" s="340"/>
      <c r="BD56" s="340"/>
    </row>
    <row r="57" spans="3:56">
      <c r="C57" s="340"/>
      <c r="D57" s="340"/>
      <c r="E57" s="340"/>
      <c r="F57" s="340"/>
      <c r="G57" s="340"/>
      <c r="H57" s="340"/>
      <c r="I57" s="340"/>
      <c r="J57" s="340"/>
      <c r="K57" s="340"/>
      <c r="L57" s="340"/>
      <c r="M57" s="340"/>
      <c r="N57" s="340"/>
      <c r="O57" s="340"/>
      <c r="P57" s="340"/>
      <c r="Q57" s="340"/>
      <c r="R57" s="340"/>
      <c r="S57" s="340"/>
      <c r="T57" s="340"/>
      <c r="U57" s="340"/>
      <c r="V57" s="340"/>
      <c r="W57" s="340"/>
      <c r="X57" s="340"/>
      <c r="Y57" s="340"/>
      <c r="Z57" s="340"/>
      <c r="AA57" s="340"/>
      <c r="AB57" s="340"/>
      <c r="AC57" s="340"/>
      <c r="AD57" s="340"/>
      <c r="AE57" s="340"/>
      <c r="AF57" s="340"/>
      <c r="AG57" s="340"/>
      <c r="AH57" s="340"/>
      <c r="AI57" s="340"/>
      <c r="AJ57" s="340"/>
      <c r="AK57" s="340"/>
      <c r="AL57" s="340"/>
      <c r="AM57" s="340"/>
      <c r="AN57" s="340"/>
      <c r="AO57" s="340"/>
      <c r="AP57" s="340"/>
      <c r="AQ57" s="340"/>
      <c r="AR57" s="340"/>
      <c r="AS57" s="340"/>
      <c r="AT57" s="340"/>
      <c r="AU57" s="340"/>
      <c r="AV57" s="340"/>
      <c r="AW57" s="340"/>
      <c r="AX57" s="340"/>
      <c r="AY57" s="340"/>
      <c r="AZ57" s="340"/>
      <c r="BA57" s="340"/>
      <c r="BB57" s="340"/>
      <c r="BC57" s="340"/>
      <c r="BD57" s="340"/>
    </row>
    <row r="58" spans="3:56">
      <c r="C58" s="340"/>
      <c r="D58" s="340"/>
      <c r="E58" s="340"/>
      <c r="F58" s="340"/>
      <c r="G58" s="340"/>
      <c r="H58" s="340"/>
      <c r="I58" s="340"/>
      <c r="J58" s="340"/>
      <c r="K58" s="340"/>
      <c r="L58" s="340"/>
      <c r="M58" s="340"/>
      <c r="N58" s="340"/>
      <c r="O58" s="340"/>
      <c r="P58" s="340"/>
      <c r="Q58" s="340"/>
      <c r="R58" s="340"/>
      <c r="S58" s="340"/>
      <c r="T58" s="340"/>
      <c r="U58" s="340"/>
      <c r="V58" s="340"/>
      <c r="W58" s="340"/>
      <c r="X58" s="340"/>
      <c r="Y58" s="340"/>
      <c r="Z58" s="340"/>
      <c r="AA58" s="340"/>
      <c r="AB58" s="340"/>
      <c r="AC58" s="340"/>
      <c r="AD58" s="340"/>
      <c r="AE58" s="340"/>
      <c r="AF58" s="340"/>
      <c r="AG58" s="340"/>
      <c r="AH58" s="340"/>
      <c r="AI58" s="340"/>
      <c r="AJ58" s="340"/>
      <c r="AK58" s="340"/>
      <c r="AL58" s="340"/>
      <c r="AM58" s="340"/>
      <c r="AN58" s="340"/>
      <c r="AO58" s="340"/>
      <c r="AP58" s="340"/>
      <c r="AQ58" s="340"/>
      <c r="AR58" s="340"/>
      <c r="AS58" s="340"/>
      <c r="AT58" s="340"/>
      <c r="AU58" s="340"/>
      <c r="AV58" s="340"/>
      <c r="AW58" s="340"/>
      <c r="AX58" s="340"/>
      <c r="AY58" s="340"/>
      <c r="AZ58" s="340"/>
      <c r="BA58" s="340"/>
      <c r="BB58" s="340"/>
      <c r="BC58" s="340"/>
      <c r="BD58" s="340"/>
    </row>
    <row r="59" spans="3:56">
      <c r="C59" s="340"/>
      <c r="D59" s="340"/>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40"/>
      <c r="AI59" s="340"/>
      <c r="AJ59" s="340"/>
      <c r="AK59" s="340"/>
      <c r="AL59" s="340"/>
      <c r="AM59" s="340"/>
      <c r="AN59" s="340"/>
      <c r="AO59" s="340"/>
      <c r="AP59" s="340"/>
      <c r="AQ59" s="340"/>
      <c r="AR59" s="340"/>
      <c r="AS59" s="340"/>
      <c r="AT59" s="340"/>
      <c r="AU59" s="340"/>
      <c r="AV59" s="340"/>
      <c r="AW59" s="340"/>
      <c r="AX59" s="340"/>
      <c r="AY59" s="340"/>
      <c r="AZ59" s="340"/>
      <c r="BA59" s="340"/>
      <c r="BB59" s="340"/>
      <c r="BC59" s="340"/>
      <c r="BD59" s="340"/>
    </row>
    <row r="60" spans="3:56">
      <c r="C60" s="340"/>
      <c r="D60" s="340"/>
      <c r="E60" s="340"/>
      <c r="F60" s="340"/>
      <c r="G60" s="340"/>
      <c r="H60" s="340"/>
      <c r="I60" s="340"/>
      <c r="J60" s="340"/>
      <c r="K60" s="340"/>
      <c r="L60" s="340"/>
      <c r="M60" s="340"/>
      <c r="N60" s="340"/>
      <c r="O60" s="340"/>
      <c r="P60" s="340"/>
      <c r="Q60" s="340"/>
      <c r="R60" s="340"/>
      <c r="S60" s="340"/>
      <c r="T60" s="340"/>
      <c r="U60" s="340"/>
      <c r="V60" s="340"/>
      <c r="W60" s="340"/>
      <c r="X60" s="340"/>
      <c r="Y60" s="340"/>
      <c r="Z60" s="340"/>
      <c r="AA60" s="340"/>
      <c r="AB60" s="340"/>
      <c r="AC60" s="340"/>
      <c r="AD60" s="340"/>
      <c r="AE60" s="340"/>
      <c r="AF60" s="340"/>
      <c r="AG60" s="340"/>
      <c r="AH60" s="340"/>
      <c r="AI60" s="340"/>
      <c r="AJ60" s="340"/>
      <c r="AK60" s="340"/>
      <c r="AL60" s="340"/>
      <c r="AM60" s="340"/>
      <c r="AN60" s="340"/>
      <c r="AO60" s="340"/>
      <c r="AP60" s="340"/>
      <c r="AQ60" s="340"/>
      <c r="AR60" s="340"/>
      <c r="AS60" s="340"/>
      <c r="AT60" s="340"/>
      <c r="AU60" s="340"/>
      <c r="AV60" s="340"/>
      <c r="AW60" s="340"/>
      <c r="AX60" s="340"/>
      <c r="AY60" s="340"/>
      <c r="AZ60" s="340"/>
      <c r="BA60" s="340"/>
      <c r="BB60" s="340"/>
      <c r="BC60" s="340"/>
      <c r="BD60" s="340"/>
    </row>
    <row r="61" spans="3:56">
      <c r="C61" s="340"/>
      <c r="D61" s="340"/>
      <c r="E61" s="340"/>
      <c r="F61" s="340"/>
      <c r="G61" s="340"/>
      <c r="H61" s="340"/>
      <c r="I61" s="340"/>
      <c r="J61" s="340"/>
      <c r="K61" s="340"/>
      <c r="L61" s="340"/>
      <c r="M61" s="340"/>
      <c r="N61" s="340"/>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40"/>
      <c r="AT61" s="340"/>
      <c r="AU61" s="340"/>
      <c r="AV61" s="340"/>
      <c r="AW61" s="340"/>
      <c r="AX61" s="340"/>
      <c r="AY61" s="340"/>
      <c r="AZ61" s="340"/>
      <c r="BA61" s="340"/>
      <c r="BB61" s="340"/>
      <c r="BC61" s="340"/>
      <c r="BD61" s="340"/>
    </row>
    <row r="62" spans="3:56">
      <c r="C62" s="340"/>
      <c r="D62" s="340"/>
      <c r="E62" s="340"/>
      <c r="F62" s="340"/>
      <c r="G62" s="340"/>
      <c r="H62" s="340"/>
      <c r="I62" s="340"/>
      <c r="J62" s="340"/>
      <c r="K62" s="340"/>
      <c r="L62" s="340"/>
      <c r="M62" s="340"/>
      <c r="N62" s="340"/>
      <c r="O62" s="340"/>
      <c r="P62" s="340"/>
      <c r="Q62" s="340"/>
      <c r="R62" s="340"/>
      <c r="S62" s="340"/>
      <c r="T62" s="340"/>
      <c r="U62" s="340"/>
      <c r="V62" s="340"/>
      <c r="W62" s="340"/>
      <c r="X62" s="340"/>
      <c r="Y62" s="340"/>
      <c r="Z62" s="340"/>
      <c r="AA62" s="340"/>
      <c r="AB62" s="340"/>
      <c r="AC62" s="340"/>
      <c r="AD62" s="340"/>
      <c r="AE62" s="340"/>
      <c r="AF62" s="340"/>
      <c r="AG62" s="340"/>
      <c r="AH62" s="340"/>
      <c r="AI62" s="340"/>
      <c r="AJ62" s="340"/>
      <c r="AK62" s="340"/>
      <c r="AL62" s="340"/>
      <c r="AM62" s="340"/>
      <c r="AN62" s="340"/>
      <c r="AO62" s="340"/>
      <c r="AP62" s="340"/>
      <c r="AQ62" s="340"/>
      <c r="AR62" s="340"/>
      <c r="AS62" s="340"/>
      <c r="AT62" s="340"/>
      <c r="AU62" s="340"/>
      <c r="AV62" s="340"/>
      <c r="AW62" s="340"/>
      <c r="AX62" s="340"/>
      <c r="AY62" s="340"/>
      <c r="AZ62" s="340"/>
      <c r="BA62" s="340"/>
      <c r="BB62" s="340"/>
      <c r="BC62" s="340"/>
      <c r="BD62" s="340"/>
    </row>
    <row r="63" spans="3:56">
      <c r="C63" s="340"/>
      <c r="D63" s="340"/>
      <c r="E63" s="340"/>
      <c r="F63" s="340"/>
      <c r="G63" s="340"/>
      <c r="H63" s="340"/>
      <c r="I63" s="340"/>
      <c r="J63" s="340"/>
      <c r="K63" s="340"/>
      <c r="L63" s="340"/>
      <c r="M63" s="340"/>
      <c r="N63" s="340"/>
      <c r="O63" s="340"/>
      <c r="P63" s="340"/>
      <c r="Q63" s="340"/>
      <c r="R63" s="340"/>
      <c r="S63" s="340"/>
      <c r="T63" s="340"/>
      <c r="U63" s="340"/>
      <c r="V63" s="340"/>
      <c r="W63" s="340"/>
      <c r="X63" s="340"/>
      <c r="Y63" s="340"/>
      <c r="Z63" s="340"/>
      <c r="AA63" s="340"/>
      <c r="AB63" s="340"/>
      <c r="AC63" s="340"/>
      <c r="AD63" s="340"/>
      <c r="AE63" s="340"/>
      <c r="AF63" s="340"/>
      <c r="AG63" s="340"/>
      <c r="AH63" s="340"/>
      <c r="AI63" s="340"/>
      <c r="AJ63" s="340"/>
      <c r="AK63" s="340"/>
      <c r="AL63" s="340"/>
      <c r="AM63" s="340"/>
      <c r="AN63" s="340"/>
      <c r="AO63" s="340"/>
      <c r="AP63" s="340"/>
      <c r="AQ63" s="340"/>
      <c r="AR63" s="340"/>
      <c r="AS63" s="340"/>
      <c r="AT63" s="340"/>
      <c r="AU63" s="340"/>
      <c r="AV63" s="340"/>
      <c r="AW63" s="340"/>
      <c r="AX63" s="340"/>
      <c r="AY63" s="340"/>
      <c r="AZ63" s="340"/>
      <c r="BA63" s="340"/>
      <c r="BB63" s="340"/>
      <c r="BC63" s="340"/>
      <c r="BD63" s="340"/>
    </row>
    <row r="64" spans="3:56">
      <c r="C64" s="340"/>
      <c r="D64" s="340"/>
      <c r="E64" s="340"/>
      <c r="F64" s="340"/>
      <c r="G64" s="340"/>
      <c r="H64" s="340"/>
      <c r="I64" s="340"/>
      <c r="J64" s="340"/>
      <c r="K64" s="340"/>
      <c r="L64" s="340"/>
      <c r="M64" s="340"/>
      <c r="N64" s="340"/>
      <c r="O64" s="340"/>
      <c r="P64" s="340"/>
      <c r="Q64" s="340"/>
      <c r="R64" s="340"/>
      <c r="S64" s="340"/>
      <c r="T64" s="340"/>
      <c r="U64" s="340"/>
      <c r="V64" s="340"/>
      <c r="W64" s="340"/>
      <c r="X64" s="340"/>
      <c r="Y64" s="340"/>
      <c r="Z64" s="340"/>
      <c r="AA64" s="340"/>
      <c r="AB64" s="340"/>
      <c r="AC64" s="340"/>
      <c r="AD64" s="340"/>
      <c r="AE64" s="340"/>
      <c r="AF64" s="340"/>
      <c r="AG64" s="340"/>
      <c r="AH64" s="340"/>
      <c r="AI64" s="340"/>
      <c r="AJ64" s="340"/>
      <c r="AK64" s="340"/>
      <c r="AL64" s="340"/>
      <c r="AM64" s="340"/>
      <c r="AN64" s="340"/>
      <c r="AO64" s="340"/>
      <c r="AP64" s="340"/>
      <c r="AQ64" s="340"/>
      <c r="AR64" s="340"/>
      <c r="AS64" s="340"/>
      <c r="AT64" s="340"/>
      <c r="AU64" s="340"/>
      <c r="AV64" s="340"/>
      <c r="AW64" s="340"/>
      <c r="AX64" s="340"/>
      <c r="AY64" s="340"/>
      <c r="AZ64" s="340"/>
      <c r="BA64" s="340"/>
      <c r="BB64" s="340"/>
      <c r="BC64" s="340"/>
      <c r="BD64" s="340"/>
    </row>
    <row r="65" spans="3:56">
      <c r="C65" s="340"/>
      <c r="D65" s="340"/>
      <c r="E65" s="340"/>
      <c r="F65" s="340"/>
      <c r="G65" s="340"/>
      <c r="H65" s="340"/>
      <c r="I65" s="340"/>
      <c r="J65" s="340"/>
      <c r="K65" s="340"/>
      <c r="L65" s="340"/>
      <c r="M65" s="340"/>
      <c r="N65" s="340"/>
      <c r="O65" s="340"/>
      <c r="P65" s="340"/>
      <c r="Q65" s="340"/>
      <c r="R65" s="340"/>
      <c r="S65" s="340"/>
      <c r="T65" s="340"/>
      <c r="U65" s="340"/>
      <c r="V65" s="340"/>
      <c r="W65" s="340"/>
      <c r="X65" s="340"/>
      <c r="Y65" s="340"/>
      <c r="Z65" s="340"/>
      <c r="AA65" s="340"/>
      <c r="AB65" s="340"/>
      <c r="AC65" s="340"/>
      <c r="AD65" s="340"/>
      <c r="AE65" s="340"/>
      <c r="AF65" s="340"/>
      <c r="AG65" s="340"/>
      <c r="AH65" s="340"/>
      <c r="AI65" s="340"/>
      <c r="AJ65" s="340"/>
      <c r="AK65" s="340"/>
      <c r="AL65" s="340"/>
      <c r="AM65" s="340"/>
      <c r="AN65" s="340"/>
      <c r="AO65" s="340"/>
      <c r="AP65" s="340"/>
      <c r="AQ65" s="340"/>
      <c r="AR65" s="340"/>
      <c r="AS65" s="340"/>
      <c r="AT65" s="340"/>
      <c r="AU65" s="340"/>
      <c r="AV65" s="340"/>
      <c r="AW65" s="340"/>
      <c r="AX65" s="340"/>
      <c r="AY65" s="340"/>
      <c r="AZ65" s="340"/>
      <c r="BA65" s="340"/>
      <c r="BB65" s="340"/>
      <c r="BC65" s="340"/>
      <c r="BD65" s="340"/>
    </row>
    <row r="66" spans="3:56">
      <c r="C66" s="340"/>
      <c r="D66" s="340"/>
      <c r="E66" s="340"/>
      <c r="F66" s="340"/>
      <c r="G66" s="340"/>
      <c r="H66" s="340"/>
      <c r="I66" s="340"/>
      <c r="J66" s="340"/>
      <c r="K66" s="340"/>
      <c r="L66" s="340"/>
      <c r="M66" s="340"/>
      <c r="N66" s="340"/>
      <c r="O66" s="340"/>
      <c r="P66" s="340"/>
      <c r="Q66" s="340"/>
      <c r="R66" s="340"/>
      <c r="S66" s="340"/>
      <c r="T66" s="340"/>
      <c r="U66" s="340"/>
      <c r="V66" s="340"/>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c r="BD66" s="340"/>
    </row>
    <row r="67" spans="3:56">
      <c r="C67" s="340"/>
      <c r="D67" s="340"/>
      <c r="E67" s="340"/>
      <c r="F67" s="340"/>
      <c r="G67" s="340"/>
      <c r="H67" s="340"/>
      <c r="I67" s="340"/>
      <c r="J67" s="340"/>
      <c r="K67" s="340"/>
      <c r="L67" s="340"/>
      <c r="M67" s="340"/>
      <c r="N67" s="340"/>
      <c r="O67" s="340"/>
      <c r="P67" s="340"/>
      <c r="Q67" s="340"/>
      <c r="R67" s="340"/>
      <c r="S67" s="340"/>
      <c r="T67" s="340"/>
      <c r="U67" s="340"/>
      <c r="V67" s="340"/>
      <c r="W67" s="340"/>
      <c r="X67" s="340"/>
      <c r="Y67" s="340"/>
      <c r="Z67" s="340"/>
      <c r="AA67" s="340"/>
      <c r="AB67" s="340"/>
      <c r="AC67" s="340"/>
      <c r="AD67" s="340"/>
      <c r="AE67" s="340"/>
      <c r="AF67" s="340"/>
      <c r="AG67" s="340"/>
      <c r="AH67" s="340"/>
      <c r="AI67" s="340"/>
      <c r="AJ67" s="340"/>
      <c r="AK67" s="340"/>
      <c r="AL67" s="340"/>
      <c r="AM67" s="340"/>
      <c r="AN67" s="340"/>
      <c r="AO67" s="340"/>
      <c r="AP67" s="340"/>
      <c r="AQ67" s="340"/>
      <c r="AR67" s="340"/>
      <c r="AS67" s="340"/>
      <c r="AT67" s="340"/>
      <c r="AU67" s="340"/>
      <c r="AV67" s="340"/>
      <c r="AW67" s="340"/>
      <c r="AX67" s="340"/>
      <c r="AY67" s="340"/>
      <c r="AZ67" s="340"/>
      <c r="BA67" s="340"/>
      <c r="BB67" s="340"/>
      <c r="BC67" s="340"/>
      <c r="BD67" s="340"/>
    </row>
    <row r="68" spans="3:56">
      <c r="C68" s="340"/>
      <c r="D68" s="340"/>
      <c r="E68" s="340"/>
      <c r="F68" s="340"/>
      <c r="G68" s="340"/>
      <c r="H68" s="340"/>
      <c r="I68" s="340"/>
      <c r="J68" s="340"/>
      <c r="K68" s="340"/>
      <c r="L68" s="340"/>
      <c r="M68" s="340"/>
      <c r="N68" s="340"/>
      <c r="O68" s="340"/>
      <c r="P68" s="340"/>
      <c r="Q68" s="340"/>
      <c r="R68" s="340"/>
      <c r="S68" s="340"/>
      <c r="T68" s="340"/>
      <c r="U68" s="340"/>
      <c r="V68" s="340"/>
      <c r="W68" s="340"/>
      <c r="X68" s="340"/>
      <c r="Y68" s="340"/>
      <c r="Z68" s="340"/>
      <c r="AA68" s="340"/>
      <c r="AB68" s="340"/>
      <c r="AC68" s="340"/>
      <c r="AD68" s="340"/>
      <c r="AE68" s="340"/>
      <c r="AF68" s="340"/>
      <c r="AG68" s="340"/>
      <c r="AH68" s="340"/>
      <c r="AI68" s="340"/>
      <c r="AJ68" s="340"/>
      <c r="AK68" s="340"/>
      <c r="AL68" s="340"/>
      <c r="AM68" s="340"/>
      <c r="AN68" s="340"/>
      <c r="AO68" s="340"/>
      <c r="AP68" s="340"/>
      <c r="AQ68" s="340"/>
      <c r="AR68" s="340"/>
      <c r="AS68" s="340"/>
      <c r="AT68" s="340"/>
      <c r="AU68" s="340"/>
      <c r="AV68" s="340"/>
      <c r="AW68" s="340"/>
      <c r="AX68" s="340"/>
      <c r="AY68" s="340"/>
      <c r="AZ68" s="340"/>
      <c r="BA68" s="340"/>
      <c r="BB68" s="340"/>
      <c r="BC68" s="340"/>
      <c r="BD68" s="340"/>
    </row>
    <row r="69" spans="3:56">
      <c r="C69" s="340"/>
      <c r="D69" s="340"/>
      <c r="E69" s="340"/>
      <c r="F69" s="340"/>
      <c r="G69" s="340"/>
      <c r="H69" s="340"/>
      <c r="I69" s="340"/>
      <c r="J69" s="340"/>
      <c r="K69" s="340"/>
      <c r="L69" s="340"/>
      <c r="M69" s="340"/>
      <c r="N69" s="340"/>
      <c r="O69" s="340"/>
      <c r="P69" s="340"/>
      <c r="Q69" s="340"/>
      <c r="R69" s="340"/>
      <c r="S69" s="340"/>
      <c r="T69" s="340"/>
      <c r="U69" s="340"/>
      <c r="V69" s="340"/>
      <c r="W69" s="340"/>
      <c r="X69" s="340"/>
      <c r="Y69" s="340"/>
      <c r="Z69" s="340"/>
      <c r="AA69" s="340"/>
      <c r="AB69" s="340"/>
      <c r="AC69" s="340"/>
      <c r="AD69" s="340"/>
      <c r="AE69" s="340"/>
      <c r="AF69" s="340"/>
      <c r="AG69" s="340"/>
      <c r="AH69" s="340"/>
      <c r="AI69" s="340"/>
      <c r="AJ69" s="340"/>
      <c r="AK69" s="340"/>
      <c r="AL69" s="340"/>
      <c r="AM69" s="340"/>
      <c r="AN69" s="340"/>
      <c r="AO69" s="340"/>
      <c r="AP69" s="340"/>
      <c r="AQ69" s="340"/>
      <c r="AR69" s="340"/>
      <c r="AS69" s="340"/>
      <c r="AT69" s="340"/>
      <c r="AU69" s="340"/>
      <c r="AV69" s="340"/>
      <c r="AW69" s="340"/>
      <c r="AX69" s="340"/>
      <c r="AY69" s="340"/>
      <c r="AZ69" s="340"/>
      <c r="BA69" s="340"/>
      <c r="BB69" s="340"/>
      <c r="BC69" s="340"/>
      <c r="BD69" s="340"/>
    </row>
    <row r="70" spans="3:56">
      <c r="C70" s="340"/>
      <c r="D70" s="340"/>
      <c r="E70" s="340"/>
      <c r="F70" s="340"/>
      <c r="G70" s="340"/>
      <c r="H70" s="340"/>
      <c r="I70" s="340"/>
      <c r="J70" s="340"/>
      <c r="K70" s="340"/>
      <c r="L70" s="340"/>
      <c r="M70" s="340"/>
      <c r="N70" s="340"/>
      <c r="O70" s="340"/>
      <c r="P70" s="340"/>
      <c r="Q70" s="340"/>
      <c r="R70" s="340"/>
      <c r="S70" s="340"/>
      <c r="T70" s="340"/>
      <c r="U70" s="340"/>
      <c r="V70" s="340"/>
      <c r="W70" s="340"/>
      <c r="X70" s="340"/>
      <c r="Y70" s="340"/>
      <c r="Z70" s="340"/>
      <c r="AA70" s="340"/>
      <c r="AB70" s="340"/>
      <c r="AC70" s="340"/>
      <c r="AD70" s="340"/>
      <c r="AE70" s="340"/>
      <c r="AF70" s="340"/>
      <c r="AG70" s="340"/>
      <c r="AH70" s="340"/>
      <c r="AI70" s="340"/>
      <c r="AJ70" s="340"/>
      <c r="AK70" s="340"/>
      <c r="AL70" s="340"/>
      <c r="AM70" s="340"/>
      <c r="AN70" s="340"/>
      <c r="AO70" s="340"/>
      <c r="AP70" s="340"/>
      <c r="AQ70" s="340"/>
      <c r="AR70" s="340"/>
      <c r="AS70" s="340"/>
      <c r="AT70" s="340"/>
      <c r="AU70" s="340"/>
      <c r="AV70" s="340"/>
      <c r="AW70" s="340"/>
      <c r="AX70" s="340"/>
      <c r="AY70" s="340"/>
      <c r="AZ70" s="340"/>
      <c r="BA70" s="340"/>
      <c r="BB70" s="340"/>
      <c r="BC70" s="340"/>
      <c r="BD70" s="340"/>
    </row>
    <row r="71" spans="3:56">
      <c r="C71" s="340"/>
      <c r="D71" s="340"/>
      <c r="E71" s="340"/>
      <c r="F71" s="340"/>
      <c r="G71" s="340"/>
      <c r="H71" s="340"/>
      <c r="I71" s="340"/>
      <c r="J71" s="340"/>
      <c r="K71" s="340"/>
      <c r="L71" s="340"/>
      <c r="M71" s="340"/>
      <c r="N71" s="340"/>
      <c r="O71" s="340"/>
      <c r="P71" s="340"/>
      <c r="Q71" s="340"/>
      <c r="R71" s="340"/>
      <c r="S71" s="340"/>
      <c r="T71" s="340"/>
      <c r="U71" s="340"/>
      <c r="V71" s="340"/>
      <c r="W71" s="340"/>
      <c r="X71" s="340"/>
      <c r="Y71" s="340"/>
      <c r="Z71" s="340"/>
      <c r="AA71" s="340"/>
      <c r="AB71" s="340"/>
      <c r="AC71" s="340"/>
      <c r="AD71" s="340"/>
      <c r="AE71" s="340"/>
      <c r="AF71" s="340"/>
      <c r="AG71" s="340"/>
      <c r="AH71" s="340"/>
      <c r="AI71" s="340"/>
      <c r="AJ71" s="340"/>
      <c r="AK71" s="340"/>
      <c r="AL71" s="340"/>
      <c r="AM71" s="340"/>
      <c r="AN71" s="340"/>
      <c r="AO71" s="340"/>
      <c r="AP71" s="340"/>
      <c r="AQ71" s="340"/>
      <c r="AR71" s="340"/>
      <c r="AS71" s="340"/>
      <c r="AT71" s="340"/>
      <c r="AU71" s="340"/>
      <c r="AV71" s="340"/>
      <c r="AW71" s="340"/>
      <c r="AX71" s="340"/>
      <c r="AY71" s="340"/>
      <c r="AZ71" s="340"/>
      <c r="BA71" s="340"/>
      <c r="BB71" s="340"/>
      <c r="BC71" s="340"/>
      <c r="BD71" s="340"/>
    </row>
    <row r="72" spans="3:56">
      <c r="C72" s="340"/>
      <c r="D72" s="340"/>
      <c r="E72" s="340"/>
      <c r="F72" s="340"/>
      <c r="G72" s="340"/>
      <c r="H72" s="340"/>
      <c r="I72" s="340"/>
      <c r="J72" s="340"/>
      <c r="K72" s="340"/>
      <c r="L72" s="340"/>
      <c r="M72" s="340"/>
      <c r="N72" s="340"/>
      <c r="O72" s="340"/>
      <c r="P72" s="340"/>
      <c r="Q72" s="340"/>
      <c r="R72" s="340"/>
      <c r="S72" s="340"/>
      <c r="T72" s="340"/>
      <c r="U72" s="340"/>
      <c r="V72" s="340"/>
      <c r="W72" s="340"/>
      <c r="X72" s="340"/>
      <c r="Y72" s="340"/>
      <c r="Z72" s="340"/>
      <c r="AA72" s="340"/>
      <c r="AB72" s="340"/>
      <c r="AC72" s="340"/>
      <c r="AD72" s="340"/>
      <c r="AE72" s="340"/>
      <c r="AF72" s="340"/>
      <c r="AG72" s="340"/>
      <c r="AH72" s="340"/>
      <c r="AI72" s="340"/>
      <c r="AJ72" s="340"/>
      <c r="AK72" s="340"/>
      <c r="AL72" s="340"/>
      <c r="AM72" s="340"/>
      <c r="AN72" s="340"/>
      <c r="AO72" s="340"/>
      <c r="AP72" s="340"/>
      <c r="AQ72" s="340"/>
      <c r="AR72" s="340"/>
      <c r="AS72" s="340"/>
      <c r="AT72" s="340"/>
      <c r="AU72" s="340"/>
      <c r="AV72" s="340"/>
      <c r="AW72" s="340"/>
      <c r="AX72" s="340"/>
      <c r="AY72" s="340"/>
      <c r="AZ72" s="340"/>
      <c r="BA72" s="340"/>
      <c r="BB72" s="340"/>
      <c r="BC72" s="340"/>
      <c r="BD72" s="340"/>
    </row>
    <row r="73" spans="3:56">
      <c r="C73" s="340"/>
      <c r="D73" s="340"/>
      <c r="E73" s="340"/>
      <c r="F73" s="340"/>
      <c r="G73" s="340"/>
      <c r="H73" s="340"/>
      <c r="I73" s="340"/>
      <c r="J73" s="340"/>
      <c r="K73" s="340"/>
      <c r="L73" s="340"/>
      <c r="M73" s="340"/>
      <c r="N73" s="340"/>
      <c r="O73" s="340"/>
      <c r="P73" s="340"/>
      <c r="Q73" s="340"/>
      <c r="R73" s="340"/>
      <c r="S73" s="340"/>
      <c r="T73" s="340"/>
      <c r="U73" s="340"/>
      <c r="V73" s="340"/>
      <c r="W73" s="340"/>
      <c r="X73" s="340"/>
      <c r="Y73" s="340"/>
      <c r="Z73" s="340"/>
      <c r="AA73" s="340"/>
      <c r="AB73" s="340"/>
      <c r="AC73" s="340"/>
      <c r="AD73" s="340"/>
      <c r="AE73" s="340"/>
      <c r="AF73" s="340"/>
      <c r="AG73" s="340"/>
      <c r="AH73" s="340"/>
      <c r="AI73" s="340"/>
      <c r="AJ73" s="340"/>
      <c r="AK73" s="340"/>
      <c r="AL73" s="340"/>
      <c r="AM73" s="340"/>
      <c r="AN73" s="340"/>
      <c r="AO73" s="340"/>
      <c r="AP73" s="340"/>
      <c r="AQ73" s="340"/>
      <c r="AR73" s="340"/>
      <c r="AS73" s="340"/>
      <c r="AT73" s="340"/>
      <c r="AU73" s="340"/>
      <c r="AV73" s="340"/>
      <c r="AW73" s="340"/>
      <c r="AX73" s="340"/>
      <c r="AY73" s="340"/>
      <c r="AZ73" s="340"/>
      <c r="BA73" s="340"/>
      <c r="BB73" s="340"/>
      <c r="BC73" s="340"/>
      <c r="BD73" s="340"/>
    </row>
    <row r="74" spans="3:56">
      <c r="C74" s="340"/>
      <c r="D74" s="340"/>
      <c r="E74" s="340"/>
      <c r="F74" s="340"/>
      <c r="G74" s="340"/>
      <c r="H74" s="340"/>
      <c r="I74" s="340"/>
      <c r="J74" s="340"/>
      <c r="K74" s="340"/>
      <c r="L74" s="340"/>
      <c r="M74" s="340"/>
      <c r="N74" s="340"/>
      <c r="O74" s="340"/>
      <c r="P74" s="340"/>
      <c r="Q74" s="340"/>
      <c r="R74" s="340"/>
      <c r="S74" s="340"/>
      <c r="T74" s="340"/>
      <c r="U74" s="340"/>
      <c r="V74" s="340"/>
      <c r="W74" s="340"/>
      <c r="X74" s="340"/>
      <c r="Y74" s="340"/>
      <c r="Z74" s="340"/>
      <c r="AA74" s="340"/>
      <c r="AB74" s="340"/>
      <c r="AC74" s="340"/>
      <c r="AD74" s="340"/>
      <c r="AE74" s="340"/>
      <c r="AF74" s="340"/>
      <c r="AG74" s="340"/>
      <c r="AH74" s="340"/>
      <c r="AI74" s="340"/>
      <c r="AJ74" s="340"/>
      <c r="AK74" s="340"/>
      <c r="AL74" s="340"/>
      <c r="AM74" s="340"/>
      <c r="AN74" s="340"/>
      <c r="AO74" s="340"/>
      <c r="AP74" s="340"/>
      <c r="AQ74" s="340"/>
      <c r="AR74" s="340"/>
      <c r="AS74" s="340"/>
      <c r="AT74" s="340"/>
      <c r="AU74" s="340"/>
      <c r="AV74" s="340"/>
      <c r="AW74" s="340"/>
      <c r="AX74" s="340"/>
      <c r="AY74" s="340"/>
      <c r="AZ74" s="340"/>
      <c r="BA74" s="340"/>
      <c r="BB74" s="340"/>
      <c r="BC74" s="340"/>
      <c r="BD74" s="340"/>
    </row>
    <row r="75" spans="3:56">
      <c r="C75" s="340"/>
      <c r="D75" s="340"/>
      <c r="E75" s="340"/>
      <c r="F75" s="340"/>
      <c r="G75" s="340"/>
      <c r="H75" s="340"/>
      <c r="I75" s="340"/>
      <c r="J75" s="340"/>
      <c r="K75" s="340"/>
      <c r="L75" s="340"/>
      <c r="M75" s="340"/>
      <c r="N75" s="340"/>
      <c r="O75" s="340"/>
      <c r="P75" s="340"/>
      <c r="Q75" s="340"/>
      <c r="R75" s="340"/>
      <c r="S75" s="340"/>
      <c r="T75" s="340"/>
      <c r="U75" s="340"/>
      <c r="V75" s="340"/>
      <c r="W75" s="340"/>
      <c r="X75" s="340"/>
      <c r="Y75" s="340"/>
      <c r="Z75" s="340"/>
      <c r="AA75" s="340"/>
      <c r="AB75" s="340"/>
      <c r="AC75" s="340"/>
      <c r="AD75" s="340"/>
      <c r="AE75" s="340"/>
      <c r="AF75" s="340"/>
      <c r="AG75" s="340"/>
      <c r="AH75" s="340"/>
      <c r="AI75" s="340"/>
      <c r="AJ75" s="340"/>
      <c r="AK75" s="340"/>
      <c r="AL75" s="340"/>
      <c r="AM75" s="340"/>
      <c r="AN75" s="340"/>
      <c r="AO75" s="340"/>
      <c r="AP75" s="340"/>
      <c r="AQ75" s="340"/>
      <c r="AR75" s="340"/>
      <c r="AS75" s="340"/>
      <c r="AT75" s="340"/>
      <c r="AU75" s="340"/>
      <c r="AV75" s="340"/>
      <c r="AW75" s="340"/>
      <c r="AX75" s="340"/>
      <c r="AY75" s="340"/>
      <c r="AZ75" s="340"/>
      <c r="BA75" s="340"/>
      <c r="BB75" s="340"/>
      <c r="BC75" s="340"/>
      <c r="BD75" s="340"/>
    </row>
    <row r="76" spans="3:56">
      <c r="C76" s="340"/>
      <c r="D76" s="340"/>
      <c r="E76" s="340"/>
      <c r="F76" s="340"/>
      <c r="G76" s="340"/>
      <c r="H76" s="340"/>
      <c r="I76" s="340"/>
      <c r="J76" s="340"/>
      <c r="K76" s="340"/>
      <c r="L76" s="340"/>
      <c r="M76" s="340"/>
      <c r="N76" s="340"/>
      <c r="O76" s="340"/>
      <c r="P76" s="340"/>
      <c r="Q76" s="340"/>
      <c r="R76" s="340"/>
      <c r="S76" s="340"/>
      <c r="T76" s="340"/>
      <c r="U76" s="340"/>
      <c r="V76" s="340"/>
      <c r="W76" s="340"/>
      <c r="X76" s="340"/>
      <c r="Y76" s="340"/>
      <c r="Z76" s="340"/>
      <c r="AA76" s="340"/>
      <c r="AB76" s="340"/>
      <c r="AC76" s="340"/>
      <c r="AD76" s="340"/>
      <c r="AE76" s="340"/>
      <c r="AF76" s="340"/>
      <c r="AG76" s="340"/>
      <c r="AH76" s="340"/>
      <c r="AI76" s="340"/>
      <c r="AJ76" s="340"/>
      <c r="AK76" s="340"/>
      <c r="AL76" s="340"/>
      <c r="AM76" s="340"/>
      <c r="AN76" s="340"/>
      <c r="AO76" s="340"/>
      <c r="AP76" s="340"/>
      <c r="AQ76" s="340"/>
      <c r="AR76" s="340"/>
      <c r="AS76" s="340"/>
      <c r="AT76" s="340"/>
      <c r="AU76" s="340"/>
      <c r="AV76" s="340"/>
      <c r="AW76" s="340"/>
      <c r="AX76" s="340"/>
      <c r="AY76" s="340"/>
      <c r="AZ76" s="340"/>
      <c r="BA76" s="340"/>
      <c r="BB76" s="340"/>
      <c r="BC76" s="340"/>
      <c r="BD76" s="340"/>
    </row>
    <row r="77" spans="3:56">
      <c r="C77" s="340"/>
      <c r="D77" s="340"/>
      <c r="E77" s="340"/>
      <c r="F77" s="340"/>
      <c r="G77" s="340"/>
      <c r="H77" s="340"/>
      <c r="I77" s="340"/>
      <c r="J77" s="340"/>
      <c r="K77" s="340"/>
      <c r="L77" s="340"/>
      <c r="M77" s="340"/>
      <c r="N77" s="340"/>
      <c r="O77" s="340"/>
      <c r="P77" s="340"/>
      <c r="Q77" s="340"/>
      <c r="R77" s="340"/>
      <c r="S77" s="340"/>
      <c r="T77" s="340"/>
      <c r="U77" s="340"/>
      <c r="V77" s="340"/>
      <c r="W77" s="340"/>
      <c r="X77" s="340"/>
      <c r="Y77" s="340"/>
      <c r="Z77" s="340"/>
      <c r="AA77" s="340"/>
      <c r="AB77" s="340"/>
      <c r="AC77" s="340"/>
      <c r="AD77" s="340"/>
      <c r="AE77" s="340"/>
      <c r="AF77" s="340"/>
      <c r="AG77" s="340"/>
      <c r="AH77" s="340"/>
      <c r="AI77" s="340"/>
      <c r="AJ77" s="340"/>
      <c r="AK77" s="340"/>
      <c r="AL77" s="340"/>
      <c r="AM77" s="340"/>
      <c r="AN77" s="340"/>
      <c r="AO77" s="340"/>
      <c r="AP77" s="340"/>
      <c r="AQ77" s="340"/>
      <c r="AR77" s="340"/>
      <c r="AS77" s="340"/>
      <c r="AT77" s="340"/>
      <c r="AU77" s="340"/>
      <c r="AV77" s="340"/>
      <c r="AW77" s="340"/>
      <c r="AX77" s="340"/>
      <c r="AY77" s="340"/>
      <c r="AZ77" s="340"/>
      <c r="BA77" s="340"/>
      <c r="BB77" s="340"/>
      <c r="BC77" s="340"/>
      <c r="BD77" s="340"/>
    </row>
    <row r="78" spans="3:56">
      <c r="C78" s="340"/>
      <c r="D78" s="340"/>
      <c r="E78" s="340"/>
      <c r="F78" s="340"/>
      <c r="G78" s="340"/>
      <c r="H78" s="340"/>
      <c r="I78" s="340"/>
      <c r="J78" s="340"/>
      <c r="K78" s="340"/>
      <c r="L78" s="340"/>
      <c r="M78" s="340"/>
      <c r="N78" s="340"/>
      <c r="O78" s="340"/>
      <c r="P78" s="340"/>
      <c r="Q78" s="340"/>
      <c r="R78" s="340"/>
      <c r="S78" s="340"/>
      <c r="T78" s="340"/>
      <c r="U78" s="340"/>
      <c r="V78" s="340"/>
      <c r="W78" s="340"/>
      <c r="X78" s="340"/>
      <c r="Y78" s="340"/>
      <c r="Z78" s="340"/>
      <c r="AA78" s="340"/>
      <c r="AB78" s="340"/>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0"/>
      <c r="AY78" s="340"/>
      <c r="AZ78" s="340"/>
      <c r="BA78" s="340"/>
      <c r="BB78" s="340"/>
      <c r="BC78" s="340"/>
      <c r="BD78" s="340"/>
    </row>
    <row r="79" spans="3:56">
      <c r="C79" s="340"/>
      <c r="D79" s="340"/>
      <c r="E79" s="340"/>
      <c r="F79" s="340"/>
      <c r="G79" s="340"/>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0"/>
      <c r="AY79" s="340"/>
      <c r="AZ79" s="340"/>
      <c r="BA79" s="340"/>
      <c r="BB79" s="340"/>
      <c r="BC79" s="340"/>
      <c r="BD79" s="340"/>
    </row>
    <row r="80" spans="3:56">
      <c r="C80" s="340"/>
      <c r="D80" s="340"/>
      <c r="E80" s="340"/>
      <c r="F80" s="340"/>
      <c r="G80" s="340"/>
      <c r="H80" s="340"/>
      <c r="I80" s="340"/>
      <c r="J80" s="340"/>
      <c r="K80" s="340"/>
      <c r="L80" s="340"/>
      <c r="M80" s="340"/>
      <c r="N80" s="340"/>
      <c r="O80" s="340"/>
      <c r="P80" s="340"/>
      <c r="Q80" s="340"/>
      <c r="R80" s="340"/>
      <c r="S80" s="340"/>
      <c r="T80" s="340"/>
      <c r="U80" s="340"/>
      <c r="V80" s="340"/>
      <c r="W80" s="340"/>
      <c r="X80" s="340"/>
      <c r="Y80" s="340"/>
      <c r="Z80" s="340"/>
      <c r="AA80" s="340"/>
      <c r="AB80" s="340"/>
      <c r="AC80" s="340"/>
      <c r="AD80" s="340"/>
      <c r="AE80" s="340"/>
      <c r="AF80" s="340"/>
      <c r="AG80" s="340"/>
      <c r="AH80" s="340"/>
      <c r="AI80" s="340"/>
      <c r="AJ80" s="340"/>
      <c r="AK80" s="340"/>
      <c r="AL80" s="340"/>
      <c r="AM80" s="340"/>
      <c r="AN80" s="340"/>
      <c r="AO80" s="340"/>
      <c r="AP80" s="340"/>
      <c r="AQ80" s="340"/>
      <c r="AR80" s="340"/>
      <c r="AS80" s="340"/>
      <c r="AT80" s="340"/>
      <c r="AU80" s="340"/>
      <c r="AV80" s="340"/>
      <c r="AW80" s="340"/>
      <c r="AX80" s="340"/>
      <c r="AY80" s="340"/>
      <c r="AZ80" s="340"/>
      <c r="BA80" s="340"/>
      <c r="BB80" s="340"/>
      <c r="BC80" s="340"/>
      <c r="BD80" s="340"/>
    </row>
    <row r="81" spans="3:56">
      <c r="C81" s="340"/>
      <c r="D81" s="340"/>
      <c r="E81" s="340"/>
      <c r="F81" s="340"/>
      <c r="G81" s="340"/>
      <c r="H81" s="340"/>
      <c r="I81" s="340"/>
      <c r="J81" s="340"/>
      <c r="K81" s="340"/>
      <c r="L81" s="340"/>
      <c r="M81" s="340"/>
      <c r="N81" s="340"/>
      <c r="O81" s="340"/>
      <c r="P81" s="340"/>
      <c r="Q81" s="340"/>
      <c r="R81" s="340"/>
      <c r="S81" s="340"/>
      <c r="T81" s="340"/>
      <c r="U81" s="340"/>
      <c r="V81" s="340"/>
      <c r="W81" s="340"/>
      <c r="X81" s="340"/>
      <c r="Y81" s="340"/>
      <c r="Z81" s="340"/>
      <c r="AA81" s="340"/>
      <c r="AB81" s="340"/>
      <c r="AC81" s="340"/>
      <c r="AD81" s="340"/>
      <c r="AE81" s="340"/>
      <c r="AF81" s="340"/>
      <c r="AG81" s="340"/>
      <c r="AH81" s="340"/>
      <c r="AI81" s="340"/>
      <c r="AJ81" s="340"/>
      <c r="AK81" s="340"/>
      <c r="AL81" s="340"/>
      <c r="AM81" s="340"/>
      <c r="AN81" s="340"/>
      <c r="AO81" s="340"/>
      <c r="AP81" s="340"/>
      <c r="AQ81" s="340"/>
      <c r="AR81" s="340"/>
      <c r="AS81" s="340"/>
      <c r="AT81" s="340"/>
      <c r="AU81" s="340"/>
      <c r="AV81" s="340"/>
      <c r="AW81" s="340"/>
      <c r="AX81" s="340"/>
      <c r="AY81" s="340"/>
      <c r="AZ81" s="340"/>
      <c r="BA81" s="340"/>
      <c r="BB81" s="340"/>
      <c r="BC81" s="340"/>
      <c r="BD81" s="340"/>
    </row>
    <row r="82" spans="3:56">
      <c r="C82" s="340"/>
      <c r="D82" s="340"/>
      <c r="E82" s="340"/>
      <c r="F82" s="340"/>
      <c r="G82" s="340"/>
      <c r="H82" s="340"/>
      <c r="I82" s="340"/>
      <c r="J82" s="340"/>
      <c r="K82" s="340"/>
      <c r="L82" s="340"/>
      <c r="M82" s="340"/>
      <c r="N82" s="340"/>
      <c r="O82" s="340"/>
      <c r="P82" s="340"/>
      <c r="Q82" s="340"/>
      <c r="R82" s="340"/>
      <c r="S82" s="340"/>
      <c r="T82" s="340"/>
      <c r="U82" s="340"/>
      <c r="V82" s="340"/>
      <c r="W82" s="340"/>
      <c r="X82" s="340"/>
      <c r="Y82" s="340"/>
      <c r="Z82" s="340"/>
      <c r="AA82" s="340"/>
      <c r="AB82" s="340"/>
      <c r="AC82" s="340"/>
      <c r="AD82" s="340"/>
      <c r="AE82" s="340"/>
      <c r="AF82" s="340"/>
      <c r="AG82" s="340"/>
      <c r="AH82" s="340"/>
      <c r="AI82" s="340"/>
      <c r="AJ82" s="340"/>
      <c r="AK82" s="340"/>
      <c r="AL82" s="340"/>
      <c r="AM82" s="340"/>
      <c r="AN82" s="340"/>
      <c r="AO82" s="340"/>
      <c r="AP82" s="340"/>
      <c r="AQ82" s="340"/>
      <c r="AR82" s="340"/>
      <c r="AS82" s="340"/>
      <c r="AT82" s="340"/>
      <c r="AU82" s="340"/>
      <c r="AV82" s="340"/>
      <c r="AW82" s="340"/>
      <c r="AX82" s="340"/>
      <c r="AY82" s="340"/>
      <c r="AZ82" s="340"/>
      <c r="BA82" s="340"/>
      <c r="BB82" s="340"/>
      <c r="BC82" s="340"/>
      <c r="BD82" s="340"/>
    </row>
    <row r="83" spans="3:56">
      <c r="C83" s="340"/>
      <c r="D83" s="340"/>
      <c r="E83" s="340"/>
      <c r="F83" s="340"/>
      <c r="G83" s="340"/>
      <c r="H83" s="340"/>
      <c r="I83" s="340"/>
      <c r="J83" s="340"/>
      <c r="K83" s="340"/>
      <c r="L83" s="340"/>
      <c r="M83" s="340"/>
      <c r="N83" s="340"/>
      <c r="O83" s="340"/>
      <c r="P83" s="340"/>
      <c r="Q83" s="340"/>
      <c r="R83" s="340"/>
      <c r="S83" s="340"/>
      <c r="T83" s="340"/>
      <c r="U83" s="340"/>
      <c r="V83" s="340"/>
      <c r="W83" s="340"/>
      <c r="X83" s="340"/>
      <c r="Y83" s="340"/>
      <c r="Z83" s="340"/>
      <c r="AA83" s="340"/>
      <c r="AB83" s="340"/>
      <c r="AC83" s="340"/>
      <c r="AD83" s="340"/>
      <c r="AE83" s="340"/>
      <c r="AF83" s="340"/>
      <c r="AG83" s="340"/>
      <c r="AH83" s="340"/>
      <c r="AI83" s="340"/>
      <c r="AJ83" s="340"/>
      <c r="AK83" s="340"/>
      <c r="AL83" s="340"/>
      <c r="AM83" s="340"/>
      <c r="AN83" s="340"/>
      <c r="AO83" s="340"/>
      <c r="AP83" s="340"/>
      <c r="AQ83" s="340"/>
      <c r="AR83" s="340"/>
      <c r="AS83" s="340"/>
      <c r="AT83" s="340"/>
      <c r="AU83" s="340"/>
      <c r="AV83" s="340"/>
      <c r="AW83" s="340"/>
      <c r="AX83" s="340"/>
      <c r="AY83" s="340"/>
      <c r="AZ83" s="340"/>
      <c r="BA83" s="340"/>
      <c r="BB83" s="340"/>
      <c r="BC83" s="340"/>
      <c r="BD83" s="340"/>
    </row>
    <row r="84" spans="3:56">
      <c r="C84" s="340"/>
      <c r="D84" s="340"/>
      <c r="E84" s="340"/>
      <c r="F84" s="340"/>
      <c r="G84" s="340"/>
      <c r="H84" s="340"/>
      <c r="I84" s="340"/>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340"/>
      <c r="AQ84" s="340"/>
      <c r="AR84" s="340"/>
      <c r="AS84" s="340"/>
      <c r="AT84" s="340"/>
      <c r="AU84" s="340"/>
      <c r="AV84" s="340"/>
      <c r="AW84" s="340"/>
      <c r="AX84" s="340"/>
      <c r="AY84" s="340"/>
      <c r="AZ84" s="340"/>
      <c r="BA84" s="340"/>
      <c r="BB84" s="340"/>
      <c r="BC84" s="340"/>
      <c r="BD84" s="340"/>
    </row>
    <row r="85" spans="3:56">
      <c r="C85" s="340"/>
      <c r="D85" s="340"/>
      <c r="E85" s="340"/>
      <c r="F85" s="340"/>
      <c r="G85" s="340"/>
      <c r="H85" s="340"/>
      <c r="I85" s="34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340"/>
      <c r="AQ85" s="340"/>
      <c r="AR85" s="340"/>
      <c r="AS85" s="340"/>
      <c r="AT85" s="340"/>
      <c r="AU85" s="340"/>
      <c r="AV85" s="340"/>
      <c r="AW85" s="340"/>
      <c r="AX85" s="340"/>
      <c r="AY85" s="340"/>
      <c r="AZ85" s="340"/>
      <c r="BA85" s="340"/>
      <c r="BB85" s="340"/>
      <c r="BC85" s="340"/>
      <c r="BD85" s="340"/>
    </row>
    <row r="86" spans="3:56">
      <c r="C86" s="340"/>
      <c r="D86" s="340"/>
      <c r="E86" s="340"/>
      <c r="F86" s="340"/>
      <c r="G86" s="340"/>
      <c r="H86" s="340"/>
      <c r="I86" s="340"/>
      <c r="J86" s="340"/>
      <c r="K86" s="340"/>
      <c r="L86" s="340"/>
      <c r="M86" s="340"/>
      <c r="N86" s="340"/>
      <c r="O86" s="340"/>
      <c r="P86" s="340"/>
      <c r="Q86" s="340"/>
      <c r="R86" s="340"/>
      <c r="S86" s="340"/>
      <c r="T86" s="340"/>
      <c r="U86" s="340"/>
      <c r="V86" s="340"/>
      <c r="W86" s="340"/>
      <c r="X86" s="340"/>
      <c r="Y86" s="340"/>
      <c r="Z86" s="340"/>
      <c r="AA86" s="340"/>
      <c r="AB86" s="340"/>
      <c r="AC86" s="340"/>
      <c r="AD86" s="340"/>
      <c r="AE86" s="340"/>
      <c r="AF86" s="340"/>
      <c r="AG86" s="340"/>
      <c r="AH86" s="340"/>
      <c r="AI86" s="340"/>
      <c r="AJ86" s="340"/>
      <c r="AK86" s="340"/>
      <c r="AL86" s="340"/>
      <c r="AM86" s="340"/>
      <c r="AN86" s="340"/>
      <c r="AO86" s="340"/>
      <c r="AP86" s="340"/>
      <c r="AQ86" s="340"/>
      <c r="AR86" s="340"/>
      <c r="AS86" s="340"/>
      <c r="AT86" s="340"/>
      <c r="AU86" s="340"/>
      <c r="AV86" s="340"/>
      <c r="AW86" s="340"/>
      <c r="AX86" s="340"/>
      <c r="AY86" s="340"/>
      <c r="AZ86" s="340"/>
      <c r="BA86" s="340"/>
      <c r="BB86" s="340"/>
      <c r="BC86" s="340"/>
      <c r="BD86" s="340"/>
    </row>
    <row r="87" spans="3:56">
      <c r="C87" s="340"/>
      <c r="D87" s="340"/>
      <c r="E87" s="340"/>
      <c r="F87" s="340"/>
      <c r="G87" s="340"/>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40"/>
      <c r="AM87" s="340"/>
      <c r="AN87" s="340"/>
      <c r="AO87" s="340"/>
      <c r="AP87" s="340"/>
      <c r="AQ87" s="340"/>
      <c r="AR87" s="340"/>
      <c r="AS87" s="340"/>
      <c r="AT87" s="340"/>
      <c r="AU87" s="340"/>
      <c r="AV87" s="340"/>
      <c r="AW87" s="340"/>
      <c r="AX87" s="340"/>
      <c r="AY87" s="340"/>
      <c r="AZ87" s="340"/>
      <c r="BA87" s="340"/>
      <c r="BB87" s="340"/>
      <c r="BC87" s="340"/>
      <c r="BD87" s="340"/>
    </row>
    <row r="88" spans="3:56">
      <c r="C88" s="340"/>
      <c r="D88" s="340"/>
      <c r="E88" s="340"/>
      <c r="F88" s="340"/>
      <c r="G88" s="340"/>
      <c r="H88" s="340"/>
      <c r="I88" s="340"/>
      <c r="J88" s="340"/>
      <c r="K88" s="340"/>
      <c r="L88" s="340"/>
      <c r="M88" s="340"/>
      <c r="N88" s="340"/>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40"/>
      <c r="AN88" s="340"/>
      <c r="AO88" s="340"/>
      <c r="AP88" s="340"/>
      <c r="AQ88" s="340"/>
      <c r="AR88" s="340"/>
      <c r="AS88" s="340"/>
      <c r="AT88" s="340"/>
      <c r="AU88" s="340"/>
      <c r="AV88" s="340"/>
      <c r="AW88" s="340"/>
      <c r="AX88" s="340"/>
      <c r="AY88" s="340"/>
      <c r="AZ88" s="340"/>
      <c r="BA88" s="340"/>
      <c r="BB88" s="340"/>
      <c r="BC88" s="340"/>
      <c r="BD88" s="340"/>
    </row>
    <row r="89" spans="3:56">
      <c r="C89" s="340"/>
      <c r="D89" s="340"/>
      <c r="E89" s="340"/>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0"/>
      <c r="AI89" s="340"/>
      <c r="AJ89" s="340"/>
      <c r="AK89" s="340"/>
      <c r="AL89" s="340"/>
      <c r="AM89" s="340"/>
      <c r="AN89" s="340"/>
      <c r="AO89" s="340"/>
      <c r="AP89" s="340"/>
      <c r="AQ89" s="340"/>
      <c r="AR89" s="340"/>
      <c r="AS89" s="340"/>
      <c r="AT89" s="340"/>
      <c r="AU89" s="340"/>
      <c r="AV89" s="340"/>
      <c r="AW89" s="340"/>
      <c r="AX89" s="340"/>
      <c r="AY89" s="340"/>
      <c r="AZ89" s="340"/>
      <c r="BA89" s="340"/>
      <c r="BB89" s="340"/>
      <c r="BC89" s="340"/>
      <c r="BD89" s="340"/>
    </row>
    <row r="90" spans="3:56">
      <c r="C90" s="340"/>
      <c r="D90" s="340"/>
      <c r="E90" s="340"/>
      <c r="F90" s="340"/>
      <c r="G90" s="340"/>
      <c r="H90" s="340"/>
      <c r="I90" s="340"/>
      <c r="J90" s="340"/>
      <c r="K90" s="340"/>
      <c r="L90" s="340"/>
      <c r="M90" s="340"/>
      <c r="N90" s="340"/>
      <c r="O90" s="340"/>
      <c r="P90" s="340"/>
      <c r="Q90" s="340"/>
      <c r="R90" s="340"/>
      <c r="S90" s="340"/>
      <c r="T90" s="340"/>
      <c r="U90" s="340"/>
      <c r="V90" s="340"/>
      <c r="W90" s="340"/>
      <c r="X90" s="340"/>
      <c r="Y90" s="340"/>
      <c r="Z90" s="340"/>
      <c r="AA90" s="340"/>
      <c r="AB90" s="340"/>
      <c r="AC90" s="340"/>
      <c r="AD90" s="340"/>
      <c r="AE90" s="340"/>
      <c r="AF90" s="340"/>
      <c r="AG90" s="340"/>
      <c r="AH90" s="340"/>
      <c r="AI90" s="340"/>
      <c r="AJ90" s="340"/>
      <c r="AK90" s="340"/>
      <c r="AL90" s="340"/>
      <c r="AM90" s="340"/>
      <c r="AN90" s="340"/>
      <c r="AO90" s="340"/>
      <c r="AP90" s="340"/>
      <c r="AQ90" s="340"/>
      <c r="AR90" s="340"/>
      <c r="AS90" s="340"/>
      <c r="AT90" s="340"/>
      <c r="AU90" s="340"/>
      <c r="AV90" s="340"/>
      <c r="AW90" s="340"/>
      <c r="AX90" s="340"/>
      <c r="AY90" s="340"/>
      <c r="AZ90" s="340"/>
      <c r="BA90" s="340"/>
      <c r="BB90" s="340"/>
      <c r="BC90" s="340"/>
      <c r="BD90" s="340"/>
    </row>
    <row r="91" spans="3:56">
      <c r="C91" s="340"/>
      <c r="D91" s="340"/>
      <c r="E91" s="340"/>
      <c r="F91" s="340"/>
      <c r="G91" s="340"/>
      <c r="H91" s="340"/>
      <c r="I91" s="340"/>
      <c r="J91" s="340"/>
      <c r="K91" s="340"/>
      <c r="L91" s="340"/>
      <c r="M91" s="340"/>
      <c r="N91" s="340"/>
      <c r="O91" s="340"/>
      <c r="P91" s="340"/>
      <c r="Q91" s="340"/>
      <c r="R91" s="340"/>
      <c r="S91" s="340"/>
      <c r="T91" s="340"/>
      <c r="U91" s="340"/>
      <c r="V91" s="340"/>
      <c r="W91" s="340"/>
      <c r="X91" s="340"/>
      <c r="Y91" s="340"/>
      <c r="Z91" s="340"/>
      <c r="AA91" s="340"/>
      <c r="AB91" s="340"/>
      <c r="AC91" s="340"/>
      <c r="AD91" s="340"/>
      <c r="AE91" s="340"/>
      <c r="AF91" s="340"/>
      <c r="AG91" s="340"/>
      <c r="AH91" s="340"/>
      <c r="AI91" s="340"/>
      <c r="AJ91" s="340"/>
      <c r="AK91" s="340"/>
      <c r="AL91" s="340"/>
      <c r="AM91" s="340"/>
      <c r="AN91" s="340"/>
      <c r="AO91" s="340"/>
      <c r="AP91" s="340"/>
      <c r="AQ91" s="340"/>
      <c r="AR91" s="340"/>
      <c r="AS91" s="340"/>
      <c r="AT91" s="340"/>
      <c r="AU91" s="340"/>
      <c r="AV91" s="340"/>
      <c r="AW91" s="340"/>
      <c r="AX91" s="340"/>
      <c r="AY91" s="340"/>
      <c r="AZ91" s="340"/>
      <c r="BA91" s="340"/>
      <c r="BB91" s="340"/>
      <c r="BC91" s="340"/>
      <c r="BD91" s="340"/>
    </row>
    <row r="92" spans="3:56">
      <c r="C92" s="340"/>
      <c r="D92" s="340"/>
      <c r="E92" s="340"/>
      <c r="F92" s="340"/>
      <c r="G92" s="340"/>
      <c r="H92" s="340"/>
      <c r="I92" s="340"/>
      <c r="J92" s="340"/>
      <c r="K92" s="340"/>
      <c r="L92" s="340"/>
      <c r="M92" s="340"/>
      <c r="N92" s="340"/>
      <c r="O92" s="340"/>
      <c r="P92" s="340"/>
      <c r="Q92" s="340"/>
      <c r="R92" s="340"/>
      <c r="S92" s="340"/>
      <c r="T92" s="340"/>
      <c r="U92" s="340"/>
      <c r="V92" s="340"/>
      <c r="W92" s="340"/>
      <c r="X92" s="340"/>
      <c r="Y92" s="340"/>
      <c r="Z92" s="340"/>
      <c r="AA92" s="340"/>
      <c r="AB92" s="340"/>
      <c r="AC92" s="340"/>
      <c r="AD92" s="340"/>
      <c r="AE92" s="340"/>
      <c r="AF92" s="340"/>
      <c r="AG92" s="340"/>
      <c r="AH92" s="340"/>
      <c r="AI92" s="340"/>
      <c r="AJ92" s="340"/>
      <c r="AK92" s="340"/>
      <c r="AL92" s="340"/>
      <c r="AM92" s="340"/>
      <c r="AN92" s="340"/>
      <c r="AO92" s="340"/>
      <c r="AP92" s="340"/>
      <c r="AQ92" s="340"/>
      <c r="AR92" s="340"/>
      <c r="AS92" s="340"/>
      <c r="AT92" s="340"/>
      <c r="AU92" s="340"/>
      <c r="AV92" s="340"/>
      <c r="AW92" s="340"/>
      <c r="AX92" s="340"/>
      <c r="AY92" s="340"/>
      <c r="AZ92" s="340"/>
      <c r="BA92" s="340"/>
      <c r="BB92" s="340"/>
      <c r="BC92" s="340"/>
      <c r="BD92" s="340"/>
    </row>
    <row r="93" spans="3:56">
      <c r="C93" s="340"/>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c r="AI93" s="340"/>
      <c r="AJ93" s="340"/>
      <c r="AK93" s="340"/>
      <c r="AL93" s="340"/>
      <c r="AM93" s="340"/>
      <c r="AN93" s="340"/>
      <c r="AO93" s="340"/>
      <c r="AP93" s="340"/>
      <c r="AQ93" s="340"/>
      <c r="AR93" s="340"/>
      <c r="AS93" s="340"/>
      <c r="AT93" s="340"/>
      <c r="AU93" s="340"/>
      <c r="AV93" s="340"/>
      <c r="AW93" s="340"/>
      <c r="AX93" s="340"/>
      <c r="AY93" s="340"/>
      <c r="AZ93" s="340"/>
      <c r="BA93" s="340"/>
      <c r="BB93" s="340"/>
      <c r="BC93" s="340"/>
      <c r="BD93" s="340"/>
    </row>
    <row r="94" spans="3:56">
      <c r="C94" s="340"/>
      <c r="D94" s="340"/>
      <c r="E94" s="340"/>
      <c r="F94" s="340"/>
      <c r="G94" s="340"/>
      <c r="H94" s="340"/>
      <c r="I94" s="340"/>
      <c r="J94" s="340"/>
      <c r="K94" s="340"/>
      <c r="L94" s="340"/>
      <c r="M94" s="340"/>
      <c r="N94" s="340"/>
      <c r="O94" s="340"/>
      <c r="P94" s="340"/>
      <c r="Q94" s="340"/>
      <c r="R94" s="340"/>
      <c r="S94" s="340"/>
      <c r="T94" s="340"/>
      <c r="U94" s="340"/>
      <c r="V94" s="340"/>
      <c r="W94" s="340"/>
      <c r="X94" s="340"/>
      <c r="Y94" s="340"/>
      <c r="Z94" s="340"/>
      <c r="AA94" s="340"/>
      <c r="AB94" s="340"/>
      <c r="AC94" s="340"/>
      <c r="AD94" s="340"/>
      <c r="AE94" s="340"/>
      <c r="AF94" s="340"/>
      <c r="AG94" s="340"/>
      <c r="AH94" s="340"/>
      <c r="AI94" s="340"/>
      <c r="AJ94" s="340"/>
      <c r="AK94" s="340"/>
      <c r="AL94" s="340"/>
      <c r="AM94" s="340"/>
      <c r="AN94" s="340"/>
      <c r="AO94" s="340"/>
      <c r="AP94" s="340"/>
      <c r="AQ94" s="340"/>
      <c r="AR94" s="340"/>
      <c r="AS94" s="340"/>
      <c r="AT94" s="340"/>
      <c r="AU94" s="340"/>
      <c r="AV94" s="340"/>
      <c r="AW94" s="340"/>
      <c r="AX94" s="340"/>
      <c r="AY94" s="340"/>
      <c r="AZ94" s="340"/>
      <c r="BA94" s="340"/>
      <c r="BB94" s="340"/>
      <c r="BC94" s="340"/>
      <c r="BD94" s="340"/>
    </row>
    <row r="95" spans="3:56">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340"/>
      <c r="AM95" s="340"/>
      <c r="AN95" s="340"/>
      <c r="AO95" s="340"/>
      <c r="AP95" s="340"/>
      <c r="AQ95" s="340"/>
      <c r="AR95" s="340"/>
      <c r="AS95" s="340"/>
      <c r="AT95" s="340"/>
      <c r="AU95" s="340"/>
      <c r="AV95" s="340"/>
      <c r="AW95" s="340"/>
      <c r="AX95" s="340"/>
      <c r="AY95" s="340"/>
      <c r="AZ95" s="340"/>
      <c r="BA95" s="340"/>
      <c r="BB95" s="340"/>
      <c r="BC95" s="340"/>
      <c r="BD95" s="340"/>
    </row>
    <row r="96" spans="3:56">
      <c r="C96" s="340"/>
      <c r="D96" s="340"/>
      <c r="E96" s="340"/>
      <c r="F96" s="340"/>
      <c r="G96" s="340"/>
      <c r="H96" s="340"/>
      <c r="I96" s="340"/>
      <c r="J96" s="340"/>
      <c r="K96" s="340"/>
      <c r="L96" s="340"/>
      <c r="M96" s="340"/>
      <c r="N96" s="340"/>
      <c r="O96" s="340"/>
      <c r="P96" s="340"/>
      <c r="Q96" s="340"/>
      <c r="R96" s="340"/>
      <c r="S96" s="340"/>
      <c r="T96" s="340"/>
      <c r="U96" s="340"/>
      <c r="V96" s="340"/>
      <c r="W96" s="340"/>
      <c r="X96" s="340"/>
      <c r="Y96" s="340"/>
      <c r="Z96" s="340"/>
      <c r="AA96" s="340"/>
      <c r="AB96" s="340"/>
      <c r="AC96" s="340"/>
      <c r="AD96" s="340"/>
      <c r="AE96" s="340"/>
      <c r="AF96" s="340"/>
      <c r="AG96" s="340"/>
      <c r="AH96" s="340"/>
      <c r="AI96" s="340"/>
      <c r="AJ96" s="340"/>
      <c r="AK96" s="340"/>
      <c r="AL96" s="340"/>
      <c r="AM96" s="340"/>
      <c r="AN96" s="340"/>
      <c r="AO96" s="340"/>
      <c r="AP96" s="340"/>
      <c r="AQ96" s="340"/>
      <c r="AR96" s="340"/>
      <c r="AS96" s="340"/>
      <c r="AT96" s="340"/>
      <c r="AU96" s="340"/>
      <c r="AV96" s="340"/>
      <c r="AW96" s="340"/>
      <c r="AX96" s="340"/>
      <c r="AY96" s="340"/>
      <c r="AZ96" s="340"/>
      <c r="BA96" s="340"/>
      <c r="BB96" s="340"/>
      <c r="BC96" s="340"/>
      <c r="BD96" s="340"/>
    </row>
    <row r="97" spans="3:56">
      <c r="C97" s="340"/>
      <c r="D97" s="340"/>
      <c r="E97" s="340"/>
      <c r="F97" s="340"/>
      <c r="G97" s="340"/>
      <c r="H97" s="340"/>
      <c r="I97" s="340"/>
      <c r="J97" s="340"/>
      <c r="K97" s="340"/>
      <c r="L97" s="340"/>
      <c r="M97" s="340"/>
      <c r="N97" s="340"/>
      <c r="O97" s="340"/>
      <c r="P97" s="340"/>
      <c r="Q97" s="340"/>
      <c r="R97" s="340"/>
      <c r="S97" s="340"/>
      <c r="T97" s="340"/>
      <c r="U97" s="340"/>
      <c r="V97" s="340"/>
      <c r="W97" s="340"/>
      <c r="X97" s="340"/>
      <c r="Y97" s="340"/>
      <c r="Z97" s="340"/>
      <c r="AA97" s="340"/>
      <c r="AB97" s="340"/>
      <c r="AC97" s="340"/>
      <c r="AD97" s="340"/>
      <c r="AE97" s="340"/>
      <c r="AF97" s="340"/>
      <c r="AG97" s="340"/>
      <c r="AH97" s="340"/>
      <c r="AI97" s="340"/>
      <c r="AJ97" s="340"/>
      <c r="AK97" s="340"/>
      <c r="AL97" s="340"/>
      <c r="AM97" s="340"/>
      <c r="AN97" s="340"/>
      <c r="AO97" s="340"/>
      <c r="AP97" s="340"/>
      <c r="AQ97" s="340"/>
      <c r="AR97" s="340"/>
      <c r="AS97" s="340"/>
      <c r="AT97" s="340"/>
      <c r="AU97" s="340"/>
      <c r="AV97" s="340"/>
      <c r="AW97" s="340"/>
      <c r="AX97" s="340"/>
      <c r="AY97" s="340"/>
      <c r="AZ97" s="340"/>
      <c r="BA97" s="340"/>
      <c r="BB97" s="340"/>
      <c r="BC97" s="340"/>
      <c r="BD97" s="340"/>
    </row>
    <row r="98" spans="3:56">
      <c r="C98" s="340"/>
      <c r="D98" s="340"/>
      <c r="E98" s="340"/>
      <c r="F98" s="340"/>
      <c r="G98" s="340"/>
      <c r="H98" s="340"/>
      <c r="I98" s="340"/>
      <c r="J98" s="340"/>
      <c r="K98" s="340"/>
      <c r="L98" s="340"/>
      <c r="M98" s="340"/>
      <c r="N98" s="340"/>
      <c r="O98" s="340"/>
      <c r="P98" s="340"/>
      <c r="Q98" s="340"/>
      <c r="R98" s="340"/>
      <c r="S98" s="340"/>
      <c r="T98" s="340"/>
      <c r="U98" s="340"/>
      <c r="V98" s="340"/>
      <c r="W98" s="340"/>
      <c r="X98" s="340"/>
      <c r="Y98" s="340"/>
      <c r="Z98" s="340"/>
      <c r="AA98" s="340"/>
      <c r="AB98" s="340"/>
      <c r="AC98" s="340"/>
      <c r="AD98" s="340"/>
      <c r="AE98" s="340"/>
      <c r="AF98" s="340"/>
      <c r="AG98" s="340"/>
      <c r="AH98" s="340"/>
      <c r="AI98" s="340"/>
      <c r="AJ98" s="340"/>
      <c r="AK98" s="340"/>
      <c r="AL98" s="340"/>
      <c r="AM98" s="340"/>
      <c r="AN98" s="340"/>
      <c r="AO98" s="340"/>
      <c r="AP98" s="340"/>
      <c r="AQ98" s="340"/>
      <c r="AR98" s="340"/>
      <c r="AS98" s="340"/>
      <c r="AT98" s="340"/>
      <c r="AU98" s="340"/>
      <c r="AV98" s="340"/>
      <c r="AW98" s="340"/>
      <c r="AX98" s="340"/>
      <c r="AY98" s="340"/>
      <c r="AZ98" s="340"/>
      <c r="BA98" s="340"/>
      <c r="BB98" s="340"/>
      <c r="BC98" s="340"/>
      <c r="BD98" s="340"/>
    </row>
    <row r="99" spans="3:56">
      <c r="C99" s="340"/>
      <c r="D99" s="340"/>
      <c r="E99" s="340"/>
      <c r="F99" s="340"/>
      <c r="G99" s="340"/>
      <c r="H99" s="340"/>
      <c r="I99" s="340"/>
      <c r="J99" s="340"/>
      <c r="K99" s="340"/>
      <c r="L99" s="340"/>
      <c r="M99" s="340"/>
      <c r="N99" s="340"/>
      <c r="O99" s="340"/>
      <c r="P99" s="340"/>
      <c r="Q99" s="340"/>
      <c r="R99" s="340"/>
      <c r="S99" s="340"/>
      <c r="T99" s="340"/>
      <c r="U99" s="340"/>
      <c r="V99" s="340"/>
      <c r="W99" s="340"/>
      <c r="X99" s="340"/>
      <c r="Y99" s="340"/>
      <c r="Z99" s="340"/>
      <c r="AA99" s="340"/>
      <c r="AB99" s="340"/>
      <c r="AC99" s="340"/>
      <c r="AD99" s="340"/>
      <c r="AE99" s="340"/>
      <c r="AF99" s="340"/>
      <c r="AG99" s="340"/>
      <c r="AH99" s="340"/>
      <c r="AI99" s="340"/>
      <c r="AJ99" s="340"/>
      <c r="AK99" s="340"/>
      <c r="AL99" s="340"/>
      <c r="AM99" s="340"/>
      <c r="AN99" s="340"/>
      <c r="AO99" s="340"/>
      <c r="AP99" s="340"/>
      <c r="AQ99" s="340"/>
      <c r="AR99" s="340"/>
      <c r="AS99" s="340"/>
      <c r="AT99" s="340"/>
      <c r="AU99" s="340"/>
      <c r="AV99" s="340"/>
      <c r="AW99" s="340"/>
      <c r="AX99" s="340"/>
      <c r="AY99" s="340"/>
      <c r="AZ99" s="340"/>
      <c r="BA99" s="340"/>
      <c r="BB99" s="340"/>
      <c r="BC99" s="340"/>
      <c r="BD99" s="340"/>
    </row>
    <row r="100" spans="3:56">
      <c r="C100" s="340"/>
      <c r="D100" s="340"/>
      <c r="E100" s="340"/>
      <c r="F100" s="340"/>
      <c r="G100" s="340"/>
      <c r="H100" s="340"/>
      <c r="I100" s="340"/>
      <c r="J100" s="340"/>
      <c r="K100" s="340"/>
      <c r="L100" s="340"/>
      <c r="M100" s="340"/>
      <c r="N100" s="340"/>
      <c r="O100" s="340"/>
      <c r="P100" s="340"/>
      <c r="Q100" s="340"/>
      <c r="R100" s="340"/>
      <c r="S100" s="340"/>
      <c r="T100" s="340"/>
      <c r="U100" s="340"/>
      <c r="V100" s="340"/>
      <c r="W100" s="340"/>
      <c r="X100" s="340"/>
      <c r="Y100" s="340"/>
      <c r="Z100" s="340"/>
      <c r="AA100" s="340"/>
      <c r="AB100" s="340"/>
      <c r="AC100" s="340"/>
      <c r="AD100" s="340"/>
      <c r="AE100" s="340"/>
      <c r="AF100" s="340"/>
      <c r="AG100" s="340"/>
      <c r="AH100" s="340"/>
      <c r="AI100" s="340"/>
      <c r="AJ100" s="340"/>
      <c r="AK100" s="340"/>
      <c r="AL100" s="340"/>
      <c r="AM100" s="340"/>
      <c r="AN100" s="340"/>
      <c r="AO100" s="340"/>
      <c r="AP100" s="340"/>
      <c r="AQ100" s="340"/>
      <c r="AR100" s="340"/>
      <c r="AS100" s="340"/>
      <c r="AT100" s="340"/>
      <c r="AU100" s="340"/>
      <c r="AV100" s="340"/>
      <c r="AW100" s="340"/>
      <c r="AX100" s="340"/>
      <c r="AY100" s="340"/>
      <c r="AZ100" s="340"/>
      <c r="BA100" s="340"/>
      <c r="BB100" s="340"/>
      <c r="BC100" s="340"/>
      <c r="BD100" s="340"/>
    </row>
    <row r="101" spans="3:56">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c r="AI101" s="340"/>
      <c r="AJ101" s="340"/>
      <c r="AK101" s="340"/>
      <c r="AL101" s="340"/>
      <c r="AM101" s="340"/>
      <c r="AN101" s="340"/>
      <c r="AO101" s="340"/>
      <c r="AP101" s="340"/>
      <c r="AQ101" s="340"/>
      <c r="AR101" s="340"/>
      <c r="AS101" s="340"/>
      <c r="AT101" s="340"/>
      <c r="AU101" s="340"/>
      <c r="AV101" s="340"/>
      <c r="AW101" s="340"/>
      <c r="AX101" s="340"/>
      <c r="AY101" s="340"/>
      <c r="AZ101" s="340"/>
      <c r="BA101" s="340"/>
      <c r="BB101" s="340"/>
      <c r="BC101" s="340"/>
      <c r="BD101" s="340"/>
    </row>
    <row r="102" spans="3:56">
      <c r="C102" s="340"/>
      <c r="D102" s="340"/>
      <c r="E102" s="340"/>
      <c r="F102" s="340"/>
      <c r="G102" s="340"/>
      <c r="H102" s="340"/>
      <c r="I102" s="340"/>
      <c r="J102" s="340"/>
      <c r="K102" s="340"/>
      <c r="L102" s="340"/>
      <c r="M102" s="340"/>
      <c r="N102" s="340"/>
      <c r="O102" s="340"/>
      <c r="P102" s="340"/>
      <c r="Q102" s="340"/>
      <c r="R102" s="340"/>
      <c r="S102" s="340"/>
      <c r="T102" s="340"/>
      <c r="U102" s="340"/>
      <c r="V102" s="340"/>
      <c r="W102" s="340"/>
      <c r="X102" s="340"/>
      <c r="Y102" s="340"/>
      <c r="Z102" s="340"/>
      <c r="AA102" s="340"/>
      <c r="AB102" s="340"/>
      <c r="AC102" s="340"/>
      <c r="AD102" s="340"/>
      <c r="AE102" s="340"/>
      <c r="AF102" s="340"/>
      <c r="AG102" s="340"/>
      <c r="AH102" s="340"/>
      <c r="AI102" s="340"/>
      <c r="AJ102" s="340"/>
      <c r="AK102" s="340"/>
      <c r="AL102" s="340"/>
      <c r="AM102" s="340"/>
      <c r="AN102" s="340"/>
      <c r="AO102" s="340"/>
      <c r="AP102" s="340"/>
      <c r="AQ102" s="340"/>
      <c r="AR102" s="340"/>
      <c r="AS102" s="340"/>
      <c r="AT102" s="340"/>
      <c r="AU102" s="340"/>
      <c r="AV102" s="340"/>
      <c r="AW102" s="340"/>
      <c r="AX102" s="340"/>
      <c r="AY102" s="340"/>
      <c r="AZ102" s="340"/>
      <c r="BA102" s="340"/>
      <c r="BB102" s="340"/>
      <c r="BC102" s="340"/>
      <c r="BD102" s="340"/>
    </row>
    <row r="103" spans="3:56">
      <c r="C103" s="340"/>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c r="AG103" s="340"/>
      <c r="AH103" s="340"/>
      <c r="AI103" s="340"/>
      <c r="AJ103" s="340"/>
      <c r="AK103" s="340"/>
      <c r="AL103" s="340"/>
      <c r="AM103" s="340"/>
      <c r="AN103" s="340"/>
      <c r="AO103" s="340"/>
      <c r="AP103" s="340"/>
      <c r="AQ103" s="340"/>
      <c r="AR103" s="340"/>
      <c r="AS103" s="340"/>
      <c r="AT103" s="340"/>
      <c r="AU103" s="340"/>
      <c r="AV103" s="340"/>
      <c r="AW103" s="340"/>
      <c r="AX103" s="340"/>
      <c r="AY103" s="340"/>
      <c r="AZ103" s="340"/>
      <c r="BA103" s="340"/>
      <c r="BB103" s="340"/>
      <c r="BC103" s="340"/>
      <c r="BD103" s="340"/>
    </row>
    <row r="104" spans="3:56">
      <c r="C104" s="340"/>
      <c r="D104" s="340"/>
      <c r="E104" s="340"/>
      <c r="F104" s="340"/>
      <c r="G104" s="340"/>
      <c r="H104" s="340"/>
      <c r="I104" s="340"/>
      <c r="J104" s="340"/>
      <c r="K104" s="340"/>
      <c r="L104" s="340"/>
      <c r="M104" s="340"/>
      <c r="N104" s="340"/>
      <c r="O104" s="340"/>
      <c r="P104" s="340"/>
      <c r="Q104" s="340"/>
      <c r="R104" s="340"/>
      <c r="S104" s="340"/>
      <c r="T104" s="340"/>
      <c r="U104" s="340"/>
      <c r="V104" s="340"/>
      <c r="W104" s="340"/>
      <c r="X104" s="340"/>
      <c r="Y104" s="340"/>
      <c r="Z104" s="340"/>
      <c r="AA104" s="340"/>
      <c r="AB104" s="340"/>
      <c r="AC104" s="340"/>
      <c r="AD104" s="340"/>
      <c r="AE104" s="340"/>
      <c r="AF104" s="340"/>
      <c r="AG104" s="340"/>
      <c r="AH104" s="340"/>
      <c r="AI104" s="340"/>
      <c r="AJ104" s="340"/>
      <c r="AK104" s="340"/>
      <c r="AL104" s="340"/>
      <c r="AM104" s="340"/>
      <c r="AN104" s="340"/>
      <c r="AO104" s="340"/>
      <c r="AP104" s="340"/>
      <c r="AQ104" s="340"/>
      <c r="AR104" s="340"/>
      <c r="AS104" s="340"/>
      <c r="AT104" s="340"/>
      <c r="AU104" s="340"/>
      <c r="AV104" s="340"/>
      <c r="AW104" s="340"/>
      <c r="AX104" s="340"/>
      <c r="AY104" s="340"/>
      <c r="AZ104" s="340"/>
      <c r="BA104" s="340"/>
      <c r="BB104" s="340"/>
      <c r="BC104" s="340"/>
      <c r="BD104" s="340"/>
    </row>
    <row r="105" spans="3:56">
      <c r="C105" s="340"/>
      <c r="D105" s="340"/>
      <c r="E105" s="340"/>
      <c r="F105" s="340"/>
      <c r="G105" s="340"/>
      <c r="H105" s="340"/>
      <c r="I105" s="340"/>
      <c r="J105" s="340"/>
      <c r="K105" s="340"/>
      <c r="L105" s="340"/>
      <c r="M105" s="340"/>
      <c r="N105" s="340"/>
      <c r="O105" s="340"/>
      <c r="P105" s="340"/>
      <c r="Q105" s="340"/>
      <c r="R105" s="340"/>
      <c r="S105" s="340"/>
      <c r="T105" s="340"/>
      <c r="U105" s="340"/>
      <c r="V105" s="340"/>
      <c r="W105" s="340"/>
      <c r="X105" s="340"/>
      <c r="Y105" s="340"/>
      <c r="Z105" s="340"/>
      <c r="AA105" s="340"/>
      <c r="AB105" s="340"/>
      <c r="AC105" s="340"/>
      <c r="AD105" s="340"/>
      <c r="AE105" s="340"/>
      <c r="AF105" s="340"/>
      <c r="AG105" s="340"/>
      <c r="AH105" s="340"/>
      <c r="AI105" s="340"/>
      <c r="AJ105" s="340"/>
      <c r="AK105" s="340"/>
      <c r="AL105" s="340"/>
      <c r="AM105" s="340"/>
      <c r="AN105" s="340"/>
      <c r="AO105" s="340"/>
      <c r="AP105" s="340"/>
      <c r="AQ105" s="340"/>
      <c r="AR105" s="340"/>
      <c r="AS105" s="340"/>
      <c r="AT105" s="340"/>
      <c r="AU105" s="340"/>
      <c r="AV105" s="340"/>
      <c r="AW105" s="340"/>
      <c r="AX105" s="340"/>
      <c r="AY105" s="340"/>
      <c r="AZ105" s="340"/>
      <c r="BA105" s="340"/>
      <c r="BB105" s="340"/>
      <c r="BC105" s="340"/>
      <c r="BD105" s="340"/>
    </row>
    <row r="106" spans="3:56">
      <c r="C106" s="340"/>
      <c r="D106" s="340"/>
      <c r="E106" s="340"/>
      <c r="F106" s="340"/>
      <c r="G106" s="340"/>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c r="AG106" s="340"/>
      <c r="AH106" s="340"/>
      <c r="AI106" s="340"/>
      <c r="AJ106" s="340"/>
      <c r="AK106" s="340"/>
      <c r="AL106" s="340"/>
      <c r="AM106" s="340"/>
      <c r="AN106" s="340"/>
      <c r="AO106" s="340"/>
      <c r="AP106" s="340"/>
      <c r="AQ106" s="340"/>
      <c r="AR106" s="340"/>
      <c r="AS106" s="340"/>
      <c r="AT106" s="340"/>
      <c r="AU106" s="340"/>
      <c r="AV106" s="340"/>
      <c r="AW106" s="340"/>
      <c r="AX106" s="340"/>
      <c r="AY106" s="340"/>
      <c r="AZ106" s="340"/>
      <c r="BA106" s="340"/>
      <c r="BB106" s="340"/>
      <c r="BC106" s="340"/>
      <c r="BD106" s="340"/>
    </row>
    <row r="107" spans="3:56">
      <c r="C107" s="340"/>
      <c r="D107" s="340"/>
      <c r="E107" s="340"/>
      <c r="F107" s="340"/>
      <c r="G107" s="340"/>
      <c r="H107" s="340"/>
      <c r="I107" s="340"/>
      <c r="J107" s="340"/>
      <c r="K107" s="340"/>
      <c r="L107" s="340"/>
      <c r="M107" s="340"/>
      <c r="N107" s="340"/>
      <c r="O107" s="340"/>
      <c r="P107" s="340"/>
      <c r="Q107" s="340"/>
      <c r="R107" s="340"/>
      <c r="S107" s="340"/>
      <c r="T107" s="340"/>
      <c r="U107" s="340"/>
      <c r="V107" s="340"/>
      <c r="W107" s="340"/>
      <c r="X107" s="340"/>
      <c r="Y107" s="340"/>
      <c r="Z107" s="340"/>
      <c r="AA107" s="340"/>
      <c r="AB107" s="340"/>
      <c r="AC107" s="340"/>
      <c r="AD107" s="340"/>
      <c r="AE107" s="340"/>
      <c r="AF107" s="340"/>
      <c r="AG107" s="340"/>
      <c r="AH107" s="340"/>
      <c r="AI107" s="340"/>
      <c r="AJ107" s="340"/>
      <c r="AK107" s="340"/>
      <c r="AL107" s="340"/>
      <c r="AM107" s="340"/>
      <c r="AN107" s="340"/>
      <c r="AO107" s="340"/>
      <c r="AP107" s="340"/>
      <c r="AQ107" s="340"/>
      <c r="AR107" s="340"/>
      <c r="AS107" s="340"/>
      <c r="AT107" s="340"/>
      <c r="AU107" s="340"/>
      <c r="AV107" s="340"/>
      <c r="AW107" s="340"/>
      <c r="AX107" s="340"/>
      <c r="AY107" s="340"/>
      <c r="AZ107" s="340"/>
      <c r="BA107" s="340"/>
      <c r="BB107" s="340"/>
      <c r="BC107" s="340"/>
      <c r="BD107" s="340"/>
    </row>
    <row r="108" spans="3:56">
      <c r="C108" s="340"/>
      <c r="D108" s="340"/>
      <c r="E108" s="340"/>
      <c r="F108" s="340"/>
      <c r="G108" s="340"/>
      <c r="H108" s="340"/>
      <c r="I108" s="340"/>
      <c r="J108" s="340"/>
      <c r="K108" s="340"/>
      <c r="L108" s="340"/>
      <c r="M108" s="340"/>
      <c r="N108" s="340"/>
      <c r="O108" s="340"/>
      <c r="P108" s="340"/>
      <c r="Q108" s="340"/>
      <c r="R108" s="340"/>
      <c r="S108" s="340"/>
      <c r="T108" s="340"/>
      <c r="U108" s="340"/>
      <c r="V108" s="340"/>
      <c r="W108" s="340"/>
      <c r="X108" s="340"/>
      <c r="Y108" s="340"/>
      <c r="Z108" s="340"/>
      <c r="AA108" s="340"/>
      <c r="AB108" s="340"/>
      <c r="AC108" s="340"/>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0"/>
      <c r="AY108" s="340"/>
      <c r="AZ108" s="340"/>
      <c r="BA108" s="340"/>
      <c r="BB108" s="340"/>
      <c r="BC108" s="340"/>
      <c r="BD108" s="340"/>
    </row>
    <row r="109" spans="3:56">
      <c r="C109" s="340"/>
      <c r="D109" s="340"/>
      <c r="E109" s="340"/>
      <c r="F109" s="340"/>
      <c r="G109" s="340"/>
      <c r="H109" s="340"/>
      <c r="I109" s="340"/>
      <c r="J109" s="340"/>
      <c r="K109" s="340"/>
      <c r="L109" s="340"/>
      <c r="M109" s="340"/>
      <c r="N109" s="340"/>
      <c r="O109" s="340"/>
      <c r="P109" s="340"/>
      <c r="Q109" s="340"/>
      <c r="R109" s="340"/>
      <c r="S109" s="340"/>
      <c r="T109" s="340"/>
      <c r="U109" s="340"/>
      <c r="V109" s="340"/>
      <c r="W109" s="340"/>
      <c r="X109" s="340"/>
      <c r="Y109" s="340"/>
      <c r="Z109" s="340"/>
      <c r="AA109" s="340"/>
      <c r="AB109" s="340"/>
      <c r="AC109" s="340"/>
      <c r="AD109" s="340"/>
      <c r="AE109" s="340"/>
      <c r="AF109" s="340"/>
      <c r="AG109" s="340"/>
      <c r="AH109" s="340"/>
      <c r="AI109" s="340"/>
      <c r="AJ109" s="340"/>
      <c r="AK109" s="340"/>
      <c r="AL109" s="340"/>
      <c r="AM109" s="340"/>
      <c r="AN109" s="340"/>
      <c r="AO109" s="340"/>
      <c r="AP109" s="340"/>
      <c r="AQ109" s="340"/>
      <c r="AR109" s="340"/>
      <c r="AS109" s="340"/>
      <c r="AT109" s="340"/>
      <c r="AU109" s="340"/>
      <c r="AV109" s="340"/>
      <c r="AW109" s="340"/>
      <c r="AX109" s="340"/>
      <c r="AY109" s="340"/>
      <c r="AZ109" s="340"/>
      <c r="BA109" s="340"/>
      <c r="BB109" s="340"/>
      <c r="BC109" s="340"/>
      <c r="BD109" s="340"/>
    </row>
    <row r="110" spans="3:56">
      <c r="C110" s="340"/>
      <c r="D110" s="340"/>
      <c r="E110" s="340"/>
      <c r="F110" s="340"/>
      <c r="G110" s="340"/>
      <c r="H110" s="340"/>
      <c r="I110" s="340"/>
      <c r="J110" s="340"/>
      <c r="K110" s="340"/>
      <c r="L110" s="340"/>
      <c r="M110" s="340"/>
      <c r="N110" s="340"/>
      <c r="O110" s="340"/>
      <c r="P110" s="340"/>
      <c r="Q110" s="340"/>
      <c r="R110" s="340"/>
      <c r="S110" s="340"/>
      <c r="T110" s="340"/>
      <c r="U110" s="340"/>
      <c r="V110" s="340"/>
      <c r="W110" s="340"/>
      <c r="X110" s="340"/>
      <c r="Y110" s="340"/>
      <c r="Z110" s="340"/>
      <c r="AA110" s="340"/>
      <c r="AB110" s="340"/>
      <c r="AC110" s="340"/>
      <c r="AD110" s="340"/>
      <c r="AE110" s="340"/>
      <c r="AF110" s="340"/>
      <c r="AG110" s="340"/>
      <c r="AH110" s="340"/>
      <c r="AI110" s="340"/>
      <c r="AJ110" s="340"/>
      <c r="AK110" s="340"/>
      <c r="AL110" s="340"/>
      <c r="AM110" s="340"/>
      <c r="AN110" s="340"/>
      <c r="AO110" s="340"/>
      <c r="AP110" s="340"/>
      <c r="AQ110" s="340"/>
      <c r="AR110" s="340"/>
      <c r="AS110" s="340"/>
      <c r="AT110" s="340"/>
      <c r="AU110" s="340"/>
      <c r="AV110" s="340"/>
      <c r="AW110" s="340"/>
      <c r="AX110" s="340"/>
      <c r="AY110" s="340"/>
      <c r="AZ110" s="340"/>
      <c r="BA110" s="340"/>
      <c r="BB110" s="340"/>
      <c r="BC110" s="340"/>
      <c r="BD110" s="340"/>
    </row>
    <row r="111" spans="3:56">
      <c r="C111" s="340"/>
      <c r="D111" s="340"/>
      <c r="E111" s="340"/>
      <c r="F111" s="340"/>
      <c r="G111" s="340"/>
      <c r="H111" s="340"/>
      <c r="I111" s="340"/>
      <c r="J111" s="340"/>
      <c r="K111" s="340"/>
      <c r="L111" s="340"/>
      <c r="M111" s="340"/>
      <c r="N111" s="340"/>
      <c r="O111" s="340"/>
      <c r="P111" s="340"/>
      <c r="Q111" s="340"/>
      <c r="R111" s="340"/>
      <c r="S111" s="340"/>
      <c r="T111" s="340"/>
      <c r="U111" s="340"/>
      <c r="V111" s="340"/>
      <c r="W111" s="340"/>
      <c r="X111" s="340"/>
      <c r="Y111" s="340"/>
      <c r="Z111" s="340"/>
      <c r="AA111" s="340"/>
      <c r="AB111" s="340"/>
      <c r="AC111" s="340"/>
      <c r="AD111" s="340"/>
      <c r="AE111" s="340"/>
      <c r="AF111" s="340"/>
      <c r="AG111" s="340"/>
      <c r="AH111" s="340"/>
      <c r="AI111" s="340"/>
      <c r="AJ111" s="340"/>
      <c r="AK111" s="340"/>
      <c r="AL111" s="340"/>
      <c r="AM111" s="340"/>
      <c r="AN111" s="340"/>
      <c r="AO111" s="340"/>
      <c r="AP111" s="340"/>
      <c r="AQ111" s="340"/>
      <c r="AR111" s="340"/>
      <c r="AS111" s="340"/>
      <c r="AT111" s="340"/>
      <c r="AU111" s="340"/>
      <c r="AV111" s="340"/>
      <c r="AW111" s="340"/>
      <c r="AX111" s="340"/>
      <c r="AY111" s="340"/>
      <c r="AZ111" s="340"/>
      <c r="BA111" s="340"/>
      <c r="BB111" s="340"/>
      <c r="BC111" s="340"/>
      <c r="BD111" s="340"/>
    </row>
    <row r="112" spans="3:56">
      <c r="C112" s="340"/>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0"/>
      <c r="AY112" s="340"/>
      <c r="AZ112" s="340"/>
      <c r="BA112" s="340"/>
      <c r="BB112" s="340"/>
      <c r="BC112" s="340"/>
      <c r="BD112" s="340"/>
    </row>
    <row r="113" spans="3:56">
      <c r="C113" s="340"/>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0"/>
      <c r="AY113" s="340"/>
      <c r="AZ113" s="340"/>
      <c r="BA113" s="340"/>
      <c r="BB113" s="340"/>
      <c r="BC113" s="340"/>
      <c r="BD113" s="340"/>
    </row>
    <row r="114" spans="3:56">
      <c r="C114" s="340"/>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40"/>
      <c r="AE114" s="340"/>
      <c r="AF114" s="340"/>
      <c r="AG114" s="340"/>
      <c r="AH114" s="340"/>
      <c r="AI114" s="340"/>
      <c r="AJ114" s="340"/>
      <c r="AK114" s="340"/>
      <c r="AL114" s="340"/>
      <c r="AM114" s="340"/>
      <c r="AN114" s="340"/>
      <c r="AO114" s="340"/>
      <c r="AP114" s="340"/>
      <c r="AQ114" s="340"/>
      <c r="AR114" s="340"/>
      <c r="AS114" s="340"/>
      <c r="AT114" s="340"/>
      <c r="AU114" s="340"/>
      <c r="AV114" s="340"/>
      <c r="AW114" s="340"/>
      <c r="AX114" s="340"/>
      <c r="AY114" s="340"/>
      <c r="AZ114" s="340"/>
      <c r="BA114" s="340"/>
      <c r="BB114" s="340"/>
      <c r="BC114" s="340"/>
      <c r="BD114" s="340"/>
    </row>
    <row r="115" spans="3:56">
      <c r="C115" s="340"/>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340"/>
      <c r="AN115" s="340"/>
      <c r="AO115" s="340"/>
      <c r="AP115" s="340"/>
      <c r="AQ115" s="340"/>
      <c r="AR115" s="340"/>
      <c r="AS115" s="340"/>
      <c r="AT115" s="340"/>
      <c r="AU115" s="340"/>
      <c r="AV115" s="340"/>
      <c r="AW115" s="340"/>
      <c r="AX115" s="340"/>
      <c r="AY115" s="340"/>
      <c r="AZ115" s="340"/>
      <c r="BA115" s="340"/>
      <c r="BB115" s="340"/>
      <c r="BC115" s="340"/>
      <c r="BD115" s="340"/>
    </row>
    <row r="116" spans="3:56">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0"/>
      <c r="AD116" s="340"/>
      <c r="AE116" s="340"/>
      <c r="AF116" s="340"/>
      <c r="AG116" s="340"/>
      <c r="AH116" s="340"/>
      <c r="AI116" s="340"/>
      <c r="AJ116" s="340"/>
      <c r="AK116" s="340"/>
      <c r="AL116" s="340"/>
      <c r="AM116" s="340"/>
      <c r="AN116" s="340"/>
      <c r="AO116" s="340"/>
      <c r="AP116" s="340"/>
      <c r="AQ116" s="340"/>
      <c r="AR116" s="340"/>
      <c r="AS116" s="340"/>
      <c r="AT116" s="340"/>
      <c r="AU116" s="340"/>
      <c r="AV116" s="340"/>
      <c r="AW116" s="340"/>
      <c r="AX116" s="340"/>
      <c r="AY116" s="340"/>
      <c r="AZ116" s="340"/>
      <c r="BA116" s="340"/>
      <c r="BB116" s="340"/>
      <c r="BC116" s="340"/>
      <c r="BD116" s="340"/>
    </row>
    <row r="117" spans="3:56">
      <c r="C117" s="340"/>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0"/>
      <c r="AD117" s="340"/>
      <c r="AE117" s="340"/>
      <c r="AF117" s="340"/>
      <c r="AG117" s="340"/>
      <c r="AH117" s="340"/>
      <c r="AI117" s="340"/>
      <c r="AJ117" s="340"/>
      <c r="AK117" s="340"/>
      <c r="AL117" s="340"/>
      <c r="AM117" s="340"/>
      <c r="AN117" s="340"/>
      <c r="AO117" s="340"/>
      <c r="AP117" s="340"/>
      <c r="AQ117" s="340"/>
      <c r="AR117" s="340"/>
      <c r="AS117" s="340"/>
      <c r="AT117" s="340"/>
      <c r="AU117" s="340"/>
      <c r="AV117" s="340"/>
      <c r="AW117" s="340"/>
      <c r="AX117" s="340"/>
      <c r="AY117" s="340"/>
      <c r="AZ117" s="340"/>
      <c r="BA117" s="340"/>
      <c r="BB117" s="340"/>
      <c r="BC117" s="340"/>
      <c r="BD117" s="340"/>
    </row>
    <row r="118" spans="3:56">
      <c r="C118" s="340"/>
      <c r="D118" s="340"/>
      <c r="E118" s="340"/>
      <c r="F118" s="340"/>
      <c r="G118" s="340"/>
      <c r="H118" s="340"/>
      <c r="I118" s="340"/>
      <c r="J118" s="340"/>
      <c r="K118" s="340"/>
      <c r="L118" s="340"/>
      <c r="M118" s="340"/>
      <c r="N118" s="340"/>
      <c r="O118" s="340"/>
      <c r="P118" s="340"/>
      <c r="Q118" s="340"/>
      <c r="R118" s="340"/>
      <c r="S118" s="340"/>
      <c r="T118" s="340"/>
      <c r="U118" s="340"/>
      <c r="V118" s="340"/>
      <c r="W118" s="340"/>
      <c r="X118" s="340"/>
      <c r="Y118" s="340"/>
      <c r="Z118" s="340"/>
      <c r="AA118" s="340"/>
      <c r="AB118" s="340"/>
      <c r="AC118" s="340"/>
      <c r="AD118" s="340"/>
      <c r="AE118" s="340"/>
      <c r="AF118" s="340"/>
      <c r="AG118" s="340"/>
      <c r="AH118" s="340"/>
      <c r="AI118" s="340"/>
      <c r="AJ118" s="340"/>
      <c r="AK118" s="340"/>
      <c r="AL118" s="340"/>
      <c r="AM118" s="340"/>
      <c r="AN118" s="340"/>
      <c r="AO118" s="340"/>
      <c r="AP118" s="340"/>
      <c r="AQ118" s="340"/>
      <c r="AR118" s="340"/>
      <c r="AS118" s="340"/>
      <c r="AT118" s="340"/>
      <c r="AU118" s="340"/>
      <c r="AV118" s="340"/>
      <c r="AW118" s="340"/>
      <c r="AX118" s="340"/>
      <c r="AY118" s="340"/>
      <c r="AZ118" s="340"/>
      <c r="BA118" s="340"/>
      <c r="BB118" s="340"/>
      <c r="BC118" s="340"/>
      <c r="BD118" s="340"/>
    </row>
    <row r="119" spans="3:56">
      <c r="C119" s="340"/>
      <c r="D119" s="340"/>
      <c r="E119" s="340"/>
      <c r="F119" s="340"/>
      <c r="G119" s="340"/>
      <c r="H119" s="340"/>
      <c r="I119" s="340"/>
      <c r="J119" s="340"/>
      <c r="K119" s="340"/>
      <c r="L119" s="340"/>
      <c r="M119" s="340"/>
      <c r="N119" s="340"/>
      <c r="O119" s="340"/>
      <c r="P119" s="340"/>
      <c r="Q119" s="340"/>
      <c r="R119" s="340"/>
      <c r="S119" s="340"/>
      <c r="T119" s="340"/>
      <c r="U119" s="340"/>
      <c r="V119" s="340"/>
      <c r="W119" s="340"/>
      <c r="X119" s="340"/>
      <c r="Y119" s="340"/>
      <c r="Z119" s="340"/>
      <c r="AA119" s="340"/>
      <c r="AB119" s="340"/>
      <c r="AC119" s="340"/>
      <c r="AD119" s="340"/>
      <c r="AE119" s="340"/>
      <c r="AF119" s="340"/>
      <c r="AG119" s="340"/>
      <c r="AH119" s="340"/>
      <c r="AI119" s="340"/>
      <c r="AJ119" s="340"/>
      <c r="AK119" s="340"/>
      <c r="AL119" s="340"/>
      <c r="AM119" s="340"/>
      <c r="AN119" s="340"/>
      <c r="AO119" s="340"/>
      <c r="AP119" s="340"/>
      <c r="AQ119" s="340"/>
      <c r="AR119" s="340"/>
      <c r="AS119" s="340"/>
      <c r="AT119" s="340"/>
      <c r="AU119" s="340"/>
      <c r="AV119" s="340"/>
      <c r="AW119" s="340"/>
      <c r="AX119" s="340"/>
      <c r="AY119" s="340"/>
      <c r="AZ119" s="340"/>
      <c r="BA119" s="340"/>
      <c r="BB119" s="340"/>
      <c r="BC119" s="340"/>
      <c r="BD119" s="340"/>
    </row>
    <row r="120" spans="3:56">
      <c r="C120" s="340"/>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40"/>
      <c r="AE120" s="340"/>
      <c r="AF120" s="340"/>
      <c r="AG120" s="340"/>
      <c r="AH120" s="340"/>
      <c r="AI120" s="340"/>
      <c r="AJ120" s="340"/>
      <c r="AK120" s="340"/>
      <c r="AL120" s="340"/>
      <c r="AM120" s="340"/>
      <c r="AN120" s="340"/>
      <c r="AO120" s="340"/>
      <c r="AP120" s="340"/>
      <c r="AQ120" s="340"/>
      <c r="AR120" s="340"/>
      <c r="AS120" s="340"/>
      <c r="AT120" s="340"/>
      <c r="AU120" s="340"/>
      <c r="AV120" s="340"/>
      <c r="AW120" s="340"/>
      <c r="AX120" s="340"/>
      <c r="AY120" s="340"/>
      <c r="AZ120" s="340"/>
      <c r="BA120" s="340"/>
      <c r="BB120" s="340"/>
      <c r="BC120" s="340"/>
      <c r="BD120" s="340"/>
    </row>
    <row r="121" spans="3:56">
      <c r="C121" s="340"/>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340"/>
      <c r="AY121" s="340"/>
      <c r="AZ121" s="340"/>
      <c r="BA121" s="340"/>
      <c r="BB121" s="340"/>
      <c r="BC121" s="340"/>
      <c r="BD121" s="340"/>
    </row>
    <row r="122" spans="3:56">
      <c r="C122" s="340"/>
      <c r="D122" s="340"/>
      <c r="E122" s="340"/>
      <c r="F122" s="340"/>
      <c r="G122" s="340"/>
      <c r="H122" s="340"/>
      <c r="I122" s="340"/>
      <c r="J122" s="340"/>
      <c r="K122" s="340"/>
      <c r="L122" s="340"/>
      <c r="M122" s="340"/>
      <c r="N122" s="340"/>
      <c r="O122" s="340"/>
      <c r="P122" s="340"/>
      <c r="Q122" s="340"/>
      <c r="R122" s="340"/>
      <c r="S122" s="340"/>
      <c r="T122" s="340"/>
      <c r="U122" s="340"/>
      <c r="V122" s="340"/>
      <c r="W122" s="340"/>
      <c r="X122" s="340"/>
      <c r="Y122" s="340"/>
      <c r="Z122" s="340"/>
      <c r="AA122" s="340"/>
      <c r="AB122" s="340"/>
      <c r="AC122" s="340"/>
      <c r="AD122" s="340"/>
      <c r="AE122" s="340"/>
      <c r="AF122" s="340"/>
      <c r="AG122" s="340"/>
      <c r="AH122" s="340"/>
      <c r="AI122" s="340"/>
      <c r="AJ122" s="340"/>
      <c r="AK122" s="340"/>
      <c r="AL122" s="340"/>
      <c r="AM122" s="340"/>
      <c r="AN122" s="340"/>
      <c r="AO122" s="340"/>
      <c r="AP122" s="340"/>
      <c r="AQ122" s="340"/>
      <c r="AR122" s="340"/>
      <c r="AS122" s="340"/>
      <c r="AT122" s="340"/>
      <c r="AU122" s="340"/>
      <c r="AV122" s="340"/>
      <c r="AW122" s="340"/>
      <c r="AX122" s="340"/>
      <c r="AY122" s="340"/>
      <c r="AZ122" s="340"/>
      <c r="BA122" s="340"/>
      <c r="BB122" s="340"/>
      <c r="BC122" s="340"/>
      <c r="BD122" s="340"/>
    </row>
    <row r="123" spans="3:56">
      <c r="C123" s="340"/>
      <c r="D123" s="340"/>
      <c r="E123" s="340"/>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c r="AG123" s="340"/>
      <c r="AH123" s="340"/>
      <c r="AI123" s="340"/>
      <c r="AJ123" s="340"/>
      <c r="AK123" s="340"/>
      <c r="AL123" s="340"/>
      <c r="AM123" s="340"/>
      <c r="AN123" s="340"/>
      <c r="AO123" s="340"/>
      <c r="AP123" s="340"/>
      <c r="AQ123" s="340"/>
      <c r="AR123" s="340"/>
      <c r="AS123" s="340"/>
      <c r="AT123" s="340"/>
      <c r="AU123" s="340"/>
      <c r="AV123" s="340"/>
      <c r="AW123" s="340"/>
      <c r="AX123" s="340"/>
      <c r="AY123" s="340"/>
      <c r="AZ123" s="340"/>
      <c r="BA123" s="340"/>
      <c r="BB123" s="340"/>
      <c r="BC123" s="340"/>
      <c r="BD123" s="340"/>
    </row>
    <row r="124" spans="3:56">
      <c r="C124" s="340"/>
      <c r="D124" s="340"/>
      <c r="E124" s="340"/>
      <c r="F124" s="340"/>
      <c r="G124" s="340"/>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c r="AG124" s="340"/>
      <c r="AH124" s="340"/>
      <c r="AI124" s="340"/>
      <c r="AJ124" s="340"/>
      <c r="AK124" s="340"/>
      <c r="AL124" s="340"/>
      <c r="AM124" s="340"/>
      <c r="AN124" s="340"/>
      <c r="AO124" s="340"/>
      <c r="AP124" s="340"/>
      <c r="AQ124" s="340"/>
      <c r="AR124" s="340"/>
      <c r="AS124" s="340"/>
      <c r="AT124" s="340"/>
      <c r="AU124" s="340"/>
      <c r="AV124" s="340"/>
      <c r="AW124" s="340"/>
      <c r="AX124" s="340"/>
      <c r="AY124" s="340"/>
      <c r="AZ124" s="340"/>
      <c r="BA124" s="340"/>
      <c r="BB124" s="340"/>
      <c r="BC124" s="340"/>
      <c r="BD124" s="340"/>
    </row>
    <row r="125" spans="3:56">
      <c r="C125" s="340"/>
      <c r="D125" s="340"/>
      <c r="E125" s="340"/>
      <c r="F125" s="340"/>
      <c r="G125" s="340"/>
      <c r="H125" s="340"/>
      <c r="I125" s="340"/>
      <c r="J125" s="340"/>
      <c r="K125" s="340"/>
      <c r="L125" s="340"/>
      <c r="M125" s="340"/>
      <c r="N125" s="340"/>
      <c r="O125" s="340"/>
      <c r="P125" s="340"/>
      <c r="Q125" s="340"/>
      <c r="R125" s="340"/>
      <c r="S125" s="340"/>
      <c r="T125" s="340"/>
      <c r="U125" s="340"/>
      <c r="V125" s="340"/>
      <c r="W125" s="340"/>
      <c r="X125" s="340"/>
      <c r="Y125" s="340"/>
      <c r="Z125" s="340"/>
      <c r="AA125" s="340"/>
      <c r="AB125" s="340"/>
      <c r="AC125" s="340"/>
      <c r="AD125" s="340"/>
      <c r="AE125" s="340"/>
      <c r="AF125" s="340"/>
      <c r="AG125" s="340"/>
      <c r="AH125" s="340"/>
      <c r="AI125" s="340"/>
      <c r="AJ125" s="340"/>
      <c r="AK125" s="340"/>
      <c r="AL125" s="340"/>
      <c r="AM125" s="340"/>
      <c r="AN125" s="340"/>
      <c r="AO125" s="340"/>
      <c r="AP125" s="340"/>
      <c r="AQ125" s="340"/>
      <c r="AR125" s="340"/>
      <c r="AS125" s="340"/>
      <c r="AT125" s="340"/>
      <c r="AU125" s="340"/>
      <c r="AV125" s="340"/>
      <c r="AW125" s="340"/>
      <c r="AX125" s="340"/>
      <c r="AY125" s="340"/>
      <c r="AZ125" s="340"/>
      <c r="BA125" s="340"/>
      <c r="BB125" s="340"/>
      <c r="BC125" s="340"/>
      <c r="BD125" s="340"/>
    </row>
    <row r="126" spans="3:56">
      <c r="C126" s="340"/>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40"/>
      <c r="AF126" s="340"/>
      <c r="AG126" s="340"/>
      <c r="AH126" s="340"/>
      <c r="AI126" s="340"/>
      <c r="AJ126" s="340"/>
      <c r="AK126" s="340"/>
      <c r="AL126" s="340"/>
      <c r="AM126" s="340"/>
      <c r="AN126" s="340"/>
      <c r="AO126" s="340"/>
      <c r="AP126" s="340"/>
      <c r="AQ126" s="340"/>
      <c r="AR126" s="340"/>
      <c r="AS126" s="340"/>
      <c r="AT126" s="340"/>
      <c r="AU126" s="340"/>
      <c r="AV126" s="340"/>
      <c r="AW126" s="340"/>
      <c r="AX126" s="340"/>
      <c r="AY126" s="340"/>
      <c r="AZ126" s="340"/>
      <c r="BA126" s="340"/>
      <c r="BB126" s="340"/>
      <c r="BC126" s="340"/>
      <c r="BD126" s="340"/>
    </row>
    <row r="127" spans="3:56">
      <c r="C127" s="340"/>
      <c r="D127" s="340"/>
      <c r="E127" s="340"/>
      <c r="F127" s="340"/>
      <c r="G127" s="340"/>
      <c r="H127" s="340"/>
      <c r="I127" s="340"/>
      <c r="J127" s="340"/>
      <c r="K127" s="340"/>
      <c r="L127" s="340"/>
      <c r="M127" s="340"/>
      <c r="N127" s="340"/>
      <c r="O127" s="340"/>
      <c r="P127" s="340"/>
      <c r="Q127" s="340"/>
      <c r="R127" s="340"/>
      <c r="S127" s="340"/>
      <c r="T127" s="340"/>
      <c r="U127" s="340"/>
      <c r="V127" s="340"/>
      <c r="W127" s="340"/>
      <c r="X127" s="340"/>
      <c r="Y127" s="340"/>
      <c r="Z127" s="340"/>
      <c r="AA127" s="340"/>
      <c r="AB127" s="340"/>
      <c r="AC127" s="340"/>
      <c r="AD127" s="340"/>
      <c r="AE127" s="340"/>
      <c r="AF127" s="340"/>
      <c r="AG127" s="340"/>
      <c r="AH127" s="340"/>
      <c r="AI127" s="340"/>
      <c r="AJ127" s="340"/>
      <c r="AK127" s="340"/>
      <c r="AL127" s="340"/>
      <c r="AM127" s="340"/>
      <c r="AN127" s="340"/>
      <c r="AO127" s="340"/>
      <c r="AP127" s="340"/>
      <c r="AQ127" s="340"/>
      <c r="AR127" s="340"/>
      <c r="AS127" s="340"/>
      <c r="AT127" s="340"/>
      <c r="AU127" s="340"/>
      <c r="AV127" s="340"/>
      <c r="AW127" s="340"/>
      <c r="AX127" s="340"/>
      <c r="AY127" s="340"/>
      <c r="AZ127" s="340"/>
      <c r="BA127" s="340"/>
      <c r="BB127" s="340"/>
      <c r="BC127" s="340"/>
      <c r="BD127" s="340"/>
    </row>
    <row r="128" spans="3:56">
      <c r="C128" s="340"/>
      <c r="D128" s="340"/>
      <c r="E128" s="340"/>
      <c r="F128" s="340"/>
      <c r="G128" s="340"/>
      <c r="H128" s="340"/>
      <c r="I128" s="340"/>
      <c r="J128" s="340"/>
      <c r="K128" s="340"/>
      <c r="L128" s="340"/>
      <c r="M128" s="340"/>
      <c r="N128" s="340"/>
      <c r="O128" s="340"/>
      <c r="P128" s="340"/>
      <c r="Q128" s="340"/>
      <c r="R128" s="340"/>
      <c r="S128" s="340"/>
      <c r="T128" s="340"/>
      <c r="U128" s="340"/>
      <c r="V128" s="340"/>
      <c r="W128" s="340"/>
      <c r="X128" s="340"/>
      <c r="Y128" s="340"/>
      <c r="Z128" s="340"/>
      <c r="AA128" s="340"/>
      <c r="AB128" s="340"/>
      <c r="AC128" s="340"/>
      <c r="AD128" s="340"/>
      <c r="AE128" s="340"/>
      <c r="AF128" s="340"/>
      <c r="AG128" s="340"/>
      <c r="AH128" s="340"/>
      <c r="AI128" s="340"/>
      <c r="AJ128" s="340"/>
      <c r="AK128" s="340"/>
      <c r="AL128" s="340"/>
      <c r="AM128" s="340"/>
      <c r="AN128" s="340"/>
      <c r="AO128" s="340"/>
      <c r="AP128" s="340"/>
      <c r="AQ128" s="340"/>
      <c r="AR128" s="340"/>
      <c r="AS128" s="340"/>
      <c r="AT128" s="340"/>
      <c r="AU128" s="340"/>
      <c r="AV128" s="340"/>
      <c r="AW128" s="340"/>
      <c r="AX128" s="340"/>
      <c r="AY128" s="340"/>
      <c r="AZ128" s="340"/>
      <c r="BA128" s="340"/>
      <c r="BB128" s="340"/>
      <c r="BC128" s="340"/>
      <c r="BD128" s="340"/>
    </row>
    <row r="129" spans="3:56">
      <c r="C129" s="340"/>
      <c r="D129" s="340"/>
      <c r="E129" s="340"/>
      <c r="F129" s="340"/>
      <c r="G129" s="340"/>
      <c r="H129" s="340"/>
      <c r="I129" s="340"/>
      <c r="J129" s="340"/>
      <c r="K129" s="340"/>
      <c r="L129" s="340"/>
      <c r="M129" s="340"/>
      <c r="N129" s="340"/>
      <c r="O129" s="340"/>
      <c r="P129" s="340"/>
      <c r="Q129" s="340"/>
      <c r="R129" s="340"/>
      <c r="S129" s="340"/>
      <c r="T129" s="340"/>
      <c r="U129" s="340"/>
      <c r="V129" s="340"/>
      <c r="W129" s="340"/>
      <c r="X129" s="340"/>
      <c r="Y129" s="340"/>
      <c r="Z129" s="340"/>
      <c r="AA129" s="340"/>
      <c r="AB129" s="340"/>
      <c r="AC129" s="340"/>
      <c r="AD129" s="340"/>
      <c r="AE129" s="340"/>
      <c r="AF129" s="340"/>
      <c r="AG129" s="340"/>
      <c r="AH129" s="340"/>
      <c r="AI129" s="340"/>
      <c r="AJ129" s="340"/>
      <c r="AK129" s="340"/>
      <c r="AL129" s="340"/>
      <c r="AM129" s="340"/>
      <c r="AN129" s="340"/>
      <c r="AO129" s="340"/>
      <c r="AP129" s="340"/>
      <c r="AQ129" s="340"/>
      <c r="AR129" s="340"/>
      <c r="AS129" s="340"/>
      <c r="AT129" s="340"/>
      <c r="AU129" s="340"/>
      <c r="AV129" s="340"/>
      <c r="AW129" s="340"/>
      <c r="AX129" s="340"/>
      <c r="AY129" s="340"/>
      <c r="AZ129" s="340"/>
      <c r="BA129" s="340"/>
      <c r="BB129" s="340"/>
      <c r="BC129" s="340"/>
      <c r="BD129" s="340"/>
    </row>
    <row r="130" spans="3:56">
      <c r="C130" s="340"/>
      <c r="D130" s="340"/>
      <c r="E130" s="340"/>
      <c r="F130" s="340"/>
      <c r="G130" s="340"/>
      <c r="H130" s="340"/>
      <c r="I130" s="340"/>
      <c r="J130" s="340"/>
      <c r="K130" s="340"/>
      <c r="L130" s="340"/>
      <c r="M130" s="340"/>
      <c r="N130" s="340"/>
      <c r="O130" s="340"/>
      <c r="P130" s="340"/>
      <c r="Q130" s="340"/>
      <c r="R130" s="340"/>
      <c r="S130" s="340"/>
      <c r="T130" s="340"/>
      <c r="U130" s="340"/>
      <c r="V130" s="340"/>
      <c r="W130" s="340"/>
      <c r="X130" s="340"/>
      <c r="Y130" s="340"/>
      <c r="Z130" s="340"/>
      <c r="AA130" s="340"/>
      <c r="AB130" s="340"/>
      <c r="AC130" s="340"/>
      <c r="AD130" s="340"/>
      <c r="AE130" s="340"/>
      <c r="AF130" s="340"/>
      <c r="AG130" s="340"/>
      <c r="AH130" s="340"/>
      <c r="AI130" s="340"/>
      <c r="AJ130" s="340"/>
      <c r="AK130" s="340"/>
      <c r="AL130" s="340"/>
      <c r="AM130" s="340"/>
      <c r="AN130" s="340"/>
      <c r="AO130" s="340"/>
      <c r="AP130" s="340"/>
      <c r="AQ130" s="340"/>
      <c r="AR130" s="340"/>
      <c r="AS130" s="340"/>
      <c r="AT130" s="340"/>
      <c r="AU130" s="340"/>
      <c r="AV130" s="340"/>
      <c r="AW130" s="340"/>
      <c r="AX130" s="340"/>
      <c r="AY130" s="340"/>
      <c r="AZ130" s="340"/>
      <c r="BA130" s="340"/>
      <c r="BB130" s="340"/>
      <c r="BC130" s="340"/>
      <c r="BD130" s="340"/>
    </row>
    <row r="131" spans="3:56">
      <c r="C131" s="340"/>
      <c r="D131" s="340"/>
      <c r="E131" s="340"/>
      <c r="F131" s="340"/>
      <c r="G131" s="340"/>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0"/>
      <c r="AY131" s="340"/>
      <c r="AZ131" s="340"/>
      <c r="BA131" s="340"/>
      <c r="BB131" s="340"/>
      <c r="BC131" s="340"/>
      <c r="BD131" s="340"/>
    </row>
    <row r="132" spans="3:56">
      <c r="C132" s="340"/>
      <c r="D132" s="340"/>
      <c r="E132" s="340"/>
      <c r="F132" s="340"/>
      <c r="G132" s="340"/>
      <c r="H132" s="340"/>
      <c r="I132" s="340"/>
      <c r="J132" s="340"/>
      <c r="K132" s="340"/>
      <c r="L132" s="340"/>
      <c r="M132" s="340"/>
      <c r="N132" s="340"/>
      <c r="O132" s="340"/>
      <c r="P132" s="340"/>
      <c r="Q132" s="340"/>
      <c r="R132" s="340"/>
      <c r="S132" s="340"/>
      <c r="T132" s="340"/>
      <c r="U132" s="340"/>
      <c r="V132" s="340"/>
      <c r="W132" s="340"/>
      <c r="X132" s="340"/>
      <c r="Y132" s="340"/>
      <c r="Z132" s="340"/>
      <c r="AA132" s="340"/>
      <c r="AB132" s="340"/>
      <c r="AC132" s="340"/>
      <c r="AD132" s="340"/>
      <c r="AE132" s="340"/>
      <c r="AF132" s="340"/>
      <c r="AG132" s="340"/>
      <c r="AH132" s="340"/>
      <c r="AI132" s="340"/>
      <c r="AJ132" s="340"/>
      <c r="AK132" s="340"/>
      <c r="AL132" s="340"/>
      <c r="AM132" s="340"/>
      <c r="AN132" s="340"/>
      <c r="AO132" s="340"/>
      <c r="AP132" s="340"/>
      <c r="AQ132" s="340"/>
      <c r="AR132" s="340"/>
      <c r="AS132" s="340"/>
      <c r="AT132" s="340"/>
      <c r="AU132" s="340"/>
      <c r="AV132" s="340"/>
      <c r="AW132" s="340"/>
      <c r="AX132" s="340"/>
      <c r="AY132" s="340"/>
      <c r="AZ132" s="340"/>
      <c r="BA132" s="340"/>
      <c r="BB132" s="340"/>
      <c r="BC132" s="340"/>
      <c r="BD132" s="340"/>
    </row>
    <row r="133" spans="3:56">
      <c r="C133" s="340"/>
      <c r="D133" s="340"/>
      <c r="E133" s="340"/>
      <c r="F133" s="340"/>
      <c r="G133" s="340"/>
      <c r="H133" s="340"/>
      <c r="I133" s="340"/>
      <c r="J133" s="340"/>
      <c r="K133" s="340"/>
      <c r="L133" s="340"/>
      <c r="M133" s="340"/>
      <c r="N133" s="340"/>
      <c r="O133" s="340"/>
      <c r="P133" s="340"/>
      <c r="Q133" s="340"/>
      <c r="R133" s="340"/>
      <c r="S133" s="340"/>
      <c r="T133" s="340"/>
      <c r="U133" s="340"/>
      <c r="V133" s="340"/>
      <c r="W133" s="340"/>
      <c r="X133" s="340"/>
      <c r="Y133" s="340"/>
      <c r="Z133" s="340"/>
      <c r="AA133" s="340"/>
      <c r="AB133" s="340"/>
      <c r="AC133" s="340"/>
      <c r="AD133" s="340"/>
      <c r="AE133" s="340"/>
      <c r="AF133" s="340"/>
      <c r="AG133" s="340"/>
      <c r="AH133" s="340"/>
      <c r="AI133" s="340"/>
      <c r="AJ133" s="340"/>
      <c r="AK133" s="340"/>
      <c r="AL133" s="340"/>
      <c r="AM133" s="340"/>
      <c r="AN133" s="340"/>
      <c r="AO133" s="340"/>
      <c r="AP133" s="340"/>
      <c r="AQ133" s="340"/>
      <c r="AR133" s="340"/>
      <c r="AS133" s="340"/>
      <c r="AT133" s="340"/>
      <c r="AU133" s="340"/>
      <c r="AV133" s="340"/>
      <c r="AW133" s="340"/>
      <c r="AX133" s="340"/>
      <c r="AY133" s="340"/>
      <c r="AZ133" s="340"/>
      <c r="BA133" s="340"/>
      <c r="BB133" s="340"/>
      <c r="BC133" s="340"/>
      <c r="BD133" s="340"/>
    </row>
    <row r="134" spans="3:56">
      <c r="C134" s="340"/>
      <c r="D134" s="340"/>
      <c r="E134" s="340"/>
      <c r="F134" s="340"/>
      <c r="G134" s="340"/>
      <c r="H134" s="340"/>
      <c r="I134" s="340"/>
      <c r="J134" s="340"/>
      <c r="K134" s="340"/>
      <c r="L134" s="340"/>
      <c r="M134" s="340"/>
      <c r="N134" s="340"/>
      <c r="O134" s="340"/>
      <c r="P134" s="340"/>
      <c r="Q134" s="340"/>
      <c r="R134" s="340"/>
      <c r="S134" s="340"/>
      <c r="T134" s="340"/>
      <c r="U134" s="340"/>
      <c r="V134" s="340"/>
      <c r="W134" s="340"/>
      <c r="X134" s="340"/>
      <c r="Y134" s="340"/>
      <c r="Z134" s="340"/>
      <c r="AA134" s="340"/>
      <c r="AB134" s="340"/>
      <c r="AC134" s="340"/>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340"/>
      <c r="AY134" s="340"/>
      <c r="AZ134" s="340"/>
      <c r="BA134" s="340"/>
      <c r="BB134" s="340"/>
      <c r="BC134" s="340"/>
      <c r="BD134" s="340"/>
    </row>
    <row r="135" spans="3:56">
      <c r="C135" s="340"/>
      <c r="D135" s="340"/>
      <c r="E135" s="340"/>
      <c r="F135" s="340"/>
      <c r="G135" s="340"/>
      <c r="H135" s="340"/>
      <c r="I135" s="340"/>
      <c r="J135" s="340"/>
      <c r="K135" s="340"/>
      <c r="L135" s="340"/>
      <c r="M135" s="340"/>
      <c r="N135" s="340"/>
      <c r="O135" s="340"/>
      <c r="P135" s="340"/>
      <c r="Q135" s="340"/>
      <c r="R135" s="340"/>
      <c r="S135" s="340"/>
      <c r="T135" s="340"/>
      <c r="U135" s="340"/>
      <c r="V135" s="340"/>
      <c r="W135" s="340"/>
      <c r="X135" s="340"/>
      <c r="Y135" s="340"/>
      <c r="Z135" s="340"/>
      <c r="AA135" s="340"/>
      <c r="AB135" s="340"/>
      <c r="AC135" s="340"/>
      <c r="AD135" s="340"/>
      <c r="AE135" s="340"/>
      <c r="AF135" s="340"/>
      <c r="AG135" s="340"/>
      <c r="AH135" s="340"/>
      <c r="AI135" s="340"/>
      <c r="AJ135" s="340"/>
      <c r="AK135" s="340"/>
      <c r="AL135" s="340"/>
      <c r="AM135" s="340"/>
      <c r="AN135" s="340"/>
      <c r="AO135" s="340"/>
      <c r="AP135" s="340"/>
      <c r="AQ135" s="340"/>
      <c r="AR135" s="340"/>
      <c r="AS135" s="340"/>
      <c r="AT135" s="340"/>
      <c r="AU135" s="340"/>
      <c r="AV135" s="340"/>
      <c r="AW135" s="340"/>
      <c r="AX135" s="340"/>
      <c r="AY135" s="340"/>
      <c r="AZ135" s="340"/>
      <c r="BA135" s="340"/>
      <c r="BB135" s="340"/>
      <c r="BC135" s="340"/>
      <c r="BD135" s="340"/>
    </row>
    <row r="136" spans="3:56">
      <c r="C136" s="340"/>
      <c r="D136" s="340"/>
      <c r="E136" s="340"/>
      <c r="F136" s="340"/>
      <c r="G136" s="340"/>
      <c r="H136" s="340"/>
      <c r="I136" s="340"/>
      <c r="J136" s="340"/>
      <c r="K136" s="340"/>
      <c r="L136" s="340"/>
      <c r="M136" s="340"/>
      <c r="N136" s="340"/>
      <c r="O136" s="340"/>
      <c r="P136" s="340"/>
      <c r="Q136" s="340"/>
      <c r="R136" s="340"/>
      <c r="S136" s="340"/>
      <c r="T136" s="340"/>
      <c r="U136" s="340"/>
      <c r="V136" s="340"/>
      <c r="W136" s="340"/>
      <c r="X136" s="340"/>
      <c r="Y136" s="340"/>
      <c r="Z136" s="340"/>
      <c r="AA136" s="340"/>
      <c r="AB136" s="340"/>
      <c r="AC136" s="340"/>
      <c r="AD136" s="340"/>
      <c r="AE136" s="340"/>
      <c r="AF136" s="340"/>
      <c r="AG136" s="340"/>
      <c r="AH136" s="340"/>
      <c r="AI136" s="340"/>
      <c r="AJ136" s="340"/>
      <c r="AK136" s="340"/>
      <c r="AL136" s="340"/>
      <c r="AM136" s="340"/>
      <c r="AN136" s="340"/>
      <c r="AO136" s="340"/>
      <c r="AP136" s="340"/>
      <c r="AQ136" s="340"/>
      <c r="AR136" s="340"/>
      <c r="AS136" s="340"/>
      <c r="AT136" s="340"/>
      <c r="AU136" s="340"/>
      <c r="AV136" s="340"/>
      <c r="AW136" s="340"/>
      <c r="AX136" s="340"/>
      <c r="AY136" s="340"/>
      <c r="AZ136" s="340"/>
      <c r="BA136" s="340"/>
      <c r="BB136" s="340"/>
      <c r="BC136" s="340"/>
      <c r="BD136" s="340"/>
    </row>
    <row r="137" spans="3:56">
      <c r="C137" s="340"/>
      <c r="D137" s="340"/>
      <c r="E137" s="340"/>
      <c r="F137" s="340"/>
      <c r="G137" s="340"/>
      <c r="H137" s="340"/>
      <c r="I137" s="340"/>
      <c r="J137" s="340"/>
      <c r="K137" s="340"/>
      <c r="L137" s="340"/>
      <c r="M137" s="340"/>
      <c r="N137" s="340"/>
      <c r="O137" s="340"/>
      <c r="P137" s="340"/>
      <c r="Q137" s="340"/>
      <c r="R137" s="340"/>
      <c r="S137" s="340"/>
      <c r="T137" s="340"/>
      <c r="U137" s="340"/>
      <c r="V137" s="340"/>
      <c r="W137" s="340"/>
      <c r="X137" s="340"/>
      <c r="Y137" s="340"/>
      <c r="Z137" s="340"/>
      <c r="AA137" s="340"/>
      <c r="AB137" s="340"/>
      <c r="AC137" s="340"/>
      <c r="AD137" s="340"/>
      <c r="AE137" s="340"/>
      <c r="AF137" s="340"/>
      <c r="AG137" s="340"/>
      <c r="AH137" s="340"/>
      <c r="AI137" s="340"/>
      <c r="AJ137" s="340"/>
      <c r="AK137" s="340"/>
      <c r="AL137" s="340"/>
      <c r="AM137" s="340"/>
      <c r="AN137" s="340"/>
      <c r="AO137" s="340"/>
      <c r="AP137" s="340"/>
      <c r="AQ137" s="340"/>
      <c r="AR137" s="340"/>
      <c r="AS137" s="340"/>
      <c r="AT137" s="340"/>
      <c r="AU137" s="340"/>
      <c r="AV137" s="340"/>
      <c r="AW137" s="340"/>
      <c r="AX137" s="340"/>
      <c r="AY137" s="340"/>
      <c r="AZ137" s="340"/>
      <c r="BA137" s="340"/>
      <c r="BB137" s="340"/>
      <c r="BC137" s="340"/>
      <c r="BD137" s="340"/>
    </row>
    <row r="138" spans="3:56">
      <c r="C138" s="340"/>
      <c r="D138" s="340"/>
      <c r="E138" s="340"/>
      <c r="F138" s="340"/>
      <c r="G138" s="340"/>
      <c r="H138" s="340"/>
      <c r="I138" s="340"/>
      <c r="J138" s="340"/>
      <c r="K138" s="340"/>
      <c r="L138" s="340"/>
      <c r="M138" s="340"/>
      <c r="N138" s="340"/>
      <c r="O138" s="340"/>
      <c r="P138" s="340"/>
      <c r="Q138" s="340"/>
      <c r="R138" s="340"/>
      <c r="S138" s="340"/>
      <c r="T138" s="340"/>
      <c r="U138" s="340"/>
      <c r="V138" s="340"/>
      <c r="W138" s="340"/>
      <c r="X138" s="340"/>
      <c r="Y138" s="340"/>
      <c r="Z138" s="340"/>
      <c r="AA138" s="340"/>
      <c r="AB138" s="340"/>
      <c r="AC138" s="340"/>
      <c r="AD138" s="340"/>
      <c r="AE138" s="340"/>
      <c r="AF138" s="340"/>
      <c r="AG138" s="340"/>
      <c r="AH138" s="340"/>
      <c r="AI138" s="340"/>
      <c r="AJ138" s="340"/>
      <c r="AK138" s="340"/>
      <c r="AL138" s="340"/>
      <c r="AM138" s="340"/>
      <c r="AN138" s="340"/>
      <c r="AO138" s="340"/>
      <c r="AP138" s="340"/>
      <c r="AQ138" s="340"/>
      <c r="AR138" s="340"/>
      <c r="AS138" s="340"/>
      <c r="AT138" s="340"/>
      <c r="AU138" s="340"/>
      <c r="AV138" s="340"/>
      <c r="AW138" s="340"/>
      <c r="AX138" s="340"/>
      <c r="AY138" s="340"/>
      <c r="AZ138" s="340"/>
      <c r="BA138" s="340"/>
      <c r="BB138" s="340"/>
      <c r="BC138" s="340"/>
      <c r="BD138" s="340"/>
    </row>
    <row r="139" spans="3:56">
      <c r="C139" s="340"/>
      <c r="D139" s="340"/>
      <c r="E139" s="340"/>
      <c r="F139" s="340"/>
      <c r="G139" s="340"/>
      <c r="H139" s="340"/>
      <c r="I139" s="340"/>
      <c r="J139" s="340"/>
      <c r="K139" s="340"/>
      <c r="L139" s="340"/>
      <c r="M139" s="340"/>
      <c r="N139" s="340"/>
      <c r="O139" s="340"/>
      <c r="P139" s="340"/>
      <c r="Q139" s="340"/>
      <c r="R139" s="340"/>
      <c r="S139" s="340"/>
      <c r="T139" s="340"/>
      <c r="U139" s="340"/>
      <c r="V139" s="340"/>
      <c r="W139" s="340"/>
      <c r="X139" s="340"/>
      <c r="Y139" s="340"/>
      <c r="Z139" s="340"/>
      <c r="AA139" s="340"/>
      <c r="AB139" s="340"/>
      <c r="AC139" s="340"/>
      <c r="AD139" s="340"/>
      <c r="AE139" s="340"/>
      <c r="AF139" s="340"/>
      <c r="AG139" s="340"/>
      <c r="AH139" s="340"/>
      <c r="AI139" s="340"/>
      <c r="AJ139" s="340"/>
      <c r="AK139" s="340"/>
      <c r="AL139" s="340"/>
      <c r="AM139" s="340"/>
      <c r="AN139" s="340"/>
      <c r="AO139" s="340"/>
      <c r="AP139" s="340"/>
      <c r="AQ139" s="340"/>
      <c r="AR139" s="340"/>
      <c r="AS139" s="340"/>
      <c r="AT139" s="340"/>
      <c r="AU139" s="340"/>
      <c r="AV139" s="340"/>
      <c r="AW139" s="340"/>
      <c r="AX139" s="340"/>
      <c r="AY139" s="340"/>
      <c r="AZ139" s="340"/>
      <c r="BA139" s="340"/>
      <c r="BB139" s="340"/>
      <c r="BC139" s="340"/>
      <c r="BD139" s="340"/>
    </row>
    <row r="140" spans="3:56">
      <c r="C140" s="340"/>
      <c r="D140" s="340"/>
      <c r="E140" s="340"/>
      <c r="F140" s="340"/>
      <c r="G140" s="340"/>
      <c r="H140" s="340"/>
      <c r="I140" s="340"/>
      <c r="J140" s="340"/>
      <c r="K140" s="340"/>
      <c r="L140" s="340"/>
      <c r="M140" s="340"/>
      <c r="N140" s="340"/>
      <c r="O140" s="340"/>
      <c r="P140" s="340"/>
      <c r="Q140" s="340"/>
      <c r="R140" s="340"/>
      <c r="S140" s="340"/>
      <c r="T140" s="340"/>
      <c r="U140" s="340"/>
      <c r="V140" s="340"/>
      <c r="W140" s="340"/>
      <c r="X140" s="340"/>
      <c r="Y140" s="340"/>
      <c r="Z140" s="340"/>
      <c r="AA140" s="340"/>
      <c r="AB140" s="340"/>
      <c r="AC140" s="340"/>
      <c r="AD140" s="340"/>
      <c r="AE140" s="340"/>
      <c r="AF140" s="340"/>
      <c r="AG140" s="340"/>
      <c r="AH140" s="340"/>
      <c r="AI140" s="340"/>
      <c r="AJ140" s="340"/>
      <c r="AK140" s="340"/>
      <c r="AL140" s="340"/>
      <c r="AM140" s="340"/>
      <c r="AN140" s="340"/>
      <c r="AO140" s="340"/>
      <c r="AP140" s="340"/>
      <c r="AQ140" s="340"/>
      <c r="AR140" s="340"/>
      <c r="AS140" s="340"/>
      <c r="AT140" s="340"/>
      <c r="AU140" s="340"/>
      <c r="AV140" s="340"/>
      <c r="AW140" s="340"/>
      <c r="AX140" s="340"/>
      <c r="AY140" s="340"/>
      <c r="AZ140" s="340"/>
      <c r="BA140" s="340"/>
      <c r="BB140" s="340"/>
      <c r="BC140" s="340"/>
      <c r="BD140" s="340"/>
    </row>
    <row r="141" spans="3:56">
      <c r="C141" s="340"/>
      <c r="D141" s="340"/>
      <c r="E141" s="340"/>
      <c r="F141" s="340"/>
      <c r="G141" s="340"/>
      <c r="H141" s="340"/>
      <c r="I141" s="340"/>
      <c r="J141" s="340"/>
      <c r="K141" s="340"/>
      <c r="L141" s="340"/>
      <c r="M141" s="340"/>
      <c r="N141" s="340"/>
      <c r="O141" s="340"/>
      <c r="P141" s="340"/>
      <c r="Q141" s="340"/>
      <c r="R141" s="340"/>
      <c r="S141" s="340"/>
      <c r="T141" s="340"/>
      <c r="U141" s="340"/>
      <c r="V141" s="340"/>
      <c r="W141" s="340"/>
      <c r="X141" s="340"/>
      <c r="Y141" s="340"/>
      <c r="Z141" s="340"/>
      <c r="AA141" s="340"/>
      <c r="AB141" s="340"/>
      <c r="AC141" s="340"/>
      <c r="AD141" s="340"/>
      <c r="AE141" s="340"/>
      <c r="AF141" s="340"/>
      <c r="AG141" s="340"/>
      <c r="AH141" s="340"/>
      <c r="AI141" s="340"/>
      <c r="AJ141" s="340"/>
      <c r="AK141" s="340"/>
      <c r="AL141" s="340"/>
      <c r="AM141" s="340"/>
      <c r="AN141" s="340"/>
      <c r="AO141" s="340"/>
      <c r="AP141" s="340"/>
      <c r="AQ141" s="340"/>
      <c r="AR141" s="340"/>
      <c r="AS141" s="340"/>
      <c r="AT141" s="340"/>
      <c r="AU141" s="340"/>
      <c r="AV141" s="340"/>
      <c r="AW141" s="340"/>
      <c r="AX141" s="340"/>
      <c r="AY141" s="340"/>
      <c r="AZ141" s="340"/>
      <c r="BA141" s="340"/>
      <c r="BB141" s="340"/>
      <c r="BC141" s="340"/>
      <c r="BD141" s="340"/>
    </row>
    <row r="142" spans="3:56">
      <c r="C142" s="340"/>
      <c r="D142" s="340"/>
      <c r="E142" s="340"/>
      <c r="F142" s="340"/>
      <c r="G142" s="340"/>
      <c r="H142" s="340"/>
      <c r="I142" s="340"/>
      <c r="J142" s="340"/>
      <c r="K142" s="340"/>
      <c r="L142" s="340"/>
      <c r="M142" s="340"/>
      <c r="N142" s="340"/>
      <c r="O142" s="340"/>
      <c r="P142" s="340"/>
      <c r="Q142" s="340"/>
      <c r="R142" s="340"/>
      <c r="S142" s="340"/>
      <c r="T142" s="340"/>
      <c r="U142" s="340"/>
      <c r="V142" s="340"/>
      <c r="W142" s="340"/>
      <c r="X142" s="340"/>
      <c r="Y142" s="340"/>
      <c r="Z142" s="340"/>
      <c r="AA142" s="340"/>
      <c r="AB142" s="340"/>
      <c r="AC142" s="340"/>
      <c r="AD142" s="340"/>
      <c r="AE142" s="340"/>
      <c r="AF142" s="340"/>
      <c r="AG142" s="340"/>
      <c r="AH142" s="340"/>
      <c r="AI142" s="340"/>
      <c r="AJ142" s="340"/>
      <c r="AK142" s="340"/>
      <c r="AL142" s="340"/>
      <c r="AM142" s="340"/>
      <c r="AN142" s="340"/>
      <c r="AO142" s="340"/>
      <c r="AP142" s="340"/>
      <c r="AQ142" s="340"/>
      <c r="AR142" s="340"/>
      <c r="AS142" s="340"/>
      <c r="AT142" s="340"/>
      <c r="AU142" s="340"/>
      <c r="AV142" s="340"/>
      <c r="AW142" s="340"/>
      <c r="AX142" s="340"/>
      <c r="AY142" s="340"/>
      <c r="AZ142" s="340"/>
      <c r="BA142" s="340"/>
      <c r="BB142" s="340"/>
      <c r="BC142" s="340"/>
      <c r="BD142" s="340"/>
    </row>
    <row r="143" spans="3:56">
      <c r="C143" s="340"/>
      <c r="D143" s="340"/>
      <c r="E143" s="340"/>
      <c r="F143" s="340"/>
      <c r="G143" s="340"/>
      <c r="H143" s="340"/>
      <c r="I143" s="340"/>
      <c r="J143" s="340"/>
      <c r="K143" s="340"/>
      <c r="L143" s="340"/>
      <c r="M143" s="340"/>
      <c r="N143" s="340"/>
      <c r="O143" s="340"/>
      <c r="P143" s="340"/>
      <c r="Q143" s="340"/>
      <c r="R143" s="340"/>
      <c r="S143" s="340"/>
      <c r="T143" s="340"/>
      <c r="U143" s="340"/>
      <c r="V143" s="340"/>
      <c r="W143" s="340"/>
      <c r="X143" s="340"/>
      <c r="Y143" s="340"/>
      <c r="Z143" s="340"/>
      <c r="AA143" s="340"/>
      <c r="AB143" s="340"/>
      <c r="AC143" s="340"/>
      <c r="AD143" s="340"/>
      <c r="AE143" s="340"/>
      <c r="AF143" s="340"/>
      <c r="AG143" s="340"/>
      <c r="AH143" s="340"/>
      <c r="AI143" s="340"/>
      <c r="AJ143" s="340"/>
      <c r="AK143" s="340"/>
      <c r="AL143" s="340"/>
      <c r="AM143" s="340"/>
      <c r="AN143" s="340"/>
      <c r="AO143" s="340"/>
      <c r="AP143" s="340"/>
      <c r="AQ143" s="340"/>
      <c r="AR143" s="340"/>
      <c r="AS143" s="340"/>
      <c r="AT143" s="340"/>
      <c r="AU143" s="340"/>
      <c r="AV143" s="340"/>
      <c r="AW143" s="340"/>
      <c r="AX143" s="340"/>
      <c r="AY143" s="340"/>
      <c r="AZ143" s="340"/>
      <c r="BA143" s="340"/>
      <c r="BB143" s="340"/>
      <c r="BC143" s="340"/>
      <c r="BD143" s="340"/>
    </row>
    <row r="144" spans="3:56">
      <c r="C144" s="340"/>
      <c r="D144" s="340"/>
      <c r="E144" s="340"/>
      <c r="F144" s="340"/>
      <c r="G144" s="340"/>
      <c r="H144" s="340"/>
      <c r="I144" s="340"/>
      <c r="J144" s="340"/>
      <c r="K144" s="340"/>
      <c r="L144" s="340"/>
      <c r="M144" s="340"/>
      <c r="N144" s="340"/>
      <c r="O144" s="340"/>
      <c r="P144" s="340"/>
      <c r="Q144" s="340"/>
      <c r="R144" s="340"/>
      <c r="S144" s="340"/>
      <c r="T144" s="340"/>
      <c r="U144" s="340"/>
      <c r="V144" s="340"/>
      <c r="W144" s="340"/>
      <c r="X144" s="340"/>
      <c r="Y144" s="340"/>
      <c r="Z144" s="340"/>
      <c r="AA144" s="340"/>
      <c r="AB144" s="340"/>
      <c r="AC144" s="340"/>
      <c r="AD144" s="340"/>
      <c r="AE144" s="340"/>
      <c r="AF144" s="340"/>
      <c r="AG144" s="340"/>
      <c r="AH144" s="340"/>
      <c r="AI144" s="340"/>
      <c r="AJ144" s="340"/>
      <c r="AK144" s="340"/>
      <c r="AL144" s="340"/>
      <c r="AM144" s="340"/>
      <c r="AN144" s="340"/>
      <c r="AO144" s="340"/>
      <c r="AP144" s="340"/>
      <c r="AQ144" s="340"/>
      <c r="AR144" s="340"/>
      <c r="AS144" s="340"/>
      <c r="AT144" s="340"/>
      <c r="AU144" s="340"/>
      <c r="AV144" s="340"/>
      <c r="AW144" s="340"/>
      <c r="AX144" s="340"/>
      <c r="AY144" s="340"/>
      <c r="AZ144" s="340"/>
      <c r="BA144" s="340"/>
      <c r="BB144" s="340"/>
      <c r="BC144" s="340"/>
      <c r="BD144" s="340"/>
    </row>
    <row r="145" spans="3:56">
      <c r="C145" s="340"/>
      <c r="D145" s="340"/>
      <c r="E145" s="340"/>
      <c r="F145" s="340"/>
      <c r="G145" s="340"/>
      <c r="H145" s="340"/>
      <c r="I145" s="340"/>
      <c r="J145" s="340"/>
      <c r="K145" s="340"/>
      <c r="L145" s="340"/>
      <c r="M145" s="340"/>
      <c r="N145" s="340"/>
      <c r="O145" s="340"/>
      <c r="P145" s="340"/>
      <c r="Q145" s="340"/>
      <c r="R145" s="340"/>
      <c r="S145" s="340"/>
      <c r="T145" s="340"/>
      <c r="U145" s="340"/>
      <c r="V145" s="340"/>
      <c r="W145" s="340"/>
      <c r="X145" s="340"/>
      <c r="Y145" s="340"/>
      <c r="Z145" s="340"/>
      <c r="AA145" s="340"/>
      <c r="AB145" s="340"/>
      <c r="AC145" s="340"/>
      <c r="AD145" s="340"/>
      <c r="AE145" s="340"/>
      <c r="AF145" s="340"/>
      <c r="AG145" s="340"/>
      <c r="AH145" s="340"/>
      <c r="AI145" s="340"/>
      <c r="AJ145" s="340"/>
      <c r="AK145" s="340"/>
      <c r="AL145" s="340"/>
      <c r="AM145" s="340"/>
      <c r="AN145" s="340"/>
      <c r="AO145" s="340"/>
      <c r="AP145" s="340"/>
      <c r="AQ145" s="340"/>
      <c r="AR145" s="340"/>
      <c r="AS145" s="340"/>
      <c r="AT145" s="340"/>
      <c r="AU145" s="340"/>
      <c r="AV145" s="340"/>
      <c r="AW145" s="340"/>
      <c r="AX145" s="340"/>
      <c r="AY145" s="340"/>
      <c r="AZ145" s="340"/>
      <c r="BA145" s="340"/>
      <c r="BB145" s="340"/>
      <c r="BC145" s="340"/>
      <c r="BD145" s="340"/>
    </row>
    <row r="146" spans="3:56">
      <c r="C146" s="340"/>
      <c r="D146" s="340"/>
      <c r="E146" s="340"/>
      <c r="F146" s="340"/>
      <c r="G146" s="340"/>
      <c r="H146" s="340"/>
      <c r="I146" s="340"/>
      <c r="J146" s="340"/>
      <c r="K146" s="340"/>
      <c r="L146" s="340"/>
      <c r="M146" s="340"/>
      <c r="N146" s="340"/>
      <c r="O146" s="340"/>
      <c r="P146" s="340"/>
      <c r="Q146" s="340"/>
      <c r="R146" s="340"/>
      <c r="S146" s="340"/>
      <c r="T146" s="340"/>
      <c r="U146" s="340"/>
      <c r="V146" s="340"/>
      <c r="W146" s="340"/>
      <c r="X146" s="340"/>
      <c r="Y146" s="340"/>
      <c r="Z146" s="340"/>
      <c r="AA146" s="340"/>
      <c r="AB146" s="340"/>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0"/>
      <c r="AY146" s="340"/>
      <c r="AZ146" s="340"/>
      <c r="BA146" s="340"/>
      <c r="BB146" s="340"/>
      <c r="BC146" s="340"/>
      <c r="BD146" s="340"/>
    </row>
    <row r="147" spans="3:56">
      <c r="C147" s="340"/>
      <c r="D147" s="340"/>
      <c r="E147" s="340"/>
      <c r="F147" s="340"/>
      <c r="G147" s="340"/>
      <c r="H147" s="340"/>
      <c r="I147" s="340"/>
      <c r="J147" s="340"/>
      <c r="K147" s="340"/>
      <c r="L147" s="340"/>
      <c r="M147" s="340"/>
      <c r="N147" s="340"/>
      <c r="O147" s="340"/>
      <c r="P147" s="340"/>
      <c r="Q147" s="340"/>
      <c r="R147" s="340"/>
      <c r="S147" s="340"/>
      <c r="T147" s="340"/>
      <c r="U147" s="340"/>
      <c r="V147" s="340"/>
      <c r="W147" s="340"/>
      <c r="X147" s="340"/>
      <c r="Y147" s="340"/>
      <c r="Z147" s="340"/>
      <c r="AA147" s="340"/>
      <c r="AB147" s="340"/>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0"/>
      <c r="AY147" s="340"/>
      <c r="AZ147" s="340"/>
      <c r="BA147" s="340"/>
      <c r="BB147" s="340"/>
      <c r="BC147" s="340"/>
      <c r="BD147" s="340"/>
    </row>
    <row r="148" spans="3:56">
      <c r="C148" s="340"/>
      <c r="D148" s="340"/>
      <c r="E148" s="340"/>
      <c r="F148" s="340"/>
      <c r="G148" s="340"/>
      <c r="H148" s="340"/>
      <c r="I148" s="340"/>
      <c r="J148" s="340"/>
      <c r="K148" s="340"/>
      <c r="L148" s="340"/>
      <c r="M148" s="340"/>
      <c r="N148" s="340"/>
      <c r="O148" s="340"/>
      <c r="P148" s="340"/>
      <c r="Q148" s="340"/>
      <c r="R148" s="340"/>
      <c r="S148" s="340"/>
      <c r="T148" s="340"/>
      <c r="U148" s="340"/>
      <c r="V148" s="340"/>
      <c r="W148" s="340"/>
      <c r="X148" s="340"/>
      <c r="Y148" s="340"/>
      <c r="Z148" s="340"/>
      <c r="AA148" s="340"/>
      <c r="AB148" s="340"/>
      <c r="AC148" s="340"/>
      <c r="AD148" s="340"/>
      <c r="AE148" s="340"/>
      <c r="AF148" s="340"/>
      <c r="AG148" s="340"/>
      <c r="AH148" s="340"/>
      <c r="AI148" s="340"/>
      <c r="AJ148" s="340"/>
      <c r="AK148" s="340"/>
      <c r="AL148" s="340"/>
      <c r="AM148" s="340"/>
      <c r="AN148" s="340"/>
      <c r="AO148" s="340"/>
      <c r="AP148" s="340"/>
      <c r="AQ148" s="340"/>
      <c r="AR148" s="340"/>
      <c r="AS148" s="340"/>
      <c r="AT148" s="340"/>
      <c r="AU148" s="340"/>
      <c r="AV148" s="340"/>
      <c r="AW148" s="340"/>
      <c r="AX148" s="340"/>
      <c r="AY148" s="340"/>
      <c r="AZ148" s="340"/>
      <c r="BA148" s="340"/>
      <c r="BB148" s="340"/>
      <c r="BC148" s="340"/>
      <c r="BD148" s="340"/>
    </row>
    <row r="149" spans="3:56">
      <c r="C149" s="340"/>
      <c r="D149" s="340"/>
      <c r="E149" s="340"/>
      <c r="F149" s="340"/>
      <c r="G149" s="340"/>
      <c r="H149" s="340"/>
      <c r="I149" s="340"/>
      <c r="J149" s="340"/>
      <c r="K149" s="340"/>
      <c r="L149" s="340"/>
      <c r="M149" s="340"/>
      <c r="N149" s="340"/>
      <c r="O149" s="340"/>
      <c r="P149" s="340"/>
      <c r="Q149" s="340"/>
      <c r="R149" s="340"/>
      <c r="S149" s="340"/>
      <c r="T149" s="340"/>
      <c r="U149" s="340"/>
      <c r="V149" s="340"/>
      <c r="W149" s="340"/>
      <c r="X149" s="340"/>
      <c r="Y149" s="340"/>
      <c r="Z149" s="340"/>
      <c r="AA149" s="340"/>
      <c r="AB149" s="340"/>
      <c r="AC149" s="340"/>
      <c r="AD149" s="340"/>
      <c r="AE149" s="340"/>
      <c r="AF149" s="340"/>
      <c r="AG149" s="340"/>
      <c r="AH149" s="340"/>
      <c r="AI149" s="340"/>
      <c r="AJ149" s="340"/>
      <c r="AK149" s="340"/>
      <c r="AL149" s="340"/>
      <c r="AM149" s="340"/>
      <c r="AN149" s="340"/>
      <c r="AO149" s="340"/>
      <c r="AP149" s="340"/>
      <c r="AQ149" s="340"/>
      <c r="AR149" s="340"/>
      <c r="AS149" s="340"/>
      <c r="AT149" s="340"/>
      <c r="AU149" s="340"/>
      <c r="AV149" s="340"/>
      <c r="AW149" s="340"/>
      <c r="AX149" s="340"/>
      <c r="AY149" s="340"/>
      <c r="AZ149" s="340"/>
      <c r="BA149" s="340"/>
      <c r="BB149" s="340"/>
      <c r="BC149" s="340"/>
      <c r="BD149" s="340"/>
    </row>
    <row r="150" spans="3:56">
      <c r="C150" s="340"/>
      <c r="D150" s="340"/>
      <c r="E150" s="340"/>
      <c r="F150" s="340"/>
      <c r="G150" s="340"/>
      <c r="H150" s="340"/>
      <c r="I150" s="340"/>
      <c r="J150" s="340"/>
      <c r="K150" s="340"/>
      <c r="L150" s="340"/>
      <c r="M150" s="340"/>
      <c r="N150" s="340"/>
      <c r="O150" s="340"/>
      <c r="P150" s="340"/>
      <c r="Q150" s="340"/>
      <c r="R150" s="340"/>
      <c r="S150" s="340"/>
      <c r="T150" s="340"/>
      <c r="U150" s="340"/>
      <c r="V150" s="340"/>
      <c r="W150" s="340"/>
      <c r="X150" s="340"/>
      <c r="Y150" s="340"/>
      <c r="Z150" s="340"/>
      <c r="AA150" s="340"/>
      <c r="AB150" s="340"/>
      <c r="AC150" s="340"/>
      <c r="AD150" s="340"/>
      <c r="AE150" s="340"/>
      <c r="AF150" s="340"/>
      <c r="AG150" s="340"/>
      <c r="AH150" s="340"/>
      <c r="AI150" s="340"/>
      <c r="AJ150" s="340"/>
      <c r="AK150" s="340"/>
      <c r="AL150" s="340"/>
      <c r="AM150" s="340"/>
      <c r="AN150" s="340"/>
      <c r="AO150" s="340"/>
      <c r="AP150" s="340"/>
      <c r="AQ150" s="340"/>
      <c r="AR150" s="340"/>
      <c r="AS150" s="340"/>
      <c r="AT150" s="340"/>
      <c r="AU150" s="340"/>
      <c r="AV150" s="340"/>
      <c r="AW150" s="340"/>
      <c r="AX150" s="340"/>
      <c r="AY150" s="340"/>
      <c r="AZ150" s="340"/>
      <c r="BA150" s="340"/>
      <c r="BB150" s="340"/>
      <c r="BC150" s="340"/>
      <c r="BD150" s="340"/>
    </row>
    <row r="151" spans="3:56">
      <c r="C151" s="340"/>
      <c r="D151" s="340"/>
      <c r="E151" s="340"/>
      <c r="F151" s="340"/>
      <c r="G151" s="340"/>
      <c r="H151" s="340"/>
      <c r="I151" s="340"/>
      <c r="J151" s="340"/>
      <c r="K151" s="340"/>
      <c r="L151" s="340"/>
      <c r="M151" s="340"/>
      <c r="N151" s="340"/>
      <c r="O151" s="340"/>
      <c r="P151" s="340"/>
      <c r="Q151" s="340"/>
      <c r="R151" s="340"/>
      <c r="S151" s="340"/>
      <c r="T151" s="340"/>
      <c r="U151" s="340"/>
      <c r="V151" s="340"/>
      <c r="W151" s="340"/>
      <c r="X151" s="340"/>
      <c r="Y151" s="340"/>
      <c r="Z151" s="340"/>
      <c r="AA151" s="340"/>
      <c r="AB151" s="340"/>
      <c r="AC151" s="340"/>
      <c r="AD151" s="340"/>
      <c r="AE151" s="340"/>
      <c r="AF151" s="340"/>
      <c r="AG151" s="340"/>
      <c r="AH151" s="340"/>
      <c r="AI151" s="340"/>
      <c r="AJ151" s="340"/>
      <c r="AK151" s="340"/>
      <c r="AL151" s="340"/>
      <c r="AM151" s="340"/>
      <c r="AN151" s="340"/>
      <c r="AO151" s="340"/>
      <c r="AP151" s="340"/>
      <c r="AQ151" s="340"/>
      <c r="AR151" s="340"/>
      <c r="AS151" s="340"/>
      <c r="AT151" s="340"/>
      <c r="AU151" s="340"/>
      <c r="AV151" s="340"/>
      <c r="AW151" s="340"/>
      <c r="AX151" s="340"/>
      <c r="AY151" s="340"/>
      <c r="AZ151" s="340"/>
      <c r="BA151" s="340"/>
      <c r="BB151" s="340"/>
      <c r="BC151" s="340"/>
      <c r="BD151" s="340"/>
    </row>
    <row r="152" spans="3:56">
      <c r="C152" s="340"/>
      <c r="D152" s="340"/>
      <c r="E152" s="340"/>
      <c r="F152" s="340"/>
      <c r="G152" s="340"/>
      <c r="H152" s="340"/>
      <c r="I152" s="340"/>
      <c r="J152" s="340"/>
      <c r="K152" s="340"/>
      <c r="L152" s="340"/>
      <c r="M152" s="340"/>
      <c r="N152" s="340"/>
      <c r="O152" s="340"/>
      <c r="P152" s="340"/>
      <c r="Q152" s="340"/>
      <c r="R152" s="340"/>
      <c r="S152" s="340"/>
      <c r="T152" s="340"/>
      <c r="U152" s="340"/>
      <c r="V152" s="340"/>
      <c r="W152" s="340"/>
      <c r="X152" s="340"/>
      <c r="Y152" s="340"/>
      <c r="Z152" s="340"/>
      <c r="AA152" s="340"/>
      <c r="AB152" s="340"/>
      <c r="AC152" s="340"/>
      <c r="AD152" s="340"/>
      <c r="AE152" s="340"/>
      <c r="AF152" s="340"/>
      <c r="AG152" s="340"/>
      <c r="AH152" s="340"/>
      <c r="AI152" s="340"/>
      <c r="AJ152" s="340"/>
      <c r="AK152" s="340"/>
      <c r="AL152" s="340"/>
      <c r="AM152" s="340"/>
      <c r="AN152" s="340"/>
      <c r="AO152" s="340"/>
      <c r="AP152" s="340"/>
      <c r="AQ152" s="340"/>
      <c r="AR152" s="340"/>
      <c r="AS152" s="340"/>
      <c r="AT152" s="340"/>
      <c r="AU152" s="340"/>
      <c r="AV152" s="340"/>
      <c r="AW152" s="340"/>
      <c r="AX152" s="340"/>
      <c r="AY152" s="340"/>
      <c r="AZ152" s="340"/>
      <c r="BA152" s="340"/>
      <c r="BB152" s="340"/>
      <c r="BC152" s="340"/>
      <c r="BD152" s="340"/>
    </row>
    <row r="153" spans="3:56">
      <c r="C153" s="340"/>
      <c r="D153" s="340"/>
      <c r="E153" s="340"/>
      <c r="F153" s="340"/>
      <c r="G153" s="340"/>
      <c r="H153" s="340"/>
      <c r="I153" s="340"/>
      <c r="J153" s="340"/>
      <c r="K153" s="340"/>
      <c r="L153" s="340"/>
      <c r="M153" s="340"/>
      <c r="N153" s="340"/>
      <c r="O153" s="340"/>
      <c r="P153" s="340"/>
      <c r="Q153" s="340"/>
      <c r="R153" s="340"/>
      <c r="S153" s="340"/>
      <c r="T153" s="340"/>
      <c r="U153" s="340"/>
      <c r="V153" s="340"/>
      <c r="W153" s="340"/>
      <c r="X153" s="340"/>
      <c r="Y153" s="340"/>
      <c r="Z153" s="340"/>
      <c r="AA153" s="340"/>
      <c r="AB153" s="340"/>
      <c r="AC153" s="340"/>
      <c r="AD153" s="340"/>
      <c r="AE153" s="340"/>
      <c r="AF153" s="340"/>
      <c r="AG153" s="340"/>
      <c r="AH153" s="340"/>
      <c r="AI153" s="340"/>
      <c r="AJ153" s="340"/>
      <c r="AK153" s="340"/>
      <c r="AL153" s="340"/>
      <c r="AM153" s="340"/>
      <c r="AN153" s="340"/>
      <c r="AO153" s="340"/>
      <c r="AP153" s="340"/>
      <c r="AQ153" s="340"/>
      <c r="AR153" s="340"/>
      <c r="AS153" s="340"/>
      <c r="AT153" s="340"/>
      <c r="AU153" s="340"/>
      <c r="AV153" s="340"/>
      <c r="AW153" s="340"/>
      <c r="AX153" s="340"/>
      <c r="AY153" s="340"/>
      <c r="AZ153" s="340"/>
      <c r="BA153" s="340"/>
      <c r="BB153" s="340"/>
      <c r="BC153" s="340"/>
      <c r="BD153" s="340"/>
    </row>
    <row r="154" spans="3:56">
      <c r="C154" s="340"/>
      <c r="D154" s="340"/>
      <c r="E154" s="340"/>
      <c r="F154" s="340"/>
      <c r="G154" s="340"/>
      <c r="H154" s="340"/>
      <c r="I154" s="340"/>
      <c r="J154" s="340"/>
      <c r="K154" s="340"/>
      <c r="L154" s="340"/>
      <c r="M154" s="340"/>
      <c r="N154" s="340"/>
      <c r="O154" s="340"/>
      <c r="P154" s="340"/>
      <c r="Q154" s="340"/>
      <c r="R154" s="340"/>
      <c r="S154" s="340"/>
      <c r="T154" s="340"/>
      <c r="U154" s="340"/>
      <c r="V154" s="340"/>
      <c r="W154" s="340"/>
      <c r="X154" s="340"/>
      <c r="Y154" s="340"/>
      <c r="Z154" s="340"/>
      <c r="AA154" s="340"/>
      <c r="AB154" s="340"/>
      <c r="AC154" s="340"/>
      <c r="AD154" s="340"/>
      <c r="AE154" s="340"/>
      <c r="AF154" s="340"/>
      <c r="AG154" s="340"/>
      <c r="AH154" s="340"/>
      <c r="AI154" s="340"/>
      <c r="AJ154" s="340"/>
      <c r="AK154" s="340"/>
      <c r="AL154" s="340"/>
      <c r="AM154" s="340"/>
      <c r="AN154" s="340"/>
      <c r="AO154" s="340"/>
      <c r="AP154" s="340"/>
      <c r="AQ154" s="340"/>
      <c r="AR154" s="340"/>
      <c r="AS154" s="340"/>
      <c r="AT154" s="340"/>
      <c r="AU154" s="340"/>
      <c r="AV154" s="340"/>
      <c r="AW154" s="340"/>
      <c r="AX154" s="340"/>
      <c r="AY154" s="340"/>
      <c r="AZ154" s="340"/>
      <c r="BA154" s="340"/>
      <c r="BB154" s="340"/>
      <c r="BC154" s="340"/>
      <c r="BD154" s="340"/>
    </row>
    <row r="155" spans="3:56">
      <c r="C155" s="340"/>
      <c r="D155" s="340"/>
      <c r="E155" s="340"/>
      <c r="F155" s="340"/>
      <c r="G155" s="340"/>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c r="AI155" s="340"/>
      <c r="AJ155" s="340"/>
      <c r="AK155" s="340"/>
      <c r="AL155" s="340"/>
      <c r="AM155" s="340"/>
      <c r="AN155" s="340"/>
      <c r="AO155" s="340"/>
      <c r="AP155" s="340"/>
      <c r="AQ155" s="340"/>
      <c r="AR155" s="340"/>
      <c r="AS155" s="340"/>
      <c r="AT155" s="340"/>
      <c r="AU155" s="340"/>
      <c r="AV155" s="340"/>
      <c r="AW155" s="340"/>
      <c r="AX155" s="340"/>
      <c r="AY155" s="340"/>
      <c r="AZ155" s="340"/>
      <c r="BA155" s="340"/>
      <c r="BB155" s="340"/>
      <c r="BC155" s="340"/>
      <c r="BD155" s="340"/>
    </row>
    <row r="156" spans="3:56">
      <c r="C156" s="340"/>
      <c r="D156" s="340"/>
      <c r="E156" s="340"/>
      <c r="F156" s="340"/>
      <c r="G156" s="340"/>
      <c r="H156" s="340"/>
      <c r="I156" s="340"/>
      <c r="J156" s="340"/>
      <c r="K156" s="340"/>
      <c r="L156" s="340"/>
      <c r="M156" s="340"/>
      <c r="N156" s="340"/>
      <c r="O156" s="340"/>
      <c r="P156" s="340"/>
      <c r="Q156" s="340"/>
      <c r="R156" s="340"/>
      <c r="S156" s="340"/>
      <c r="T156" s="340"/>
      <c r="U156" s="340"/>
      <c r="V156" s="340"/>
      <c r="W156" s="340"/>
      <c r="X156" s="340"/>
      <c r="Y156" s="340"/>
      <c r="Z156" s="340"/>
      <c r="AA156" s="340"/>
      <c r="AB156" s="340"/>
      <c r="AC156" s="340"/>
      <c r="AD156" s="340"/>
      <c r="AE156" s="340"/>
      <c r="AF156" s="340"/>
      <c r="AG156" s="340"/>
      <c r="AH156" s="340"/>
      <c r="AI156" s="340"/>
      <c r="AJ156" s="340"/>
      <c r="AK156" s="340"/>
      <c r="AL156" s="340"/>
      <c r="AM156" s="340"/>
      <c r="AN156" s="340"/>
      <c r="AO156" s="340"/>
      <c r="AP156" s="340"/>
      <c r="AQ156" s="340"/>
      <c r="AR156" s="340"/>
      <c r="AS156" s="340"/>
      <c r="AT156" s="340"/>
      <c r="AU156" s="340"/>
      <c r="AV156" s="340"/>
      <c r="AW156" s="340"/>
      <c r="AX156" s="340"/>
      <c r="AY156" s="340"/>
      <c r="AZ156" s="340"/>
      <c r="BA156" s="340"/>
      <c r="BB156" s="340"/>
      <c r="BC156" s="340"/>
      <c r="BD156" s="340"/>
    </row>
    <row r="157" spans="3:56">
      <c r="C157" s="340"/>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0"/>
      <c r="AY157" s="340"/>
      <c r="AZ157" s="340"/>
      <c r="BA157" s="340"/>
      <c r="BB157" s="340"/>
      <c r="BC157" s="340"/>
      <c r="BD157" s="340"/>
    </row>
    <row r="158" spans="3:56">
      <c r="C158" s="340"/>
      <c r="D158" s="340"/>
      <c r="E158" s="340"/>
      <c r="F158" s="340"/>
      <c r="G158" s="340"/>
      <c r="H158" s="340"/>
      <c r="I158" s="340"/>
      <c r="J158" s="340"/>
      <c r="K158" s="340"/>
      <c r="L158" s="340"/>
      <c r="M158" s="340"/>
      <c r="N158" s="340"/>
      <c r="O158" s="340"/>
      <c r="P158" s="340"/>
      <c r="Q158" s="340"/>
      <c r="R158" s="340"/>
      <c r="S158" s="340"/>
      <c r="T158" s="340"/>
      <c r="U158" s="340"/>
      <c r="V158" s="340"/>
      <c r="W158" s="340"/>
      <c r="X158" s="340"/>
      <c r="Y158" s="340"/>
      <c r="Z158" s="340"/>
      <c r="AA158" s="340"/>
      <c r="AB158" s="340"/>
      <c r="AC158" s="340"/>
      <c r="AD158" s="340"/>
      <c r="AE158" s="340"/>
      <c r="AF158" s="340"/>
      <c r="AG158" s="340"/>
      <c r="AH158" s="340"/>
      <c r="AI158" s="340"/>
      <c r="AJ158" s="340"/>
      <c r="AK158" s="340"/>
      <c r="AL158" s="340"/>
      <c r="AM158" s="340"/>
      <c r="AN158" s="340"/>
      <c r="AO158" s="340"/>
      <c r="AP158" s="340"/>
      <c r="AQ158" s="340"/>
      <c r="AR158" s="340"/>
      <c r="AS158" s="340"/>
      <c r="AT158" s="340"/>
      <c r="AU158" s="340"/>
      <c r="AV158" s="340"/>
      <c r="AW158" s="340"/>
      <c r="AX158" s="340"/>
      <c r="AY158" s="340"/>
      <c r="AZ158" s="340"/>
      <c r="BA158" s="340"/>
      <c r="BB158" s="340"/>
      <c r="BC158" s="340"/>
      <c r="BD158" s="340"/>
    </row>
    <row r="159" spans="3:56">
      <c r="C159" s="340"/>
      <c r="D159" s="340"/>
      <c r="E159" s="340"/>
      <c r="F159" s="340"/>
      <c r="G159" s="340"/>
      <c r="H159" s="340"/>
      <c r="I159" s="340"/>
      <c r="J159" s="340"/>
      <c r="K159" s="340"/>
      <c r="L159" s="340"/>
      <c r="M159" s="340"/>
      <c r="N159" s="340"/>
      <c r="O159" s="340"/>
      <c r="P159" s="340"/>
      <c r="Q159" s="340"/>
      <c r="R159" s="340"/>
      <c r="S159" s="340"/>
      <c r="T159" s="340"/>
      <c r="U159" s="340"/>
      <c r="V159" s="340"/>
      <c r="W159" s="340"/>
      <c r="X159" s="340"/>
      <c r="Y159" s="340"/>
      <c r="Z159" s="340"/>
      <c r="AA159" s="340"/>
      <c r="AB159" s="340"/>
      <c r="AC159" s="340"/>
      <c r="AD159" s="340"/>
      <c r="AE159" s="340"/>
      <c r="AF159" s="340"/>
      <c r="AG159" s="340"/>
      <c r="AH159" s="340"/>
      <c r="AI159" s="340"/>
      <c r="AJ159" s="340"/>
      <c r="AK159" s="340"/>
      <c r="AL159" s="340"/>
      <c r="AM159" s="340"/>
      <c r="AN159" s="340"/>
      <c r="AO159" s="340"/>
      <c r="AP159" s="340"/>
      <c r="AQ159" s="340"/>
      <c r="AR159" s="340"/>
      <c r="AS159" s="340"/>
      <c r="AT159" s="340"/>
      <c r="AU159" s="340"/>
      <c r="AV159" s="340"/>
      <c r="AW159" s="340"/>
      <c r="AX159" s="340"/>
      <c r="AY159" s="340"/>
      <c r="AZ159" s="340"/>
      <c r="BA159" s="340"/>
      <c r="BB159" s="340"/>
      <c r="BC159" s="340"/>
      <c r="BD159" s="340"/>
    </row>
    <row r="160" spans="3:56">
      <c r="C160" s="340"/>
      <c r="D160" s="340"/>
      <c r="E160" s="340"/>
      <c r="F160" s="340"/>
      <c r="G160" s="340"/>
      <c r="H160" s="340"/>
      <c r="I160" s="340"/>
      <c r="J160" s="340"/>
      <c r="K160" s="340"/>
      <c r="L160" s="340"/>
      <c r="M160" s="340"/>
      <c r="N160" s="340"/>
      <c r="O160" s="340"/>
      <c r="P160" s="340"/>
      <c r="Q160" s="340"/>
      <c r="R160" s="340"/>
      <c r="S160" s="340"/>
      <c r="T160" s="340"/>
      <c r="U160" s="340"/>
      <c r="V160" s="340"/>
      <c r="W160" s="340"/>
      <c r="X160" s="340"/>
      <c r="Y160" s="340"/>
      <c r="Z160" s="340"/>
      <c r="AA160" s="340"/>
      <c r="AB160" s="340"/>
      <c r="AC160" s="340"/>
      <c r="AD160" s="340"/>
      <c r="AE160" s="340"/>
      <c r="AF160" s="340"/>
      <c r="AG160" s="340"/>
      <c r="AH160" s="340"/>
      <c r="AI160" s="340"/>
      <c r="AJ160" s="340"/>
      <c r="AK160" s="340"/>
      <c r="AL160" s="340"/>
      <c r="AM160" s="340"/>
      <c r="AN160" s="340"/>
      <c r="AO160" s="340"/>
      <c r="AP160" s="340"/>
      <c r="AQ160" s="340"/>
      <c r="AR160" s="340"/>
      <c r="AS160" s="340"/>
      <c r="AT160" s="340"/>
      <c r="AU160" s="340"/>
      <c r="AV160" s="340"/>
      <c r="AW160" s="340"/>
      <c r="AX160" s="340"/>
      <c r="AY160" s="340"/>
      <c r="AZ160" s="340"/>
      <c r="BA160" s="340"/>
      <c r="BB160" s="340"/>
      <c r="BC160" s="340"/>
      <c r="BD160" s="340"/>
    </row>
    <row r="161" spans="3:56">
      <c r="C161" s="340"/>
      <c r="D161" s="340"/>
      <c r="E161" s="340"/>
      <c r="F161" s="340"/>
      <c r="G161" s="340"/>
      <c r="H161" s="340"/>
      <c r="I161" s="340"/>
      <c r="J161" s="340"/>
      <c r="K161" s="340"/>
      <c r="L161" s="340"/>
      <c r="M161" s="340"/>
      <c r="N161" s="340"/>
      <c r="O161" s="340"/>
      <c r="P161" s="340"/>
      <c r="Q161" s="340"/>
      <c r="R161" s="340"/>
      <c r="S161" s="340"/>
      <c r="T161" s="340"/>
      <c r="U161" s="340"/>
      <c r="V161" s="340"/>
      <c r="W161" s="340"/>
      <c r="X161" s="340"/>
      <c r="Y161" s="340"/>
      <c r="Z161" s="340"/>
      <c r="AA161" s="340"/>
      <c r="AB161" s="340"/>
      <c r="AC161" s="340"/>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0"/>
      <c r="AY161" s="340"/>
      <c r="AZ161" s="340"/>
      <c r="BA161" s="340"/>
      <c r="BB161" s="340"/>
      <c r="BC161" s="340"/>
      <c r="BD161" s="340"/>
    </row>
    <row r="162" spans="3:56">
      <c r="C162" s="340"/>
      <c r="D162" s="340"/>
      <c r="E162" s="340"/>
      <c r="F162" s="340"/>
      <c r="G162" s="340"/>
      <c r="H162" s="340"/>
      <c r="I162" s="340"/>
      <c r="J162" s="340"/>
      <c r="K162" s="340"/>
      <c r="L162" s="340"/>
      <c r="M162" s="340"/>
      <c r="N162" s="340"/>
      <c r="O162" s="340"/>
      <c r="P162" s="340"/>
      <c r="Q162" s="340"/>
      <c r="R162" s="340"/>
      <c r="S162" s="340"/>
      <c r="T162" s="340"/>
      <c r="U162" s="340"/>
      <c r="V162" s="340"/>
      <c r="W162" s="340"/>
      <c r="X162" s="340"/>
      <c r="Y162" s="340"/>
      <c r="Z162" s="340"/>
      <c r="AA162" s="340"/>
      <c r="AB162" s="340"/>
      <c r="AC162" s="340"/>
      <c r="AD162" s="340"/>
      <c r="AE162" s="340"/>
      <c r="AF162" s="340"/>
      <c r="AG162" s="340"/>
      <c r="AH162" s="340"/>
      <c r="AI162" s="340"/>
      <c r="AJ162" s="340"/>
      <c r="AK162" s="340"/>
      <c r="AL162" s="340"/>
      <c r="AM162" s="340"/>
      <c r="AN162" s="340"/>
      <c r="AO162" s="340"/>
      <c r="AP162" s="340"/>
      <c r="AQ162" s="340"/>
      <c r="AR162" s="340"/>
      <c r="AS162" s="340"/>
      <c r="AT162" s="340"/>
      <c r="AU162" s="340"/>
      <c r="AV162" s="340"/>
      <c r="AW162" s="340"/>
      <c r="AX162" s="340"/>
      <c r="AY162" s="340"/>
      <c r="AZ162" s="340"/>
      <c r="BA162" s="340"/>
      <c r="BB162" s="340"/>
      <c r="BC162" s="340"/>
      <c r="BD162" s="340"/>
    </row>
    <row r="163" spans="3:56">
      <c r="C163" s="340"/>
      <c r="D163" s="340"/>
      <c r="E163" s="340"/>
      <c r="F163" s="340"/>
      <c r="G163" s="340"/>
      <c r="H163" s="340"/>
      <c r="I163" s="340"/>
      <c r="J163" s="340"/>
      <c r="K163" s="340"/>
      <c r="L163" s="340"/>
      <c r="M163" s="340"/>
      <c r="N163" s="340"/>
      <c r="O163" s="340"/>
      <c r="P163" s="340"/>
      <c r="Q163" s="340"/>
      <c r="R163" s="340"/>
      <c r="S163" s="340"/>
      <c r="T163" s="340"/>
      <c r="U163" s="340"/>
      <c r="V163" s="340"/>
      <c r="W163" s="340"/>
      <c r="X163" s="340"/>
      <c r="Y163" s="340"/>
      <c r="Z163" s="340"/>
      <c r="AA163" s="340"/>
      <c r="AB163" s="340"/>
      <c r="AC163" s="340"/>
      <c r="AD163" s="340"/>
      <c r="AE163" s="340"/>
      <c r="AF163" s="340"/>
      <c r="AG163" s="340"/>
      <c r="AH163" s="340"/>
      <c r="AI163" s="340"/>
      <c r="AJ163" s="340"/>
      <c r="AK163" s="340"/>
      <c r="AL163" s="340"/>
      <c r="AM163" s="340"/>
      <c r="AN163" s="340"/>
      <c r="AO163" s="340"/>
      <c r="AP163" s="340"/>
      <c r="AQ163" s="340"/>
      <c r="AR163" s="340"/>
      <c r="AS163" s="340"/>
      <c r="AT163" s="340"/>
      <c r="AU163" s="340"/>
      <c r="AV163" s="340"/>
      <c r="AW163" s="340"/>
      <c r="AX163" s="340"/>
      <c r="AY163" s="340"/>
      <c r="AZ163" s="340"/>
      <c r="BA163" s="340"/>
      <c r="BB163" s="340"/>
      <c r="BC163" s="340"/>
      <c r="BD163" s="340"/>
    </row>
    <row r="164" spans="3:56">
      <c r="C164" s="340"/>
      <c r="D164" s="340"/>
      <c r="E164" s="340"/>
      <c r="F164" s="340"/>
      <c r="G164" s="340"/>
      <c r="H164" s="340"/>
      <c r="I164" s="340"/>
      <c r="J164" s="340"/>
      <c r="K164" s="340"/>
      <c r="L164" s="340"/>
      <c r="M164" s="340"/>
      <c r="N164" s="340"/>
      <c r="O164" s="340"/>
      <c r="P164" s="340"/>
      <c r="Q164" s="340"/>
      <c r="R164" s="340"/>
      <c r="S164" s="340"/>
      <c r="T164" s="340"/>
      <c r="U164" s="340"/>
      <c r="V164" s="340"/>
      <c r="W164" s="340"/>
      <c r="X164" s="340"/>
      <c r="Y164" s="340"/>
      <c r="Z164" s="340"/>
      <c r="AA164" s="340"/>
      <c r="AB164" s="340"/>
      <c r="AC164" s="340"/>
      <c r="AD164" s="340"/>
      <c r="AE164" s="340"/>
      <c r="AF164" s="340"/>
      <c r="AG164" s="340"/>
      <c r="AH164" s="340"/>
      <c r="AI164" s="340"/>
      <c r="AJ164" s="340"/>
      <c r="AK164" s="340"/>
      <c r="AL164" s="340"/>
      <c r="AM164" s="340"/>
      <c r="AN164" s="340"/>
      <c r="AO164" s="340"/>
      <c r="AP164" s="340"/>
      <c r="AQ164" s="340"/>
      <c r="AR164" s="340"/>
      <c r="AS164" s="340"/>
      <c r="AT164" s="340"/>
      <c r="AU164" s="340"/>
      <c r="AV164" s="340"/>
      <c r="AW164" s="340"/>
      <c r="AX164" s="340"/>
      <c r="AY164" s="340"/>
      <c r="AZ164" s="340"/>
      <c r="BA164" s="340"/>
      <c r="BB164" s="340"/>
      <c r="BC164" s="340"/>
      <c r="BD164" s="340"/>
    </row>
    <row r="165" spans="3:56">
      <c r="C165" s="340"/>
      <c r="D165" s="340"/>
      <c r="E165" s="340"/>
      <c r="F165" s="340"/>
      <c r="G165" s="340"/>
      <c r="H165" s="340"/>
      <c r="I165" s="340"/>
      <c r="J165" s="340"/>
      <c r="K165" s="340"/>
      <c r="L165" s="340"/>
      <c r="M165" s="340"/>
      <c r="N165" s="340"/>
      <c r="O165" s="340"/>
      <c r="P165" s="340"/>
      <c r="Q165" s="340"/>
      <c r="R165" s="340"/>
      <c r="S165" s="340"/>
      <c r="T165" s="340"/>
      <c r="U165" s="340"/>
      <c r="V165" s="340"/>
      <c r="W165" s="340"/>
      <c r="X165" s="340"/>
      <c r="Y165" s="340"/>
      <c r="Z165" s="340"/>
      <c r="AA165" s="340"/>
      <c r="AB165" s="340"/>
      <c r="AC165" s="340"/>
      <c r="AD165" s="340"/>
      <c r="AE165" s="340"/>
      <c r="AF165" s="340"/>
      <c r="AG165" s="340"/>
      <c r="AH165" s="340"/>
      <c r="AI165" s="340"/>
      <c r="AJ165" s="340"/>
      <c r="AK165" s="340"/>
      <c r="AL165" s="340"/>
      <c r="AM165" s="340"/>
      <c r="AN165" s="340"/>
      <c r="AO165" s="340"/>
      <c r="AP165" s="340"/>
      <c r="AQ165" s="340"/>
      <c r="AR165" s="340"/>
      <c r="AS165" s="340"/>
      <c r="AT165" s="340"/>
      <c r="AU165" s="340"/>
      <c r="AV165" s="340"/>
      <c r="AW165" s="340"/>
      <c r="AX165" s="340"/>
      <c r="AY165" s="340"/>
      <c r="AZ165" s="340"/>
      <c r="BA165" s="340"/>
      <c r="BB165" s="340"/>
      <c r="BC165" s="340"/>
      <c r="BD165" s="340"/>
    </row>
    <row r="166" spans="3:56">
      <c r="C166" s="340"/>
      <c r="D166" s="340"/>
      <c r="E166" s="340"/>
      <c r="F166" s="340"/>
      <c r="G166" s="340"/>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c r="AG166" s="340"/>
      <c r="AH166" s="340"/>
      <c r="AI166" s="340"/>
      <c r="AJ166" s="340"/>
      <c r="AK166" s="340"/>
      <c r="AL166" s="340"/>
      <c r="AM166" s="340"/>
      <c r="AN166" s="340"/>
      <c r="AO166" s="340"/>
      <c r="AP166" s="340"/>
      <c r="AQ166" s="340"/>
      <c r="AR166" s="340"/>
      <c r="AS166" s="340"/>
      <c r="AT166" s="340"/>
      <c r="AU166" s="340"/>
      <c r="AV166" s="340"/>
      <c r="AW166" s="340"/>
      <c r="AX166" s="340"/>
      <c r="AY166" s="340"/>
      <c r="AZ166" s="340"/>
      <c r="BA166" s="340"/>
      <c r="BB166" s="340"/>
      <c r="BC166" s="340"/>
      <c r="BD166" s="340"/>
    </row>
    <row r="167" spans="3:56">
      <c r="C167" s="340"/>
      <c r="D167" s="340"/>
      <c r="E167" s="340"/>
      <c r="F167" s="340"/>
      <c r="G167" s="340"/>
      <c r="H167" s="340"/>
      <c r="I167" s="340"/>
      <c r="J167" s="340"/>
      <c r="K167" s="340"/>
      <c r="L167" s="340"/>
      <c r="M167" s="340"/>
      <c r="N167" s="340"/>
      <c r="O167" s="340"/>
      <c r="P167" s="340"/>
      <c r="Q167" s="340"/>
      <c r="R167" s="340"/>
      <c r="S167" s="340"/>
      <c r="T167" s="340"/>
      <c r="U167" s="340"/>
      <c r="V167" s="340"/>
      <c r="W167" s="340"/>
      <c r="X167" s="340"/>
      <c r="Y167" s="340"/>
      <c r="Z167" s="340"/>
      <c r="AA167" s="340"/>
      <c r="AB167" s="340"/>
      <c r="AC167" s="340"/>
      <c r="AD167" s="340"/>
      <c r="AE167" s="340"/>
      <c r="AF167" s="340"/>
      <c r="AG167" s="340"/>
      <c r="AH167" s="340"/>
      <c r="AI167" s="340"/>
      <c r="AJ167" s="340"/>
      <c r="AK167" s="340"/>
      <c r="AL167" s="340"/>
      <c r="AM167" s="340"/>
      <c r="AN167" s="340"/>
      <c r="AO167" s="340"/>
      <c r="AP167" s="340"/>
      <c r="AQ167" s="340"/>
      <c r="AR167" s="340"/>
      <c r="AS167" s="340"/>
      <c r="AT167" s="340"/>
      <c r="AU167" s="340"/>
      <c r="AV167" s="340"/>
      <c r="AW167" s="340"/>
      <c r="AX167" s="340"/>
      <c r="AY167" s="340"/>
      <c r="AZ167" s="340"/>
      <c r="BA167" s="340"/>
      <c r="BB167" s="340"/>
      <c r="BC167" s="340"/>
      <c r="BD167" s="340"/>
    </row>
    <row r="168" spans="3:56">
      <c r="C168" s="340"/>
      <c r="D168" s="340"/>
      <c r="E168" s="340"/>
      <c r="F168" s="340"/>
      <c r="G168" s="340"/>
      <c r="H168" s="340"/>
      <c r="I168" s="340"/>
      <c r="J168" s="340"/>
      <c r="K168" s="340"/>
      <c r="L168" s="340"/>
      <c r="M168" s="340"/>
      <c r="N168" s="340"/>
      <c r="O168" s="340"/>
      <c r="P168" s="340"/>
      <c r="Q168" s="340"/>
      <c r="R168" s="340"/>
      <c r="S168" s="340"/>
      <c r="T168" s="340"/>
      <c r="U168" s="340"/>
      <c r="V168" s="340"/>
      <c r="W168" s="340"/>
      <c r="X168" s="340"/>
      <c r="Y168" s="340"/>
      <c r="Z168" s="340"/>
      <c r="AA168" s="340"/>
      <c r="AB168" s="340"/>
      <c r="AC168" s="340"/>
      <c r="AD168" s="340"/>
      <c r="AE168" s="340"/>
      <c r="AF168" s="340"/>
      <c r="AG168" s="340"/>
      <c r="AH168" s="340"/>
      <c r="AI168" s="340"/>
      <c r="AJ168" s="340"/>
      <c r="AK168" s="340"/>
      <c r="AL168" s="340"/>
      <c r="AM168" s="340"/>
      <c r="AN168" s="340"/>
      <c r="AO168" s="340"/>
      <c r="AP168" s="340"/>
      <c r="AQ168" s="340"/>
      <c r="AR168" s="340"/>
      <c r="AS168" s="340"/>
      <c r="AT168" s="340"/>
      <c r="AU168" s="340"/>
      <c r="AV168" s="340"/>
      <c r="AW168" s="340"/>
      <c r="AX168" s="340"/>
      <c r="AY168" s="340"/>
      <c r="AZ168" s="340"/>
      <c r="BA168" s="340"/>
      <c r="BB168" s="340"/>
      <c r="BC168" s="340"/>
      <c r="BD168" s="340"/>
    </row>
    <row r="169" spans="3:56">
      <c r="C169" s="340"/>
      <c r="D169" s="340"/>
      <c r="E169" s="340"/>
      <c r="F169" s="340"/>
      <c r="G169" s="340"/>
      <c r="H169" s="340"/>
      <c r="I169" s="340"/>
      <c r="J169" s="340"/>
      <c r="K169" s="340"/>
      <c r="L169" s="340"/>
      <c r="M169" s="340"/>
      <c r="N169" s="340"/>
      <c r="O169" s="340"/>
      <c r="P169" s="340"/>
      <c r="Q169" s="340"/>
      <c r="R169" s="340"/>
      <c r="S169" s="340"/>
      <c r="T169" s="340"/>
      <c r="U169" s="340"/>
      <c r="V169" s="340"/>
      <c r="W169" s="340"/>
      <c r="X169" s="340"/>
      <c r="Y169" s="340"/>
      <c r="Z169" s="340"/>
      <c r="AA169" s="340"/>
      <c r="AB169" s="340"/>
      <c r="AC169" s="340"/>
      <c r="AD169" s="340"/>
      <c r="AE169" s="340"/>
      <c r="AF169" s="340"/>
      <c r="AG169" s="340"/>
      <c r="AH169" s="340"/>
      <c r="AI169" s="340"/>
      <c r="AJ169" s="340"/>
      <c r="AK169" s="340"/>
      <c r="AL169" s="340"/>
      <c r="AM169" s="340"/>
      <c r="AN169" s="340"/>
      <c r="AO169" s="340"/>
      <c r="AP169" s="340"/>
      <c r="AQ169" s="340"/>
      <c r="AR169" s="340"/>
      <c r="AS169" s="340"/>
      <c r="AT169" s="340"/>
      <c r="AU169" s="340"/>
      <c r="AV169" s="340"/>
      <c r="AW169" s="340"/>
      <c r="AX169" s="340"/>
      <c r="AY169" s="340"/>
      <c r="AZ169" s="340"/>
      <c r="BA169" s="340"/>
      <c r="BB169" s="340"/>
      <c r="BC169" s="340"/>
      <c r="BD169" s="340"/>
    </row>
    <row r="170" spans="3:56">
      <c r="C170" s="340"/>
      <c r="D170" s="340"/>
      <c r="E170" s="340"/>
      <c r="F170" s="340"/>
      <c r="G170" s="340"/>
      <c r="H170" s="340"/>
      <c r="I170" s="340"/>
      <c r="J170" s="340"/>
      <c r="K170" s="340"/>
      <c r="L170" s="340"/>
      <c r="M170" s="340"/>
      <c r="N170" s="340"/>
      <c r="O170" s="340"/>
      <c r="P170" s="340"/>
      <c r="Q170" s="340"/>
      <c r="R170" s="340"/>
      <c r="S170" s="340"/>
      <c r="T170" s="340"/>
      <c r="U170" s="340"/>
      <c r="V170" s="340"/>
      <c r="W170" s="340"/>
      <c r="X170" s="340"/>
      <c r="Y170" s="340"/>
      <c r="Z170" s="340"/>
      <c r="AA170" s="340"/>
      <c r="AB170" s="340"/>
      <c r="AC170" s="340"/>
      <c r="AD170" s="340"/>
      <c r="AE170" s="340"/>
      <c r="AF170" s="340"/>
      <c r="AG170" s="340"/>
      <c r="AH170" s="340"/>
      <c r="AI170" s="340"/>
      <c r="AJ170" s="340"/>
      <c r="AK170" s="340"/>
      <c r="AL170" s="340"/>
      <c r="AM170" s="340"/>
      <c r="AN170" s="340"/>
      <c r="AO170" s="340"/>
      <c r="AP170" s="340"/>
      <c r="AQ170" s="340"/>
      <c r="AR170" s="340"/>
      <c r="AS170" s="340"/>
      <c r="AT170" s="340"/>
      <c r="AU170" s="340"/>
      <c r="AV170" s="340"/>
      <c r="AW170" s="340"/>
      <c r="AX170" s="340"/>
      <c r="AY170" s="340"/>
      <c r="AZ170" s="340"/>
      <c r="BA170" s="340"/>
      <c r="BB170" s="340"/>
      <c r="BC170" s="340"/>
      <c r="BD170" s="340"/>
    </row>
    <row r="171" spans="3:56">
      <c r="C171" s="340"/>
      <c r="D171" s="340"/>
      <c r="E171" s="340"/>
      <c r="F171" s="340"/>
      <c r="G171" s="340"/>
      <c r="H171" s="340"/>
      <c r="I171" s="340"/>
      <c r="J171" s="340"/>
      <c r="K171" s="340"/>
      <c r="L171" s="340"/>
      <c r="M171" s="340"/>
      <c r="N171" s="340"/>
      <c r="O171" s="340"/>
      <c r="P171" s="340"/>
      <c r="Q171" s="340"/>
      <c r="R171" s="340"/>
      <c r="S171" s="340"/>
      <c r="T171" s="340"/>
      <c r="U171" s="340"/>
      <c r="V171" s="340"/>
      <c r="W171" s="340"/>
      <c r="X171" s="340"/>
      <c r="Y171" s="340"/>
      <c r="Z171" s="340"/>
      <c r="AA171" s="340"/>
      <c r="AB171" s="340"/>
      <c r="AC171" s="340"/>
      <c r="AD171" s="340"/>
      <c r="AE171" s="340"/>
      <c r="AF171" s="340"/>
      <c r="AG171" s="340"/>
      <c r="AH171" s="340"/>
      <c r="AI171" s="340"/>
      <c r="AJ171" s="340"/>
      <c r="AK171" s="340"/>
      <c r="AL171" s="340"/>
      <c r="AM171" s="340"/>
      <c r="AN171" s="340"/>
      <c r="AO171" s="340"/>
      <c r="AP171" s="340"/>
      <c r="AQ171" s="340"/>
      <c r="AR171" s="340"/>
      <c r="AS171" s="340"/>
      <c r="AT171" s="340"/>
      <c r="AU171" s="340"/>
      <c r="AV171" s="340"/>
      <c r="AW171" s="340"/>
      <c r="AX171" s="340"/>
      <c r="AY171" s="340"/>
      <c r="AZ171" s="340"/>
      <c r="BA171" s="340"/>
      <c r="BB171" s="340"/>
      <c r="BC171" s="340"/>
      <c r="BD171" s="340"/>
    </row>
    <row r="172" spans="3:56">
      <c r="C172" s="340"/>
      <c r="D172" s="340"/>
      <c r="E172" s="340"/>
      <c r="F172" s="340"/>
      <c r="G172" s="340"/>
      <c r="H172" s="340"/>
      <c r="I172" s="340"/>
      <c r="J172" s="340"/>
      <c r="K172" s="340"/>
      <c r="L172" s="340"/>
      <c r="M172" s="340"/>
      <c r="N172" s="340"/>
      <c r="O172" s="340"/>
      <c r="P172" s="340"/>
      <c r="Q172" s="340"/>
      <c r="R172" s="340"/>
      <c r="S172" s="340"/>
      <c r="T172" s="340"/>
      <c r="U172" s="340"/>
      <c r="V172" s="340"/>
      <c r="W172" s="340"/>
      <c r="X172" s="340"/>
      <c r="Y172" s="340"/>
      <c r="Z172" s="340"/>
      <c r="AA172" s="340"/>
      <c r="AB172" s="340"/>
      <c r="AC172" s="340"/>
      <c r="AD172" s="340"/>
      <c r="AE172" s="340"/>
      <c r="AF172" s="340"/>
      <c r="AG172" s="340"/>
      <c r="AH172" s="340"/>
      <c r="AI172" s="340"/>
      <c r="AJ172" s="340"/>
      <c r="AK172" s="340"/>
      <c r="AL172" s="340"/>
      <c r="AM172" s="340"/>
      <c r="AN172" s="340"/>
      <c r="AO172" s="340"/>
      <c r="AP172" s="340"/>
      <c r="AQ172" s="340"/>
      <c r="AR172" s="340"/>
      <c r="AS172" s="340"/>
      <c r="AT172" s="340"/>
      <c r="AU172" s="340"/>
      <c r="AV172" s="340"/>
      <c r="AW172" s="340"/>
      <c r="AX172" s="340"/>
      <c r="AY172" s="340"/>
      <c r="AZ172" s="340"/>
      <c r="BA172" s="340"/>
      <c r="BB172" s="340"/>
      <c r="BC172" s="340"/>
      <c r="BD172" s="340"/>
    </row>
    <row r="173" spans="3:56">
      <c r="C173" s="340"/>
      <c r="D173" s="340"/>
      <c r="E173" s="340"/>
      <c r="F173" s="340"/>
      <c r="G173" s="340"/>
      <c r="H173" s="340"/>
      <c r="I173" s="340"/>
      <c r="J173" s="340"/>
      <c r="K173" s="340"/>
      <c r="L173" s="340"/>
      <c r="M173" s="340"/>
      <c r="N173" s="340"/>
      <c r="O173" s="340"/>
      <c r="P173" s="340"/>
      <c r="Q173" s="340"/>
      <c r="R173" s="340"/>
      <c r="S173" s="340"/>
      <c r="T173" s="340"/>
      <c r="U173" s="340"/>
      <c r="V173" s="340"/>
      <c r="W173" s="340"/>
      <c r="X173" s="340"/>
      <c r="Y173" s="340"/>
      <c r="Z173" s="340"/>
      <c r="AA173" s="340"/>
      <c r="AB173" s="340"/>
      <c r="AC173" s="340"/>
      <c r="AD173" s="340"/>
      <c r="AE173" s="340"/>
      <c r="AF173" s="340"/>
      <c r="AG173" s="340"/>
      <c r="AH173" s="340"/>
      <c r="AI173" s="340"/>
      <c r="AJ173" s="340"/>
      <c r="AK173" s="340"/>
      <c r="AL173" s="340"/>
      <c r="AM173" s="340"/>
      <c r="AN173" s="340"/>
      <c r="AO173" s="340"/>
      <c r="AP173" s="340"/>
      <c r="AQ173" s="340"/>
      <c r="AR173" s="340"/>
      <c r="AS173" s="340"/>
      <c r="AT173" s="340"/>
      <c r="AU173" s="340"/>
      <c r="AV173" s="340"/>
      <c r="AW173" s="340"/>
      <c r="AX173" s="340"/>
      <c r="AY173" s="340"/>
      <c r="AZ173" s="340"/>
      <c r="BA173" s="340"/>
      <c r="BB173" s="340"/>
      <c r="BC173" s="340"/>
      <c r="BD173" s="340"/>
    </row>
    <row r="174" spans="3:56">
      <c r="C174" s="340"/>
      <c r="D174" s="340"/>
      <c r="E174" s="340"/>
      <c r="F174" s="340"/>
      <c r="G174" s="340"/>
      <c r="H174" s="340"/>
      <c r="I174" s="340"/>
      <c r="J174" s="340"/>
      <c r="K174" s="340"/>
      <c r="L174" s="340"/>
      <c r="M174" s="340"/>
      <c r="N174" s="340"/>
      <c r="O174" s="340"/>
      <c r="P174" s="340"/>
      <c r="Q174" s="340"/>
      <c r="R174" s="340"/>
      <c r="S174" s="340"/>
      <c r="T174" s="340"/>
      <c r="U174" s="340"/>
      <c r="V174" s="340"/>
      <c r="W174" s="340"/>
      <c r="X174" s="340"/>
      <c r="Y174" s="340"/>
      <c r="Z174" s="340"/>
      <c r="AA174" s="340"/>
      <c r="AB174" s="340"/>
      <c r="AC174" s="340"/>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0"/>
      <c r="AY174" s="340"/>
      <c r="AZ174" s="340"/>
      <c r="BA174" s="340"/>
      <c r="BB174" s="340"/>
      <c r="BC174" s="340"/>
      <c r="BD174" s="340"/>
    </row>
    <row r="175" spans="3:56">
      <c r="C175" s="340"/>
      <c r="D175" s="340"/>
      <c r="E175" s="340"/>
      <c r="F175" s="340"/>
      <c r="G175" s="340"/>
      <c r="H175" s="340"/>
      <c r="I175" s="340"/>
      <c r="J175" s="340"/>
      <c r="K175" s="340"/>
      <c r="L175" s="340"/>
      <c r="M175" s="340"/>
      <c r="N175" s="340"/>
      <c r="O175" s="340"/>
      <c r="P175" s="340"/>
      <c r="Q175" s="340"/>
      <c r="R175" s="340"/>
      <c r="S175" s="340"/>
      <c r="T175" s="340"/>
      <c r="U175" s="340"/>
      <c r="V175" s="340"/>
      <c r="W175" s="340"/>
      <c r="X175" s="340"/>
      <c r="Y175" s="340"/>
      <c r="Z175" s="340"/>
      <c r="AA175" s="340"/>
      <c r="AB175" s="340"/>
      <c r="AC175" s="340"/>
      <c r="AD175" s="340"/>
      <c r="AE175" s="340"/>
      <c r="AF175" s="340"/>
      <c r="AG175" s="340"/>
      <c r="AH175" s="340"/>
      <c r="AI175" s="340"/>
      <c r="AJ175" s="340"/>
      <c r="AK175" s="340"/>
      <c r="AL175" s="340"/>
      <c r="AM175" s="340"/>
      <c r="AN175" s="340"/>
      <c r="AO175" s="340"/>
      <c r="AP175" s="340"/>
      <c r="AQ175" s="340"/>
      <c r="AR175" s="340"/>
      <c r="AS175" s="340"/>
      <c r="AT175" s="340"/>
      <c r="AU175" s="340"/>
      <c r="AV175" s="340"/>
      <c r="AW175" s="340"/>
      <c r="AX175" s="340"/>
      <c r="AY175" s="340"/>
      <c r="AZ175" s="340"/>
      <c r="BA175" s="340"/>
      <c r="BB175" s="340"/>
      <c r="BC175" s="340"/>
      <c r="BD175" s="340"/>
    </row>
    <row r="176" spans="3:56">
      <c r="C176" s="340"/>
      <c r="D176" s="340"/>
      <c r="E176" s="340"/>
      <c r="F176" s="340"/>
      <c r="G176" s="340"/>
      <c r="H176" s="340"/>
      <c r="I176" s="340"/>
      <c r="J176" s="340"/>
      <c r="K176" s="340"/>
      <c r="L176" s="340"/>
      <c r="M176" s="340"/>
      <c r="N176" s="340"/>
      <c r="O176" s="340"/>
      <c r="P176" s="340"/>
      <c r="Q176" s="340"/>
      <c r="R176" s="340"/>
      <c r="S176" s="340"/>
      <c r="T176" s="340"/>
      <c r="U176" s="340"/>
      <c r="V176" s="340"/>
      <c r="W176" s="340"/>
      <c r="X176" s="340"/>
      <c r="Y176" s="340"/>
      <c r="Z176" s="340"/>
      <c r="AA176" s="340"/>
      <c r="AB176" s="340"/>
      <c r="AC176" s="340"/>
      <c r="AD176" s="340"/>
      <c r="AE176" s="340"/>
      <c r="AF176" s="340"/>
      <c r="AG176" s="340"/>
      <c r="AH176" s="340"/>
      <c r="AI176" s="340"/>
      <c r="AJ176" s="340"/>
      <c r="AK176" s="340"/>
      <c r="AL176" s="340"/>
      <c r="AM176" s="340"/>
      <c r="AN176" s="340"/>
      <c r="AO176" s="340"/>
      <c r="AP176" s="340"/>
      <c r="AQ176" s="340"/>
      <c r="AR176" s="340"/>
      <c r="AS176" s="340"/>
      <c r="AT176" s="340"/>
      <c r="AU176" s="340"/>
      <c r="AV176" s="340"/>
      <c r="AW176" s="340"/>
      <c r="AX176" s="340"/>
      <c r="AY176" s="340"/>
      <c r="AZ176" s="340"/>
      <c r="BA176" s="340"/>
      <c r="BB176" s="340"/>
      <c r="BC176" s="340"/>
      <c r="BD176" s="340"/>
    </row>
    <row r="177" spans="3:56">
      <c r="C177" s="340"/>
      <c r="D177" s="340"/>
      <c r="E177" s="340"/>
      <c r="F177" s="340"/>
      <c r="G177" s="340"/>
      <c r="H177" s="340"/>
      <c r="I177" s="340"/>
      <c r="J177" s="340"/>
      <c r="K177" s="340"/>
      <c r="L177" s="340"/>
      <c r="M177" s="340"/>
      <c r="N177" s="340"/>
      <c r="O177" s="340"/>
      <c r="P177" s="340"/>
      <c r="Q177" s="340"/>
      <c r="R177" s="340"/>
      <c r="S177" s="340"/>
      <c r="T177" s="340"/>
      <c r="U177" s="340"/>
      <c r="V177" s="340"/>
      <c r="W177" s="340"/>
      <c r="X177" s="340"/>
      <c r="Y177" s="340"/>
      <c r="Z177" s="340"/>
      <c r="AA177" s="340"/>
      <c r="AB177" s="340"/>
      <c r="AC177" s="340"/>
      <c r="AD177" s="340"/>
      <c r="AE177" s="340"/>
      <c r="AF177" s="340"/>
      <c r="AG177" s="340"/>
      <c r="AH177" s="340"/>
      <c r="AI177" s="340"/>
      <c r="AJ177" s="340"/>
      <c r="AK177" s="340"/>
      <c r="AL177" s="340"/>
      <c r="AM177" s="340"/>
      <c r="AN177" s="340"/>
      <c r="AO177" s="340"/>
      <c r="AP177" s="340"/>
      <c r="AQ177" s="340"/>
      <c r="AR177" s="340"/>
      <c r="AS177" s="340"/>
      <c r="AT177" s="340"/>
      <c r="AU177" s="340"/>
      <c r="AV177" s="340"/>
      <c r="AW177" s="340"/>
      <c r="AX177" s="340"/>
      <c r="AY177" s="340"/>
      <c r="AZ177" s="340"/>
      <c r="BA177" s="340"/>
      <c r="BB177" s="340"/>
      <c r="BC177" s="340"/>
      <c r="BD177" s="340"/>
    </row>
    <row r="178" spans="3:56">
      <c r="C178" s="340"/>
      <c r="D178" s="340"/>
      <c r="E178" s="340"/>
      <c r="F178" s="340"/>
      <c r="G178" s="340"/>
      <c r="H178" s="340"/>
      <c r="I178" s="340"/>
      <c r="J178" s="340"/>
      <c r="K178" s="340"/>
      <c r="L178" s="340"/>
      <c r="M178" s="340"/>
      <c r="N178" s="340"/>
      <c r="O178" s="340"/>
      <c r="P178" s="340"/>
      <c r="Q178" s="340"/>
      <c r="R178" s="340"/>
      <c r="S178" s="340"/>
      <c r="T178" s="340"/>
      <c r="U178" s="340"/>
      <c r="V178" s="340"/>
      <c r="W178" s="340"/>
      <c r="X178" s="340"/>
      <c r="Y178" s="340"/>
      <c r="Z178" s="340"/>
      <c r="AA178" s="340"/>
      <c r="AB178" s="340"/>
      <c r="AC178" s="340"/>
      <c r="AD178" s="340"/>
      <c r="AE178" s="340"/>
      <c r="AF178" s="340"/>
      <c r="AG178" s="340"/>
      <c r="AH178" s="340"/>
      <c r="AI178" s="340"/>
      <c r="AJ178" s="340"/>
      <c r="AK178" s="340"/>
      <c r="AL178" s="340"/>
      <c r="AM178" s="340"/>
      <c r="AN178" s="340"/>
      <c r="AO178" s="340"/>
      <c r="AP178" s="340"/>
      <c r="AQ178" s="340"/>
      <c r="AR178" s="340"/>
      <c r="AS178" s="340"/>
      <c r="AT178" s="340"/>
      <c r="AU178" s="340"/>
      <c r="AV178" s="340"/>
      <c r="AW178" s="340"/>
      <c r="AX178" s="340"/>
      <c r="AY178" s="340"/>
      <c r="AZ178" s="340"/>
      <c r="BA178" s="340"/>
      <c r="BB178" s="340"/>
      <c r="BC178" s="340"/>
      <c r="BD178" s="340"/>
    </row>
    <row r="179" spans="3:56">
      <c r="C179" s="340"/>
      <c r="D179" s="340"/>
      <c r="E179" s="340"/>
      <c r="F179" s="340"/>
      <c r="G179" s="340"/>
      <c r="H179" s="340"/>
      <c r="I179" s="340"/>
      <c r="J179" s="340"/>
      <c r="K179" s="340"/>
      <c r="L179" s="340"/>
      <c r="M179" s="340"/>
      <c r="N179" s="340"/>
      <c r="O179" s="340"/>
      <c r="P179" s="340"/>
      <c r="Q179" s="340"/>
      <c r="R179" s="340"/>
      <c r="S179" s="340"/>
      <c r="T179" s="340"/>
      <c r="U179" s="340"/>
      <c r="V179" s="340"/>
      <c r="W179" s="340"/>
      <c r="X179" s="340"/>
      <c r="Y179" s="340"/>
      <c r="Z179" s="340"/>
      <c r="AA179" s="340"/>
      <c r="AB179" s="340"/>
      <c r="AC179" s="340"/>
      <c r="AD179" s="340"/>
      <c r="AE179" s="340"/>
      <c r="AF179" s="340"/>
      <c r="AG179" s="340"/>
      <c r="AH179" s="340"/>
      <c r="AI179" s="340"/>
      <c r="AJ179" s="340"/>
      <c r="AK179" s="340"/>
      <c r="AL179" s="340"/>
      <c r="AM179" s="340"/>
      <c r="AN179" s="340"/>
      <c r="AO179" s="340"/>
      <c r="AP179" s="340"/>
      <c r="AQ179" s="340"/>
      <c r="AR179" s="340"/>
      <c r="AS179" s="340"/>
      <c r="AT179" s="340"/>
      <c r="AU179" s="340"/>
      <c r="AV179" s="340"/>
      <c r="AW179" s="340"/>
      <c r="AX179" s="340"/>
      <c r="AY179" s="340"/>
      <c r="AZ179" s="340"/>
      <c r="BA179" s="340"/>
      <c r="BB179" s="340"/>
      <c r="BC179" s="340"/>
      <c r="BD179" s="340"/>
    </row>
    <row r="180" spans="3:56">
      <c r="C180" s="340"/>
      <c r="D180" s="340"/>
      <c r="E180" s="340"/>
      <c r="F180" s="340"/>
      <c r="G180" s="340"/>
      <c r="H180" s="340"/>
      <c r="I180" s="340"/>
      <c r="J180" s="340"/>
      <c r="K180" s="340"/>
      <c r="L180" s="340"/>
      <c r="M180" s="340"/>
      <c r="N180" s="340"/>
      <c r="O180" s="340"/>
      <c r="P180" s="340"/>
      <c r="Q180" s="340"/>
      <c r="R180" s="340"/>
      <c r="S180" s="340"/>
      <c r="T180" s="340"/>
      <c r="U180" s="340"/>
      <c r="V180" s="340"/>
      <c r="W180" s="340"/>
      <c r="X180" s="340"/>
      <c r="Y180" s="340"/>
      <c r="Z180" s="340"/>
      <c r="AA180" s="340"/>
      <c r="AB180" s="340"/>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0"/>
      <c r="AY180" s="340"/>
      <c r="AZ180" s="340"/>
      <c r="BA180" s="340"/>
      <c r="BB180" s="340"/>
      <c r="BC180" s="340"/>
      <c r="BD180" s="340"/>
    </row>
    <row r="181" spans="3:56">
      <c r="C181" s="340"/>
      <c r="D181" s="340"/>
      <c r="E181" s="340"/>
      <c r="F181" s="340"/>
      <c r="G181" s="340"/>
      <c r="H181" s="340"/>
      <c r="I181" s="340"/>
      <c r="J181" s="340"/>
      <c r="K181" s="340"/>
      <c r="L181" s="340"/>
      <c r="M181" s="340"/>
      <c r="N181" s="340"/>
      <c r="O181" s="340"/>
      <c r="P181" s="340"/>
      <c r="Q181" s="340"/>
      <c r="R181" s="340"/>
      <c r="S181" s="340"/>
      <c r="T181" s="340"/>
      <c r="U181" s="340"/>
      <c r="V181" s="340"/>
      <c r="W181" s="340"/>
      <c r="X181" s="340"/>
      <c r="Y181" s="340"/>
      <c r="Z181" s="340"/>
      <c r="AA181" s="340"/>
      <c r="AB181" s="340"/>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0"/>
      <c r="AY181" s="340"/>
      <c r="AZ181" s="340"/>
      <c r="BA181" s="340"/>
      <c r="BB181" s="340"/>
      <c r="BC181" s="340"/>
      <c r="BD181" s="340"/>
    </row>
    <row r="182" spans="3:56">
      <c r="C182" s="340"/>
      <c r="D182" s="340"/>
      <c r="E182" s="340"/>
      <c r="F182" s="340"/>
      <c r="G182" s="340"/>
      <c r="H182" s="340"/>
      <c r="I182" s="340"/>
      <c r="J182" s="340"/>
      <c r="K182" s="340"/>
      <c r="L182" s="340"/>
      <c r="M182" s="340"/>
      <c r="N182" s="340"/>
      <c r="O182" s="340"/>
      <c r="P182" s="340"/>
      <c r="Q182" s="340"/>
      <c r="R182" s="340"/>
      <c r="S182" s="340"/>
      <c r="T182" s="340"/>
      <c r="U182" s="340"/>
      <c r="V182" s="340"/>
      <c r="W182" s="340"/>
      <c r="X182" s="340"/>
      <c r="Y182" s="340"/>
      <c r="Z182" s="340"/>
      <c r="AA182" s="340"/>
      <c r="AB182" s="340"/>
      <c r="AC182" s="340"/>
      <c r="AD182" s="340"/>
      <c r="AE182" s="340"/>
      <c r="AF182" s="340"/>
      <c r="AG182" s="340"/>
      <c r="AH182" s="340"/>
      <c r="AI182" s="340"/>
      <c r="AJ182" s="340"/>
      <c r="AK182" s="340"/>
      <c r="AL182" s="340"/>
      <c r="AM182" s="340"/>
      <c r="AN182" s="340"/>
      <c r="AO182" s="340"/>
      <c r="AP182" s="340"/>
      <c r="AQ182" s="340"/>
      <c r="AR182" s="340"/>
      <c r="AS182" s="340"/>
      <c r="AT182" s="340"/>
      <c r="AU182" s="340"/>
      <c r="AV182" s="340"/>
      <c r="AW182" s="340"/>
      <c r="AX182" s="340"/>
      <c r="AY182" s="340"/>
      <c r="AZ182" s="340"/>
      <c r="BA182" s="340"/>
      <c r="BB182" s="340"/>
      <c r="BC182" s="340"/>
      <c r="BD182" s="340"/>
    </row>
    <row r="183" spans="3:56">
      <c r="C183" s="340"/>
      <c r="D183" s="340"/>
      <c r="E183" s="340"/>
      <c r="F183" s="340"/>
      <c r="G183" s="340"/>
      <c r="H183" s="340"/>
      <c r="I183" s="340"/>
      <c r="J183" s="340"/>
      <c r="K183" s="340"/>
      <c r="L183" s="340"/>
      <c r="M183" s="340"/>
      <c r="N183" s="340"/>
      <c r="O183" s="340"/>
      <c r="P183" s="340"/>
      <c r="Q183" s="340"/>
      <c r="R183" s="340"/>
      <c r="S183" s="340"/>
      <c r="T183" s="340"/>
      <c r="U183" s="340"/>
      <c r="V183" s="340"/>
      <c r="W183" s="340"/>
      <c r="X183" s="340"/>
      <c r="Y183" s="340"/>
      <c r="Z183" s="340"/>
      <c r="AA183" s="340"/>
      <c r="AB183" s="340"/>
      <c r="AC183" s="340"/>
      <c r="AD183" s="340"/>
      <c r="AE183" s="340"/>
      <c r="AF183" s="340"/>
      <c r="AG183" s="340"/>
      <c r="AH183" s="340"/>
      <c r="AI183" s="340"/>
      <c r="AJ183" s="340"/>
      <c r="AK183" s="340"/>
      <c r="AL183" s="340"/>
      <c r="AM183" s="340"/>
      <c r="AN183" s="340"/>
      <c r="AO183" s="340"/>
      <c r="AP183" s="340"/>
      <c r="AQ183" s="340"/>
      <c r="AR183" s="340"/>
      <c r="AS183" s="340"/>
      <c r="AT183" s="340"/>
      <c r="AU183" s="340"/>
      <c r="AV183" s="340"/>
      <c r="AW183" s="340"/>
      <c r="AX183" s="340"/>
      <c r="AY183" s="340"/>
      <c r="AZ183" s="340"/>
      <c r="BA183" s="340"/>
      <c r="BB183" s="340"/>
      <c r="BC183" s="340"/>
      <c r="BD183" s="340"/>
    </row>
    <row r="184" spans="3:56">
      <c r="C184" s="340"/>
      <c r="D184" s="340"/>
      <c r="E184" s="340"/>
      <c r="F184" s="340"/>
      <c r="G184" s="340"/>
      <c r="H184" s="340"/>
      <c r="I184" s="340"/>
      <c r="J184" s="340"/>
      <c r="K184" s="340"/>
      <c r="L184" s="340"/>
      <c r="M184" s="340"/>
      <c r="N184" s="340"/>
      <c r="O184" s="340"/>
      <c r="P184" s="340"/>
      <c r="Q184" s="340"/>
      <c r="R184" s="340"/>
      <c r="S184" s="340"/>
      <c r="T184" s="340"/>
      <c r="U184" s="340"/>
      <c r="V184" s="340"/>
      <c r="W184" s="340"/>
      <c r="X184" s="340"/>
      <c r="Y184" s="340"/>
      <c r="Z184" s="340"/>
      <c r="AA184" s="340"/>
      <c r="AB184" s="340"/>
      <c r="AC184" s="340"/>
      <c r="AD184" s="340"/>
      <c r="AE184" s="340"/>
      <c r="AF184" s="340"/>
      <c r="AG184" s="340"/>
      <c r="AH184" s="340"/>
      <c r="AI184" s="340"/>
      <c r="AJ184" s="340"/>
      <c r="AK184" s="340"/>
      <c r="AL184" s="340"/>
      <c r="AM184" s="340"/>
      <c r="AN184" s="340"/>
      <c r="AO184" s="340"/>
      <c r="AP184" s="340"/>
      <c r="AQ184" s="340"/>
      <c r="AR184" s="340"/>
      <c r="AS184" s="340"/>
      <c r="AT184" s="340"/>
      <c r="AU184" s="340"/>
      <c r="AV184" s="340"/>
      <c r="AW184" s="340"/>
      <c r="AX184" s="340"/>
      <c r="AY184" s="340"/>
      <c r="AZ184" s="340"/>
      <c r="BA184" s="340"/>
      <c r="BB184" s="340"/>
      <c r="BC184" s="340"/>
      <c r="BD184" s="340"/>
    </row>
    <row r="185" spans="3:56">
      <c r="C185" s="340"/>
      <c r="D185" s="340"/>
      <c r="E185" s="340"/>
      <c r="F185" s="340"/>
      <c r="G185" s="340"/>
      <c r="H185" s="340"/>
      <c r="I185" s="340"/>
      <c r="J185" s="340"/>
      <c r="K185" s="340"/>
      <c r="L185" s="340"/>
      <c r="M185" s="340"/>
      <c r="N185" s="340"/>
      <c r="O185" s="340"/>
      <c r="P185" s="340"/>
      <c r="Q185" s="340"/>
      <c r="R185" s="340"/>
      <c r="S185" s="340"/>
      <c r="T185" s="340"/>
      <c r="U185" s="340"/>
      <c r="V185" s="340"/>
      <c r="W185" s="340"/>
      <c r="X185" s="340"/>
      <c r="Y185" s="340"/>
      <c r="Z185" s="340"/>
      <c r="AA185" s="340"/>
      <c r="AB185" s="340"/>
      <c r="AC185" s="340"/>
      <c r="AD185" s="340"/>
      <c r="AE185" s="340"/>
      <c r="AF185" s="340"/>
      <c r="AG185" s="340"/>
      <c r="AH185" s="340"/>
      <c r="AI185" s="340"/>
      <c r="AJ185" s="340"/>
      <c r="AK185" s="340"/>
      <c r="AL185" s="340"/>
      <c r="AM185" s="340"/>
      <c r="AN185" s="340"/>
      <c r="AO185" s="340"/>
      <c r="AP185" s="340"/>
      <c r="AQ185" s="340"/>
      <c r="AR185" s="340"/>
      <c r="AS185" s="340"/>
      <c r="AT185" s="340"/>
      <c r="AU185" s="340"/>
      <c r="AV185" s="340"/>
      <c r="AW185" s="340"/>
      <c r="AX185" s="340"/>
      <c r="AY185" s="340"/>
      <c r="AZ185" s="340"/>
      <c r="BA185" s="340"/>
      <c r="BB185" s="340"/>
      <c r="BC185" s="340"/>
      <c r="BD185" s="340"/>
    </row>
    <row r="186" spans="3:56">
      <c r="C186" s="340"/>
      <c r="D186" s="340"/>
      <c r="E186" s="340"/>
      <c r="F186" s="340"/>
      <c r="G186" s="340"/>
      <c r="H186" s="340"/>
      <c r="I186" s="340"/>
      <c r="J186" s="340"/>
      <c r="K186" s="340"/>
      <c r="L186" s="340"/>
      <c r="M186" s="340"/>
      <c r="N186" s="340"/>
      <c r="O186" s="340"/>
      <c r="P186" s="340"/>
      <c r="Q186" s="340"/>
      <c r="R186" s="340"/>
      <c r="S186" s="340"/>
      <c r="T186" s="340"/>
      <c r="U186" s="340"/>
      <c r="V186" s="340"/>
      <c r="W186" s="340"/>
      <c r="X186" s="340"/>
      <c r="Y186" s="340"/>
      <c r="Z186" s="340"/>
      <c r="AA186" s="340"/>
      <c r="AB186" s="340"/>
      <c r="AC186" s="340"/>
      <c r="AD186" s="340"/>
      <c r="AE186" s="340"/>
      <c r="AF186" s="340"/>
      <c r="AG186" s="340"/>
      <c r="AH186" s="340"/>
      <c r="AI186" s="340"/>
      <c r="AJ186" s="340"/>
      <c r="AK186" s="340"/>
      <c r="AL186" s="340"/>
      <c r="AM186" s="340"/>
      <c r="AN186" s="340"/>
      <c r="AO186" s="340"/>
      <c r="AP186" s="340"/>
      <c r="AQ186" s="340"/>
      <c r="AR186" s="340"/>
      <c r="AS186" s="340"/>
      <c r="AT186" s="340"/>
      <c r="AU186" s="340"/>
      <c r="AV186" s="340"/>
      <c r="AW186" s="340"/>
      <c r="AX186" s="340"/>
      <c r="AY186" s="340"/>
      <c r="AZ186" s="340"/>
      <c r="BA186" s="340"/>
      <c r="BB186" s="340"/>
      <c r="BC186" s="340"/>
      <c r="BD186" s="340"/>
    </row>
    <row r="187" spans="3:56">
      <c r="C187" s="340"/>
      <c r="D187" s="340"/>
      <c r="E187" s="340"/>
      <c r="F187" s="340"/>
      <c r="G187" s="340"/>
      <c r="H187" s="340"/>
      <c r="I187" s="340"/>
      <c r="J187" s="340"/>
      <c r="K187" s="340"/>
      <c r="L187" s="340"/>
      <c r="M187" s="340"/>
      <c r="N187" s="340"/>
      <c r="O187" s="340"/>
      <c r="P187" s="340"/>
      <c r="Q187" s="340"/>
      <c r="R187" s="340"/>
      <c r="S187" s="340"/>
      <c r="T187" s="340"/>
      <c r="U187" s="340"/>
      <c r="V187" s="340"/>
      <c r="W187" s="340"/>
      <c r="X187" s="340"/>
      <c r="Y187" s="340"/>
      <c r="Z187" s="340"/>
      <c r="AA187" s="340"/>
      <c r="AB187" s="340"/>
      <c r="AC187" s="340"/>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0"/>
      <c r="AY187" s="340"/>
      <c r="AZ187" s="340"/>
      <c r="BA187" s="340"/>
      <c r="BB187" s="340"/>
      <c r="BC187" s="340"/>
      <c r="BD187" s="340"/>
    </row>
    <row r="188" spans="3:56">
      <c r="C188" s="340"/>
      <c r="D188" s="340"/>
      <c r="E188" s="340"/>
      <c r="F188" s="340"/>
      <c r="G188" s="340"/>
      <c r="H188" s="340"/>
      <c r="I188" s="340"/>
      <c r="J188" s="340"/>
      <c r="K188" s="340"/>
      <c r="L188" s="340"/>
      <c r="M188" s="340"/>
      <c r="N188" s="340"/>
      <c r="O188" s="340"/>
      <c r="P188" s="340"/>
      <c r="Q188" s="340"/>
      <c r="R188" s="340"/>
      <c r="S188" s="340"/>
      <c r="T188" s="340"/>
      <c r="U188" s="340"/>
      <c r="V188" s="340"/>
      <c r="W188" s="340"/>
      <c r="X188" s="340"/>
      <c r="Y188" s="340"/>
      <c r="Z188" s="340"/>
      <c r="AA188" s="340"/>
      <c r="AB188" s="340"/>
      <c r="AC188" s="340"/>
      <c r="AD188" s="340"/>
      <c r="AE188" s="340"/>
      <c r="AF188" s="340"/>
      <c r="AG188" s="340"/>
      <c r="AH188" s="340"/>
      <c r="AI188" s="340"/>
      <c r="AJ188" s="340"/>
      <c r="AK188" s="340"/>
      <c r="AL188" s="340"/>
      <c r="AM188" s="340"/>
      <c r="AN188" s="340"/>
      <c r="AO188" s="340"/>
      <c r="AP188" s="340"/>
      <c r="AQ188" s="340"/>
      <c r="AR188" s="340"/>
      <c r="AS188" s="340"/>
      <c r="AT188" s="340"/>
      <c r="AU188" s="340"/>
      <c r="AV188" s="340"/>
      <c r="AW188" s="340"/>
      <c r="AX188" s="340"/>
      <c r="AY188" s="340"/>
      <c r="AZ188" s="340"/>
      <c r="BA188" s="340"/>
      <c r="BB188" s="340"/>
      <c r="BC188" s="340"/>
      <c r="BD188" s="340"/>
    </row>
    <row r="189" spans="3:56">
      <c r="C189" s="340"/>
      <c r="D189" s="340"/>
      <c r="E189" s="340"/>
      <c r="F189" s="340"/>
      <c r="G189" s="340"/>
      <c r="H189" s="340"/>
      <c r="I189" s="340"/>
      <c r="J189" s="340"/>
      <c r="K189" s="340"/>
      <c r="L189" s="340"/>
      <c r="M189" s="340"/>
      <c r="N189" s="340"/>
      <c r="O189" s="340"/>
      <c r="P189" s="340"/>
      <c r="Q189" s="340"/>
      <c r="R189" s="340"/>
      <c r="S189" s="340"/>
      <c r="T189" s="340"/>
      <c r="U189" s="340"/>
      <c r="V189" s="340"/>
      <c r="W189" s="340"/>
      <c r="X189" s="340"/>
      <c r="Y189" s="340"/>
      <c r="Z189" s="340"/>
      <c r="AA189" s="340"/>
      <c r="AB189" s="340"/>
      <c r="AC189" s="340"/>
      <c r="AD189" s="340"/>
      <c r="AE189" s="340"/>
      <c r="AF189" s="340"/>
      <c r="AG189" s="340"/>
      <c r="AH189" s="340"/>
      <c r="AI189" s="340"/>
      <c r="AJ189" s="340"/>
      <c r="AK189" s="340"/>
      <c r="AL189" s="340"/>
      <c r="AM189" s="340"/>
      <c r="AN189" s="340"/>
      <c r="AO189" s="340"/>
      <c r="AP189" s="340"/>
      <c r="AQ189" s="340"/>
      <c r="AR189" s="340"/>
      <c r="AS189" s="340"/>
      <c r="AT189" s="340"/>
      <c r="AU189" s="340"/>
      <c r="AV189" s="340"/>
      <c r="AW189" s="340"/>
      <c r="AX189" s="340"/>
      <c r="AY189" s="340"/>
      <c r="AZ189" s="340"/>
      <c r="BA189" s="340"/>
      <c r="BB189" s="340"/>
      <c r="BC189" s="340"/>
      <c r="BD189" s="340"/>
    </row>
    <row r="190" spans="3:56">
      <c r="C190" s="340"/>
      <c r="D190" s="340"/>
      <c r="E190" s="340"/>
      <c r="F190" s="340"/>
      <c r="G190" s="340"/>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340"/>
      <c r="AS190" s="340"/>
      <c r="AT190" s="340"/>
      <c r="AU190" s="340"/>
      <c r="AV190" s="340"/>
      <c r="AW190" s="340"/>
      <c r="AX190" s="340"/>
      <c r="AY190" s="340"/>
      <c r="AZ190" s="340"/>
      <c r="BA190" s="340"/>
      <c r="BB190" s="340"/>
      <c r="BC190" s="340"/>
      <c r="BD190" s="340"/>
    </row>
    <row r="191" spans="3:56">
      <c r="C191" s="340"/>
      <c r="D191" s="340"/>
      <c r="E191" s="340"/>
      <c r="F191" s="340"/>
      <c r="G191" s="340"/>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0"/>
      <c r="AY191" s="340"/>
      <c r="AZ191" s="340"/>
      <c r="BA191" s="340"/>
      <c r="BB191" s="340"/>
      <c r="BC191" s="340"/>
      <c r="BD191" s="340"/>
    </row>
    <row r="192" spans="3:56">
      <c r="C192" s="340"/>
      <c r="D192" s="340"/>
      <c r="E192" s="340"/>
      <c r="F192" s="340"/>
      <c r="G192" s="340"/>
      <c r="H192" s="340"/>
      <c r="I192" s="340"/>
      <c r="J192" s="340"/>
      <c r="K192" s="340"/>
      <c r="L192" s="340"/>
      <c r="M192" s="340"/>
      <c r="N192" s="340"/>
      <c r="O192" s="340"/>
      <c r="P192" s="340"/>
      <c r="Q192" s="340"/>
      <c r="R192" s="340"/>
      <c r="S192" s="340"/>
      <c r="T192" s="340"/>
      <c r="U192" s="340"/>
      <c r="V192" s="340"/>
      <c r="W192" s="340"/>
      <c r="X192" s="340"/>
      <c r="Y192" s="340"/>
      <c r="Z192" s="340"/>
      <c r="AA192" s="340"/>
      <c r="AB192" s="340"/>
      <c r="AC192" s="340"/>
      <c r="AD192" s="340"/>
      <c r="AE192" s="340"/>
      <c r="AF192" s="340"/>
      <c r="AG192" s="340"/>
      <c r="AH192" s="340"/>
      <c r="AI192" s="340"/>
      <c r="AJ192" s="340"/>
      <c r="AK192" s="340"/>
      <c r="AL192" s="340"/>
      <c r="AM192" s="340"/>
      <c r="AN192" s="340"/>
      <c r="AO192" s="340"/>
      <c r="AP192" s="340"/>
      <c r="AQ192" s="340"/>
      <c r="AR192" s="340"/>
      <c r="AS192" s="340"/>
      <c r="AT192" s="340"/>
      <c r="AU192" s="340"/>
      <c r="AV192" s="340"/>
      <c r="AW192" s="340"/>
      <c r="AX192" s="340"/>
      <c r="AY192" s="340"/>
      <c r="AZ192" s="340"/>
      <c r="BA192" s="340"/>
      <c r="BB192" s="340"/>
      <c r="BC192" s="340"/>
      <c r="BD192" s="340"/>
    </row>
    <row r="193" spans="3:56">
      <c r="C193" s="340"/>
      <c r="D193" s="340"/>
      <c r="E193" s="340"/>
      <c r="F193" s="340"/>
      <c r="G193" s="340"/>
      <c r="H193" s="340"/>
      <c r="I193" s="340"/>
      <c r="J193" s="340"/>
      <c r="K193" s="340"/>
      <c r="L193" s="340"/>
      <c r="M193" s="340"/>
      <c r="N193" s="340"/>
      <c r="O193" s="340"/>
      <c r="P193" s="340"/>
      <c r="Q193" s="340"/>
      <c r="R193" s="340"/>
      <c r="S193" s="340"/>
      <c r="T193" s="340"/>
      <c r="U193" s="340"/>
      <c r="V193" s="340"/>
      <c r="W193" s="340"/>
      <c r="X193" s="340"/>
      <c r="Y193" s="340"/>
      <c r="Z193" s="340"/>
      <c r="AA193" s="340"/>
      <c r="AB193" s="340"/>
      <c r="AC193" s="340"/>
      <c r="AD193" s="340"/>
      <c r="AE193" s="340"/>
      <c r="AF193" s="340"/>
      <c r="AG193" s="340"/>
      <c r="AH193" s="340"/>
      <c r="AI193" s="340"/>
      <c r="AJ193" s="340"/>
      <c r="AK193" s="340"/>
      <c r="AL193" s="340"/>
      <c r="AM193" s="340"/>
      <c r="AN193" s="340"/>
      <c r="AO193" s="340"/>
      <c r="AP193" s="340"/>
      <c r="AQ193" s="340"/>
      <c r="AR193" s="340"/>
      <c r="AS193" s="340"/>
      <c r="AT193" s="340"/>
      <c r="AU193" s="340"/>
      <c r="AV193" s="340"/>
      <c r="AW193" s="340"/>
      <c r="AX193" s="340"/>
      <c r="AY193" s="340"/>
      <c r="AZ193" s="340"/>
      <c r="BA193" s="340"/>
      <c r="BB193" s="340"/>
      <c r="BC193" s="340"/>
      <c r="BD193" s="340"/>
    </row>
    <row r="194" spans="3:56">
      <c r="C194" s="340"/>
      <c r="D194" s="340"/>
      <c r="E194" s="340"/>
      <c r="F194" s="340"/>
      <c r="G194" s="340"/>
      <c r="H194" s="340"/>
      <c r="I194" s="340"/>
      <c r="J194" s="340"/>
      <c r="K194" s="340"/>
      <c r="L194" s="340"/>
      <c r="M194" s="340"/>
      <c r="N194" s="340"/>
      <c r="O194" s="340"/>
      <c r="P194" s="340"/>
      <c r="Q194" s="340"/>
      <c r="R194" s="340"/>
      <c r="S194" s="340"/>
      <c r="T194" s="340"/>
      <c r="U194" s="340"/>
      <c r="V194" s="340"/>
      <c r="W194" s="340"/>
      <c r="X194" s="340"/>
      <c r="Y194" s="340"/>
      <c r="Z194" s="340"/>
      <c r="AA194" s="340"/>
      <c r="AB194" s="340"/>
      <c r="AC194" s="340"/>
      <c r="AD194" s="340"/>
      <c r="AE194" s="340"/>
      <c r="AF194" s="340"/>
      <c r="AG194" s="340"/>
      <c r="AH194" s="340"/>
      <c r="AI194" s="340"/>
      <c r="AJ194" s="340"/>
      <c r="AK194" s="340"/>
      <c r="AL194" s="340"/>
      <c r="AM194" s="340"/>
      <c r="AN194" s="340"/>
      <c r="AO194" s="340"/>
      <c r="AP194" s="340"/>
      <c r="AQ194" s="340"/>
      <c r="AR194" s="340"/>
      <c r="AS194" s="340"/>
      <c r="AT194" s="340"/>
      <c r="AU194" s="340"/>
      <c r="AV194" s="340"/>
      <c r="AW194" s="340"/>
      <c r="AX194" s="340"/>
      <c r="AY194" s="340"/>
      <c r="AZ194" s="340"/>
      <c r="BA194" s="340"/>
      <c r="BB194" s="340"/>
      <c r="BC194" s="340"/>
      <c r="BD194" s="340"/>
    </row>
    <row r="195" spans="3:56">
      <c r="C195" s="340"/>
      <c r="D195" s="340"/>
      <c r="E195" s="340"/>
      <c r="F195" s="340"/>
      <c r="G195" s="340"/>
      <c r="H195" s="340"/>
      <c r="I195" s="340"/>
      <c r="J195" s="340"/>
      <c r="K195" s="340"/>
      <c r="L195" s="340"/>
      <c r="M195" s="340"/>
      <c r="N195" s="340"/>
      <c r="O195" s="340"/>
      <c r="P195" s="340"/>
      <c r="Q195" s="340"/>
      <c r="R195" s="340"/>
      <c r="S195" s="340"/>
      <c r="T195" s="340"/>
      <c r="U195" s="340"/>
      <c r="V195" s="340"/>
      <c r="W195" s="340"/>
      <c r="X195" s="340"/>
      <c r="Y195" s="340"/>
      <c r="Z195" s="340"/>
      <c r="AA195" s="340"/>
      <c r="AB195" s="340"/>
      <c r="AC195" s="340"/>
      <c r="AD195" s="340"/>
      <c r="AE195" s="340"/>
      <c r="AF195" s="340"/>
      <c r="AG195" s="340"/>
      <c r="AH195" s="340"/>
      <c r="AI195" s="340"/>
      <c r="AJ195" s="340"/>
      <c r="AK195" s="340"/>
      <c r="AL195" s="340"/>
      <c r="AM195" s="340"/>
      <c r="AN195" s="340"/>
      <c r="AO195" s="340"/>
      <c r="AP195" s="340"/>
      <c r="AQ195" s="340"/>
      <c r="AR195" s="340"/>
      <c r="AS195" s="340"/>
      <c r="AT195" s="340"/>
      <c r="AU195" s="340"/>
      <c r="AV195" s="340"/>
      <c r="AW195" s="340"/>
      <c r="AX195" s="340"/>
      <c r="AY195" s="340"/>
      <c r="AZ195" s="340"/>
      <c r="BA195" s="340"/>
      <c r="BB195" s="340"/>
      <c r="BC195" s="340"/>
      <c r="BD195" s="340"/>
    </row>
    <row r="196" spans="3:56">
      <c r="C196" s="340"/>
      <c r="D196" s="340"/>
      <c r="E196" s="340"/>
      <c r="F196" s="340"/>
      <c r="G196" s="340"/>
      <c r="H196" s="340"/>
      <c r="I196" s="340"/>
      <c r="J196" s="340"/>
      <c r="K196" s="340"/>
      <c r="L196" s="340"/>
      <c r="M196" s="340"/>
      <c r="N196" s="340"/>
      <c r="O196" s="340"/>
      <c r="P196" s="340"/>
      <c r="Q196" s="340"/>
      <c r="R196" s="340"/>
      <c r="S196" s="340"/>
      <c r="T196" s="340"/>
      <c r="U196" s="340"/>
      <c r="V196" s="340"/>
      <c r="W196" s="340"/>
      <c r="X196" s="340"/>
      <c r="Y196" s="340"/>
      <c r="Z196" s="340"/>
      <c r="AA196" s="340"/>
      <c r="AB196" s="340"/>
      <c r="AC196" s="340"/>
      <c r="AD196" s="340"/>
      <c r="AE196" s="340"/>
      <c r="AF196" s="340"/>
      <c r="AG196" s="340"/>
      <c r="AH196" s="340"/>
      <c r="AI196" s="340"/>
      <c r="AJ196" s="340"/>
      <c r="AK196" s="340"/>
      <c r="AL196" s="340"/>
      <c r="AM196" s="340"/>
      <c r="AN196" s="340"/>
      <c r="AO196" s="340"/>
      <c r="AP196" s="340"/>
      <c r="AQ196" s="340"/>
      <c r="AR196" s="340"/>
      <c r="AS196" s="340"/>
      <c r="AT196" s="340"/>
      <c r="AU196" s="340"/>
      <c r="AV196" s="340"/>
      <c r="AW196" s="340"/>
      <c r="AX196" s="340"/>
      <c r="AY196" s="340"/>
      <c r="AZ196" s="340"/>
      <c r="BA196" s="340"/>
      <c r="BB196" s="340"/>
      <c r="BC196" s="340"/>
      <c r="BD196" s="340"/>
    </row>
    <row r="197" spans="3:56">
      <c r="C197" s="340"/>
      <c r="D197" s="340"/>
      <c r="E197" s="340"/>
      <c r="F197" s="340"/>
      <c r="G197" s="340"/>
      <c r="H197" s="340"/>
      <c r="I197" s="340"/>
      <c r="J197" s="340"/>
      <c r="K197" s="340"/>
      <c r="L197" s="340"/>
      <c r="M197" s="340"/>
      <c r="N197" s="340"/>
      <c r="O197" s="340"/>
      <c r="P197" s="340"/>
      <c r="Q197" s="340"/>
      <c r="R197" s="340"/>
      <c r="S197" s="340"/>
      <c r="T197" s="340"/>
      <c r="U197" s="340"/>
      <c r="V197" s="340"/>
      <c r="W197" s="340"/>
      <c r="X197" s="340"/>
      <c r="Y197" s="340"/>
      <c r="Z197" s="340"/>
      <c r="AA197" s="340"/>
      <c r="AB197" s="340"/>
      <c r="AC197" s="340"/>
      <c r="AD197" s="340"/>
      <c r="AE197" s="340"/>
      <c r="AF197" s="340"/>
      <c r="AG197" s="340"/>
      <c r="AH197" s="340"/>
      <c r="AI197" s="340"/>
      <c r="AJ197" s="340"/>
      <c r="AK197" s="340"/>
      <c r="AL197" s="340"/>
      <c r="AM197" s="340"/>
      <c r="AN197" s="340"/>
      <c r="AO197" s="340"/>
      <c r="AP197" s="340"/>
      <c r="AQ197" s="340"/>
      <c r="AR197" s="340"/>
      <c r="AS197" s="340"/>
      <c r="AT197" s="340"/>
      <c r="AU197" s="340"/>
      <c r="AV197" s="340"/>
      <c r="AW197" s="340"/>
      <c r="AX197" s="340"/>
      <c r="AY197" s="340"/>
      <c r="AZ197" s="340"/>
      <c r="BA197" s="340"/>
      <c r="BB197" s="340"/>
      <c r="BC197" s="340"/>
      <c r="BD197" s="340"/>
    </row>
    <row r="198" spans="3:56">
      <c r="C198" s="340"/>
      <c r="D198" s="340"/>
      <c r="E198" s="340"/>
      <c r="F198" s="340"/>
      <c r="G198" s="340"/>
      <c r="H198" s="340"/>
      <c r="I198" s="340"/>
      <c r="J198" s="340"/>
      <c r="K198" s="340"/>
      <c r="L198" s="340"/>
      <c r="M198" s="340"/>
      <c r="N198" s="340"/>
      <c r="O198" s="340"/>
      <c r="P198" s="340"/>
      <c r="Q198" s="340"/>
      <c r="R198" s="340"/>
      <c r="S198" s="340"/>
      <c r="T198" s="340"/>
      <c r="U198" s="340"/>
      <c r="V198" s="340"/>
      <c r="W198" s="340"/>
      <c r="X198" s="340"/>
      <c r="Y198" s="340"/>
      <c r="Z198" s="340"/>
      <c r="AA198" s="340"/>
      <c r="AB198" s="340"/>
      <c r="AC198" s="340"/>
      <c r="AD198" s="340"/>
      <c r="AE198" s="340"/>
      <c r="AF198" s="340"/>
      <c r="AG198" s="340"/>
      <c r="AH198" s="340"/>
      <c r="AI198" s="340"/>
      <c r="AJ198" s="340"/>
      <c r="AK198" s="340"/>
      <c r="AL198" s="340"/>
      <c r="AM198" s="340"/>
      <c r="AN198" s="340"/>
      <c r="AO198" s="340"/>
      <c r="AP198" s="340"/>
      <c r="AQ198" s="340"/>
      <c r="AR198" s="340"/>
      <c r="AS198" s="340"/>
      <c r="AT198" s="340"/>
      <c r="AU198" s="340"/>
      <c r="AV198" s="340"/>
      <c r="AW198" s="340"/>
      <c r="AX198" s="340"/>
      <c r="AY198" s="340"/>
      <c r="AZ198" s="340"/>
      <c r="BA198" s="340"/>
      <c r="BB198" s="340"/>
      <c r="BC198" s="340"/>
      <c r="BD198" s="340"/>
    </row>
    <row r="199" spans="3:56">
      <c r="C199" s="340"/>
      <c r="D199" s="340"/>
      <c r="E199" s="340"/>
      <c r="F199" s="340"/>
      <c r="G199" s="340"/>
      <c r="H199" s="340"/>
      <c r="I199" s="340"/>
      <c r="J199" s="340"/>
      <c r="K199" s="340"/>
      <c r="L199" s="340"/>
      <c r="M199" s="340"/>
      <c r="N199" s="340"/>
      <c r="O199" s="340"/>
      <c r="P199" s="340"/>
      <c r="Q199" s="340"/>
      <c r="R199" s="340"/>
      <c r="S199" s="340"/>
      <c r="T199" s="340"/>
      <c r="U199" s="340"/>
      <c r="V199" s="340"/>
      <c r="W199" s="340"/>
      <c r="X199" s="340"/>
      <c r="Y199" s="340"/>
      <c r="Z199" s="340"/>
      <c r="AA199" s="340"/>
      <c r="AB199" s="340"/>
      <c r="AC199" s="340"/>
      <c r="AD199" s="340"/>
      <c r="AE199" s="340"/>
      <c r="AF199" s="340"/>
      <c r="AG199" s="340"/>
      <c r="AH199" s="340"/>
      <c r="AI199" s="340"/>
      <c r="AJ199" s="340"/>
      <c r="AK199" s="340"/>
      <c r="AL199" s="340"/>
      <c r="AM199" s="340"/>
      <c r="AN199" s="340"/>
      <c r="AO199" s="340"/>
      <c r="AP199" s="340"/>
      <c r="AQ199" s="340"/>
      <c r="AR199" s="340"/>
      <c r="AS199" s="340"/>
      <c r="AT199" s="340"/>
      <c r="AU199" s="340"/>
      <c r="AV199" s="340"/>
      <c r="AW199" s="340"/>
      <c r="AX199" s="340"/>
      <c r="AY199" s="340"/>
      <c r="AZ199" s="340"/>
      <c r="BA199" s="340"/>
      <c r="BB199" s="340"/>
      <c r="BC199" s="340"/>
      <c r="BD199" s="340"/>
    </row>
    <row r="200" spans="3:56">
      <c r="C200" s="340"/>
      <c r="D200" s="340"/>
      <c r="E200" s="340"/>
      <c r="F200" s="340"/>
      <c r="G200" s="340"/>
      <c r="H200" s="340"/>
      <c r="I200" s="340"/>
      <c r="J200" s="340"/>
      <c r="K200" s="340"/>
      <c r="L200" s="340"/>
      <c r="M200" s="340"/>
      <c r="N200" s="340"/>
      <c r="O200" s="340"/>
      <c r="P200" s="340"/>
      <c r="Q200" s="340"/>
      <c r="R200" s="340"/>
      <c r="S200" s="340"/>
      <c r="T200" s="340"/>
      <c r="U200" s="340"/>
      <c r="V200" s="340"/>
      <c r="W200" s="340"/>
      <c r="X200" s="340"/>
      <c r="Y200" s="340"/>
      <c r="Z200" s="340"/>
      <c r="AA200" s="340"/>
      <c r="AB200" s="340"/>
      <c r="AC200" s="340"/>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340"/>
      <c r="AY200" s="340"/>
      <c r="AZ200" s="340"/>
      <c r="BA200" s="340"/>
      <c r="BB200" s="340"/>
      <c r="BC200" s="340"/>
      <c r="BD200" s="340"/>
    </row>
    <row r="201" spans="3:56">
      <c r="C201" s="340"/>
      <c r="D201" s="340"/>
      <c r="E201" s="340"/>
      <c r="F201" s="340"/>
      <c r="G201" s="340"/>
      <c r="H201" s="340"/>
      <c r="I201" s="340"/>
      <c r="J201" s="340"/>
      <c r="K201" s="340"/>
      <c r="L201" s="340"/>
      <c r="M201" s="340"/>
      <c r="N201" s="340"/>
      <c r="O201" s="340"/>
      <c r="P201" s="340"/>
      <c r="Q201" s="340"/>
      <c r="R201" s="340"/>
      <c r="S201" s="340"/>
      <c r="T201" s="340"/>
      <c r="U201" s="340"/>
      <c r="V201" s="340"/>
      <c r="W201" s="340"/>
      <c r="X201" s="340"/>
      <c r="Y201" s="340"/>
      <c r="Z201" s="340"/>
      <c r="AA201" s="340"/>
      <c r="AB201" s="340"/>
      <c r="AC201" s="340"/>
      <c r="AD201" s="340"/>
      <c r="AE201" s="340"/>
      <c r="AF201" s="340"/>
      <c r="AG201" s="340"/>
      <c r="AH201" s="340"/>
      <c r="AI201" s="340"/>
      <c r="AJ201" s="340"/>
      <c r="AK201" s="340"/>
      <c r="AL201" s="340"/>
      <c r="AM201" s="340"/>
      <c r="AN201" s="340"/>
      <c r="AO201" s="340"/>
      <c r="AP201" s="340"/>
      <c r="AQ201" s="340"/>
      <c r="AR201" s="340"/>
      <c r="AS201" s="340"/>
      <c r="AT201" s="340"/>
      <c r="AU201" s="340"/>
      <c r="AV201" s="340"/>
      <c r="AW201" s="340"/>
      <c r="AX201" s="340"/>
      <c r="AY201" s="340"/>
      <c r="AZ201" s="340"/>
      <c r="BA201" s="340"/>
      <c r="BB201" s="340"/>
      <c r="BC201" s="340"/>
      <c r="BD201" s="340"/>
    </row>
    <row r="202" spans="3:56">
      <c r="C202" s="340"/>
      <c r="D202" s="340"/>
      <c r="E202" s="340"/>
      <c r="F202" s="340"/>
      <c r="G202" s="340"/>
      <c r="H202" s="340"/>
      <c r="I202" s="340"/>
      <c r="J202" s="340"/>
      <c r="K202" s="340"/>
      <c r="L202" s="340"/>
      <c r="M202" s="340"/>
      <c r="N202" s="340"/>
      <c r="O202" s="340"/>
      <c r="P202" s="340"/>
      <c r="Q202" s="340"/>
      <c r="R202" s="340"/>
      <c r="S202" s="340"/>
      <c r="T202" s="340"/>
      <c r="U202" s="340"/>
      <c r="V202" s="340"/>
      <c r="W202" s="340"/>
      <c r="X202" s="340"/>
      <c r="Y202" s="340"/>
      <c r="Z202" s="340"/>
      <c r="AA202" s="340"/>
      <c r="AB202" s="340"/>
      <c r="AC202" s="340"/>
      <c r="AD202" s="340"/>
      <c r="AE202" s="340"/>
      <c r="AF202" s="340"/>
      <c r="AG202" s="340"/>
      <c r="AH202" s="340"/>
      <c r="AI202" s="340"/>
      <c r="AJ202" s="340"/>
      <c r="AK202" s="340"/>
      <c r="AL202" s="340"/>
      <c r="AM202" s="340"/>
      <c r="AN202" s="340"/>
      <c r="AO202" s="340"/>
      <c r="AP202" s="340"/>
      <c r="AQ202" s="340"/>
      <c r="AR202" s="340"/>
      <c r="AS202" s="340"/>
      <c r="AT202" s="340"/>
      <c r="AU202" s="340"/>
      <c r="AV202" s="340"/>
      <c r="AW202" s="340"/>
      <c r="AX202" s="340"/>
      <c r="AY202" s="340"/>
      <c r="AZ202" s="340"/>
      <c r="BA202" s="340"/>
      <c r="BB202" s="340"/>
      <c r="BC202" s="340"/>
      <c r="BD202" s="340"/>
    </row>
    <row r="203" spans="3:56">
      <c r="C203" s="340"/>
      <c r="D203" s="340"/>
      <c r="E203" s="340"/>
      <c r="F203" s="340"/>
      <c r="G203" s="340"/>
      <c r="H203" s="340"/>
      <c r="I203" s="340"/>
      <c r="J203" s="340"/>
      <c r="K203" s="340"/>
      <c r="L203" s="340"/>
      <c r="M203" s="340"/>
      <c r="N203" s="340"/>
      <c r="O203" s="340"/>
      <c r="P203" s="340"/>
      <c r="Q203" s="340"/>
      <c r="R203" s="340"/>
      <c r="S203" s="340"/>
      <c r="T203" s="340"/>
      <c r="U203" s="340"/>
      <c r="V203" s="340"/>
      <c r="W203" s="340"/>
      <c r="X203" s="340"/>
      <c r="Y203" s="340"/>
      <c r="Z203" s="340"/>
      <c r="AA203" s="340"/>
      <c r="AB203" s="340"/>
      <c r="AC203" s="340"/>
      <c r="AD203" s="340"/>
      <c r="AE203" s="340"/>
      <c r="AF203" s="340"/>
      <c r="AG203" s="340"/>
      <c r="AH203" s="340"/>
      <c r="AI203" s="340"/>
      <c r="AJ203" s="340"/>
      <c r="AK203" s="340"/>
      <c r="AL203" s="340"/>
      <c r="AM203" s="340"/>
      <c r="AN203" s="340"/>
      <c r="AO203" s="340"/>
      <c r="AP203" s="340"/>
      <c r="AQ203" s="340"/>
      <c r="AR203" s="340"/>
      <c r="AS203" s="340"/>
      <c r="AT203" s="340"/>
      <c r="AU203" s="340"/>
      <c r="AV203" s="340"/>
      <c r="AW203" s="340"/>
      <c r="AX203" s="340"/>
      <c r="AY203" s="340"/>
      <c r="AZ203" s="340"/>
      <c r="BA203" s="340"/>
      <c r="BB203" s="340"/>
      <c r="BC203" s="340"/>
      <c r="BD203" s="340"/>
    </row>
    <row r="204" spans="3:56">
      <c r="C204" s="340"/>
      <c r="D204" s="340"/>
      <c r="E204" s="340"/>
      <c r="F204" s="340"/>
      <c r="G204" s="340"/>
      <c r="H204" s="340"/>
      <c r="I204" s="340"/>
      <c r="J204" s="340"/>
      <c r="K204" s="340"/>
      <c r="L204" s="340"/>
      <c r="M204" s="340"/>
      <c r="N204" s="340"/>
      <c r="O204" s="340"/>
      <c r="P204" s="340"/>
      <c r="Q204" s="340"/>
      <c r="R204" s="340"/>
      <c r="S204" s="340"/>
      <c r="T204" s="340"/>
      <c r="U204" s="340"/>
      <c r="V204" s="340"/>
      <c r="W204" s="340"/>
      <c r="X204" s="340"/>
      <c r="Y204" s="340"/>
      <c r="Z204" s="340"/>
      <c r="AA204" s="340"/>
      <c r="AB204" s="340"/>
      <c r="AC204" s="340"/>
      <c r="AD204" s="340"/>
      <c r="AE204" s="340"/>
      <c r="AF204" s="340"/>
      <c r="AG204" s="340"/>
      <c r="AH204" s="340"/>
      <c r="AI204" s="340"/>
      <c r="AJ204" s="340"/>
      <c r="AK204" s="340"/>
      <c r="AL204" s="340"/>
      <c r="AM204" s="340"/>
      <c r="AN204" s="340"/>
      <c r="AO204" s="340"/>
      <c r="AP204" s="340"/>
      <c r="AQ204" s="340"/>
      <c r="AR204" s="340"/>
      <c r="AS204" s="340"/>
      <c r="AT204" s="340"/>
      <c r="AU204" s="340"/>
      <c r="AV204" s="340"/>
      <c r="AW204" s="340"/>
      <c r="AX204" s="340"/>
      <c r="AY204" s="340"/>
      <c r="AZ204" s="340"/>
      <c r="BA204" s="340"/>
      <c r="BB204" s="340"/>
      <c r="BC204" s="340"/>
      <c r="BD204" s="340"/>
    </row>
    <row r="205" spans="3:56">
      <c r="C205" s="340"/>
      <c r="D205" s="340"/>
      <c r="E205" s="340"/>
      <c r="F205" s="340"/>
      <c r="G205" s="340"/>
      <c r="H205" s="340"/>
      <c r="I205" s="340"/>
      <c r="J205" s="340"/>
      <c r="K205" s="340"/>
      <c r="L205" s="340"/>
      <c r="M205" s="340"/>
      <c r="N205" s="340"/>
      <c r="O205" s="340"/>
      <c r="P205" s="340"/>
      <c r="Q205" s="340"/>
      <c r="R205" s="340"/>
      <c r="S205" s="340"/>
      <c r="T205" s="340"/>
      <c r="U205" s="340"/>
      <c r="V205" s="340"/>
      <c r="W205" s="340"/>
      <c r="X205" s="340"/>
      <c r="Y205" s="340"/>
      <c r="Z205" s="340"/>
      <c r="AA205" s="340"/>
      <c r="AB205" s="340"/>
      <c r="AC205" s="340"/>
      <c r="AD205" s="340"/>
      <c r="AE205" s="340"/>
      <c r="AF205" s="340"/>
      <c r="AG205" s="340"/>
      <c r="AH205" s="340"/>
      <c r="AI205" s="340"/>
      <c r="AJ205" s="340"/>
      <c r="AK205" s="340"/>
      <c r="AL205" s="340"/>
      <c r="AM205" s="340"/>
      <c r="AN205" s="340"/>
      <c r="AO205" s="340"/>
      <c r="AP205" s="340"/>
      <c r="AQ205" s="340"/>
      <c r="AR205" s="340"/>
      <c r="AS205" s="340"/>
      <c r="AT205" s="340"/>
      <c r="AU205" s="340"/>
      <c r="AV205" s="340"/>
      <c r="AW205" s="340"/>
      <c r="AX205" s="340"/>
      <c r="AY205" s="340"/>
      <c r="AZ205" s="340"/>
      <c r="BA205" s="340"/>
      <c r="BB205" s="340"/>
      <c r="BC205" s="340"/>
      <c r="BD205" s="340"/>
    </row>
    <row r="206" spans="3:56">
      <c r="C206" s="340"/>
      <c r="D206" s="340"/>
      <c r="E206" s="340"/>
      <c r="F206" s="340"/>
      <c r="G206" s="340"/>
      <c r="H206" s="340"/>
      <c r="I206" s="340"/>
      <c r="J206" s="340"/>
      <c r="K206" s="340"/>
      <c r="L206" s="340"/>
      <c r="M206" s="340"/>
      <c r="N206" s="340"/>
      <c r="O206" s="340"/>
      <c r="P206" s="340"/>
      <c r="Q206" s="340"/>
      <c r="R206" s="340"/>
      <c r="S206" s="340"/>
      <c r="T206" s="340"/>
      <c r="U206" s="340"/>
      <c r="V206" s="340"/>
      <c r="W206" s="340"/>
      <c r="X206" s="340"/>
      <c r="Y206" s="340"/>
      <c r="Z206" s="340"/>
      <c r="AA206" s="340"/>
      <c r="AB206" s="340"/>
      <c r="AC206" s="340"/>
      <c r="AD206" s="340"/>
      <c r="AE206" s="340"/>
      <c r="AF206" s="340"/>
      <c r="AG206" s="340"/>
      <c r="AH206" s="340"/>
      <c r="AI206" s="340"/>
      <c r="AJ206" s="340"/>
      <c r="AK206" s="340"/>
      <c r="AL206" s="340"/>
      <c r="AM206" s="340"/>
      <c r="AN206" s="340"/>
      <c r="AO206" s="340"/>
      <c r="AP206" s="340"/>
      <c r="AQ206" s="340"/>
      <c r="AR206" s="340"/>
      <c r="AS206" s="340"/>
      <c r="AT206" s="340"/>
      <c r="AU206" s="340"/>
      <c r="AV206" s="340"/>
      <c r="AW206" s="340"/>
      <c r="AX206" s="340"/>
      <c r="AY206" s="340"/>
      <c r="AZ206" s="340"/>
      <c r="BA206" s="340"/>
      <c r="BB206" s="340"/>
      <c r="BC206" s="340"/>
      <c r="BD206" s="340"/>
    </row>
    <row r="207" spans="3:56">
      <c r="C207" s="340"/>
      <c r="D207" s="340"/>
      <c r="E207" s="340"/>
      <c r="F207" s="340"/>
      <c r="G207" s="340"/>
      <c r="H207" s="340"/>
      <c r="I207" s="340"/>
      <c r="J207" s="340"/>
      <c r="K207" s="340"/>
      <c r="L207" s="340"/>
      <c r="M207" s="340"/>
      <c r="N207" s="340"/>
      <c r="O207" s="340"/>
      <c r="P207" s="340"/>
      <c r="Q207" s="340"/>
      <c r="R207" s="340"/>
      <c r="S207" s="340"/>
      <c r="T207" s="340"/>
      <c r="U207" s="340"/>
      <c r="V207" s="340"/>
      <c r="W207" s="340"/>
      <c r="X207" s="340"/>
      <c r="Y207" s="340"/>
      <c r="Z207" s="340"/>
      <c r="AA207" s="340"/>
      <c r="AB207" s="340"/>
      <c r="AC207" s="340"/>
      <c r="AD207" s="340"/>
      <c r="AE207" s="340"/>
      <c r="AF207" s="340"/>
      <c r="AG207" s="340"/>
      <c r="AH207" s="340"/>
      <c r="AI207" s="340"/>
      <c r="AJ207" s="340"/>
      <c r="AK207" s="340"/>
      <c r="AL207" s="340"/>
      <c r="AM207" s="340"/>
      <c r="AN207" s="340"/>
      <c r="AO207" s="340"/>
      <c r="AP207" s="340"/>
      <c r="AQ207" s="340"/>
      <c r="AR207" s="340"/>
      <c r="AS207" s="340"/>
      <c r="AT207" s="340"/>
      <c r="AU207" s="340"/>
      <c r="AV207" s="340"/>
      <c r="AW207" s="340"/>
      <c r="AX207" s="340"/>
      <c r="AY207" s="340"/>
      <c r="AZ207" s="340"/>
      <c r="BA207" s="340"/>
      <c r="BB207" s="340"/>
      <c r="BC207" s="340"/>
      <c r="BD207" s="340"/>
    </row>
    <row r="208" spans="3:56">
      <c r="C208" s="340"/>
      <c r="D208" s="340"/>
      <c r="E208" s="340"/>
      <c r="F208" s="340"/>
      <c r="G208" s="340"/>
      <c r="H208" s="340"/>
      <c r="I208" s="340"/>
      <c r="J208" s="340"/>
      <c r="K208" s="340"/>
      <c r="L208" s="340"/>
      <c r="M208" s="340"/>
      <c r="N208" s="340"/>
      <c r="O208" s="340"/>
      <c r="P208" s="340"/>
      <c r="Q208" s="340"/>
      <c r="R208" s="340"/>
      <c r="S208" s="340"/>
      <c r="T208" s="340"/>
      <c r="U208" s="340"/>
      <c r="V208" s="340"/>
      <c r="W208" s="340"/>
      <c r="X208" s="340"/>
      <c r="Y208" s="340"/>
      <c r="Z208" s="340"/>
      <c r="AA208" s="340"/>
      <c r="AB208" s="340"/>
      <c r="AC208" s="340"/>
      <c r="AD208" s="340"/>
      <c r="AE208" s="340"/>
      <c r="AF208" s="340"/>
      <c r="AG208" s="340"/>
      <c r="AH208" s="340"/>
      <c r="AI208" s="340"/>
      <c r="AJ208" s="340"/>
      <c r="AK208" s="340"/>
      <c r="AL208" s="340"/>
      <c r="AM208" s="340"/>
      <c r="AN208" s="340"/>
      <c r="AO208" s="340"/>
      <c r="AP208" s="340"/>
      <c r="AQ208" s="340"/>
      <c r="AR208" s="340"/>
      <c r="AS208" s="340"/>
      <c r="AT208" s="340"/>
      <c r="AU208" s="340"/>
      <c r="AV208" s="340"/>
      <c r="AW208" s="340"/>
      <c r="AX208" s="340"/>
      <c r="AY208" s="340"/>
      <c r="AZ208" s="340"/>
      <c r="BA208" s="340"/>
      <c r="BB208" s="340"/>
      <c r="BC208" s="340"/>
      <c r="BD208" s="340"/>
    </row>
    <row r="209" spans="3:56">
      <c r="C209" s="340"/>
      <c r="D209" s="340"/>
      <c r="E209" s="340"/>
      <c r="F209" s="340"/>
      <c r="G209" s="340"/>
      <c r="H209" s="340"/>
      <c r="I209" s="340"/>
      <c r="J209" s="340"/>
      <c r="K209" s="340"/>
      <c r="L209" s="340"/>
      <c r="M209" s="340"/>
      <c r="N209" s="340"/>
      <c r="O209" s="340"/>
      <c r="P209" s="340"/>
      <c r="Q209" s="340"/>
      <c r="R209" s="340"/>
      <c r="S209" s="340"/>
      <c r="T209" s="340"/>
      <c r="U209" s="340"/>
      <c r="V209" s="340"/>
      <c r="W209" s="340"/>
      <c r="X209" s="340"/>
      <c r="Y209" s="340"/>
      <c r="Z209" s="340"/>
      <c r="AA209" s="340"/>
      <c r="AB209" s="340"/>
      <c r="AC209" s="340"/>
      <c r="AD209" s="340"/>
      <c r="AE209" s="340"/>
      <c r="AF209" s="340"/>
      <c r="AG209" s="340"/>
      <c r="AH209" s="340"/>
      <c r="AI209" s="340"/>
      <c r="AJ209" s="340"/>
      <c r="AK209" s="340"/>
      <c r="AL209" s="340"/>
      <c r="AM209" s="340"/>
      <c r="AN209" s="340"/>
      <c r="AO209" s="340"/>
      <c r="AP209" s="340"/>
      <c r="AQ209" s="340"/>
      <c r="AR209" s="340"/>
      <c r="AS209" s="340"/>
      <c r="AT209" s="340"/>
      <c r="AU209" s="340"/>
      <c r="AV209" s="340"/>
      <c r="AW209" s="340"/>
      <c r="AX209" s="340"/>
      <c r="AY209" s="340"/>
      <c r="AZ209" s="340"/>
      <c r="BA209" s="340"/>
      <c r="BB209" s="340"/>
      <c r="BC209" s="340"/>
      <c r="BD209" s="340"/>
    </row>
    <row r="210" spans="3:56">
      <c r="C210" s="340"/>
      <c r="D210" s="340"/>
      <c r="E210" s="340"/>
      <c r="F210" s="340"/>
      <c r="G210" s="340"/>
      <c r="H210" s="340"/>
      <c r="I210" s="340"/>
      <c r="J210" s="340"/>
      <c r="K210" s="340"/>
      <c r="L210" s="340"/>
      <c r="M210" s="340"/>
      <c r="N210" s="340"/>
      <c r="O210" s="340"/>
      <c r="P210" s="340"/>
      <c r="Q210" s="340"/>
      <c r="R210" s="340"/>
      <c r="S210" s="340"/>
      <c r="T210" s="340"/>
      <c r="U210" s="340"/>
      <c r="V210" s="340"/>
      <c r="W210" s="340"/>
      <c r="X210" s="340"/>
      <c r="Y210" s="340"/>
      <c r="Z210" s="340"/>
      <c r="AA210" s="340"/>
      <c r="AB210" s="340"/>
      <c r="AC210" s="340"/>
      <c r="AD210" s="340"/>
      <c r="AE210" s="340"/>
      <c r="AF210" s="340"/>
      <c r="AG210" s="340"/>
      <c r="AH210" s="340"/>
      <c r="AI210" s="340"/>
      <c r="AJ210" s="340"/>
      <c r="AK210" s="340"/>
      <c r="AL210" s="340"/>
      <c r="AM210" s="340"/>
      <c r="AN210" s="340"/>
      <c r="AO210" s="340"/>
      <c r="AP210" s="340"/>
      <c r="AQ210" s="340"/>
      <c r="AR210" s="340"/>
      <c r="AS210" s="340"/>
      <c r="AT210" s="340"/>
      <c r="AU210" s="340"/>
      <c r="AV210" s="340"/>
      <c r="AW210" s="340"/>
      <c r="AX210" s="340"/>
      <c r="AY210" s="340"/>
      <c r="AZ210" s="340"/>
      <c r="BA210" s="340"/>
      <c r="BB210" s="340"/>
      <c r="BC210" s="340"/>
      <c r="BD210" s="340"/>
    </row>
    <row r="211" spans="3:56">
      <c r="C211" s="340"/>
      <c r="D211" s="340"/>
      <c r="E211" s="340"/>
      <c r="F211" s="340"/>
      <c r="G211" s="340"/>
      <c r="H211" s="340"/>
      <c r="I211" s="340"/>
      <c r="J211" s="340"/>
      <c r="K211" s="340"/>
      <c r="L211" s="340"/>
      <c r="M211" s="340"/>
      <c r="N211" s="340"/>
      <c r="O211" s="340"/>
      <c r="P211" s="340"/>
      <c r="Q211" s="340"/>
      <c r="R211" s="340"/>
      <c r="S211" s="340"/>
      <c r="T211" s="340"/>
      <c r="U211" s="340"/>
      <c r="V211" s="340"/>
      <c r="W211" s="340"/>
      <c r="X211" s="340"/>
      <c r="Y211" s="340"/>
      <c r="Z211" s="340"/>
      <c r="AA211" s="340"/>
      <c r="AB211" s="340"/>
      <c r="AC211" s="340"/>
      <c r="AD211" s="340"/>
      <c r="AE211" s="340"/>
      <c r="AF211" s="340"/>
      <c r="AG211" s="340"/>
      <c r="AH211" s="340"/>
      <c r="AI211" s="340"/>
      <c r="AJ211" s="340"/>
      <c r="AK211" s="340"/>
      <c r="AL211" s="340"/>
      <c r="AM211" s="340"/>
      <c r="AN211" s="340"/>
      <c r="AO211" s="340"/>
      <c r="AP211" s="340"/>
      <c r="AQ211" s="340"/>
      <c r="AR211" s="340"/>
      <c r="AS211" s="340"/>
      <c r="AT211" s="340"/>
      <c r="AU211" s="340"/>
      <c r="AV211" s="340"/>
      <c r="AW211" s="340"/>
      <c r="AX211" s="340"/>
      <c r="AY211" s="340"/>
      <c r="AZ211" s="340"/>
      <c r="BA211" s="340"/>
      <c r="BB211" s="340"/>
      <c r="BC211" s="340"/>
      <c r="BD211" s="340"/>
    </row>
    <row r="212" spans="3:56">
      <c r="C212" s="340"/>
      <c r="D212" s="340"/>
      <c r="E212" s="340"/>
      <c r="F212" s="340"/>
      <c r="G212" s="340"/>
      <c r="H212" s="340"/>
      <c r="I212" s="340"/>
      <c r="J212" s="340"/>
      <c r="K212" s="340"/>
      <c r="L212" s="340"/>
      <c r="M212" s="340"/>
      <c r="N212" s="340"/>
      <c r="O212" s="340"/>
      <c r="P212" s="340"/>
      <c r="Q212" s="340"/>
      <c r="R212" s="340"/>
      <c r="S212" s="340"/>
      <c r="T212" s="340"/>
      <c r="U212" s="340"/>
      <c r="V212" s="340"/>
      <c r="W212" s="340"/>
      <c r="X212" s="340"/>
      <c r="Y212" s="340"/>
      <c r="Z212" s="340"/>
      <c r="AA212" s="340"/>
      <c r="AB212" s="340"/>
      <c r="AC212" s="340"/>
      <c r="AD212" s="340"/>
      <c r="AE212" s="340"/>
      <c r="AF212" s="340"/>
      <c r="AG212" s="340"/>
      <c r="AH212" s="340"/>
      <c r="AI212" s="340"/>
      <c r="AJ212" s="340"/>
      <c r="AK212" s="340"/>
      <c r="AL212" s="340"/>
      <c r="AM212" s="340"/>
      <c r="AN212" s="340"/>
      <c r="AO212" s="340"/>
      <c r="AP212" s="340"/>
      <c r="AQ212" s="340"/>
      <c r="AR212" s="340"/>
      <c r="AS212" s="340"/>
      <c r="AT212" s="340"/>
      <c r="AU212" s="340"/>
      <c r="AV212" s="340"/>
      <c r="AW212" s="340"/>
      <c r="AX212" s="340"/>
      <c r="AY212" s="340"/>
      <c r="AZ212" s="340"/>
      <c r="BA212" s="340"/>
      <c r="BB212" s="340"/>
      <c r="BC212" s="340"/>
      <c r="BD212" s="340"/>
    </row>
    <row r="213" spans="3:56">
      <c r="C213" s="340"/>
      <c r="D213" s="340"/>
      <c r="E213" s="340"/>
      <c r="F213" s="340"/>
      <c r="G213" s="340"/>
      <c r="H213" s="340"/>
      <c r="I213" s="340"/>
      <c r="J213" s="340"/>
      <c r="K213" s="340"/>
      <c r="L213" s="340"/>
      <c r="M213" s="340"/>
      <c r="N213" s="340"/>
      <c r="O213" s="340"/>
      <c r="P213" s="340"/>
      <c r="Q213" s="340"/>
      <c r="R213" s="340"/>
      <c r="S213" s="340"/>
      <c r="T213" s="340"/>
      <c r="U213" s="340"/>
      <c r="V213" s="340"/>
      <c r="W213" s="340"/>
      <c r="X213" s="340"/>
      <c r="Y213" s="340"/>
      <c r="Z213" s="340"/>
      <c r="AA213" s="340"/>
      <c r="AB213" s="340"/>
      <c r="AC213" s="340"/>
      <c r="AD213" s="340"/>
      <c r="AE213" s="340"/>
      <c r="AF213" s="340"/>
      <c r="AG213" s="340"/>
      <c r="AH213" s="340"/>
      <c r="AI213" s="340"/>
      <c r="AJ213" s="340"/>
      <c r="AK213" s="340"/>
      <c r="AL213" s="340"/>
      <c r="AM213" s="340"/>
      <c r="AN213" s="340"/>
      <c r="AO213" s="340"/>
      <c r="AP213" s="340"/>
      <c r="AQ213" s="340"/>
      <c r="AR213" s="340"/>
      <c r="AS213" s="340"/>
      <c r="AT213" s="340"/>
      <c r="AU213" s="340"/>
      <c r="AV213" s="340"/>
      <c r="AW213" s="340"/>
      <c r="AX213" s="340"/>
      <c r="AY213" s="340"/>
      <c r="AZ213" s="340"/>
      <c r="BA213" s="340"/>
      <c r="BB213" s="340"/>
      <c r="BC213" s="340"/>
      <c r="BD213" s="340"/>
    </row>
    <row r="214" spans="3:56">
      <c r="C214" s="340"/>
      <c r="D214" s="340"/>
      <c r="E214" s="340"/>
      <c r="F214" s="340"/>
      <c r="G214" s="340"/>
      <c r="H214" s="340"/>
      <c r="I214" s="340"/>
      <c r="J214" s="340"/>
      <c r="K214" s="340"/>
      <c r="L214" s="340"/>
      <c r="M214" s="340"/>
      <c r="N214" s="340"/>
      <c r="O214" s="340"/>
      <c r="P214" s="340"/>
      <c r="Q214" s="340"/>
      <c r="R214" s="340"/>
      <c r="S214" s="340"/>
      <c r="T214" s="340"/>
      <c r="U214" s="340"/>
      <c r="V214" s="340"/>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0"/>
      <c r="AY214" s="340"/>
      <c r="AZ214" s="340"/>
      <c r="BA214" s="340"/>
      <c r="BB214" s="340"/>
      <c r="BC214" s="340"/>
      <c r="BD214" s="340"/>
    </row>
    <row r="215" spans="3:56">
      <c r="C215" s="340"/>
      <c r="D215" s="340"/>
      <c r="E215" s="340"/>
      <c r="F215" s="340"/>
      <c r="G215" s="340"/>
      <c r="H215" s="340"/>
      <c r="I215" s="340"/>
      <c r="J215" s="340"/>
      <c r="K215" s="340"/>
      <c r="L215" s="340"/>
      <c r="M215" s="340"/>
      <c r="N215" s="340"/>
      <c r="O215" s="340"/>
      <c r="P215" s="340"/>
      <c r="Q215" s="340"/>
      <c r="R215" s="340"/>
      <c r="S215" s="340"/>
      <c r="T215" s="340"/>
      <c r="U215" s="340"/>
      <c r="V215" s="340"/>
      <c r="W215" s="340"/>
      <c r="X215" s="340"/>
      <c r="Y215" s="340"/>
      <c r="Z215" s="340"/>
      <c r="AA215" s="340"/>
      <c r="AB215" s="340"/>
      <c r="AC215" s="340"/>
      <c r="AD215" s="340"/>
      <c r="AE215" s="340"/>
      <c r="AF215" s="340"/>
      <c r="AG215" s="340"/>
      <c r="AH215" s="340"/>
      <c r="AI215" s="340"/>
      <c r="AJ215" s="340"/>
      <c r="AK215" s="340"/>
      <c r="AL215" s="340"/>
      <c r="AM215" s="340"/>
      <c r="AN215" s="340"/>
      <c r="AO215" s="340"/>
      <c r="AP215" s="340"/>
      <c r="AQ215" s="340"/>
      <c r="AR215" s="340"/>
      <c r="AS215" s="340"/>
      <c r="AT215" s="340"/>
      <c r="AU215" s="340"/>
      <c r="AV215" s="340"/>
      <c r="AW215" s="340"/>
      <c r="AX215" s="340"/>
      <c r="AY215" s="340"/>
      <c r="AZ215" s="340"/>
      <c r="BA215" s="340"/>
      <c r="BB215" s="340"/>
      <c r="BC215" s="340"/>
      <c r="BD215" s="340"/>
    </row>
    <row r="216" spans="3:56">
      <c r="C216" s="340"/>
      <c r="D216" s="340"/>
      <c r="E216" s="340"/>
      <c r="F216" s="340"/>
      <c r="G216" s="340"/>
      <c r="H216" s="340"/>
      <c r="I216" s="340"/>
      <c r="J216" s="340"/>
      <c r="K216" s="340"/>
      <c r="L216" s="340"/>
      <c r="M216" s="340"/>
      <c r="N216" s="340"/>
      <c r="O216" s="340"/>
      <c r="P216" s="340"/>
      <c r="Q216" s="340"/>
      <c r="R216" s="340"/>
      <c r="S216" s="340"/>
      <c r="T216" s="340"/>
      <c r="U216" s="340"/>
      <c r="V216" s="340"/>
      <c r="W216" s="340"/>
      <c r="X216" s="340"/>
      <c r="Y216" s="340"/>
      <c r="Z216" s="340"/>
      <c r="AA216" s="340"/>
      <c r="AB216" s="340"/>
      <c r="AC216" s="340"/>
      <c r="AD216" s="340"/>
      <c r="AE216" s="340"/>
      <c r="AF216" s="340"/>
      <c r="AG216" s="340"/>
      <c r="AH216" s="340"/>
      <c r="AI216" s="340"/>
      <c r="AJ216" s="340"/>
      <c r="AK216" s="340"/>
      <c r="AL216" s="340"/>
      <c r="AM216" s="340"/>
      <c r="AN216" s="340"/>
      <c r="AO216" s="340"/>
      <c r="AP216" s="340"/>
      <c r="AQ216" s="340"/>
      <c r="AR216" s="340"/>
      <c r="AS216" s="340"/>
      <c r="AT216" s="340"/>
      <c r="AU216" s="340"/>
      <c r="AV216" s="340"/>
      <c r="AW216" s="340"/>
      <c r="AX216" s="340"/>
      <c r="AY216" s="340"/>
      <c r="AZ216" s="340"/>
      <c r="BA216" s="340"/>
      <c r="BB216" s="340"/>
      <c r="BC216" s="340"/>
      <c r="BD216" s="340"/>
    </row>
    <row r="217" spans="3:56">
      <c r="C217" s="340"/>
      <c r="D217" s="340"/>
      <c r="E217" s="340"/>
      <c r="F217" s="340"/>
      <c r="G217" s="340"/>
      <c r="H217" s="340"/>
      <c r="I217" s="340"/>
      <c r="J217" s="340"/>
      <c r="K217" s="340"/>
      <c r="L217" s="340"/>
      <c r="M217" s="340"/>
      <c r="N217" s="340"/>
      <c r="O217" s="340"/>
      <c r="P217" s="340"/>
      <c r="Q217" s="340"/>
      <c r="R217" s="340"/>
      <c r="S217" s="340"/>
      <c r="T217" s="340"/>
      <c r="U217" s="340"/>
      <c r="V217" s="340"/>
      <c r="W217" s="340"/>
      <c r="X217" s="340"/>
      <c r="Y217" s="340"/>
      <c r="Z217" s="340"/>
      <c r="AA217" s="340"/>
      <c r="AB217" s="340"/>
      <c r="AC217" s="340"/>
      <c r="AD217" s="340"/>
      <c r="AE217" s="340"/>
      <c r="AF217" s="340"/>
      <c r="AG217" s="340"/>
      <c r="AH217" s="340"/>
      <c r="AI217" s="340"/>
      <c r="AJ217" s="340"/>
      <c r="AK217" s="340"/>
      <c r="AL217" s="340"/>
      <c r="AM217" s="340"/>
      <c r="AN217" s="340"/>
      <c r="AO217" s="340"/>
      <c r="AP217" s="340"/>
      <c r="AQ217" s="340"/>
      <c r="AR217" s="340"/>
      <c r="AS217" s="340"/>
      <c r="AT217" s="340"/>
      <c r="AU217" s="340"/>
      <c r="AV217" s="340"/>
      <c r="AW217" s="340"/>
      <c r="AX217" s="340"/>
      <c r="AY217" s="340"/>
      <c r="AZ217" s="340"/>
      <c r="BA217" s="340"/>
      <c r="BB217" s="340"/>
      <c r="BC217" s="340"/>
      <c r="BD217" s="340"/>
    </row>
    <row r="218" spans="3:56">
      <c r="C218" s="340"/>
      <c r="D218" s="340"/>
      <c r="E218" s="340"/>
      <c r="F218" s="340"/>
      <c r="G218" s="340"/>
      <c r="H218" s="340"/>
      <c r="I218" s="340"/>
      <c r="J218" s="340"/>
      <c r="K218" s="340"/>
      <c r="L218" s="340"/>
      <c r="M218" s="340"/>
      <c r="N218" s="340"/>
      <c r="O218" s="340"/>
      <c r="P218" s="340"/>
      <c r="Q218" s="340"/>
      <c r="R218" s="340"/>
      <c r="S218" s="340"/>
      <c r="T218" s="340"/>
      <c r="U218" s="340"/>
      <c r="V218" s="340"/>
      <c r="W218" s="340"/>
      <c r="X218" s="340"/>
      <c r="Y218" s="340"/>
      <c r="Z218" s="340"/>
      <c r="AA218" s="340"/>
      <c r="AB218" s="340"/>
      <c r="AC218" s="340"/>
      <c r="AD218" s="340"/>
      <c r="AE218" s="340"/>
      <c r="AF218" s="340"/>
      <c r="AG218" s="340"/>
      <c r="AH218" s="340"/>
      <c r="AI218" s="340"/>
      <c r="AJ218" s="340"/>
      <c r="AK218" s="340"/>
      <c r="AL218" s="340"/>
      <c r="AM218" s="340"/>
      <c r="AN218" s="340"/>
      <c r="AO218" s="340"/>
      <c r="AP218" s="340"/>
      <c r="AQ218" s="340"/>
      <c r="AR218" s="340"/>
      <c r="AS218" s="340"/>
      <c r="AT218" s="340"/>
      <c r="AU218" s="340"/>
      <c r="AV218" s="340"/>
      <c r="AW218" s="340"/>
      <c r="AX218" s="340"/>
      <c r="AY218" s="340"/>
      <c r="AZ218" s="340"/>
      <c r="BA218" s="340"/>
      <c r="BB218" s="340"/>
      <c r="BC218" s="340"/>
      <c r="BD218" s="340"/>
    </row>
    <row r="219" spans="3:56">
      <c r="C219" s="340"/>
      <c r="D219" s="340"/>
      <c r="E219" s="340"/>
      <c r="F219" s="340"/>
      <c r="G219" s="340"/>
      <c r="H219" s="340"/>
      <c r="I219" s="340"/>
      <c r="J219" s="340"/>
      <c r="K219" s="340"/>
      <c r="L219" s="340"/>
      <c r="M219" s="340"/>
      <c r="N219" s="340"/>
      <c r="O219" s="340"/>
      <c r="P219" s="340"/>
      <c r="Q219" s="340"/>
      <c r="R219" s="340"/>
      <c r="S219" s="340"/>
      <c r="T219" s="340"/>
      <c r="U219" s="340"/>
      <c r="V219" s="340"/>
      <c r="W219" s="340"/>
      <c r="X219" s="340"/>
      <c r="Y219" s="340"/>
      <c r="Z219" s="340"/>
      <c r="AA219" s="340"/>
      <c r="AB219" s="340"/>
      <c r="AC219" s="340"/>
      <c r="AD219" s="340"/>
      <c r="AE219" s="340"/>
      <c r="AF219" s="340"/>
      <c r="AG219" s="340"/>
      <c r="AH219" s="340"/>
      <c r="AI219" s="340"/>
      <c r="AJ219" s="340"/>
      <c r="AK219" s="340"/>
      <c r="AL219" s="340"/>
      <c r="AM219" s="340"/>
      <c r="AN219" s="340"/>
      <c r="AO219" s="340"/>
      <c r="AP219" s="340"/>
      <c r="AQ219" s="340"/>
      <c r="AR219" s="340"/>
      <c r="AS219" s="340"/>
      <c r="AT219" s="340"/>
      <c r="AU219" s="340"/>
      <c r="AV219" s="340"/>
      <c r="AW219" s="340"/>
      <c r="AX219" s="340"/>
      <c r="AY219" s="340"/>
      <c r="AZ219" s="340"/>
      <c r="BA219" s="340"/>
      <c r="BB219" s="340"/>
      <c r="BC219" s="340"/>
      <c r="BD219" s="340"/>
    </row>
    <row r="220" spans="3:56">
      <c r="C220" s="340"/>
      <c r="D220" s="340"/>
      <c r="E220" s="340"/>
      <c r="F220" s="340"/>
      <c r="G220" s="340"/>
      <c r="H220" s="340"/>
      <c r="I220" s="340"/>
      <c r="J220" s="340"/>
      <c r="K220" s="340"/>
      <c r="L220" s="340"/>
      <c r="M220" s="340"/>
      <c r="N220" s="340"/>
      <c r="O220" s="340"/>
      <c r="P220" s="340"/>
      <c r="Q220" s="340"/>
      <c r="R220" s="340"/>
      <c r="S220" s="340"/>
      <c r="T220" s="340"/>
      <c r="U220" s="340"/>
      <c r="V220" s="340"/>
      <c r="W220" s="340"/>
      <c r="X220" s="340"/>
      <c r="Y220" s="340"/>
      <c r="Z220" s="340"/>
      <c r="AA220" s="340"/>
      <c r="AB220" s="340"/>
      <c r="AC220" s="340"/>
      <c r="AD220" s="340"/>
      <c r="AE220" s="340"/>
      <c r="AF220" s="340"/>
      <c r="AG220" s="340"/>
      <c r="AH220" s="340"/>
      <c r="AI220" s="340"/>
      <c r="AJ220" s="340"/>
      <c r="AK220" s="340"/>
      <c r="AL220" s="340"/>
      <c r="AM220" s="340"/>
      <c r="AN220" s="340"/>
      <c r="AO220" s="340"/>
      <c r="AP220" s="340"/>
      <c r="AQ220" s="340"/>
      <c r="AR220" s="340"/>
      <c r="AS220" s="340"/>
      <c r="AT220" s="340"/>
      <c r="AU220" s="340"/>
      <c r="AV220" s="340"/>
      <c r="AW220" s="340"/>
      <c r="AX220" s="340"/>
      <c r="AY220" s="340"/>
      <c r="AZ220" s="340"/>
      <c r="BA220" s="340"/>
      <c r="BB220" s="340"/>
      <c r="BC220" s="340"/>
      <c r="BD220" s="340"/>
    </row>
    <row r="221" spans="3:56">
      <c r="C221" s="340"/>
      <c r="D221" s="340"/>
      <c r="E221" s="340"/>
      <c r="F221" s="340"/>
      <c r="G221" s="340"/>
      <c r="H221" s="340"/>
      <c r="I221" s="340"/>
      <c r="J221" s="340"/>
      <c r="K221" s="340"/>
      <c r="L221" s="340"/>
      <c r="M221" s="340"/>
      <c r="N221" s="340"/>
      <c r="O221" s="340"/>
      <c r="P221" s="340"/>
      <c r="Q221" s="340"/>
      <c r="R221" s="340"/>
      <c r="S221" s="340"/>
      <c r="T221" s="340"/>
      <c r="U221" s="340"/>
      <c r="V221" s="340"/>
      <c r="W221" s="340"/>
      <c r="X221" s="340"/>
      <c r="Y221" s="340"/>
      <c r="Z221" s="340"/>
      <c r="AA221" s="340"/>
      <c r="AB221" s="340"/>
      <c r="AC221" s="340"/>
      <c r="AD221" s="340"/>
      <c r="AE221" s="340"/>
      <c r="AF221" s="340"/>
      <c r="AG221" s="340"/>
      <c r="AH221" s="340"/>
      <c r="AI221" s="340"/>
      <c r="AJ221" s="340"/>
      <c r="AK221" s="340"/>
      <c r="AL221" s="340"/>
      <c r="AM221" s="340"/>
      <c r="AN221" s="340"/>
      <c r="AO221" s="340"/>
      <c r="AP221" s="340"/>
      <c r="AQ221" s="340"/>
      <c r="AR221" s="340"/>
      <c r="AS221" s="340"/>
      <c r="AT221" s="340"/>
      <c r="AU221" s="340"/>
      <c r="AV221" s="340"/>
      <c r="AW221" s="340"/>
      <c r="AX221" s="340"/>
      <c r="AY221" s="340"/>
      <c r="AZ221" s="340"/>
      <c r="BA221" s="340"/>
      <c r="BB221" s="340"/>
      <c r="BC221" s="340"/>
      <c r="BD221" s="340"/>
    </row>
    <row r="222" spans="3:56">
      <c r="C222" s="340"/>
      <c r="D222" s="340"/>
      <c r="E222" s="340"/>
      <c r="F222" s="340"/>
      <c r="G222" s="340"/>
      <c r="H222" s="340"/>
      <c r="I222" s="340"/>
      <c r="J222" s="340"/>
      <c r="K222" s="340"/>
      <c r="L222" s="340"/>
      <c r="M222" s="340"/>
      <c r="N222" s="340"/>
      <c r="O222" s="340"/>
      <c r="P222" s="340"/>
      <c r="Q222" s="340"/>
      <c r="R222" s="340"/>
      <c r="S222" s="340"/>
      <c r="T222" s="340"/>
      <c r="U222" s="340"/>
      <c r="V222" s="340"/>
      <c r="W222" s="340"/>
      <c r="X222" s="340"/>
      <c r="Y222" s="340"/>
      <c r="Z222" s="340"/>
      <c r="AA222" s="340"/>
      <c r="AB222" s="340"/>
      <c r="AC222" s="340"/>
      <c r="AD222" s="340"/>
      <c r="AE222" s="340"/>
      <c r="AF222" s="340"/>
      <c r="AG222" s="340"/>
      <c r="AH222" s="340"/>
      <c r="AI222" s="340"/>
      <c r="AJ222" s="340"/>
      <c r="AK222" s="340"/>
      <c r="AL222" s="340"/>
      <c r="AM222" s="340"/>
      <c r="AN222" s="340"/>
      <c r="AO222" s="340"/>
      <c r="AP222" s="340"/>
      <c r="AQ222" s="340"/>
      <c r="AR222" s="340"/>
      <c r="AS222" s="340"/>
      <c r="AT222" s="340"/>
      <c r="AU222" s="340"/>
      <c r="AV222" s="340"/>
      <c r="AW222" s="340"/>
      <c r="AX222" s="340"/>
      <c r="AY222" s="340"/>
      <c r="AZ222" s="340"/>
      <c r="BA222" s="340"/>
      <c r="BB222" s="340"/>
      <c r="BC222" s="340"/>
      <c r="BD222" s="340"/>
    </row>
    <row r="223" spans="3:56">
      <c r="C223" s="340"/>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c r="Z223" s="340"/>
      <c r="AA223" s="340"/>
      <c r="AB223" s="340"/>
      <c r="AC223" s="340"/>
      <c r="AD223" s="340"/>
      <c r="AE223" s="340"/>
      <c r="AF223" s="340"/>
      <c r="AG223" s="340"/>
      <c r="AH223" s="340"/>
      <c r="AI223" s="340"/>
      <c r="AJ223" s="340"/>
      <c r="AK223" s="340"/>
      <c r="AL223" s="340"/>
      <c r="AM223" s="340"/>
      <c r="AN223" s="340"/>
      <c r="AO223" s="340"/>
      <c r="AP223" s="340"/>
      <c r="AQ223" s="340"/>
      <c r="AR223" s="340"/>
      <c r="AS223" s="340"/>
      <c r="AT223" s="340"/>
      <c r="AU223" s="340"/>
      <c r="AV223" s="340"/>
      <c r="AW223" s="340"/>
      <c r="AX223" s="340"/>
      <c r="AY223" s="340"/>
      <c r="AZ223" s="340"/>
      <c r="BA223" s="340"/>
      <c r="BB223" s="340"/>
      <c r="BC223" s="340"/>
      <c r="BD223" s="340"/>
    </row>
    <row r="224" spans="3:56">
      <c r="C224" s="340"/>
      <c r="D224" s="340"/>
      <c r="E224" s="340"/>
      <c r="F224" s="340"/>
      <c r="G224" s="340"/>
      <c r="H224" s="340"/>
      <c r="I224" s="340"/>
      <c r="J224" s="340"/>
      <c r="K224" s="340"/>
      <c r="L224" s="340"/>
      <c r="M224" s="340"/>
      <c r="N224" s="340"/>
      <c r="O224" s="340"/>
      <c r="P224" s="340"/>
      <c r="Q224" s="340"/>
      <c r="R224" s="340"/>
      <c r="S224" s="340"/>
      <c r="T224" s="340"/>
      <c r="U224" s="340"/>
      <c r="V224" s="340"/>
      <c r="W224" s="340"/>
      <c r="X224" s="340"/>
      <c r="Y224" s="340"/>
      <c r="Z224" s="340"/>
      <c r="AA224" s="340"/>
      <c r="AB224" s="340"/>
      <c r="AC224" s="340"/>
      <c r="AD224" s="340"/>
      <c r="AE224" s="340"/>
      <c r="AF224" s="340"/>
      <c r="AG224" s="340"/>
      <c r="AH224" s="340"/>
      <c r="AI224" s="340"/>
      <c r="AJ224" s="340"/>
      <c r="AK224" s="340"/>
      <c r="AL224" s="340"/>
      <c r="AM224" s="340"/>
      <c r="AN224" s="340"/>
      <c r="AO224" s="340"/>
      <c r="AP224" s="340"/>
      <c r="AQ224" s="340"/>
      <c r="AR224" s="340"/>
      <c r="AS224" s="340"/>
      <c r="AT224" s="340"/>
      <c r="AU224" s="340"/>
      <c r="AV224" s="340"/>
      <c r="AW224" s="340"/>
      <c r="AX224" s="340"/>
      <c r="AY224" s="340"/>
      <c r="AZ224" s="340"/>
      <c r="BA224" s="340"/>
      <c r="BB224" s="340"/>
      <c r="BC224" s="340"/>
      <c r="BD224" s="340"/>
    </row>
    <row r="225" spans="3:56">
      <c r="C225" s="340"/>
      <c r="D225" s="340"/>
      <c r="E225" s="340"/>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340"/>
      <c r="AD225" s="340"/>
      <c r="AE225" s="340"/>
      <c r="AF225" s="340"/>
      <c r="AG225" s="340"/>
      <c r="AH225" s="340"/>
      <c r="AI225" s="340"/>
      <c r="AJ225" s="340"/>
      <c r="AK225" s="340"/>
      <c r="AL225" s="340"/>
      <c r="AM225" s="340"/>
      <c r="AN225" s="340"/>
      <c r="AO225" s="340"/>
      <c r="AP225" s="340"/>
      <c r="AQ225" s="340"/>
      <c r="AR225" s="340"/>
      <c r="AS225" s="340"/>
      <c r="AT225" s="340"/>
      <c r="AU225" s="340"/>
      <c r="AV225" s="340"/>
      <c r="AW225" s="340"/>
      <c r="AX225" s="340"/>
      <c r="AY225" s="340"/>
      <c r="AZ225" s="340"/>
      <c r="BA225" s="340"/>
      <c r="BB225" s="340"/>
      <c r="BC225" s="340"/>
      <c r="BD225" s="340"/>
    </row>
    <row r="226" spans="3:56">
      <c r="C226" s="340"/>
      <c r="D226" s="340"/>
      <c r="E226" s="340"/>
      <c r="F226" s="340"/>
      <c r="G226" s="340"/>
      <c r="H226" s="340"/>
      <c r="I226" s="340"/>
      <c r="J226" s="340"/>
      <c r="K226" s="340"/>
      <c r="L226" s="340"/>
      <c r="M226" s="340"/>
      <c r="N226" s="340"/>
      <c r="O226" s="340"/>
      <c r="P226" s="340"/>
      <c r="Q226" s="340"/>
      <c r="R226" s="340"/>
      <c r="S226" s="340"/>
      <c r="T226" s="340"/>
      <c r="U226" s="340"/>
      <c r="V226" s="340"/>
      <c r="W226" s="340"/>
      <c r="X226" s="340"/>
      <c r="Y226" s="340"/>
      <c r="Z226" s="340"/>
      <c r="AA226" s="340"/>
      <c r="AB226" s="340"/>
      <c r="AC226" s="340"/>
      <c r="AD226" s="340"/>
      <c r="AE226" s="340"/>
      <c r="AF226" s="340"/>
      <c r="AG226" s="340"/>
      <c r="AH226" s="340"/>
      <c r="AI226" s="340"/>
      <c r="AJ226" s="340"/>
      <c r="AK226" s="340"/>
      <c r="AL226" s="340"/>
      <c r="AM226" s="340"/>
      <c r="AN226" s="340"/>
      <c r="AO226" s="340"/>
      <c r="AP226" s="340"/>
      <c r="AQ226" s="340"/>
      <c r="AR226" s="340"/>
      <c r="AS226" s="340"/>
      <c r="AT226" s="340"/>
      <c r="AU226" s="340"/>
      <c r="AV226" s="340"/>
      <c r="AW226" s="340"/>
      <c r="AX226" s="340"/>
      <c r="AY226" s="340"/>
      <c r="AZ226" s="340"/>
      <c r="BA226" s="340"/>
      <c r="BB226" s="340"/>
      <c r="BC226" s="340"/>
      <c r="BD226" s="340"/>
    </row>
    <row r="227" spans="3:56">
      <c r="C227" s="340"/>
      <c r="D227" s="340"/>
      <c r="E227" s="340"/>
      <c r="F227" s="340"/>
      <c r="G227" s="340"/>
      <c r="H227" s="340"/>
      <c r="I227" s="340"/>
      <c r="J227" s="340"/>
      <c r="K227" s="340"/>
      <c r="L227" s="340"/>
      <c r="M227" s="340"/>
      <c r="N227" s="340"/>
      <c r="O227" s="340"/>
      <c r="P227" s="340"/>
      <c r="Q227" s="340"/>
      <c r="R227" s="340"/>
      <c r="S227" s="340"/>
      <c r="T227" s="340"/>
      <c r="U227" s="340"/>
      <c r="V227" s="340"/>
      <c r="W227" s="340"/>
      <c r="X227" s="340"/>
      <c r="Y227" s="340"/>
      <c r="Z227" s="340"/>
      <c r="AA227" s="340"/>
      <c r="AB227" s="340"/>
      <c r="AC227" s="340"/>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340"/>
      <c r="AY227" s="340"/>
      <c r="AZ227" s="340"/>
      <c r="BA227" s="340"/>
      <c r="BB227" s="340"/>
      <c r="BC227" s="340"/>
      <c r="BD227" s="340"/>
    </row>
    <row r="228" spans="3:56">
      <c r="C228" s="340"/>
      <c r="D228" s="340"/>
      <c r="E228" s="340"/>
      <c r="F228" s="340"/>
      <c r="G228" s="340"/>
      <c r="H228" s="340"/>
      <c r="I228" s="340"/>
      <c r="J228" s="340"/>
      <c r="K228" s="340"/>
      <c r="L228" s="340"/>
      <c r="M228" s="340"/>
      <c r="N228" s="340"/>
      <c r="O228" s="340"/>
      <c r="P228" s="340"/>
      <c r="Q228" s="340"/>
      <c r="R228" s="340"/>
      <c r="S228" s="340"/>
      <c r="T228" s="340"/>
      <c r="U228" s="340"/>
      <c r="V228" s="340"/>
      <c r="W228" s="340"/>
      <c r="X228" s="340"/>
      <c r="Y228" s="340"/>
      <c r="Z228" s="340"/>
      <c r="AA228" s="340"/>
      <c r="AB228" s="340"/>
      <c r="AC228" s="340"/>
      <c r="AD228" s="340"/>
      <c r="AE228" s="340"/>
      <c r="AF228" s="340"/>
      <c r="AG228" s="340"/>
      <c r="AH228" s="340"/>
      <c r="AI228" s="340"/>
      <c r="AJ228" s="340"/>
      <c r="AK228" s="340"/>
      <c r="AL228" s="340"/>
      <c r="AM228" s="340"/>
      <c r="AN228" s="340"/>
      <c r="AO228" s="340"/>
      <c r="AP228" s="340"/>
      <c r="AQ228" s="340"/>
      <c r="AR228" s="340"/>
      <c r="AS228" s="340"/>
      <c r="AT228" s="340"/>
      <c r="AU228" s="340"/>
      <c r="AV228" s="340"/>
      <c r="AW228" s="340"/>
      <c r="AX228" s="340"/>
      <c r="AY228" s="340"/>
      <c r="AZ228" s="340"/>
      <c r="BA228" s="340"/>
      <c r="BB228" s="340"/>
      <c r="BC228" s="340"/>
      <c r="BD228" s="340"/>
    </row>
    <row r="229" spans="3:56">
      <c r="C229" s="340"/>
      <c r="D229" s="340"/>
      <c r="E229" s="340"/>
      <c r="F229" s="340"/>
      <c r="G229" s="340"/>
      <c r="H229" s="340"/>
      <c r="I229" s="340"/>
      <c r="J229" s="340"/>
      <c r="K229" s="340"/>
      <c r="L229" s="340"/>
      <c r="M229" s="340"/>
      <c r="N229" s="340"/>
      <c r="O229" s="340"/>
      <c r="P229" s="340"/>
      <c r="Q229" s="340"/>
      <c r="R229" s="340"/>
      <c r="S229" s="340"/>
      <c r="T229" s="340"/>
      <c r="U229" s="340"/>
      <c r="V229" s="340"/>
      <c r="W229" s="340"/>
      <c r="X229" s="340"/>
      <c r="Y229" s="340"/>
      <c r="Z229" s="340"/>
      <c r="AA229" s="340"/>
      <c r="AB229" s="340"/>
      <c r="AC229" s="340"/>
      <c r="AD229" s="340"/>
      <c r="AE229" s="340"/>
      <c r="AF229" s="340"/>
      <c r="AG229" s="340"/>
      <c r="AH229" s="340"/>
      <c r="AI229" s="340"/>
      <c r="AJ229" s="340"/>
      <c r="AK229" s="340"/>
      <c r="AL229" s="340"/>
      <c r="AM229" s="340"/>
      <c r="AN229" s="340"/>
      <c r="AO229" s="340"/>
      <c r="AP229" s="340"/>
      <c r="AQ229" s="340"/>
      <c r="AR229" s="340"/>
      <c r="AS229" s="340"/>
      <c r="AT229" s="340"/>
      <c r="AU229" s="340"/>
      <c r="AV229" s="340"/>
      <c r="AW229" s="340"/>
      <c r="AX229" s="340"/>
      <c r="AY229" s="340"/>
      <c r="AZ229" s="340"/>
      <c r="BA229" s="340"/>
      <c r="BB229" s="340"/>
      <c r="BC229" s="340"/>
      <c r="BD229" s="340"/>
    </row>
    <row r="230" spans="3:56">
      <c r="C230" s="340"/>
      <c r="D230" s="340"/>
      <c r="E230" s="340"/>
      <c r="F230" s="340"/>
      <c r="G230" s="340"/>
      <c r="H230" s="340"/>
      <c r="I230" s="340"/>
      <c r="J230" s="340"/>
      <c r="K230" s="340"/>
      <c r="L230" s="340"/>
      <c r="M230" s="340"/>
      <c r="N230" s="340"/>
      <c r="O230" s="340"/>
      <c r="P230" s="340"/>
      <c r="Q230" s="340"/>
      <c r="R230" s="340"/>
      <c r="S230" s="340"/>
      <c r="T230" s="340"/>
      <c r="U230" s="340"/>
      <c r="V230" s="340"/>
      <c r="W230" s="340"/>
      <c r="X230" s="340"/>
      <c r="Y230" s="340"/>
      <c r="Z230" s="340"/>
      <c r="AA230" s="340"/>
      <c r="AB230" s="340"/>
      <c r="AC230" s="340"/>
      <c r="AD230" s="340"/>
      <c r="AE230" s="340"/>
      <c r="AF230" s="340"/>
      <c r="AG230" s="340"/>
      <c r="AH230" s="340"/>
      <c r="AI230" s="340"/>
      <c r="AJ230" s="340"/>
      <c r="AK230" s="340"/>
      <c r="AL230" s="340"/>
      <c r="AM230" s="340"/>
      <c r="AN230" s="340"/>
      <c r="AO230" s="340"/>
      <c r="AP230" s="340"/>
      <c r="AQ230" s="340"/>
      <c r="AR230" s="340"/>
      <c r="AS230" s="340"/>
      <c r="AT230" s="340"/>
      <c r="AU230" s="340"/>
      <c r="AV230" s="340"/>
      <c r="AW230" s="340"/>
      <c r="AX230" s="340"/>
      <c r="AY230" s="340"/>
      <c r="AZ230" s="340"/>
      <c r="BA230" s="340"/>
      <c r="BB230" s="340"/>
      <c r="BC230" s="340"/>
      <c r="BD230" s="340"/>
    </row>
    <row r="231" spans="3:56">
      <c r="C231" s="340"/>
      <c r="D231" s="340"/>
      <c r="E231" s="340"/>
      <c r="F231" s="340"/>
      <c r="G231" s="340"/>
      <c r="H231" s="340"/>
      <c r="I231" s="340"/>
      <c r="J231" s="340"/>
      <c r="K231" s="340"/>
      <c r="L231" s="340"/>
      <c r="M231" s="340"/>
      <c r="N231" s="340"/>
      <c r="O231" s="340"/>
      <c r="P231" s="340"/>
      <c r="Q231" s="340"/>
      <c r="R231" s="340"/>
      <c r="S231" s="340"/>
      <c r="T231" s="340"/>
      <c r="U231" s="340"/>
      <c r="V231" s="340"/>
      <c r="W231" s="340"/>
      <c r="X231" s="340"/>
      <c r="Y231" s="340"/>
      <c r="Z231" s="340"/>
      <c r="AA231" s="340"/>
      <c r="AB231" s="340"/>
      <c r="AC231" s="340"/>
      <c r="AD231" s="340"/>
      <c r="AE231" s="340"/>
      <c r="AF231" s="340"/>
      <c r="AG231" s="340"/>
      <c r="AH231" s="340"/>
      <c r="AI231" s="340"/>
      <c r="AJ231" s="340"/>
      <c r="AK231" s="340"/>
      <c r="AL231" s="340"/>
      <c r="AM231" s="340"/>
      <c r="AN231" s="340"/>
      <c r="AO231" s="340"/>
      <c r="AP231" s="340"/>
      <c r="AQ231" s="340"/>
      <c r="AR231" s="340"/>
      <c r="AS231" s="340"/>
      <c r="AT231" s="340"/>
      <c r="AU231" s="340"/>
      <c r="AV231" s="340"/>
      <c r="AW231" s="340"/>
      <c r="AX231" s="340"/>
      <c r="AY231" s="340"/>
      <c r="AZ231" s="340"/>
      <c r="BA231" s="340"/>
      <c r="BB231" s="340"/>
      <c r="BC231" s="340"/>
      <c r="BD231" s="340"/>
    </row>
    <row r="232" spans="3:56">
      <c r="C232" s="340"/>
      <c r="D232" s="340"/>
      <c r="E232" s="340"/>
      <c r="F232" s="340"/>
      <c r="G232" s="340"/>
      <c r="H232" s="340"/>
      <c r="I232" s="340"/>
      <c r="J232" s="340"/>
      <c r="K232" s="340"/>
      <c r="L232" s="340"/>
      <c r="M232" s="340"/>
      <c r="N232" s="340"/>
      <c r="O232" s="340"/>
      <c r="P232" s="340"/>
      <c r="Q232" s="340"/>
      <c r="R232" s="340"/>
      <c r="S232" s="340"/>
      <c r="T232" s="340"/>
      <c r="U232" s="340"/>
      <c r="V232" s="340"/>
      <c r="W232" s="340"/>
      <c r="X232" s="340"/>
      <c r="Y232" s="340"/>
      <c r="Z232" s="340"/>
      <c r="AA232" s="340"/>
      <c r="AB232" s="340"/>
      <c r="AC232" s="340"/>
      <c r="AD232" s="340"/>
      <c r="AE232" s="340"/>
      <c r="AF232" s="340"/>
      <c r="AG232" s="340"/>
      <c r="AH232" s="340"/>
      <c r="AI232" s="340"/>
      <c r="AJ232" s="340"/>
      <c r="AK232" s="340"/>
      <c r="AL232" s="340"/>
      <c r="AM232" s="340"/>
      <c r="AN232" s="340"/>
      <c r="AO232" s="340"/>
      <c r="AP232" s="340"/>
      <c r="AQ232" s="340"/>
      <c r="AR232" s="340"/>
      <c r="AS232" s="340"/>
      <c r="AT232" s="340"/>
      <c r="AU232" s="340"/>
      <c r="AV232" s="340"/>
      <c r="AW232" s="340"/>
      <c r="AX232" s="340"/>
      <c r="AY232" s="340"/>
      <c r="AZ232" s="340"/>
      <c r="BA232" s="340"/>
      <c r="BB232" s="340"/>
      <c r="BC232" s="340"/>
      <c r="BD232" s="340"/>
    </row>
    <row r="233" spans="3:56">
      <c r="C233" s="340"/>
      <c r="D233" s="340"/>
      <c r="E233" s="340"/>
      <c r="F233" s="340"/>
      <c r="G233" s="340"/>
      <c r="H233" s="340"/>
      <c r="I233" s="340"/>
      <c r="J233" s="340"/>
      <c r="K233" s="340"/>
      <c r="L233" s="340"/>
      <c r="M233" s="340"/>
      <c r="N233" s="340"/>
      <c r="O233" s="340"/>
      <c r="P233" s="340"/>
      <c r="Q233" s="340"/>
      <c r="R233" s="340"/>
      <c r="S233" s="340"/>
      <c r="T233" s="340"/>
      <c r="U233" s="340"/>
      <c r="V233" s="340"/>
      <c r="W233" s="340"/>
      <c r="X233" s="340"/>
      <c r="Y233" s="340"/>
      <c r="Z233" s="340"/>
      <c r="AA233" s="340"/>
      <c r="AB233" s="340"/>
      <c r="AC233" s="340"/>
      <c r="AD233" s="340"/>
      <c r="AE233" s="340"/>
      <c r="AF233" s="340"/>
      <c r="AG233" s="340"/>
      <c r="AH233" s="340"/>
      <c r="AI233" s="340"/>
      <c r="AJ233" s="340"/>
      <c r="AK233" s="340"/>
      <c r="AL233" s="340"/>
      <c r="AM233" s="340"/>
      <c r="AN233" s="340"/>
      <c r="AO233" s="340"/>
      <c r="AP233" s="340"/>
      <c r="AQ233" s="340"/>
      <c r="AR233" s="340"/>
      <c r="AS233" s="340"/>
      <c r="AT233" s="340"/>
      <c r="AU233" s="340"/>
      <c r="AV233" s="340"/>
      <c r="AW233" s="340"/>
      <c r="AX233" s="340"/>
      <c r="AY233" s="340"/>
      <c r="AZ233" s="340"/>
      <c r="BA233" s="340"/>
      <c r="BB233" s="340"/>
      <c r="BC233" s="340"/>
      <c r="BD233" s="340"/>
    </row>
    <row r="234" spans="3:56">
      <c r="C234" s="340"/>
      <c r="D234" s="340"/>
      <c r="E234" s="340"/>
      <c r="F234" s="340"/>
      <c r="G234" s="340"/>
      <c r="H234" s="340"/>
      <c r="I234" s="340"/>
      <c r="J234" s="340"/>
      <c r="K234" s="340"/>
      <c r="L234" s="340"/>
      <c r="M234" s="340"/>
      <c r="N234" s="340"/>
      <c r="O234" s="340"/>
      <c r="P234" s="340"/>
      <c r="Q234" s="340"/>
      <c r="R234" s="340"/>
      <c r="S234" s="340"/>
      <c r="T234" s="340"/>
      <c r="U234" s="340"/>
      <c r="V234" s="340"/>
      <c r="W234" s="340"/>
      <c r="X234" s="340"/>
      <c r="Y234" s="340"/>
      <c r="Z234" s="340"/>
      <c r="AA234" s="340"/>
      <c r="AB234" s="340"/>
      <c r="AC234" s="340"/>
      <c r="AD234" s="340"/>
      <c r="AE234" s="340"/>
      <c r="AF234" s="340"/>
      <c r="AG234" s="340"/>
      <c r="AH234" s="340"/>
      <c r="AI234" s="340"/>
      <c r="AJ234" s="340"/>
      <c r="AK234" s="340"/>
      <c r="AL234" s="340"/>
      <c r="AM234" s="340"/>
      <c r="AN234" s="340"/>
      <c r="AO234" s="340"/>
      <c r="AP234" s="340"/>
      <c r="AQ234" s="340"/>
      <c r="AR234" s="340"/>
      <c r="AS234" s="340"/>
      <c r="AT234" s="340"/>
      <c r="AU234" s="340"/>
      <c r="AV234" s="340"/>
      <c r="AW234" s="340"/>
      <c r="AX234" s="340"/>
      <c r="AY234" s="340"/>
      <c r="AZ234" s="340"/>
      <c r="BA234" s="340"/>
      <c r="BB234" s="340"/>
      <c r="BC234" s="340"/>
      <c r="BD234" s="340"/>
    </row>
    <row r="235" spans="3:56">
      <c r="C235" s="340"/>
      <c r="D235" s="340"/>
      <c r="E235" s="340"/>
      <c r="F235" s="340"/>
      <c r="G235" s="340"/>
      <c r="H235" s="340"/>
      <c r="I235" s="340"/>
      <c r="J235" s="340"/>
      <c r="K235" s="340"/>
      <c r="L235" s="340"/>
      <c r="M235" s="340"/>
      <c r="N235" s="340"/>
      <c r="O235" s="340"/>
      <c r="P235" s="340"/>
      <c r="Q235" s="340"/>
      <c r="R235" s="340"/>
      <c r="S235" s="340"/>
      <c r="T235" s="340"/>
      <c r="U235" s="340"/>
      <c r="V235" s="340"/>
      <c r="W235" s="340"/>
      <c r="X235" s="340"/>
      <c r="Y235" s="340"/>
      <c r="Z235" s="340"/>
      <c r="AA235" s="340"/>
      <c r="AB235" s="340"/>
      <c r="AC235" s="340"/>
      <c r="AD235" s="340"/>
      <c r="AE235" s="340"/>
      <c r="AF235" s="340"/>
      <c r="AG235" s="340"/>
      <c r="AH235" s="340"/>
      <c r="AI235" s="340"/>
      <c r="AJ235" s="340"/>
      <c r="AK235" s="340"/>
      <c r="AL235" s="340"/>
      <c r="AM235" s="340"/>
      <c r="AN235" s="340"/>
      <c r="AO235" s="340"/>
      <c r="AP235" s="340"/>
      <c r="AQ235" s="340"/>
      <c r="AR235" s="340"/>
      <c r="AS235" s="340"/>
      <c r="AT235" s="340"/>
      <c r="AU235" s="340"/>
      <c r="AV235" s="340"/>
      <c r="AW235" s="340"/>
      <c r="AX235" s="340"/>
      <c r="AY235" s="340"/>
      <c r="AZ235" s="340"/>
      <c r="BA235" s="340"/>
      <c r="BB235" s="340"/>
      <c r="BC235" s="340"/>
      <c r="BD235" s="340"/>
    </row>
    <row r="236" spans="3:56">
      <c r="C236" s="340"/>
      <c r="D236" s="340"/>
      <c r="E236" s="340"/>
      <c r="F236" s="340"/>
      <c r="G236" s="340"/>
      <c r="H236" s="340"/>
      <c r="I236" s="340"/>
      <c r="J236" s="340"/>
      <c r="K236" s="340"/>
      <c r="L236" s="340"/>
      <c r="M236" s="340"/>
      <c r="N236" s="340"/>
      <c r="O236" s="340"/>
      <c r="P236" s="340"/>
      <c r="Q236" s="340"/>
      <c r="R236" s="340"/>
      <c r="S236" s="340"/>
      <c r="T236" s="340"/>
      <c r="U236" s="340"/>
      <c r="V236" s="340"/>
      <c r="W236" s="340"/>
      <c r="X236" s="340"/>
      <c r="Y236" s="340"/>
      <c r="Z236" s="340"/>
      <c r="AA236" s="340"/>
      <c r="AB236" s="340"/>
      <c r="AC236" s="340"/>
      <c r="AD236" s="340"/>
      <c r="AE236" s="340"/>
      <c r="AF236" s="340"/>
      <c r="AG236" s="340"/>
      <c r="AH236" s="340"/>
      <c r="AI236" s="340"/>
      <c r="AJ236" s="340"/>
      <c r="AK236" s="340"/>
      <c r="AL236" s="340"/>
      <c r="AM236" s="340"/>
      <c r="AN236" s="340"/>
      <c r="AO236" s="340"/>
      <c r="AP236" s="340"/>
      <c r="AQ236" s="340"/>
      <c r="AR236" s="340"/>
      <c r="AS236" s="340"/>
      <c r="AT236" s="340"/>
      <c r="AU236" s="340"/>
      <c r="AV236" s="340"/>
      <c r="AW236" s="340"/>
      <c r="AX236" s="340"/>
      <c r="AY236" s="340"/>
      <c r="AZ236" s="340"/>
      <c r="BA236" s="340"/>
      <c r="BB236" s="340"/>
      <c r="BC236" s="340"/>
      <c r="BD236" s="340"/>
    </row>
    <row r="237" spans="3:56">
      <c r="C237" s="340"/>
      <c r="D237" s="340"/>
      <c r="E237" s="340"/>
      <c r="F237" s="340"/>
      <c r="G237" s="340"/>
      <c r="H237" s="340"/>
      <c r="I237" s="340"/>
      <c r="J237" s="340"/>
      <c r="K237" s="340"/>
      <c r="L237" s="340"/>
      <c r="M237" s="340"/>
      <c r="N237" s="340"/>
      <c r="O237" s="340"/>
      <c r="P237" s="340"/>
      <c r="Q237" s="340"/>
      <c r="R237" s="340"/>
      <c r="S237" s="340"/>
      <c r="T237" s="340"/>
      <c r="U237" s="340"/>
      <c r="V237" s="340"/>
      <c r="W237" s="340"/>
      <c r="X237" s="340"/>
      <c r="Y237" s="340"/>
      <c r="Z237" s="340"/>
      <c r="AA237" s="340"/>
      <c r="AB237" s="340"/>
      <c r="AC237" s="340"/>
      <c r="AD237" s="340"/>
      <c r="AE237" s="340"/>
      <c r="AF237" s="340"/>
      <c r="AG237" s="340"/>
      <c r="AH237" s="340"/>
      <c r="AI237" s="340"/>
      <c r="AJ237" s="340"/>
      <c r="AK237" s="340"/>
      <c r="AL237" s="340"/>
      <c r="AM237" s="340"/>
      <c r="AN237" s="340"/>
      <c r="AO237" s="340"/>
      <c r="AP237" s="340"/>
      <c r="AQ237" s="340"/>
      <c r="AR237" s="340"/>
      <c r="AS237" s="340"/>
      <c r="AT237" s="340"/>
      <c r="AU237" s="340"/>
      <c r="AV237" s="340"/>
      <c r="AW237" s="340"/>
      <c r="AX237" s="340"/>
      <c r="AY237" s="340"/>
      <c r="AZ237" s="340"/>
      <c r="BA237" s="340"/>
      <c r="BB237" s="340"/>
      <c r="BC237" s="340"/>
      <c r="BD237" s="340"/>
    </row>
    <row r="238" spans="3:56">
      <c r="C238" s="340"/>
      <c r="D238" s="340"/>
      <c r="E238" s="340"/>
      <c r="F238" s="340"/>
      <c r="G238" s="340"/>
      <c r="H238" s="340"/>
      <c r="I238" s="340"/>
      <c r="J238" s="340"/>
      <c r="K238" s="340"/>
      <c r="L238" s="340"/>
      <c r="M238" s="340"/>
      <c r="N238" s="340"/>
      <c r="O238" s="340"/>
      <c r="P238" s="340"/>
      <c r="Q238" s="340"/>
      <c r="R238" s="340"/>
      <c r="S238" s="340"/>
      <c r="T238" s="340"/>
      <c r="U238" s="340"/>
      <c r="V238" s="340"/>
      <c r="W238" s="340"/>
      <c r="X238" s="340"/>
      <c r="Y238" s="340"/>
      <c r="Z238" s="340"/>
      <c r="AA238" s="340"/>
      <c r="AB238" s="340"/>
      <c r="AC238" s="340"/>
      <c r="AD238" s="340"/>
      <c r="AE238" s="340"/>
      <c r="AF238" s="340"/>
      <c r="AG238" s="340"/>
      <c r="AH238" s="340"/>
      <c r="AI238" s="340"/>
      <c r="AJ238" s="340"/>
      <c r="AK238" s="340"/>
      <c r="AL238" s="340"/>
      <c r="AM238" s="340"/>
      <c r="AN238" s="340"/>
      <c r="AO238" s="340"/>
      <c r="AP238" s="340"/>
      <c r="AQ238" s="340"/>
      <c r="AR238" s="340"/>
      <c r="AS238" s="340"/>
      <c r="AT238" s="340"/>
      <c r="AU238" s="340"/>
      <c r="AV238" s="340"/>
      <c r="AW238" s="340"/>
      <c r="AX238" s="340"/>
      <c r="AY238" s="340"/>
      <c r="AZ238" s="340"/>
      <c r="BA238" s="340"/>
      <c r="BB238" s="340"/>
      <c r="BC238" s="340"/>
      <c r="BD238" s="340"/>
    </row>
    <row r="239" spans="3:56">
      <c r="C239" s="340"/>
      <c r="D239" s="340"/>
      <c r="E239" s="340"/>
      <c r="F239" s="340"/>
      <c r="G239" s="340"/>
      <c r="H239" s="340"/>
      <c r="I239" s="340"/>
      <c r="J239" s="340"/>
      <c r="K239" s="340"/>
      <c r="L239" s="340"/>
      <c r="M239" s="340"/>
      <c r="N239" s="340"/>
      <c r="O239" s="340"/>
      <c r="P239" s="340"/>
      <c r="Q239" s="340"/>
      <c r="R239" s="340"/>
      <c r="S239" s="340"/>
      <c r="T239" s="340"/>
      <c r="U239" s="340"/>
      <c r="V239" s="340"/>
      <c r="W239" s="340"/>
      <c r="X239" s="340"/>
      <c r="Y239" s="340"/>
      <c r="Z239" s="340"/>
      <c r="AA239" s="340"/>
      <c r="AB239" s="340"/>
      <c r="AC239" s="340"/>
      <c r="AD239" s="340"/>
      <c r="AE239" s="340"/>
      <c r="AF239" s="340"/>
      <c r="AG239" s="340"/>
      <c r="AH239" s="340"/>
      <c r="AI239" s="340"/>
      <c r="AJ239" s="340"/>
      <c r="AK239" s="340"/>
      <c r="AL239" s="340"/>
      <c r="AM239" s="340"/>
      <c r="AN239" s="340"/>
      <c r="AO239" s="340"/>
      <c r="AP239" s="340"/>
      <c r="AQ239" s="340"/>
      <c r="AR239" s="340"/>
      <c r="AS239" s="340"/>
      <c r="AT239" s="340"/>
      <c r="AU239" s="340"/>
      <c r="AV239" s="340"/>
      <c r="AW239" s="340"/>
      <c r="AX239" s="340"/>
      <c r="AY239" s="340"/>
      <c r="AZ239" s="340"/>
      <c r="BA239" s="340"/>
      <c r="BB239" s="340"/>
      <c r="BC239" s="340"/>
      <c r="BD239" s="340"/>
    </row>
    <row r="240" spans="3:56">
      <c r="C240" s="340"/>
      <c r="D240" s="340"/>
      <c r="E240" s="340"/>
      <c r="F240" s="340"/>
      <c r="G240" s="340"/>
      <c r="H240" s="340"/>
      <c r="I240" s="340"/>
      <c r="J240" s="340"/>
      <c r="K240" s="340"/>
      <c r="L240" s="340"/>
      <c r="M240" s="340"/>
      <c r="N240" s="340"/>
      <c r="O240" s="340"/>
      <c r="P240" s="340"/>
      <c r="Q240" s="340"/>
      <c r="R240" s="340"/>
      <c r="S240" s="340"/>
      <c r="T240" s="340"/>
      <c r="U240" s="340"/>
      <c r="V240" s="340"/>
      <c r="W240" s="340"/>
      <c r="X240" s="340"/>
      <c r="Y240" s="340"/>
      <c r="Z240" s="340"/>
      <c r="AA240" s="340"/>
      <c r="AB240" s="340"/>
      <c r="AC240" s="340"/>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340"/>
      <c r="AY240" s="340"/>
      <c r="AZ240" s="340"/>
      <c r="BA240" s="340"/>
      <c r="BB240" s="340"/>
      <c r="BC240" s="340"/>
      <c r="BD240" s="340"/>
    </row>
    <row r="241" spans="3:56">
      <c r="C241" s="340"/>
      <c r="D241" s="340"/>
      <c r="E241" s="340"/>
      <c r="F241" s="340"/>
      <c r="G241" s="340"/>
      <c r="H241" s="340"/>
      <c r="I241" s="340"/>
      <c r="J241" s="340"/>
      <c r="K241" s="340"/>
      <c r="L241" s="340"/>
      <c r="M241" s="340"/>
      <c r="N241" s="340"/>
      <c r="O241" s="340"/>
      <c r="P241" s="340"/>
      <c r="Q241" s="340"/>
      <c r="R241" s="340"/>
      <c r="S241" s="340"/>
      <c r="T241" s="340"/>
      <c r="U241" s="340"/>
      <c r="V241" s="340"/>
      <c r="W241" s="340"/>
      <c r="X241" s="340"/>
      <c r="Y241" s="340"/>
      <c r="Z241" s="340"/>
      <c r="AA241" s="340"/>
      <c r="AB241" s="340"/>
      <c r="AC241" s="340"/>
      <c r="AD241" s="340"/>
      <c r="AE241" s="340"/>
      <c r="AF241" s="340"/>
      <c r="AG241" s="340"/>
      <c r="AH241" s="340"/>
      <c r="AI241" s="340"/>
      <c r="AJ241" s="340"/>
      <c r="AK241" s="340"/>
      <c r="AL241" s="340"/>
      <c r="AM241" s="340"/>
      <c r="AN241" s="340"/>
      <c r="AO241" s="340"/>
      <c r="AP241" s="340"/>
      <c r="AQ241" s="340"/>
      <c r="AR241" s="340"/>
      <c r="AS241" s="340"/>
      <c r="AT241" s="340"/>
      <c r="AU241" s="340"/>
      <c r="AV241" s="340"/>
      <c r="AW241" s="340"/>
      <c r="AX241" s="340"/>
      <c r="AY241" s="340"/>
      <c r="AZ241" s="340"/>
      <c r="BA241" s="340"/>
      <c r="BB241" s="340"/>
      <c r="BC241" s="340"/>
      <c r="BD241" s="340"/>
    </row>
    <row r="242" spans="3:56">
      <c r="C242" s="340"/>
      <c r="D242" s="340"/>
      <c r="E242" s="340"/>
      <c r="F242" s="340"/>
      <c r="G242" s="340"/>
      <c r="H242" s="340"/>
      <c r="I242" s="340"/>
      <c r="J242" s="340"/>
      <c r="K242" s="340"/>
      <c r="L242" s="340"/>
      <c r="M242" s="340"/>
      <c r="N242" s="340"/>
      <c r="O242" s="340"/>
      <c r="P242" s="340"/>
      <c r="Q242" s="340"/>
      <c r="R242" s="340"/>
      <c r="S242" s="340"/>
      <c r="T242" s="340"/>
      <c r="U242" s="340"/>
      <c r="V242" s="340"/>
      <c r="W242" s="340"/>
      <c r="X242" s="340"/>
      <c r="Y242" s="340"/>
      <c r="Z242" s="340"/>
      <c r="AA242" s="340"/>
      <c r="AB242" s="340"/>
      <c r="AC242" s="340"/>
      <c r="AD242" s="340"/>
      <c r="AE242" s="340"/>
      <c r="AF242" s="340"/>
      <c r="AG242" s="340"/>
      <c r="AH242" s="340"/>
      <c r="AI242" s="340"/>
      <c r="AJ242" s="340"/>
      <c r="AK242" s="340"/>
      <c r="AL242" s="340"/>
      <c r="AM242" s="340"/>
      <c r="AN242" s="340"/>
      <c r="AO242" s="340"/>
      <c r="AP242" s="340"/>
      <c r="AQ242" s="340"/>
      <c r="AR242" s="340"/>
      <c r="AS242" s="340"/>
      <c r="AT242" s="340"/>
      <c r="AU242" s="340"/>
      <c r="AV242" s="340"/>
      <c r="AW242" s="340"/>
      <c r="AX242" s="340"/>
      <c r="AY242" s="340"/>
      <c r="AZ242" s="340"/>
      <c r="BA242" s="340"/>
      <c r="BB242" s="340"/>
      <c r="BC242" s="340"/>
      <c r="BD242" s="340"/>
    </row>
    <row r="243" spans="3:56">
      <c r="C243" s="340"/>
      <c r="D243" s="340"/>
      <c r="E243" s="340"/>
      <c r="F243" s="340"/>
      <c r="G243" s="340"/>
      <c r="H243" s="340"/>
      <c r="I243" s="340"/>
      <c r="J243" s="340"/>
      <c r="K243" s="340"/>
      <c r="L243" s="340"/>
      <c r="M243" s="340"/>
      <c r="N243" s="340"/>
      <c r="O243" s="340"/>
      <c r="P243" s="340"/>
      <c r="Q243" s="340"/>
      <c r="R243" s="340"/>
      <c r="S243" s="340"/>
      <c r="T243" s="340"/>
      <c r="U243" s="340"/>
      <c r="V243" s="340"/>
      <c r="W243" s="340"/>
      <c r="X243" s="340"/>
      <c r="Y243" s="340"/>
      <c r="Z243" s="340"/>
      <c r="AA243" s="340"/>
      <c r="AB243" s="340"/>
      <c r="AC243" s="340"/>
      <c r="AD243" s="340"/>
      <c r="AE243" s="340"/>
      <c r="AF243" s="340"/>
      <c r="AG243" s="340"/>
      <c r="AH243" s="340"/>
      <c r="AI243" s="340"/>
      <c r="AJ243" s="340"/>
      <c r="AK243" s="340"/>
      <c r="AL243" s="340"/>
      <c r="AM243" s="340"/>
      <c r="AN243" s="340"/>
      <c r="AO243" s="340"/>
      <c r="AP243" s="340"/>
      <c r="AQ243" s="340"/>
      <c r="AR243" s="340"/>
      <c r="AS243" s="340"/>
      <c r="AT243" s="340"/>
      <c r="AU243" s="340"/>
      <c r="AV243" s="340"/>
      <c r="AW243" s="340"/>
      <c r="AX243" s="340"/>
      <c r="AY243" s="340"/>
      <c r="AZ243" s="340"/>
      <c r="BA243" s="340"/>
      <c r="BB243" s="340"/>
      <c r="BC243" s="340"/>
      <c r="BD243" s="340"/>
    </row>
    <row r="244" spans="3:56">
      <c r="C244" s="340"/>
      <c r="D244" s="340"/>
      <c r="E244" s="340"/>
      <c r="F244" s="340"/>
      <c r="G244" s="340"/>
      <c r="H244" s="340"/>
      <c r="I244" s="340"/>
      <c r="J244" s="340"/>
      <c r="K244" s="340"/>
      <c r="L244" s="340"/>
      <c r="M244" s="340"/>
      <c r="N244" s="340"/>
      <c r="O244" s="340"/>
      <c r="P244" s="340"/>
      <c r="Q244" s="340"/>
      <c r="R244" s="340"/>
      <c r="S244" s="340"/>
      <c r="T244" s="340"/>
      <c r="U244" s="340"/>
      <c r="V244" s="340"/>
      <c r="W244" s="340"/>
      <c r="X244" s="340"/>
      <c r="Y244" s="340"/>
      <c r="Z244" s="340"/>
      <c r="AA244" s="340"/>
      <c r="AB244" s="340"/>
      <c r="AC244" s="340"/>
      <c r="AD244" s="340"/>
      <c r="AE244" s="340"/>
      <c r="AF244" s="340"/>
      <c r="AG244" s="340"/>
      <c r="AH244" s="340"/>
      <c r="AI244" s="340"/>
      <c r="AJ244" s="340"/>
      <c r="AK244" s="340"/>
      <c r="AL244" s="340"/>
      <c r="AM244" s="340"/>
      <c r="AN244" s="340"/>
      <c r="AO244" s="340"/>
      <c r="AP244" s="340"/>
      <c r="AQ244" s="340"/>
      <c r="AR244" s="340"/>
      <c r="AS244" s="340"/>
      <c r="AT244" s="340"/>
      <c r="AU244" s="340"/>
      <c r="AV244" s="340"/>
      <c r="AW244" s="340"/>
      <c r="AX244" s="340"/>
      <c r="AY244" s="340"/>
      <c r="AZ244" s="340"/>
      <c r="BA244" s="340"/>
      <c r="BB244" s="340"/>
      <c r="BC244" s="340"/>
      <c r="BD244" s="340"/>
    </row>
    <row r="245" spans="3:56">
      <c r="C245" s="340"/>
      <c r="D245" s="340"/>
      <c r="E245" s="340"/>
      <c r="F245" s="340"/>
      <c r="G245" s="340"/>
      <c r="H245" s="340"/>
      <c r="I245" s="340"/>
      <c r="J245" s="340"/>
      <c r="K245" s="340"/>
      <c r="L245" s="340"/>
      <c r="M245" s="340"/>
      <c r="N245" s="340"/>
      <c r="O245" s="340"/>
      <c r="P245" s="340"/>
      <c r="Q245" s="340"/>
      <c r="R245" s="340"/>
      <c r="S245" s="340"/>
      <c r="T245" s="340"/>
      <c r="U245" s="340"/>
      <c r="V245" s="340"/>
      <c r="W245" s="340"/>
      <c r="X245" s="340"/>
      <c r="Y245" s="340"/>
      <c r="Z245" s="340"/>
      <c r="AA245" s="340"/>
      <c r="AB245" s="340"/>
      <c r="AC245" s="340"/>
      <c r="AD245" s="340"/>
      <c r="AE245" s="340"/>
      <c r="AF245" s="340"/>
      <c r="AG245" s="340"/>
      <c r="AH245" s="340"/>
      <c r="AI245" s="340"/>
      <c r="AJ245" s="340"/>
      <c r="AK245" s="340"/>
      <c r="AL245" s="340"/>
      <c r="AM245" s="340"/>
      <c r="AN245" s="340"/>
      <c r="AO245" s="340"/>
      <c r="AP245" s="340"/>
      <c r="AQ245" s="340"/>
      <c r="AR245" s="340"/>
      <c r="AS245" s="340"/>
      <c r="AT245" s="340"/>
      <c r="AU245" s="340"/>
      <c r="AV245" s="340"/>
      <c r="AW245" s="340"/>
      <c r="AX245" s="340"/>
      <c r="AY245" s="340"/>
      <c r="AZ245" s="340"/>
      <c r="BA245" s="340"/>
      <c r="BB245" s="340"/>
      <c r="BC245" s="340"/>
      <c r="BD245" s="340"/>
    </row>
    <row r="246" spans="3:56">
      <c r="C246" s="340"/>
      <c r="D246" s="340"/>
      <c r="E246" s="340"/>
      <c r="F246" s="340"/>
      <c r="G246" s="340"/>
      <c r="H246" s="340"/>
      <c r="I246" s="340"/>
      <c r="J246" s="340"/>
      <c r="K246" s="340"/>
      <c r="L246" s="340"/>
      <c r="M246" s="340"/>
      <c r="N246" s="340"/>
      <c r="O246" s="340"/>
      <c r="P246" s="340"/>
      <c r="Q246" s="340"/>
      <c r="R246" s="340"/>
      <c r="S246" s="340"/>
      <c r="T246" s="340"/>
      <c r="U246" s="340"/>
      <c r="V246" s="340"/>
      <c r="W246" s="340"/>
      <c r="X246" s="340"/>
      <c r="Y246" s="340"/>
      <c r="Z246" s="340"/>
      <c r="AA246" s="340"/>
      <c r="AB246" s="340"/>
      <c r="AC246" s="340"/>
      <c r="AD246" s="340"/>
      <c r="AE246" s="340"/>
      <c r="AF246" s="340"/>
      <c r="AG246" s="340"/>
      <c r="AH246" s="340"/>
      <c r="AI246" s="340"/>
      <c r="AJ246" s="340"/>
      <c r="AK246" s="340"/>
      <c r="AL246" s="340"/>
      <c r="AM246" s="340"/>
      <c r="AN246" s="340"/>
      <c r="AO246" s="340"/>
      <c r="AP246" s="340"/>
      <c r="AQ246" s="340"/>
      <c r="AR246" s="340"/>
      <c r="AS246" s="340"/>
      <c r="AT246" s="340"/>
      <c r="AU246" s="340"/>
      <c r="AV246" s="340"/>
      <c r="AW246" s="340"/>
      <c r="AX246" s="340"/>
      <c r="AY246" s="340"/>
      <c r="AZ246" s="340"/>
      <c r="BA246" s="340"/>
      <c r="BB246" s="340"/>
      <c r="BC246" s="340"/>
      <c r="BD246" s="340"/>
    </row>
    <row r="247" spans="3:56">
      <c r="C247" s="340"/>
      <c r="D247" s="340"/>
      <c r="E247" s="340"/>
      <c r="F247" s="340"/>
      <c r="G247" s="340"/>
      <c r="H247" s="340"/>
      <c r="I247" s="340"/>
      <c r="J247" s="340"/>
      <c r="K247" s="340"/>
      <c r="L247" s="340"/>
      <c r="M247" s="340"/>
      <c r="N247" s="340"/>
      <c r="O247" s="340"/>
      <c r="P247" s="340"/>
      <c r="Q247" s="340"/>
      <c r="R247" s="340"/>
      <c r="S247" s="340"/>
      <c r="T247" s="340"/>
      <c r="U247" s="340"/>
      <c r="V247" s="340"/>
      <c r="W247" s="340"/>
      <c r="X247" s="340"/>
      <c r="Y247" s="340"/>
      <c r="Z247" s="340"/>
      <c r="AA247" s="340"/>
      <c r="AB247" s="340"/>
      <c r="AC247" s="340"/>
      <c r="AD247" s="340"/>
      <c r="AE247" s="340"/>
      <c r="AF247" s="340"/>
      <c r="AG247" s="340"/>
      <c r="AH247" s="340"/>
      <c r="AI247" s="340"/>
      <c r="AJ247" s="340"/>
      <c r="AK247" s="340"/>
      <c r="AL247" s="340"/>
      <c r="AM247" s="340"/>
      <c r="AN247" s="340"/>
      <c r="AO247" s="340"/>
      <c r="AP247" s="340"/>
      <c r="AQ247" s="340"/>
      <c r="AR247" s="340"/>
      <c r="AS247" s="340"/>
      <c r="AT247" s="340"/>
      <c r="AU247" s="340"/>
      <c r="AV247" s="340"/>
      <c r="AW247" s="340"/>
      <c r="AX247" s="340"/>
      <c r="AY247" s="340"/>
      <c r="AZ247" s="340"/>
      <c r="BA247" s="340"/>
      <c r="BB247" s="340"/>
      <c r="BC247" s="340"/>
      <c r="BD247" s="340"/>
    </row>
    <row r="248" spans="3:56">
      <c r="C248" s="340"/>
      <c r="D248" s="340"/>
      <c r="E248" s="340"/>
      <c r="F248" s="340"/>
      <c r="G248" s="340"/>
      <c r="H248" s="340"/>
      <c r="I248" s="340"/>
      <c r="J248" s="340"/>
      <c r="K248" s="340"/>
      <c r="L248" s="340"/>
      <c r="M248" s="340"/>
      <c r="N248" s="340"/>
      <c r="O248" s="340"/>
      <c r="P248" s="340"/>
      <c r="Q248" s="340"/>
      <c r="R248" s="340"/>
      <c r="S248" s="340"/>
      <c r="T248" s="340"/>
      <c r="U248" s="340"/>
      <c r="V248" s="340"/>
      <c r="W248" s="340"/>
      <c r="X248" s="340"/>
      <c r="Y248" s="340"/>
      <c r="Z248" s="340"/>
      <c r="AA248" s="340"/>
      <c r="AB248" s="340"/>
      <c r="AC248" s="340"/>
      <c r="AD248" s="340"/>
      <c r="AE248" s="340"/>
      <c r="AF248" s="340"/>
      <c r="AG248" s="340"/>
      <c r="AH248" s="340"/>
      <c r="AI248" s="340"/>
      <c r="AJ248" s="340"/>
      <c r="AK248" s="340"/>
      <c r="AL248" s="340"/>
      <c r="AM248" s="340"/>
      <c r="AN248" s="340"/>
      <c r="AO248" s="340"/>
      <c r="AP248" s="340"/>
      <c r="AQ248" s="340"/>
      <c r="AR248" s="340"/>
      <c r="AS248" s="340"/>
      <c r="AT248" s="340"/>
      <c r="AU248" s="340"/>
      <c r="AV248" s="340"/>
      <c r="AW248" s="340"/>
      <c r="AX248" s="340"/>
      <c r="AY248" s="340"/>
      <c r="AZ248" s="340"/>
      <c r="BA248" s="340"/>
      <c r="BB248" s="340"/>
      <c r="BC248" s="340"/>
      <c r="BD248" s="340"/>
    </row>
    <row r="249" spans="3:56">
      <c r="C249" s="340"/>
      <c r="D249" s="340"/>
      <c r="E249" s="340"/>
      <c r="F249" s="340"/>
      <c r="G249" s="340"/>
      <c r="H249" s="340"/>
      <c r="I249" s="340"/>
      <c r="J249" s="340"/>
      <c r="K249" s="340"/>
      <c r="L249" s="340"/>
      <c r="M249" s="340"/>
      <c r="N249" s="340"/>
      <c r="O249" s="340"/>
      <c r="P249" s="340"/>
      <c r="Q249" s="340"/>
      <c r="R249" s="340"/>
      <c r="S249" s="340"/>
      <c r="T249" s="340"/>
      <c r="U249" s="340"/>
      <c r="V249" s="340"/>
      <c r="W249" s="340"/>
      <c r="X249" s="340"/>
      <c r="Y249" s="340"/>
      <c r="Z249" s="340"/>
      <c r="AA249" s="340"/>
      <c r="AB249" s="340"/>
      <c r="AC249" s="340"/>
      <c r="AD249" s="340"/>
      <c r="AE249" s="340"/>
      <c r="AF249" s="340"/>
      <c r="AG249" s="340"/>
      <c r="AH249" s="340"/>
      <c r="AI249" s="340"/>
      <c r="AJ249" s="340"/>
      <c r="AK249" s="340"/>
      <c r="AL249" s="340"/>
      <c r="AM249" s="340"/>
      <c r="AN249" s="340"/>
      <c r="AO249" s="340"/>
      <c r="AP249" s="340"/>
      <c r="AQ249" s="340"/>
      <c r="AR249" s="340"/>
      <c r="AS249" s="340"/>
      <c r="AT249" s="340"/>
      <c r="AU249" s="340"/>
      <c r="AV249" s="340"/>
      <c r="AW249" s="340"/>
      <c r="AX249" s="340"/>
      <c r="AY249" s="340"/>
      <c r="AZ249" s="340"/>
      <c r="BA249" s="340"/>
      <c r="BB249" s="340"/>
      <c r="BC249" s="340"/>
      <c r="BD249" s="340"/>
    </row>
    <row r="250" spans="3:56">
      <c r="C250" s="340"/>
      <c r="D250" s="340"/>
      <c r="E250" s="340"/>
      <c r="F250" s="340"/>
      <c r="G250" s="340"/>
      <c r="H250" s="340"/>
      <c r="I250" s="340"/>
      <c r="J250" s="340"/>
      <c r="K250" s="340"/>
      <c r="L250" s="340"/>
      <c r="M250" s="340"/>
      <c r="N250" s="340"/>
      <c r="O250" s="340"/>
      <c r="P250" s="340"/>
      <c r="Q250" s="340"/>
      <c r="R250" s="340"/>
      <c r="S250" s="340"/>
      <c r="T250" s="340"/>
      <c r="U250" s="340"/>
      <c r="V250" s="340"/>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0"/>
      <c r="AY250" s="340"/>
      <c r="AZ250" s="340"/>
      <c r="BA250" s="340"/>
      <c r="BB250" s="340"/>
      <c r="BC250" s="340"/>
      <c r="BD250" s="340"/>
    </row>
    <row r="251" spans="3:56">
      <c r="C251" s="340"/>
      <c r="D251" s="340"/>
      <c r="E251" s="340"/>
      <c r="F251" s="340"/>
      <c r="G251" s="340"/>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0"/>
      <c r="AY251" s="340"/>
      <c r="AZ251" s="340"/>
      <c r="BA251" s="340"/>
      <c r="BB251" s="340"/>
      <c r="BC251" s="340"/>
      <c r="BD251" s="340"/>
    </row>
    <row r="252" spans="3:56">
      <c r="C252" s="340"/>
      <c r="D252" s="340"/>
      <c r="E252" s="340"/>
      <c r="F252" s="340"/>
      <c r="G252" s="340"/>
      <c r="H252" s="340"/>
      <c r="I252" s="340"/>
      <c r="J252" s="340"/>
      <c r="K252" s="340"/>
      <c r="L252" s="340"/>
      <c r="M252" s="340"/>
      <c r="N252" s="340"/>
      <c r="O252" s="340"/>
      <c r="P252" s="340"/>
      <c r="Q252" s="340"/>
      <c r="R252" s="340"/>
      <c r="S252" s="340"/>
      <c r="T252" s="340"/>
      <c r="U252" s="340"/>
      <c r="V252" s="340"/>
      <c r="W252" s="340"/>
      <c r="X252" s="340"/>
      <c r="Y252" s="340"/>
      <c r="Z252" s="340"/>
      <c r="AA252" s="340"/>
      <c r="AB252" s="340"/>
      <c r="AC252" s="340"/>
      <c r="AD252" s="340"/>
      <c r="AE252" s="340"/>
      <c r="AF252" s="340"/>
      <c r="AG252" s="340"/>
      <c r="AH252" s="340"/>
      <c r="AI252" s="340"/>
      <c r="AJ252" s="340"/>
      <c r="AK252" s="340"/>
      <c r="AL252" s="340"/>
      <c r="AM252" s="340"/>
      <c r="AN252" s="340"/>
      <c r="AO252" s="340"/>
      <c r="AP252" s="340"/>
      <c r="AQ252" s="340"/>
      <c r="AR252" s="340"/>
      <c r="AS252" s="340"/>
      <c r="AT252" s="340"/>
      <c r="AU252" s="340"/>
      <c r="AV252" s="340"/>
      <c r="AW252" s="340"/>
      <c r="AX252" s="340"/>
      <c r="AY252" s="340"/>
      <c r="AZ252" s="340"/>
      <c r="BA252" s="340"/>
      <c r="BB252" s="340"/>
      <c r="BC252" s="340"/>
      <c r="BD252" s="340"/>
    </row>
    <row r="253" spans="3:56">
      <c r="C253" s="340"/>
      <c r="D253" s="340"/>
      <c r="E253" s="340"/>
      <c r="F253" s="340"/>
      <c r="G253" s="340"/>
      <c r="H253" s="340"/>
      <c r="I253" s="340"/>
      <c r="J253" s="340"/>
      <c r="K253" s="340"/>
      <c r="L253" s="340"/>
      <c r="M253" s="340"/>
      <c r="N253" s="340"/>
      <c r="O253" s="340"/>
      <c r="P253" s="340"/>
      <c r="Q253" s="340"/>
      <c r="R253" s="340"/>
      <c r="S253" s="340"/>
      <c r="T253" s="340"/>
      <c r="U253" s="340"/>
      <c r="V253" s="340"/>
      <c r="W253" s="340"/>
      <c r="X253" s="340"/>
      <c r="Y253" s="340"/>
      <c r="Z253" s="340"/>
      <c r="AA253" s="340"/>
      <c r="AB253" s="340"/>
      <c r="AC253" s="340"/>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0"/>
      <c r="AY253" s="340"/>
      <c r="AZ253" s="340"/>
      <c r="BA253" s="340"/>
      <c r="BB253" s="340"/>
      <c r="BC253" s="340"/>
      <c r="BD253" s="340"/>
    </row>
    <row r="254" spans="3:56">
      <c r="C254" s="340"/>
      <c r="D254" s="340"/>
      <c r="E254" s="340"/>
      <c r="F254" s="340"/>
      <c r="G254" s="340"/>
      <c r="H254" s="340"/>
      <c r="I254" s="340"/>
      <c r="J254" s="340"/>
      <c r="K254" s="340"/>
      <c r="L254" s="340"/>
      <c r="M254" s="340"/>
      <c r="N254" s="340"/>
      <c r="O254" s="340"/>
      <c r="P254" s="340"/>
      <c r="Q254" s="340"/>
      <c r="R254" s="340"/>
      <c r="S254" s="340"/>
      <c r="T254" s="340"/>
      <c r="U254" s="340"/>
      <c r="V254" s="340"/>
      <c r="W254" s="340"/>
      <c r="X254" s="340"/>
      <c r="Y254" s="340"/>
      <c r="Z254" s="340"/>
      <c r="AA254" s="340"/>
      <c r="AB254" s="340"/>
      <c r="AC254" s="340"/>
      <c r="AD254" s="340"/>
      <c r="AE254" s="340"/>
      <c r="AF254" s="340"/>
      <c r="AG254" s="340"/>
      <c r="AH254" s="340"/>
      <c r="AI254" s="340"/>
      <c r="AJ254" s="340"/>
      <c r="AK254" s="340"/>
      <c r="AL254" s="340"/>
      <c r="AM254" s="340"/>
      <c r="AN254" s="340"/>
      <c r="AO254" s="340"/>
      <c r="AP254" s="340"/>
      <c r="AQ254" s="340"/>
      <c r="AR254" s="340"/>
      <c r="AS254" s="340"/>
      <c r="AT254" s="340"/>
      <c r="AU254" s="340"/>
      <c r="AV254" s="340"/>
      <c r="AW254" s="340"/>
      <c r="AX254" s="340"/>
      <c r="AY254" s="340"/>
      <c r="AZ254" s="340"/>
      <c r="BA254" s="340"/>
      <c r="BB254" s="340"/>
      <c r="BC254" s="340"/>
      <c r="BD254" s="340"/>
    </row>
    <row r="255" spans="3:56">
      <c r="C255" s="340"/>
      <c r="D255" s="340"/>
      <c r="E255" s="340"/>
      <c r="F255" s="340"/>
      <c r="G255" s="340"/>
      <c r="H255" s="340"/>
      <c r="I255" s="340"/>
      <c r="J255" s="340"/>
      <c r="K255" s="340"/>
      <c r="L255" s="340"/>
      <c r="M255" s="340"/>
      <c r="N255" s="340"/>
      <c r="O255" s="340"/>
      <c r="P255" s="340"/>
      <c r="Q255" s="340"/>
      <c r="R255" s="340"/>
      <c r="S255" s="340"/>
      <c r="T255" s="340"/>
      <c r="U255" s="340"/>
      <c r="V255" s="340"/>
      <c r="W255" s="340"/>
      <c r="X255" s="340"/>
      <c r="Y255" s="340"/>
      <c r="Z255" s="340"/>
      <c r="AA255" s="340"/>
      <c r="AB255" s="340"/>
      <c r="AC255" s="340"/>
      <c r="AD255" s="340"/>
      <c r="AE255" s="340"/>
      <c r="AF255" s="340"/>
      <c r="AG255" s="340"/>
      <c r="AH255" s="340"/>
      <c r="AI255" s="340"/>
      <c r="AJ255" s="340"/>
      <c r="AK255" s="340"/>
      <c r="AL255" s="340"/>
      <c r="AM255" s="340"/>
      <c r="AN255" s="340"/>
      <c r="AO255" s="340"/>
      <c r="AP255" s="340"/>
      <c r="AQ255" s="340"/>
      <c r="AR255" s="340"/>
      <c r="AS255" s="340"/>
      <c r="AT255" s="340"/>
      <c r="AU255" s="340"/>
      <c r="AV255" s="340"/>
      <c r="AW255" s="340"/>
      <c r="AX255" s="340"/>
      <c r="AY255" s="340"/>
      <c r="AZ255" s="340"/>
      <c r="BA255" s="340"/>
      <c r="BB255" s="340"/>
      <c r="BC255" s="340"/>
      <c r="BD255" s="340"/>
    </row>
    <row r="256" spans="3:56">
      <c r="C256" s="340"/>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c r="Z256" s="340"/>
      <c r="AA256" s="340"/>
      <c r="AB256" s="340"/>
      <c r="AC256" s="340"/>
      <c r="AD256" s="340"/>
      <c r="AE256" s="340"/>
      <c r="AF256" s="340"/>
      <c r="AG256" s="340"/>
      <c r="AH256" s="340"/>
      <c r="AI256" s="340"/>
      <c r="AJ256" s="340"/>
      <c r="AK256" s="340"/>
      <c r="AL256" s="340"/>
      <c r="AM256" s="340"/>
      <c r="AN256" s="340"/>
      <c r="AO256" s="340"/>
      <c r="AP256" s="340"/>
      <c r="AQ256" s="340"/>
      <c r="AR256" s="340"/>
      <c r="AS256" s="340"/>
      <c r="AT256" s="340"/>
      <c r="AU256" s="340"/>
      <c r="AV256" s="340"/>
      <c r="AW256" s="340"/>
      <c r="AX256" s="340"/>
      <c r="AY256" s="340"/>
      <c r="AZ256" s="340"/>
      <c r="BA256" s="340"/>
      <c r="BB256" s="340"/>
      <c r="BC256" s="340"/>
      <c r="BD256" s="340"/>
    </row>
    <row r="257" spans="3:56">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0"/>
      <c r="AY257" s="340"/>
      <c r="AZ257" s="340"/>
      <c r="BA257" s="340"/>
      <c r="BB257" s="340"/>
      <c r="BC257" s="340"/>
      <c r="BD257" s="340"/>
    </row>
    <row r="258" spans="3:56">
      <c r="C258" s="340"/>
      <c r="D258" s="340"/>
      <c r="E258" s="340"/>
      <c r="F258" s="340"/>
      <c r="G258" s="340"/>
      <c r="H258" s="340"/>
      <c r="I258" s="340"/>
      <c r="J258" s="340"/>
      <c r="K258" s="340"/>
      <c r="L258" s="340"/>
      <c r="M258" s="340"/>
      <c r="N258" s="340"/>
      <c r="O258" s="340"/>
      <c r="P258" s="340"/>
      <c r="Q258" s="340"/>
      <c r="R258" s="340"/>
      <c r="S258" s="340"/>
      <c r="T258" s="340"/>
      <c r="U258" s="340"/>
      <c r="V258" s="340"/>
      <c r="W258" s="340"/>
      <c r="X258" s="340"/>
      <c r="Y258" s="340"/>
      <c r="Z258" s="340"/>
      <c r="AA258" s="340"/>
      <c r="AB258" s="340"/>
      <c r="AC258" s="340"/>
      <c r="AD258" s="340"/>
      <c r="AE258" s="340"/>
      <c r="AF258" s="340"/>
      <c r="AG258" s="340"/>
      <c r="AH258" s="340"/>
      <c r="AI258" s="340"/>
      <c r="AJ258" s="340"/>
      <c r="AK258" s="340"/>
      <c r="AL258" s="340"/>
      <c r="AM258" s="340"/>
      <c r="AN258" s="340"/>
      <c r="AO258" s="340"/>
      <c r="AP258" s="340"/>
      <c r="AQ258" s="340"/>
      <c r="AR258" s="340"/>
      <c r="AS258" s="340"/>
      <c r="AT258" s="340"/>
      <c r="AU258" s="340"/>
      <c r="AV258" s="340"/>
      <c r="AW258" s="340"/>
      <c r="AX258" s="340"/>
      <c r="AY258" s="340"/>
      <c r="AZ258" s="340"/>
      <c r="BA258" s="340"/>
      <c r="BB258" s="340"/>
      <c r="BC258" s="340"/>
      <c r="BD258" s="340"/>
    </row>
    <row r="259" spans="3:56">
      <c r="C259" s="340"/>
      <c r="D259" s="340"/>
      <c r="E259" s="340"/>
      <c r="F259" s="340"/>
      <c r="G259" s="340"/>
      <c r="H259" s="340"/>
      <c r="I259" s="340"/>
      <c r="J259" s="340"/>
      <c r="K259" s="340"/>
      <c r="L259" s="340"/>
      <c r="M259" s="340"/>
      <c r="N259" s="340"/>
      <c r="O259" s="340"/>
      <c r="P259" s="340"/>
      <c r="Q259" s="340"/>
      <c r="R259" s="340"/>
      <c r="S259" s="340"/>
      <c r="T259" s="340"/>
      <c r="U259" s="340"/>
      <c r="V259" s="340"/>
      <c r="W259" s="340"/>
      <c r="X259" s="340"/>
      <c r="Y259" s="340"/>
      <c r="Z259" s="340"/>
      <c r="AA259" s="340"/>
      <c r="AB259" s="340"/>
      <c r="AC259" s="340"/>
      <c r="AD259" s="340"/>
      <c r="AE259" s="340"/>
      <c r="AF259" s="340"/>
      <c r="AG259" s="340"/>
      <c r="AH259" s="340"/>
      <c r="AI259" s="340"/>
      <c r="AJ259" s="340"/>
      <c r="AK259" s="340"/>
      <c r="AL259" s="340"/>
      <c r="AM259" s="340"/>
      <c r="AN259" s="340"/>
      <c r="AO259" s="340"/>
      <c r="AP259" s="340"/>
      <c r="AQ259" s="340"/>
      <c r="AR259" s="340"/>
      <c r="AS259" s="340"/>
      <c r="AT259" s="340"/>
      <c r="AU259" s="340"/>
      <c r="AV259" s="340"/>
      <c r="AW259" s="340"/>
      <c r="AX259" s="340"/>
      <c r="AY259" s="340"/>
      <c r="AZ259" s="340"/>
      <c r="BA259" s="340"/>
      <c r="BB259" s="340"/>
      <c r="BC259" s="340"/>
      <c r="BD259" s="340"/>
    </row>
    <row r="260" spans="3:56">
      <c r="C260" s="340"/>
      <c r="D260" s="340"/>
      <c r="E260" s="340"/>
      <c r="F260" s="340"/>
      <c r="G260" s="340"/>
      <c r="H260" s="340"/>
      <c r="I260" s="340"/>
      <c r="J260" s="340"/>
      <c r="K260" s="340"/>
      <c r="L260" s="340"/>
      <c r="M260" s="340"/>
      <c r="N260" s="340"/>
      <c r="O260" s="340"/>
      <c r="P260" s="340"/>
      <c r="Q260" s="340"/>
      <c r="R260" s="340"/>
      <c r="S260" s="340"/>
      <c r="T260" s="340"/>
      <c r="U260" s="340"/>
      <c r="V260" s="340"/>
      <c r="W260" s="340"/>
      <c r="X260" s="340"/>
      <c r="Y260" s="340"/>
      <c r="Z260" s="340"/>
      <c r="AA260" s="340"/>
      <c r="AB260" s="340"/>
      <c r="AC260" s="340"/>
      <c r="AD260" s="340"/>
      <c r="AE260" s="340"/>
      <c r="AF260" s="340"/>
      <c r="AG260" s="340"/>
      <c r="AH260" s="340"/>
      <c r="AI260" s="340"/>
      <c r="AJ260" s="340"/>
      <c r="AK260" s="340"/>
      <c r="AL260" s="340"/>
      <c r="AM260" s="340"/>
      <c r="AN260" s="340"/>
      <c r="AO260" s="340"/>
      <c r="AP260" s="340"/>
      <c r="AQ260" s="340"/>
      <c r="AR260" s="340"/>
      <c r="AS260" s="340"/>
      <c r="AT260" s="340"/>
      <c r="AU260" s="340"/>
      <c r="AV260" s="340"/>
      <c r="AW260" s="340"/>
      <c r="AX260" s="340"/>
      <c r="AY260" s="340"/>
      <c r="AZ260" s="340"/>
      <c r="BA260" s="340"/>
      <c r="BB260" s="340"/>
      <c r="BC260" s="340"/>
      <c r="BD260" s="340"/>
    </row>
    <row r="261" spans="3:56">
      <c r="C261" s="340"/>
      <c r="D261" s="340"/>
      <c r="E261" s="340"/>
      <c r="F261" s="340"/>
      <c r="G261" s="340"/>
      <c r="H261" s="340"/>
      <c r="I261" s="340"/>
      <c r="J261" s="340"/>
      <c r="K261" s="340"/>
      <c r="L261" s="340"/>
      <c r="M261" s="340"/>
      <c r="N261" s="340"/>
      <c r="O261" s="340"/>
      <c r="P261" s="340"/>
      <c r="Q261" s="340"/>
      <c r="R261" s="340"/>
      <c r="S261" s="340"/>
      <c r="T261" s="340"/>
      <c r="U261" s="340"/>
      <c r="V261" s="340"/>
      <c r="W261" s="340"/>
      <c r="X261" s="340"/>
      <c r="Y261" s="340"/>
      <c r="Z261" s="340"/>
      <c r="AA261" s="340"/>
      <c r="AB261" s="340"/>
      <c r="AC261" s="340"/>
      <c r="AD261" s="340"/>
      <c r="AE261" s="340"/>
      <c r="AF261" s="340"/>
      <c r="AG261" s="340"/>
      <c r="AH261" s="340"/>
      <c r="AI261" s="340"/>
      <c r="AJ261" s="340"/>
      <c r="AK261" s="340"/>
      <c r="AL261" s="340"/>
      <c r="AM261" s="340"/>
      <c r="AN261" s="340"/>
      <c r="AO261" s="340"/>
      <c r="AP261" s="340"/>
      <c r="AQ261" s="340"/>
      <c r="AR261" s="340"/>
      <c r="AS261" s="340"/>
      <c r="AT261" s="340"/>
      <c r="AU261" s="340"/>
      <c r="AV261" s="340"/>
      <c r="AW261" s="340"/>
      <c r="AX261" s="340"/>
      <c r="AY261" s="340"/>
      <c r="AZ261" s="340"/>
      <c r="BA261" s="340"/>
      <c r="BB261" s="340"/>
      <c r="BC261" s="340"/>
      <c r="BD261" s="340"/>
    </row>
    <row r="262" spans="3:56">
      <c r="C262" s="340"/>
      <c r="D262" s="340"/>
      <c r="E262" s="340"/>
      <c r="F262" s="340"/>
      <c r="G262" s="340"/>
      <c r="H262" s="340"/>
      <c r="I262" s="340"/>
      <c r="J262" s="340"/>
      <c r="K262" s="340"/>
      <c r="L262" s="340"/>
      <c r="M262" s="340"/>
      <c r="N262" s="340"/>
      <c r="O262" s="340"/>
      <c r="P262" s="340"/>
      <c r="Q262" s="340"/>
      <c r="R262" s="340"/>
      <c r="S262" s="340"/>
      <c r="T262" s="340"/>
      <c r="U262" s="340"/>
      <c r="V262" s="340"/>
      <c r="W262" s="340"/>
      <c r="X262" s="340"/>
      <c r="Y262" s="340"/>
      <c r="Z262" s="340"/>
      <c r="AA262" s="340"/>
      <c r="AB262" s="340"/>
      <c r="AC262" s="340"/>
      <c r="AD262" s="340"/>
      <c r="AE262" s="340"/>
      <c r="AF262" s="340"/>
      <c r="AG262" s="340"/>
      <c r="AH262" s="340"/>
      <c r="AI262" s="340"/>
      <c r="AJ262" s="340"/>
      <c r="AK262" s="340"/>
      <c r="AL262" s="340"/>
      <c r="AM262" s="340"/>
      <c r="AN262" s="340"/>
      <c r="AO262" s="340"/>
      <c r="AP262" s="340"/>
      <c r="AQ262" s="340"/>
      <c r="AR262" s="340"/>
      <c r="AS262" s="340"/>
      <c r="AT262" s="340"/>
      <c r="AU262" s="340"/>
      <c r="AV262" s="340"/>
      <c r="AW262" s="340"/>
      <c r="AX262" s="340"/>
      <c r="AY262" s="340"/>
      <c r="AZ262" s="340"/>
      <c r="BA262" s="340"/>
      <c r="BB262" s="340"/>
      <c r="BC262" s="340"/>
      <c r="BD262" s="340"/>
    </row>
    <row r="263" spans="3:56">
      <c r="C263" s="340"/>
      <c r="D263" s="340"/>
      <c r="E263" s="340"/>
      <c r="F263" s="340"/>
      <c r="G263" s="340"/>
      <c r="H263" s="340"/>
      <c r="I263" s="340"/>
      <c r="J263" s="340"/>
      <c r="K263" s="340"/>
      <c r="L263" s="340"/>
      <c r="M263" s="340"/>
      <c r="N263" s="340"/>
      <c r="O263" s="340"/>
      <c r="P263" s="340"/>
      <c r="Q263" s="340"/>
      <c r="R263" s="340"/>
      <c r="S263" s="340"/>
      <c r="T263" s="340"/>
      <c r="U263" s="340"/>
      <c r="V263" s="340"/>
      <c r="W263" s="340"/>
      <c r="X263" s="340"/>
      <c r="Y263" s="340"/>
      <c r="Z263" s="340"/>
      <c r="AA263" s="340"/>
      <c r="AB263" s="340"/>
      <c r="AC263" s="340"/>
      <c r="AD263" s="340"/>
      <c r="AE263" s="340"/>
      <c r="AF263" s="340"/>
      <c r="AG263" s="340"/>
      <c r="AH263" s="340"/>
      <c r="AI263" s="340"/>
      <c r="AJ263" s="340"/>
      <c r="AK263" s="340"/>
      <c r="AL263" s="340"/>
      <c r="AM263" s="340"/>
      <c r="AN263" s="340"/>
      <c r="AO263" s="340"/>
      <c r="AP263" s="340"/>
      <c r="AQ263" s="340"/>
      <c r="AR263" s="340"/>
      <c r="AS263" s="340"/>
      <c r="AT263" s="340"/>
      <c r="AU263" s="340"/>
      <c r="AV263" s="340"/>
      <c r="AW263" s="340"/>
      <c r="AX263" s="340"/>
      <c r="AY263" s="340"/>
      <c r="AZ263" s="340"/>
      <c r="BA263" s="340"/>
      <c r="BB263" s="340"/>
      <c r="BC263" s="340"/>
      <c r="BD263" s="340"/>
    </row>
    <row r="264" spans="3:56">
      <c r="C264" s="340"/>
      <c r="D264" s="340"/>
      <c r="E264" s="340"/>
      <c r="F264" s="340"/>
      <c r="G264" s="340"/>
      <c r="H264" s="340"/>
      <c r="I264" s="340"/>
      <c r="J264" s="340"/>
      <c r="K264" s="340"/>
      <c r="L264" s="340"/>
      <c r="M264" s="340"/>
      <c r="N264" s="340"/>
      <c r="O264" s="340"/>
      <c r="P264" s="340"/>
      <c r="Q264" s="340"/>
      <c r="R264" s="340"/>
      <c r="S264" s="340"/>
      <c r="T264" s="340"/>
      <c r="U264" s="340"/>
      <c r="V264" s="340"/>
      <c r="W264" s="340"/>
      <c r="X264" s="340"/>
      <c r="Y264" s="340"/>
      <c r="Z264" s="340"/>
      <c r="AA264" s="340"/>
      <c r="AB264" s="340"/>
      <c r="AC264" s="340"/>
      <c r="AD264" s="340"/>
      <c r="AE264" s="340"/>
      <c r="AF264" s="340"/>
      <c r="AG264" s="340"/>
      <c r="AH264" s="340"/>
      <c r="AI264" s="340"/>
      <c r="AJ264" s="340"/>
      <c r="AK264" s="340"/>
      <c r="AL264" s="340"/>
      <c r="AM264" s="340"/>
      <c r="AN264" s="340"/>
      <c r="AO264" s="340"/>
      <c r="AP264" s="340"/>
      <c r="AQ264" s="340"/>
      <c r="AR264" s="340"/>
      <c r="AS264" s="340"/>
      <c r="AT264" s="340"/>
      <c r="AU264" s="340"/>
      <c r="AV264" s="340"/>
      <c r="AW264" s="340"/>
      <c r="AX264" s="340"/>
      <c r="AY264" s="340"/>
      <c r="AZ264" s="340"/>
      <c r="BA264" s="340"/>
      <c r="BB264" s="340"/>
      <c r="BC264" s="340"/>
      <c r="BD264" s="340"/>
    </row>
    <row r="265" spans="3:56">
      <c r="C265" s="340"/>
      <c r="D265" s="340"/>
      <c r="E265" s="340"/>
      <c r="F265" s="340"/>
      <c r="G265" s="340"/>
      <c r="H265" s="340"/>
      <c r="I265" s="340"/>
      <c r="J265" s="340"/>
      <c r="K265" s="340"/>
      <c r="L265" s="340"/>
      <c r="M265" s="340"/>
      <c r="N265" s="340"/>
      <c r="O265" s="340"/>
      <c r="P265" s="340"/>
      <c r="Q265" s="340"/>
      <c r="R265" s="340"/>
      <c r="S265" s="340"/>
      <c r="T265" s="340"/>
      <c r="U265" s="340"/>
      <c r="V265" s="340"/>
      <c r="W265" s="340"/>
      <c r="X265" s="340"/>
      <c r="Y265" s="340"/>
      <c r="Z265" s="340"/>
      <c r="AA265" s="340"/>
      <c r="AB265" s="340"/>
      <c r="AC265" s="340"/>
      <c r="AD265" s="340"/>
      <c r="AE265" s="340"/>
      <c r="AF265" s="340"/>
      <c r="AG265" s="340"/>
      <c r="AH265" s="340"/>
      <c r="AI265" s="340"/>
      <c r="AJ265" s="340"/>
      <c r="AK265" s="340"/>
      <c r="AL265" s="340"/>
      <c r="AM265" s="340"/>
      <c r="AN265" s="340"/>
      <c r="AO265" s="340"/>
      <c r="AP265" s="340"/>
      <c r="AQ265" s="340"/>
      <c r="AR265" s="340"/>
      <c r="AS265" s="340"/>
      <c r="AT265" s="340"/>
      <c r="AU265" s="340"/>
      <c r="AV265" s="340"/>
      <c r="AW265" s="340"/>
      <c r="AX265" s="340"/>
      <c r="AY265" s="340"/>
      <c r="AZ265" s="340"/>
      <c r="BA265" s="340"/>
      <c r="BB265" s="340"/>
      <c r="BC265" s="340"/>
      <c r="BD265" s="340"/>
    </row>
    <row r="266" spans="3:56">
      <c r="C266" s="340"/>
      <c r="D266" s="340"/>
      <c r="E266" s="340"/>
      <c r="F266" s="340"/>
      <c r="G266" s="340"/>
      <c r="H266" s="340"/>
      <c r="I266" s="340"/>
      <c r="J266" s="340"/>
      <c r="K266" s="340"/>
      <c r="L266" s="340"/>
      <c r="M266" s="340"/>
      <c r="N266" s="340"/>
      <c r="O266" s="340"/>
      <c r="P266" s="340"/>
      <c r="Q266" s="340"/>
      <c r="R266" s="340"/>
      <c r="S266" s="340"/>
      <c r="T266" s="340"/>
      <c r="U266" s="340"/>
      <c r="V266" s="340"/>
      <c r="W266" s="340"/>
      <c r="X266" s="340"/>
      <c r="Y266" s="340"/>
      <c r="Z266" s="340"/>
      <c r="AA266" s="340"/>
      <c r="AB266" s="340"/>
      <c r="AC266" s="340"/>
      <c r="AD266" s="340"/>
      <c r="AE266" s="340"/>
      <c r="AF266" s="340"/>
      <c r="AG266" s="340"/>
      <c r="AH266" s="340"/>
      <c r="AI266" s="340"/>
      <c r="AJ266" s="340"/>
      <c r="AK266" s="340"/>
      <c r="AL266" s="340"/>
      <c r="AM266" s="340"/>
      <c r="AN266" s="340"/>
      <c r="AO266" s="340"/>
      <c r="AP266" s="340"/>
      <c r="AQ266" s="340"/>
      <c r="AR266" s="340"/>
      <c r="AS266" s="340"/>
      <c r="AT266" s="340"/>
      <c r="AU266" s="340"/>
      <c r="AV266" s="340"/>
      <c r="AW266" s="340"/>
      <c r="AX266" s="340"/>
      <c r="AY266" s="340"/>
      <c r="AZ266" s="340"/>
      <c r="BA266" s="340"/>
      <c r="BB266" s="340"/>
      <c r="BC266" s="340"/>
      <c r="BD266" s="340"/>
    </row>
    <row r="267" spans="3:56">
      <c r="C267" s="340"/>
      <c r="D267" s="340"/>
      <c r="E267" s="340"/>
      <c r="F267" s="340"/>
      <c r="G267" s="340"/>
      <c r="H267" s="340"/>
      <c r="I267" s="340"/>
      <c r="J267" s="340"/>
      <c r="K267" s="340"/>
      <c r="L267" s="340"/>
      <c r="M267" s="340"/>
      <c r="N267" s="340"/>
      <c r="O267" s="340"/>
      <c r="P267" s="340"/>
      <c r="Q267" s="340"/>
      <c r="R267" s="340"/>
      <c r="S267" s="340"/>
      <c r="T267" s="340"/>
      <c r="U267" s="340"/>
      <c r="V267" s="340"/>
      <c r="W267" s="340"/>
      <c r="X267" s="340"/>
      <c r="Y267" s="340"/>
      <c r="Z267" s="340"/>
      <c r="AA267" s="340"/>
      <c r="AB267" s="340"/>
      <c r="AC267" s="340"/>
      <c r="AD267" s="340"/>
      <c r="AE267" s="340"/>
      <c r="AF267" s="340"/>
      <c r="AG267" s="340"/>
      <c r="AH267" s="340"/>
      <c r="AI267" s="340"/>
      <c r="AJ267" s="340"/>
      <c r="AK267" s="340"/>
      <c r="AL267" s="340"/>
      <c r="AM267" s="340"/>
      <c r="AN267" s="340"/>
      <c r="AO267" s="340"/>
      <c r="AP267" s="340"/>
      <c r="AQ267" s="340"/>
      <c r="AR267" s="340"/>
      <c r="AS267" s="340"/>
      <c r="AT267" s="340"/>
      <c r="AU267" s="340"/>
      <c r="AV267" s="340"/>
      <c r="AW267" s="340"/>
      <c r="AX267" s="340"/>
      <c r="AY267" s="340"/>
      <c r="AZ267" s="340"/>
      <c r="BA267" s="340"/>
      <c r="BB267" s="340"/>
      <c r="BC267" s="340"/>
      <c r="BD267" s="340"/>
    </row>
    <row r="268" spans="3:56">
      <c r="C268" s="340"/>
      <c r="D268" s="340"/>
      <c r="E268" s="340"/>
      <c r="F268" s="340"/>
      <c r="G268" s="340"/>
      <c r="H268" s="340"/>
      <c r="I268" s="340"/>
      <c r="J268" s="340"/>
      <c r="K268" s="340"/>
      <c r="L268" s="340"/>
      <c r="M268" s="340"/>
      <c r="N268" s="340"/>
      <c r="O268" s="340"/>
      <c r="P268" s="340"/>
      <c r="Q268" s="340"/>
      <c r="R268" s="340"/>
      <c r="S268" s="340"/>
      <c r="T268" s="340"/>
      <c r="U268" s="340"/>
      <c r="V268" s="340"/>
      <c r="W268" s="340"/>
      <c r="X268" s="340"/>
      <c r="Y268" s="340"/>
      <c r="Z268" s="340"/>
      <c r="AA268" s="340"/>
      <c r="AB268" s="340"/>
      <c r="AC268" s="340"/>
      <c r="AD268" s="340"/>
      <c r="AE268" s="340"/>
      <c r="AF268" s="340"/>
      <c r="AG268" s="340"/>
      <c r="AH268" s="340"/>
      <c r="AI268" s="340"/>
      <c r="AJ268" s="340"/>
      <c r="AK268" s="340"/>
      <c r="AL268" s="340"/>
      <c r="AM268" s="340"/>
      <c r="AN268" s="340"/>
      <c r="AO268" s="340"/>
      <c r="AP268" s="340"/>
      <c r="AQ268" s="340"/>
      <c r="AR268" s="340"/>
      <c r="AS268" s="340"/>
      <c r="AT268" s="340"/>
      <c r="AU268" s="340"/>
      <c r="AV268" s="340"/>
      <c r="AW268" s="340"/>
      <c r="AX268" s="340"/>
      <c r="AY268" s="340"/>
      <c r="AZ268" s="340"/>
      <c r="BA268" s="340"/>
      <c r="BB268" s="340"/>
      <c r="BC268" s="340"/>
      <c r="BD268" s="340"/>
    </row>
    <row r="269" spans="3:56">
      <c r="C269" s="340"/>
      <c r="D269" s="340"/>
      <c r="E269" s="340"/>
      <c r="F269" s="340"/>
      <c r="G269" s="340"/>
      <c r="H269" s="340"/>
      <c r="I269" s="340"/>
      <c r="J269" s="340"/>
      <c r="K269" s="340"/>
      <c r="L269" s="340"/>
      <c r="M269" s="340"/>
      <c r="N269" s="340"/>
      <c r="O269" s="340"/>
      <c r="P269" s="340"/>
      <c r="Q269" s="340"/>
      <c r="R269" s="340"/>
      <c r="S269" s="340"/>
      <c r="T269" s="340"/>
      <c r="U269" s="340"/>
      <c r="V269" s="340"/>
      <c r="W269" s="340"/>
      <c r="X269" s="340"/>
      <c r="Y269" s="340"/>
      <c r="Z269" s="340"/>
      <c r="AA269" s="340"/>
      <c r="AB269" s="340"/>
      <c r="AC269" s="340"/>
      <c r="AD269" s="340"/>
      <c r="AE269" s="340"/>
      <c r="AF269" s="340"/>
      <c r="AG269" s="340"/>
      <c r="AH269" s="340"/>
      <c r="AI269" s="340"/>
      <c r="AJ269" s="340"/>
      <c r="AK269" s="340"/>
      <c r="AL269" s="340"/>
      <c r="AM269" s="340"/>
      <c r="AN269" s="340"/>
      <c r="AO269" s="340"/>
      <c r="AP269" s="340"/>
      <c r="AQ269" s="340"/>
      <c r="AR269" s="340"/>
      <c r="AS269" s="340"/>
      <c r="AT269" s="340"/>
      <c r="AU269" s="340"/>
      <c r="AV269" s="340"/>
      <c r="AW269" s="340"/>
      <c r="AX269" s="340"/>
      <c r="AY269" s="340"/>
      <c r="AZ269" s="340"/>
      <c r="BA269" s="340"/>
      <c r="BB269" s="340"/>
      <c r="BC269" s="340"/>
      <c r="BD269" s="340"/>
    </row>
    <row r="270" spans="3:56">
      <c r="C270" s="340"/>
      <c r="D270" s="340"/>
      <c r="E270" s="340"/>
      <c r="F270" s="340"/>
      <c r="G270" s="340"/>
      <c r="H270" s="340"/>
      <c r="I270" s="340"/>
      <c r="J270" s="340"/>
      <c r="K270" s="340"/>
      <c r="L270" s="340"/>
      <c r="M270" s="340"/>
      <c r="N270" s="340"/>
      <c r="O270" s="340"/>
      <c r="P270" s="340"/>
      <c r="Q270" s="340"/>
      <c r="R270" s="340"/>
      <c r="S270" s="340"/>
      <c r="T270" s="340"/>
      <c r="U270" s="340"/>
      <c r="V270" s="340"/>
      <c r="W270" s="340"/>
      <c r="X270" s="340"/>
      <c r="Y270" s="340"/>
      <c r="Z270" s="340"/>
      <c r="AA270" s="340"/>
      <c r="AB270" s="340"/>
      <c r="AC270" s="340"/>
      <c r="AD270" s="340"/>
      <c r="AE270" s="340"/>
      <c r="AF270" s="340"/>
      <c r="AG270" s="340"/>
      <c r="AH270" s="340"/>
      <c r="AI270" s="340"/>
      <c r="AJ270" s="340"/>
      <c r="AK270" s="340"/>
      <c r="AL270" s="340"/>
      <c r="AM270" s="340"/>
      <c r="AN270" s="340"/>
      <c r="AO270" s="340"/>
      <c r="AP270" s="340"/>
      <c r="AQ270" s="340"/>
      <c r="AR270" s="340"/>
      <c r="AS270" s="340"/>
      <c r="AT270" s="340"/>
      <c r="AU270" s="340"/>
      <c r="AV270" s="340"/>
      <c r="AW270" s="340"/>
      <c r="AX270" s="340"/>
      <c r="AY270" s="340"/>
      <c r="AZ270" s="340"/>
      <c r="BA270" s="340"/>
      <c r="BB270" s="340"/>
      <c r="BC270" s="340"/>
      <c r="BD270" s="340"/>
    </row>
    <row r="271" spans="3:56">
      <c r="C271" s="340"/>
      <c r="D271" s="340"/>
      <c r="E271" s="340"/>
      <c r="F271" s="340"/>
      <c r="G271" s="340"/>
      <c r="H271" s="340"/>
      <c r="I271" s="340"/>
      <c r="J271" s="340"/>
      <c r="K271" s="340"/>
      <c r="L271" s="340"/>
      <c r="M271" s="340"/>
      <c r="N271" s="340"/>
      <c r="O271" s="340"/>
      <c r="P271" s="340"/>
      <c r="Q271" s="340"/>
      <c r="R271" s="340"/>
      <c r="S271" s="340"/>
      <c r="T271" s="340"/>
      <c r="U271" s="340"/>
      <c r="V271" s="340"/>
      <c r="W271" s="340"/>
      <c r="X271" s="340"/>
      <c r="Y271" s="340"/>
      <c r="Z271" s="340"/>
      <c r="AA271" s="340"/>
      <c r="AB271" s="340"/>
      <c r="AC271" s="340"/>
      <c r="AD271" s="340"/>
      <c r="AE271" s="340"/>
      <c r="AF271" s="340"/>
      <c r="AG271" s="340"/>
      <c r="AH271" s="340"/>
      <c r="AI271" s="340"/>
      <c r="AJ271" s="340"/>
      <c r="AK271" s="340"/>
      <c r="AL271" s="340"/>
      <c r="AM271" s="340"/>
      <c r="AN271" s="340"/>
      <c r="AO271" s="340"/>
      <c r="AP271" s="340"/>
      <c r="AQ271" s="340"/>
      <c r="AR271" s="340"/>
      <c r="AS271" s="340"/>
      <c r="AT271" s="340"/>
      <c r="AU271" s="340"/>
      <c r="AV271" s="340"/>
      <c r="AW271" s="340"/>
      <c r="AX271" s="340"/>
      <c r="AY271" s="340"/>
      <c r="AZ271" s="340"/>
      <c r="BA271" s="340"/>
      <c r="BB271" s="340"/>
      <c r="BC271" s="340"/>
      <c r="BD271" s="340"/>
    </row>
    <row r="272" spans="3:56">
      <c r="C272" s="340"/>
      <c r="D272" s="340"/>
      <c r="E272" s="340"/>
      <c r="F272" s="340"/>
      <c r="G272" s="340"/>
      <c r="H272" s="340"/>
      <c r="I272" s="340"/>
      <c r="J272" s="340"/>
      <c r="K272" s="340"/>
      <c r="L272" s="340"/>
      <c r="M272" s="340"/>
      <c r="N272" s="340"/>
      <c r="O272" s="340"/>
      <c r="P272" s="340"/>
      <c r="Q272" s="340"/>
      <c r="R272" s="340"/>
      <c r="S272" s="340"/>
      <c r="T272" s="340"/>
      <c r="U272" s="340"/>
      <c r="V272" s="340"/>
      <c r="W272" s="340"/>
      <c r="X272" s="340"/>
      <c r="Y272" s="340"/>
      <c r="Z272" s="340"/>
      <c r="AA272" s="340"/>
      <c r="AB272" s="340"/>
      <c r="AC272" s="340"/>
      <c r="AD272" s="340"/>
      <c r="AE272" s="340"/>
      <c r="AF272" s="340"/>
      <c r="AG272" s="340"/>
      <c r="AH272" s="340"/>
      <c r="AI272" s="340"/>
      <c r="AJ272" s="340"/>
      <c r="AK272" s="340"/>
      <c r="AL272" s="340"/>
      <c r="AM272" s="340"/>
      <c r="AN272" s="340"/>
      <c r="AO272" s="340"/>
      <c r="AP272" s="340"/>
      <c r="AQ272" s="340"/>
      <c r="AR272" s="340"/>
      <c r="AS272" s="340"/>
      <c r="AT272" s="340"/>
      <c r="AU272" s="340"/>
      <c r="AV272" s="340"/>
      <c r="AW272" s="340"/>
      <c r="AX272" s="340"/>
      <c r="AY272" s="340"/>
      <c r="AZ272" s="340"/>
      <c r="BA272" s="340"/>
      <c r="BB272" s="340"/>
      <c r="BC272" s="340"/>
      <c r="BD272" s="340"/>
    </row>
    <row r="273" spans="3:56">
      <c r="C273" s="340"/>
      <c r="D273" s="340"/>
      <c r="E273" s="340"/>
      <c r="F273" s="340"/>
      <c r="G273" s="340"/>
      <c r="H273" s="340"/>
      <c r="I273" s="340"/>
      <c r="J273" s="340"/>
      <c r="K273" s="340"/>
      <c r="L273" s="340"/>
      <c r="M273" s="340"/>
      <c r="N273" s="340"/>
      <c r="O273" s="340"/>
      <c r="P273" s="340"/>
      <c r="Q273" s="340"/>
      <c r="R273" s="340"/>
      <c r="S273" s="340"/>
      <c r="T273" s="340"/>
      <c r="U273" s="340"/>
      <c r="V273" s="340"/>
      <c r="W273" s="340"/>
      <c r="X273" s="340"/>
      <c r="Y273" s="340"/>
      <c r="Z273" s="340"/>
      <c r="AA273" s="340"/>
      <c r="AB273" s="340"/>
      <c r="AC273" s="340"/>
      <c r="AD273" s="340"/>
      <c r="AE273" s="340"/>
      <c r="AF273" s="340"/>
      <c r="AG273" s="340"/>
      <c r="AH273" s="340"/>
      <c r="AI273" s="340"/>
      <c r="AJ273" s="340"/>
      <c r="AK273" s="340"/>
      <c r="AL273" s="340"/>
      <c r="AM273" s="340"/>
      <c r="AN273" s="340"/>
      <c r="AO273" s="340"/>
      <c r="AP273" s="340"/>
      <c r="AQ273" s="340"/>
      <c r="AR273" s="340"/>
      <c r="AS273" s="340"/>
      <c r="AT273" s="340"/>
      <c r="AU273" s="340"/>
      <c r="AV273" s="340"/>
      <c r="AW273" s="340"/>
      <c r="AX273" s="340"/>
      <c r="AY273" s="340"/>
      <c r="AZ273" s="340"/>
      <c r="BA273" s="340"/>
      <c r="BB273" s="340"/>
      <c r="BC273" s="340"/>
      <c r="BD273" s="340"/>
    </row>
    <row r="274" spans="3:56">
      <c r="C274" s="340"/>
      <c r="D274" s="340"/>
      <c r="E274" s="340"/>
      <c r="F274" s="340"/>
      <c r="G274" s="340"/>
      <c r="H274" s="340"/>
      <c r="I274" s="340"/>
      <c r="J274" s="340"/>
      <c r="K274" s="340"/>
      <c r="L274" s="340"/>
      <c r="M274" s="340"/>
      <c r="N274" s="340"/>
      <c r="O274" s="340"/>
      <c r="P274" s="340"/>
      <c r="Q274" s="340"/>
      <c r="R274" s="340"/>
      <c r="S274" s="340"/>
      <c r="T274" s="340"/>
      <c r="U274" s="340"/>
      <c r="V274" s="340"/>
      <c r="W274" s="340"/>
      <c r="X274" s="340"/>
      <c r="Y274" s="340"/>
      <c r="Z274" s="340"/>
      <c r="AA274" s="340"/>
      <c r="AB274" s="340"/>
      <c r="AC274" s="340"/>
      <c r="AD274" s="340"/>
      <c r="AE274" s="340"/>
      <c r="AF274" s="340"/>
      <c r="AG274" s="340"/>
      <c r="AH274" s="340"/>
      <c r="AI274" s="340"/>
      <c r="AJ274" s="340"/>
      <c r="AK274" s="340"/>
      <c r="AL274" s="340"/>
      <c r="AM274" s="340"/>
      <c r="AN274" s="340"/>
      <c r="AO274" s="340"/>
      <c r="AP274" s="340"/>
      <c r="AQ274" s="340"/>
      <c r="AR274" s="340"/>
      <c r="AS274" s="340"/>
      <c r="AT274" s="340"/>
      <c r="AU274" s="340"/>
      <c r="AV274" s="340"/>
      <c r="AW274" s="340"/>
      <c r="AX274" s="340"/>
      <c r="AY274" s="340"/>
      <c r="AZ274" s="340"/>
      <c r="BA274" s="340"/>
      <c r="BB274" s="340"/>
      <c r="BC274" s="340"/>
      <c r="BD274" s="340"/>
    </row>
    <row r="275" spans="3:56">
      <c r="C275" s="340"/>
      <c r="D275" s="340"/>
      <c r="E275" s="340"/>
      <c r="F275" s="340"/>
      <c r="G275" s="340"/>
      <c r="H275" s="340"/>
      <c r="I275" s="340"/>
      <c r="J275" s="340"/>
      <c r="K275" s="340"/>
      <c r="L275" s="340"/>
      <c r="M275" s="340"/>
      <c r="N275" s="340"/>
      <c r="O275" s="340"/>
      <c r="P275" s="340"/>
      <c r="Q275" s="340"/>
      <c r="R275" s="340"/>
      <c r="S275" s="340"/>
      <c r="T275" s="340"/>
      <c r="U275" s="340"/>
      <c r="V275" s="340"/>
      <c r="W275" s="340"/>
      <c r="X275" s="340"/>
      <c r="Y275" s="340"/>
      <c r="Z275" s="340"/>
      <c r="AA275" s="340"/>
      <c r="AB275" s="340"/>
      <c r="AC275" s="340"/>
      <c r="AD275" s="340"/>
      <c r="AE275" s="340"/>
      <c r="AF275" s="340"/>
      <c r="AG275" s="340"/>
      <c r="AH275" s="340"/>
      <c r="AI275" s="340"/>
      <c r="AJ275" s="340"/>
      <c r="AK275" s="340"/>
      <c r="AL275" s="340"/>
      <c r="AM275" s="340"/>
      <c r="AN275" s="340"/>
      <c r="AO275" s="340"/>
      <c r="AP275" s="340"/>
      <c r="AQ275" s="340"/>
      <c r="AR275" s="340"/>
      <c r="AS275" s="340"/>
      <c r="AT275" s="340"/>
      <c r="AU275" s="340"/>
      <c r="AV275" s="340"/>
      <c r="AW275" s="340"/>
      <c r="AX275" s="340"/>
      <c r="AY275" s="340"/>
      <c r="AZ275" s="340"/>
      <c r="BA275" s="340"/>
      <c r="BB275" s="340"/>
      <c r="BC275" s="340"/>
      <c r="BD275" s="340"/>
    </row>
    <row r="276" spans="3:56">
      <c r="C276" s="340"/>
      <c r="D276" s="340"/>
      <c r="E276" s="340"/>
      <c r="F276" s="340"/>
      <c r="G276" s="340"/>
      <c r="H276" s="340"/>
      <c r="I276" s="340"/>
      <c r="J276" s="340"/>
      <c r="K276" s="340"/>
      <c r="L276" s="340"/>
      <c r="M276" s="340"/>
      <c r="N276" s="340"/>
      <c r="O276" s="340"/>
      <c r="P276" s="340"/>
      <c r="Q276" s="340"/>
      <c r="R276" s="340"/>
      <c r="S276" s="340"/>
      <c r="T276" s="340"/>
      <c r="U276" s="340"/>
      <c r="V276" s="340"/>
      <c r="W276" s="340"/>
      <c r="X276" s="340"/>
      <c r="Y276" s="340"/>
      <c r="Z276" s="340"/>
      <c r="AA276" s="340"/>
      <c r="AB276" s="340"/>
      <c r="AC276" s="340"/>
      <c r="AD276" s="340"/>
      <c r="AE276" s="340"/>
      <c r="AF276" s="340"/>
      <c r="AG276" s="340"/>
      <c r="AH276" s="340"/>
      <c r="AI276" s="340"/>
      <c r="AJ276" s="340"/>
      <c r="AK276" s="340"/>
      <c r="AL276" s="340"/>
      <c r="AM276" s="340"/>
      <c r="AN276" s="340"/>
      <c r="AO276" s="340"/>
      <c r="AP276" s="340"/>
      <c r="AQ276" s="340"/>
      <c r="AR276" s="340"/>
      <c r="AS276" s="340"/>
      <c r="AT276" s="340"/>
      <c r="AU276" s="340"/>
      <c r="AV276" s="340"/>
      <c r="AW276" s="340"/>
      <c r="AX276" s="340"/>
      <c r="AY276" s="340"/>
      <c r="AZ276" s="340"/>
      <c r="BA276" s="340"/>
      <c r="BB276" s="340"/>
      <c r="BC276" s="340"/>
      <c r="BD276" s="340"/>
    </row>
    <row r="277" spans="3:56">
      <c r="C277" s="340"/>
      <c r="D277" s="340"/>
      <c r="E277" s="340"/>
      <c r="F277" s="340"/>
      <c r="G277" s="340"/>
      <c r="H277" s="340"/>
      <c r="I277" s="340"/>
      <c r="J277" s="340"/>
      <c r="K277" s="340"/>
      <c r="L277" s="340"/>
      <c r="M277" s="340"/>
      <c r="N277" s="340"/>
      <c r="O277" s="340"/>
      <c r="P277" s="340"/>
      <c r="Q277" s="340"/>
      <c r="R277" s="340"/>
      <c r="S277" s="340"/>
      <c r="T277" s="340"/>
      <c r="U277" s="340"/>
      <c r="V277" s="340"/>
      <c r="W277" s="340"/>
      <c r="X277" s="340"/>
      <c r="Y277" s="340"/>
      <c r="Z277" s="340"/>
      <c r="AA277" s="340"/>
      <c r="AB277" s="340"/>
      <c r="AC277" s="340"/>
      <c r="AD277" s="340"/>
      <c r="AE277" s="340"/>
      <c r="AF277" s="340"/>
      <c r="AG277" s="340"/>
      <c r="AH277" s="340"/>
      <c r="AI277" s="340"/>
      <c r="AJ277" s="340"/>
      <c r="AK277" s="340"/>
      <c r="AL277" s="340"/>
      <c r="AM277" s="340"/>
      <c r="AN277" s="340"/>
      <c r="AO277" s="340"/>
      <c r="AP277" s="340"/>
      <c r="AQ277" s="340"/>
      <c r="AR277" s="340"/>
      <c r="AS277" s="340"/>
      <c r="AT277" s="340"/>
      <c r="AU277" s="340"/>
      <c r="AV277" s="340"/>
      <c r="AW277" s="340"/>
      <c r="AX277" s="340"/>
      <c r="AY277" s="340"/>
      <c r="AZ277" s="340"/>
      <c r="BA277" s="340"/>
      <c r="BB277" s="340"/>
      <c r="BC277" s="340"/>
      <c r="BD277" s="340"/>
    </row>
    <row r="278" spans="3:56">
      <c r="C278" s="340"/>
      <c r="D278" s="340"/>
      <c r="E278" s="340"/>
      <c r="F278" s="340"/>
      <c r="G278" s="340"/>
      <c r="H278" s="340"/>
      <c r="I278" s="340"/>
      <c r="J278" s="340"/>
      <c r="K278" s="340"/>
      <c r="L278" s="340"/>
      <c r="M278" s="340"/>
      <c r="N278" s="340"/>
      <c r="O278" s="340"/>
      <c r="P278" s="340"/>
      <c r="Q278" s="340"/>
      <c r="R278" s="340"/>
      <c r="S278" s="340"/>
      <c r="T278" s="340"/>
      <c r="U278" s="340"/>
      <c r="V278" s="340"/>
      <c r="W278" s="340"/>
      <c r="X278" s="340"/>
      <c r="Y278" s="340"/>
      <c r="Z278" s="340"/>
      <c r="AA278" s="340"/>
      <c r="AB278" s="340"/>
      <c r="AC278" s="340"/>
      <c r="AD278" s="340"/>
      <c r="AE278" s="340"/>
      <c r="AF278" s="340"/>
      <c r="AG278" s="340"/>
      <c r="AH278" s="340"/>
      <c r="AI278" s="340"/>
      <c r="AJ278" s="340"/>
      <c r="AK278" s="340"/>
      <c r="AL278" s="340"/>
      <c r="AM278" s="340"/>
      <c r="AN278" s="340"/>
      <c r="AO278" s="340"/>
      <c r="AP278" s="340"/>
      <c r="AQ278" s="340"/>
      <c r="AR278" s="340"/>
      <c r="AS278" s="340"/>
      <c r="AT278" s="340"/>
      <c r="AU278" s="340"/>
      <c r="AV278" s="340"/>
      <c r="AW278" s="340"/>
      <c r="AX278" s="340"/>
      <c r="AY278" s="340"/>
      <c r="AZ278" s="340"/>
      <c r="BA278" s="340"/>
      <c r="BB278" s="340"/>
      <c r="BC278" s="340"/>
      <c r="BD278" s="340"/>
    </row>
    <row r="279" spans="3:56">
      <c r="C279" s="340"/>
      <c r="D279" s="340"/>
      <c r="E279" s="340"/>
      <c r="F279" s="340"/>
      <c r="G279" s="340"/>
      <c r="H279" s="340"/>
      <c r="I279" s="340"/>
      <c r="J279" s="340"/>
      <c r="K279" s="340"/>
      <c r="L279" s="340"/>
      <c r="M279" s="340"/>
      <c r="N279" s="340"/>
      <c r="O279" s="340"/>
      <c r="P279" s="340"/>
      <c r="Q279" s="340"/>
      <c r="R279" s="340"/>
      <c r="S279" s="340"/>
      <c r="T279" s="340"/>
      <c r="U279" s="340"/>
      <c r="V279" s="340"/>
      <c r="W279" s="340"/>
      <c r="X279" s="340"/>
      <c r="Y279" s="340"/>
      <c r="Z279" s="340"/>
      <c r="AA279" s="340"/>
      <c r="AB279" s="340"/>
      <c r="AC279" s="340"/>
      <c r="AD279" s="340"/>
      <c r="AE279" s="340"/>
      <c r="AF279" s="340"/>
      <c r="AG279" s="340"/>
      <c r="AH279" s="340"/>
      <c r="AI279" s="340"/>
      <c r="AJ279" s="340"/>
      <c r="AK279" s="340"/>
      <c r="AL279" s="340"/>
      <c r="AM279" s="340"/>
      <c r="AN279" s="340"/>
      <c r="AO279" s="340"/>
      <c r="AP279" s="340"/>
      <c r="AQ279" s="340"/>
      <c r="AR279" s="340"/>
      <c r="AS279" s="340"/>
      <c r="AT279" s="340"/>
      <c r="AU279" s="340"/>
      <c r="AV279" s="340"/>
      <c r="AW279" s="340"/>
      <c r="AX279" s="340"/>
      <c r="AY279" s="340"/>
      <c r="AZ279" s="340"/>
      <c r="BA279" s="340"/>
      <c r="BB279" s="340"/>
      <c r="BC279" s="340"/>
      <c r="BD279" s="340"/>
    </row>
    <row r="280" spans="3:56">
      <c r="C280" s="340"/>
      <c r="D280" s="340"/>
      <c r="E280" s="340"/>
      <c r="F280" s="340"/>
      <c r="G280" s="340"/>
      <c r="H280" s="340"/>
      <c r="I280" s="340"/>
      <c r="J280" s="340"/>
      <c r="K280" s="340"/>
      <c r="L280" s="340"/>
      <c r="M280" s="340"/>
      <c r="N280" s="340"/>
      <c r="O280" s="340"/>
      <c r="P280" s="340"/>
      <c r="Q280" s="340"/>
      <c r="R280" s="340"/>
      <c r="S280" s="340"/>
      <c r="T280" s="340"/>
      <c r="U280" s="340"/>
      <c r="V280" s="340"/>
      <c r="W280" s="340"/>
      <c r="X280" s="340"/>
      <c r="Y280" s="340"/>
      <c r="Z280" s="340"/>
      <c r="AA280" s="340"/>
      <c r="AB280" s="340"/>
      <c r="AC280" s="340"/>
      <c r="AD280" s="340"/>
      <c r="AE280" s="340"/>
      <c r="AF280" s="340"/>
      <c r="AG280" s="340"/>
      <c r="AH280" s="340"/>
      <c r="AI280" s="340"/>
      <c r="AJ280" s="340"/>
      <c r="AK280" s="340"/>
      <c r="AL280" s="340"/>
      <c r="AM280" s="340"/>
      <c r="AN280" s="340"/>
      <c r="AO280" s="340"/>
      <c r="AP280" s="340"/>
      <c r="AQ280" s="340"/>
      <c r="AR280" s="340"/>
      <c r="AS280" s="340"/>
      <c r="AT280" s="340"/>
      <c r="AU280" s="340"/>
      <c r="AV280" s="340"/>
      <c r="AW280" s="340"/>
      <c r="AX280" s="340"/>
      <c r="AY280" s="340"/>
      <c r="AZ280" s="340"/>
      <c r="BA280" s="340"/>
      <c r="BB280" s="340"/>
      <c r="BC280" s="340"/>
      <c r="BD280" s="340"/>
    </row>
    <row r="281" spans="3:56">
      <c r="C281" s="340"/>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c r="Z281" s="340"/>
      <c r="AA281" s="340"/>
      <c r="AB281" s="340"/>
      <c r="AC281" s="340"/>
      <c r="AD281" s="340"/>
      <c r="AE281" s="340"/>
      <c r="AF281" s="340"/>
      <c r="AG281" s="340"/>
      <c r="AH281" s="340"/>
      <c r="AI281" s="340"/>
      <c r="AJ281" s="340"/>
      <c r="AK281" s="340"/>
      <c r="AL281" s="340"/>
      <c r="AM281" s="340"/>
      <c r="AN281" s="340"/>
      <c r="AO281" s="340"/>
      <c r="AP281" s="340"/>
      <c r="AQ281" s="340"/>
      <c r="AR281" s="340"/>
      <c r="AS281" s="340"/>
      <c r="AT281" s="340"/>
      <c r="AU281" s="340"/>
      <c r="AV281" s="340"/>
      <c r="AW281" s="340"/>
      <c r="AX281" s="340"/>
      <c r="AY281" s="340"/>
      <c r="AZ281" s="340"/>
      <c r="BA281" s="340"/>
      <c r="BB281" s="340"/>
      <c r="BC281" s="340"/>
      <c r="BD281" s="340"/>
    </row>
    <row r="282" spans="3:56">
      <c r="C282" s="340"/>
      <c r="D282" s="340"/>
      <c r="E282" s="340"/>
      <c r="F282" s="340"/>
      <c r="G282" s="340"/>
      <c r="H282" s="340"/>
      <c r="I282" s="340"/>
      <c r="J282" s="340"/>
      <c r="K282" s="340"/>
      <c r="L282" s="340"/>
      <c r="M282" s="340"/>
      <c r="N282" s="340"/>
      <c r="O282" s="340"/>
      <c r="P282" s="340"/>
      <c r="Q282" s="340"/>
      <c r="R282" s="340"/>
      <c r="S282" s="340"/>
      <c r="T282" s="340"/>
      <c r="U282" s="340"/>
      <c r="V282" s="340"/>
      <c r="W282" s="340"/>
      <c r="X282" s="340"/>
      <c r="Y282" s="340"/>
      <c r="Z282" s="340"/>
      <c r="AA282" s="340"/>
      <c r="AB282" s="340"/>
      <c r="AC282" s="340"/>
      <c r="AD282" s="340"/>
      <c r="AE282" s="340"/>
      <c r="AF282" s="340"/>
      <c r="AG282" s="340"/>
      <c r="AH282" s="340"/>
      <c r="AI282" s="340"/>
      <c r="AJ282" s="340"/>
      <c r="AK282" s="340"/>
      <c r="AL282" s="340"/>
      <c r="AM282" s="340"/>
      <c r="AN282" s="340"/>
      <c r="AO282" s="340"/>
      <c r="AP282" s="340"/>
      <c r="AQ282" s="340"/>
      <c r="AR282" s="340"/>
      <c r="AS282" s="340"/>
      <c r="AT282" s="340"/>
      <c r="AU282" s="340"/>
      <c r="AV282" s="340"/>
      <c r="AW282" s="340"/>
      <c r="AX282" s="340"/>
      <c r="AY282" s="340"/>
      <c r="AZ282" s="340"/>
      <c r="BA282" s="340"/>
      <c r="BB282" s="340"/>
      <c r="BC282" s="340"/>
      <c r="BD282" s="340"/>
    </row>
    <row r="283" spans="3:56">
      <c r="C283" s="340"/>
      <c r="D283" s="340"/>
      <c r="E283" s="340"/>
      <c r="F283" s="340"/>
      <c r="G283" s="340"/>
      <c r="H283" s="340"/>
      <c r="I283" s="340"/>
      <c r="J283" s="340"/>
      <c r="K283" s="340"/>
      <c r="L283" s="340"/>
      <c r="M283" s="340"/>
      <c r="N283" s="340"/>
      <c r="O283" s="340"/>
      <c r="P283" s="340"/>
      <c r="Q283" s="340"/>
      <c r="R283" s="340"/>
      <c r="S283" s="340"/>
      <c r="T283" s="340"/>
      <c r="U283" s="340"/>
      <c r="V283" s="340"/>
      <c r="W283" s="340"/>
      <c r="X283" s="340"/>
      <c r="Y283" s="340"/>
      <c r="Z283" s="340"/>
      <c r="AA283" s="340"/>
      <c r="AB283" s="340"/>
      <c r="AC283" s="340"/>
      <c r="AD283" s="340"/>
      <c r="AE283" s="340"/>
      <c r="AF283" s="340"/>
      <c r="AG283" s="340"/>
      <c r="AH283" s="340"/>
      <c r="AI283" s="340"/>
      <c r="AJ283" s="340"/>
      <c r="AK283" s="340"/>
      <c r="AL283" s="340"/>
      <c r="AM283" s="340"/>
      <c r="AN283" s="340"/>
      <c r="AO283" s="340"/>
      <c r="AP283" s="340"/>
      <c r="AQ283" s="340"/>
      <c r="AR283" s="340"/>
      <c r="AS283" s="340"/>
      <c r="AT283" s="340"/>
      <c r="AU283" s="340"/>
      <c r="AV283" s="340"/>
      <c r="AW283" s="340"/>
      <c r="AX283" s="340"/>
      <c r="AY283" s="340"/>
      <c r="AZ283" s="340"/>
      <c r="BA283" s="340"/>
      <c r="BB283" s="340"/>
      <c r="BC283" s="340"/>
      <c r="BD283" s="340"/>
    </row>
    <row r="284" spans="3:56">
      <c r="C284" s="340"/>
      <c r="D284" s="340"/>
      <c r="E284" s="340"/>
      <c r="F284" s="340"/>
      <c r="G284" s="340"/>
      <c r="H284" s="340"/>
      <c r="I284" s="340"/>
      <c r="J284" s="340"/>
      <c r="K284" s="340"/>
      <c r="L284" s="340"/>
      <c r="M284" s="340"/>
      <c r="N284" s="340"/>
      <c r="O284" s="340"/>
      <c r="P284" s="340"/>
      <c r="Q284" s="340"/>
      <c r="R284" s="340"/>
      <c r="S284" s="340"/>
      <c r="T284" s="340"/>
      <c r="U284" s="340"/>
      <c r="V284" s="340"/>
      <c r="W284" s="340"/>
      <c r="X284" s="340"/>
      <c r="Y284" s="340"/>
      <c r="Z284" s="340"/>
      <c r="AA284" s="340"/>
      <c r="AB284" s="340"/>
      <c r="AC284" s="340"/>
      <c r="AD284" s="340"/>
      <c r="AE284" s="340"/>
      <c r="AF284" s="340"/>
      <c r="AG284" s="340"/>
      <c r="AH284" s="340"/>
      <c r="AI284" s="340"/>
      <c r="AJ284" s="340"/>
      <c r="AK284" s="340"/>
      <c r="AL284" s="340"/>
      <c r="AM284" s="340"/>
      <c r="AN284" s="340"/>
      <c r="AO284" s="340"/>
      <c r="AP284" s="340"/>
      <c r="AQ284" s="340"/>
      <c r="AR284" s="340"/>
      <c r="AS284" s="340"/>
      <c r="AT284" s="340"/>
      <c r="AU284" s="340"/>
      <c r="AV284" s="340"/>
      <c r="AW284" s="340"/>
      <c r="AX284" s="340"/>
      <c r="AY284" s="340"/>
      <c r="AZ284" s="340"/>
      <c r="BA284" s="340"/>
      <c r="BB284" s="340"/>
      <c r="BC284" s="340"/>
      <c r="BD284" s="340"/>
    </row>
    <row r="285" spans="3:56">
      <c r="C285" s="340"/>
      <c r="D285" s="340"/>
      <c r="E285" s="340"/>
      <c r="F285" s="340"/>
      <c r="G285" s="340"/>
      <c r="H285" s="340"/>
      <c r="I285" s="340"/>
      <c r="J285" s="340"/>
      <c r="K285" s="340"/>
      <c r="L285" s="340"/>
      <c r="M285" s="340"/>
      <c r="N285" s="340"/>
      <c r="O285" s="340"/>
      <c r="P285" s="340"/>
      <c r="Q285" s="340"/>
      <c r="R285" s="340"/>
      <c r="S285" s="340"/>
      <c r="T285" s="340"/>
      <c r="U285" s="340"/>
      <c r="V285" s="340"/>
      <c r="W285" s="340"/>
      <c r="X285" s="340"/>
      <c r="Y285" s="340"/>
      <c r="Z285" s="340"/>
      <c r="AA285" s="340"/>
      <c r="AB285" s="340"/>
      <c r="AC285" s="340"/>
      <c r="AD285" s="340"/>
      <c r="AE285" s="340"/>
      <c r="AF285" s="340"/>
      <c r="AG285" s="340"/>
      <c r="AH285" s="340"/>
      <c r="AI285" s="340"/>
      <c r="AJ285" s="340"/>
      <c r="AK285" s="340"/>
      <c r="AL285" s="340"/>
      <c r="AM285" s="340"/>
      <c r="AN285" s="340"/>
      <c r="AO285" s="340"/>
      <c r="AP285" s="340"/>
      <c r="AQ285" s="340"/>
      <c r="AR285" s="340"/>
      <c r="AS285" s="340"/>
      <c r="AT285" s="340"/>
      <c r="AU285" s="340"/>
      <c r="AV285" s="340"/>
      <c r="AW285" s="340"/>
      <c r="AX285" s="340"/>
      <c r="AY285" s="340"/>
      <c r="AZ285" s="340"/>
      <c r="BA285" s="340"/>
      <c r="BB285" s="340"/>
      <c r="BC285" s="340"/>
      <c r="BD285" s="340"/>
    </row>
    <row r="286" spans="3:56">
      <c r="C286" s="340"/>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c r="Z286" s="340"/>
      <c r="AA286" s="340"/>
      <c r="AB286" s="340"/>
      <c r="AC286" s="340"/>
      <c r="AD286" s="340"/>
      <c r="AE286" s="340"/>
      <c r="AF286" s="340"/>
      <c r="AG286" s="340"/>
      <c r="AH286" s="340"/>
      <c r="AI286" s="340"/>
      <c r="AJ286" s="340"/>
      <c r="AK286" s="340"/>
      <c r="AL286" s="340"/>
      <c r="AM286" s="340"/>
      <c r="AN286" s="340"/>
      <c r="AO286" s="340"/>
      <c r="AP286" s="340"/>
      <c r="AQ286" s="340"/>
      <c r="AR286" s="340"/>
      <c r="AS286" s="340"/>
      <c r="AT286" s="340"/>
      <c r="AU286" s="340"/>
      <c r="AV286" s="340"/>
      <c r="AW286" s="340"/>
      <c r="AX286" s="340"/>
      <c r="AY286" s="340"/>
      <c r="AZ286" s="340"/>
      <c r="BA286" s="340"/>
      <c r="BB286" s="340"/>
      <c r="BC286" s="340"/>
      <c r="BD286" s="340"/>
    </row>
    <row r="287" spans="3:56">
      <c r="C287" s="340"/>
      <c r="D287" s="340"/>
      <c r="E287" s="340"/>
      <c r="F287" s="340"/>
      <c r="G287" s="340"/>
      <c r="H287" s="340"/>
      <c r="I287" s="340"/>
      <c r="J287" s="340"/>
      <c r="K287" s="340"/>
      <c r="L287" s="340"/>
      <c r="M287" s="340"/>
      <c r="N287" s="340"/>
      <c r="O287" s="340"/>
      <c r="P287" s="340"/>
      <c r="Q287" s="340"/>
      <c r="R287" s="340"/>
      <c r="S287" s="340"/>
      <c r="T287" s="340"/>
      <c r="U287" s="340"/>
      <c r="V287" s="340"/>
      <c r="W287" s="340"/>
      <c r="X287" s="340"/>
      <c r="Y287" s="340"/>
      <c r="Z287" s="340"/>
      <c r="AA287" s="340"/>
      <c r="AB287" s="340"/>
      <c r="AC287" s="340"/>
      <c r="AD287" s="340"/>
      <c r="AE287" s="340"/>
      <c r="AF287" s="340"/>
      <c r="AG287" s="340"/>
      <c r="AH287" s="340"/>
      <c r="AI287" s="340"/>
      <c r="AJ287" s="340"/>
      <c r="AK287" s="340"/>
      <c r="AL287" s="340"/>
      <c r="AM287" s="340"/>
      <c r="AN287" s="340"/>
      <c r="AO287" s="340"/>
      <c r="AP287" s="340"/>
      <c r="AQ287" s="340"/>
      <c r="AR287" s="340"/>
      <c r="AS287" s="340"/>
      <c r="AT287" s="340"/>
      <c r="AU287" s="340"/>
      <c r="AV287" s="340"/>
      <c r="AW287" s="340"/>
      <c r="AX287" s="340"/>
      <c r="AY287" s="340"/>
      <c r="AZ287" s="340"/>
      <c r="BA287" s="340"/>
      <c r="BB287" s="340"/>
      <c r="BC287" s="340"/>
      <c r="BD287" s="340"/>
    </row>
    <row r="288" spans="3:56">
      <c r="C288" s="340"/>
      <c r="D288" s="340"/>
      <c r="E288" s="340"/>
      <c r="F288" s="340"/>
      <c r="G288" s="340"/>
      <c r="H288" s="340"/>
      <c r="I288" s="340"/>
      <c r="J288" s="340"/>
      <c r="K288" s="340"/>
      <c r="L288" s="340"/>
      <c r="M288" s="340"/>
      <c r="N288" s="340"/>
      <c r="O288" s="340"/>
      <c r="P288" s="340"/>
      <c r="Q288" s="340"/>
      <c r="R288" s="340"/>
      <c r="S288" s="340"/>
      <c r="T288" s="340"/>
      <c r="U288" s="340"/>
      <c r="V288" s="340"/>
      <c r="W288" s="340"/>
      <c r="X288" s="340"/>
      <c r="Y288" s="340"/>
      <c r="Z288" s="340"/>
      <c r="AA288" s="340"/>
      <c r="AB288" s="340"/>
      <c r="AC288" s="340"/>
      <c r="AD288" s="340"/>
      <c r="AE288" s="340"/>
      <c r="AF288" s="340"/>
      <c r="AG288" s="340"/>
      <c r="AH288" s="340"/>
      <c r="AI288" s="340"/>
      <c r="AJ288" s="340"/>
      <c r="AK288" s="340"/>
      <c r="AL288" s="340"/>
      <c r="AM288" s="340"/>
      <c r="AN288" s="340"/>
      <c r="AO288" s="340"/>
      <c r="AP288" s="340"/>
      <c r="AQ288" s="340"/>
      <c r="AR288" s="340"/>
      <c r="AS288" s="340"/>
      <c r="AT288" s="340"/>
      <c r="AU288" s="340"/>
      <c r="AV288" s="340"/>
      <c r="AW288" s="340"/>
      <c r="AX288" s="340"/>
      <c r="AY288" s="340"/>
      <c r="AZ288" s="340"/>
      <c r="BA288" s="340"/>
      <c r="BB288" s="340"/>
      <c r="BC288" s="340"/>
      <c r="BD288" s="340"/>
    </row>
    <row r="289" spans="3:56">
      <c r="C289" s="340"/>
      <c r="D289" s="340"/>
      <c r="E289" s="340"/>
      <c r="F289" s="340"/>
      <c r="G289" s="340"/>
      <c r="H289" s="340"/>
      <c r="I289" s="340"/>
      <c r="J289" s="340"/>
      <c r="K289" s="340"/>
      <c r="L289" s="340"/>
      <c r="M289" s="340"/>
      <c r="N289" s="340"/>
      <c r="O289" s="340"/>
      <c r="P289" s="340"/>
      <c r="Q289" s="340"/>
      <c r="R289" s="340"/>
      <c r="S289" s="340"/>
      <c r="T289" s="340"/>
      <c r="U289" s="340"/>
      <c r="V289" s="340"/>
      <c r="W289" s="340"/>
      <c r="X289" s="340"/>
      <c r="Y289" s="340"/>
      <c r="Z289" s="340"/>
      <c r="AA289" s="340"/>
      <c r="AB289" s="340"/>
      <c r="AC289" s="340"/>
      <c r="AD289" s="340"/>
      <c r="AE289" s="340"/>
      <c r="AF289" s="340"/>
      <c r="AG289" s="340"/>
      <c r="AH289" s="340"/>
      <c r="AI289" s="340"/>
      <c r="AJ289" s="340"/>
      <c r="AK289" s="340"/>
      <c r="AL289" s="340"/>
      <c r="AM289" s="340"/>
      <c r="AN289" s="340"/>
      <c r="AO289" s="340"/>
      <c r="AP289" s="340"/>
      <c r="AQ289" s="340"/>
      <c r="AR289" s="340"/>
      <c r="AS289" s="340"/>
      <c r="AT289" s="340"/>
      <c r="AU289" s="340"/>
      <c r="AV289" s="340"/>
      <c r="AW289" s="340"/>
      <c r="AX289" s="340"/>
      <c r="AY289" s="340"/>
      <c r="AZ289" s="340"/>
      <c r="BA289" s="340"/>
      <c r="BB289" s="340"/>
      <c r="BC289" s="340"/>
      <c r="BD289" s="340"/>
    </row>
    <row r="290" spans="3:56">
      <c r="C290" s="340"/>
      <c r="D290" s="340"/>
      <c r="E290" s="340"/>
      <c r="F290" s="340"/>
      <c r="G290" s="340"/>
      <c r="H290" s="340"/>
      <c r="I290" s="340"/>
      <c r="J290" s="340"/>
      <c r="K290" s="340"/>
      <c r="L290" s="340"/>
      <c r="M290" s="340"/>
      <c r="N290" s="340"/>
      <c r="O290" s="340"/>
      <c r="P290" s="340"/>
      <c r="Q290" s="340"/>
      <c r="R290" s="340"/>
      <c r="S290" s="340"/>
      <c r="T290" s="340"/>
      <c r="U290" s="340"/>
      <c r="V290" s="340"/>
      <c r="W290" s="340"/>
      <c r="X290" s="340"/>
      <c r="Y290" s="340"/>
      <c r="Z290" s="340"/>
      <c r="AA290" s="340"/>
      <c r="AB290" s="340"/>
      <c r="AC290" s="340"/>
      <c r="AD290" s="340"/>
      <c r="AE290" s="340"/>
      <c r="AF290" s="340"/>
      <c r="AG290" s="340"/>
      <c r="AH290" s="340"/>
      <c r="AI290" s="340"/>
      <c r="AJ290" s="340"/>
      <c r="AK290" s="340"/>
      <c r="AL290" s="340"/>
      <c r="AM290" s="340"/>
      <c r="AN290" s="340"/>
      <c r="AO290" s="340"/>
      <c r="AP290" s="340"/>
      <c r="AQ290" s="340"/>
      <c r="AR290" s="340"/>
      <c r="AS290" s="340"/>
      <c r="AT290" s="340"/>
      <c r="AU290" s="340"/>
      <c r="AV290" s="340"/>
      <c r="AW290" s="340"/>
      <c r="AX290" s="340"/>
      <c r="AY290" s="340"/>
      <c r="AZ290" s="340"/>
      <c r="BA290" s="340"/>
      <c r="BB290" s="340"/>
      <c r="BC290" s="340"/>
      <c r="BD290" s="340"/>
    </row>
    <row r="291" spans="3:56">
      <c r="C291" s="340"/>
      <c r="D291" s="340"/>
      <c r="E291" s="340"/>
      <c r="F291" s="340"/>
      <c r="G291" s="340"/>
      <c r="H291" s="340"/>
      <c r="I291" s="340"/>
      <c r="J291" s="340"/>
      <c r="K291" s="340"/>
      <c r="L291" s="340"/>
      <c r="M291" s="340"/>
      <c r="N291" s="340"/>
      <c r="O291" s="340"/>
      <c r="P291" s="340"/>
      <c r="Q291" s="340"/>
      <c r="R291" s="340"/>
      <c r="S291" s="340"/>
      <c r="T291" s="340"/>
      <c r="U291" s="340"/>
      <c r="V291" s="340"/>
      <c r="W291" s="340"/>
      <c r="X291" s="340"/>
      <c r="Y291" s="340"/>
      <c r="Z291" s="340"/>
      <c r="AA291" s="340"/>
      <c r="AB291" s="340"/>
      <c r="AC291" s="340"/>
      <c r="AD291" s="340"/>
      <c r="AE291" s="340"/>
      <c r="AF291" s="340"/>
      <c r="AG291" s="340"/>
      <c r="AH291" s="340"/>
      <c r="AI291" s="340"/>
      <c r="AJ291" s="340"/>
      <c r="AK291" s="340"/>
      <c r="AL291" s="340"/>
      <c r="AM291" s="340"/>
      <c r="AN291" s="340"/>
      <c r="AO291" s="340"/>
      <c r="AP291" s="340"/>
      <c r="AQ291" s="340"/>
      <c r="AR291" s="340"/>
      <c r="AS291" s="340"/>
      <c r="AT291" s="340"/>
      <c r="AU291" s="340"/>
      <c r="AV291" s="340"/>
      <c r="AW291" s="340"/>
      <c r="AX291" s="340"/>
      <c r="AY291" s="340"/>
      <c r="AZ291" s="340"/>
      <c r="BA291" s="340"/>
      <c r="BB291" s="340"/>
      <c r="BC291" s="340"/>
      <c r="BD291" s="340"/>
    </row>
    <row r="292" spans="3:56">
      <c r="C292" s="340"/>
      <c r="D292" s="340"/>
      <c r="E292" s="340"/>
      <c r="F292" s="340"/>
      <c r="G292" s="340"/>
      <c r="H292" s="340"/>
      <c r="I292" s="340"/>
      <c r="J292" s="340"/>
      <c r="K292" s="340"/>
      <c r="L292" s="340"/>
      <c r="M292" s="340"/>
      <c r="N292" s="340"/>
      <c r="O292" s="340"/>
      <c r="P292" s="340"/>
      <c r="Q292" s="340"/>
      <c r="R292" s="340"/>
      <c r="S292" s="340"/>
      <c r="T292" s="340"/>
      <c r="U292" s="340"/>
      <c r="V292" s="340"/>
      <c r="W292" s="340"/>
      <c r="X292" s="340"/>
      <c r="Y292" s="340"/>
      <c r="Z292" s="340"/>
      <c r="AA292" s="340"/>
      <c r="AB292" s="340"/>
      <c r="AC292" s="340"/>
      <c r="AD292" s="340"/>
      <c r="AE292" s="340"/>
      <c r="AF292" s="340"/>
      <c r="AG292" s="340"/>
      <c r="AH292" s="340"/>
      <c r="AI292" s="340"/>
      <c r="AJ292" s="340"/>
      <c r="AK292" s="340"/>
      <c r="AL292" s="340"/>
      <c r="AM292" s="340"/>
      <c r="AN292" s="340"/>
      <c r="AO292" s="340"/>
      <c r="AP292" s="340"/>
      <c r="AQ292" s="340"/>
      <c r="AR292" s="340"/>
      <c r="AS292" s="340"/>
      <c r="AT292" s="340"/>
      <c r="AU292" s="340"/>
      <c r="AV292" s="340"/>
      <c r="AW292" s="340"/>
      <c r="AX292" s="340"/>
      <c r="AY292" s="340"/>
      <c r="AZ292" s="340"/>
      <c r="BA292" s="340"/>
      <c r="BB292" s="340"/>
      <c r="BC292" s="340"/>
      <c r="BD292" s="340"/>
    </row>
    <row r="293" spans="3:56">
      <c r="C293" s="340"/>
      <c r="D293" s="340"/>
      <c r="E293" s="340"/>
      <c r="F293" s="340"/>
      <c r="G293" s="340"/>
      <c r="H293" s="340"/>
      <c r="I293" s="340"/>
      <c r="J293" s="340"/>
      <c r="K293" s="340"/>
      <c r="L293" s="340"/>
      <c r="M293" s="340"/>
      <c r="N293" s="340"/>
      <c r="O293" s="340"/>
      <c r="P293" s="340"/>
      <c r="Q293" s="340"/>
      <c r="R293" s="340"/>
      <c r="S293" s="340"/>
      <c r="T293" s="340"/>
      <c r="U293" s="340"/>
      <c r="V293" s="340"/>
      <c r="W293" s="340"/>
      <c r="X293" s="340"/>
      <c r="Y293" s="340"/>
      <c r="Z293" s="340"/>
      <c r="AA293" s="340"/>
      <c r="AB293" s="340"/>
      <c r="AC293" s="340"/>
      <c r="AD293" s="340"/>
      <c r="AE293" s="340"/>
      <c r="AF293" s="340"/>
      <c r="AG293" s="340"/>
      <c r="AH293" s="340"/>
      <c r="AI293" s="340"/>
      <c r="AJ293" s="340"/>
      <c r="AK293" s="340"/>
      <c r="AL293" s="340"/>
      <c r="AM293" s="340"/>
      <c r="AN293" s="340"/>
      <c r="AO293" s="340"/>
      <c r="AP293" s="340"/>
      <c r="AQ293" s="340"/>
      <c r="AR293" s="340"/>
      <c r="AS293" s="340"/>
      <c r="AT293" s="340"/>
      <c r="AU293" s="340"/>
      <c r="AV293" s="340"/>
      <c r="AW293" s="340"/>
      <c r="AX293" s="340"/>
      <c r="AY293" s="340"/>
      <c r="AZ293" s="340"/>
      <c r="BA293" s="340"/>
      <c r="BB293" s="340"/>
      <c r="BC293" s="340"/>
      <c r="BD293" s="340"/>
    </row>
    <row r="294" spans="3:56">
      <c r="C294" s="340"/>
      <c r="D294" s="340"/>
      <c r="E294" s="340"/>
      <c r="F294" s="340"/>
      <c r="G294" s="340"/>
      <c r="H294" s="340"/>
      <c r="I294" s="340"/>
      <c r="J294" s="340"/>
      <c r="K294" s="340"/>
      <c r="L294" s="340"/>
      <c r="M294" s="340"/>
      <c r="N294" s="340"/>
      <c r="O294" s="340"/>
      <c r="P294" s="340"/>
      <c r="Q294" s="340"/>
      <c r="R294" s="340"/>
      <c r="S294" s="340"/>
      <c r="T294" s="340"/>
      <c r="U294" s="340"/>
      <c r="V294" s="340"/>
      <c r="W294" s="340"/>
      <c r="X294" s="340"/>
      <c r="Y294" s="340"/>
      <c r="Z294" s="340"/>
      <c r="AA294" s="340"/>
      <c r="AB294" s="340"/>
      <c r="AC294" s="340"/>
      <c r="AD294" s="340"/>
      <c r="AE294" s="340"/>
      <c r="AF294" s="340"/>
      <c r="AG294" s="340"/>
      <c r="AH294" s="340"/>
      <c r="AI294" s="340"/>
      <c r="AJ294" s="340"/>
      <c r="AK294" s="340"/>
      <c r="AL294" s="340"/>
      <c r="AM294" s="340"/>
      <c r="AN294" s="340"/>
      <c r="AO294" s="340"/>
      <c r="AP294" s="340"/>
      <c r="AQ294" s="340"/>
      <c r="AR294" s="340"/>
      <c r="AS294" s="340"/>
      <c r="AT294" s="340"/>
      <c r="AU294" s="340"/>
      <c r="AV294" s="340"/>
      <c r="AW294" s="340"/>
      <c r="AX294" s="340"/>
      <c r="AY294" s="340"/>
      <c r="AZ294" s="340"/>
      <c r="BA294" s="340"/>
      <c r="BB294" s="340"/>
      <c r="BC294" s="340"/>
      <c r="BD294" s="340"/>
    </row>
    <row r="295" spans="3:56">
      <c r="C295" s="340"/>
      <c r="D295" s="340"/>
      <c r="E295" s="340"/>
      <c r="F295" s="340"/>
      <c r="G295" s="340"/>
      <c r="H295" s="340"/>
      <c r="I295" s="340"/>
      <c r="J295" s="340"/>
      <c r="K295" s="340"/>
      <c r="L295" s="340"/>
      <c r="M295" s="340"/>
      <c r="N295" s="340"/>
      <c r="O295" s="340"/>
      <c r="P295" s="340"/>
      <c r="Q295" s="340"/>
      <c r="R295" s="340"/>
      <c r="S295" s="340"/>
      <c r="T295" s="340"/>
      <c r="U295" s="340"/>
      <c r="V295" s="340"/>
      <c r="W295" s="340"/>
      <c r="X295" s="340"/>
      <c r="Y295" s="340"/>
      <c r="Z295" s="340"/>
      <c r="AA295" s="340"/>
      <c r="AB295" s="340"/>
      <c r="AC295" s="340"/>
      <c r="AD295" s="340"/>
      <c r="AE295" s="340"/>
      <c r="AF295" s="340"/>
      <c r="AG295" s="340"/>
      <c r="AH295" s="340"/>
      <c r="AI295" s="340"/>
      <c r="AJ295" s="340"/>
      <c r="AK295" s="340"/>
      <c r="AL295" s="340"/>
      <c r="AM295" s="340"/>
      <c r="AN295" s="340"/>
      <c r="AO295" s="340"/>
      <c r="AP295" s="340"/>
      <c r="AQ295" s="340"/>
      <c r="AR295" s="340"/>
      <c r="AS295" s="340"/>
      <c r="AT295" s="340"/>
      <c r="AU295" s="340"/>
      <c r="AV295" s="340"/>
      <c r="AW295" s="340"/>
      <c r="AX295" s="340"/>
      <c r="AY295" s="340"/>
      <c r="AZ295" s="340"/>
      <c r="BA295" s="340"/>
      <c r="BB295" s="340"/>
      <c r="BC295" s="340"/>
      <c r="BD295" s="340"/>
    </row>
    <row r="296" spans="3:56">
      <c r="C296" s="340"/>
      <c r="D296" s="340"/>
      <c r="E296" s="340"/>
      <c r="F296" s="340"/>
      <c r="G296" s="340"/>
      <c r="H296" s="340"/>
      <c r="I296" s="340"/>
      <c r="J296" s="340"/>
      <c r="K296" s="340"/>
      <c r="L296" s="340"/>
      <c r="M296" s="340"/>
      <c r="N296" s="340"/>
      <c r="O296" s="340"/>
      <c r="P296" s="340"/>
      <c r="Q296" s="340"/>
      <c r="R296" s="340"/>
      <c r="S296" s="340"/>
      <c r="T296" s="340"/>
      <c r="U296" s="340"/>
      <c r="V296" s="340"/>
      <c r="W296" s="340"/>
      <c r="X296" s="340"/>
      <c r="Y296" s="340"/>
      <c r="Z296" s="340"/>
      <c r="AA296" s="340"/>
      <c r="AB296" s="340"/>
      <c r="AC296" s="340"/>
      <c r="AD296" s="340"/>
      <c r="AE296" s="340"/>
      <c r="AF296" s="340"/>
      <c r="AG296" s="340"/>
      <c r="AH296" s="340"/>
      <c r="AI296" s="340"/>
      <c r="AJ296" s="340"/>
      <c r="AK296" s="340"/>
      <c r="AL296" s="340"/>
      <c r="AM296" s="340"/>
      <c r="AN296" s="340"/>
      <c r="AO296" s="340"/>
      <c r="AP296" s="340"/>
      <c r="AQ296" s="340"/>
      <c r="AR296" s="340"/>
      <c r="AS296" s="340"/>
      <c r="AT296" s="340"/>
      <c r="AU296" s="340"/>
      <c r="AV296" s="340"/>
      <c r="AW296" s="340"/>
      <c r="AX296" s="340"/>
      <c r="AY296" s="340"/>
      <c r="AZ296" s="340"/>
      <c r="BA296" s="340"/>
      <c r="BB296" s="340"/>
      <c r="BC296" s="340"/>
      <c r="BD296" s="340"/>
    </row>
    <row r="297" spans="3:56">
      <c r="C297" s="340"/>
      <c r="D297" s="340"/>
      <c r="E297" s="340"/>
      <c r="F297" s="340"/>
      <c r="G297" s="340"/>
      <c r="H297" s="340"/>
      <c r="I297" s="340"/>
      <c r="J297" s="340"/>
      <c r="K297" s="340"/>
      <c r="L297" s="340"/>
      <c r="M297" s="340"/>
      <c r="N297" s="340"/>
      <c r="O297" s="340"/>
      <c r="P297" s="340"/>
      <c r="Q297" s="340"/>
      <c r="R297" s="340"/>
      <c r="S297" s="340"/>
      <c r="T297" s="340"/>
      <c r="U297" s="340"/>
      <c r="V297" s="340"/>
      <c r="W297" s="340"/>
      <c r="X297" s="340"/>
      <c r="Y297" s="340"/>
      <c r="Z297" s="340"/>
      <c r="AA297" s="340"/>
      <c r="AB297" s="340"/>
      <c r="AC297" s="340"/>
      <c r="AD297" s="340"/>
      <c r="AE297" s="340"/>
      <c r="AF297" s="340"/>
      <c r="AG297" s="340"/>
      <c r="AH297" s="340"/>
      <c r="AI297" s="340"/>
      <c r="AJ297" s="340"/>
      <c r="AK297" s="340"/>
      <c r="AL297" s="340"/>
      <c r="AM297" s="340"/>
      <c r="AN297" s="340"/>
      <c r="AO297" s="340"/>
      <c r="AP297" s="340"/>
      <c r="AQ297" s="340"/>
      <c r="AR297" s="340"/>
      <c r="AS297" s="340"/>
      <c r="AT297" s="340"/>
      <c r="AU297" s="340"/>
      <c r="AV297" s="340"/>
      <c r="AW297" s="340"/>
      <c r="AX297" s="340"/>
      <c r="AY297" s="340"/>
      <c r="AZ297" s="340"/>
      <c r="BA297" s="340"/>
      <c r="BB297" s="340"/>
      <c r="BC297" s="340"/>
      <c r="BD297" s="340"/>
    </row>
    <row r="298" spans="3:56">
      <c r="C298" s="340"/>
      <c r="D298" s="340"/>
      <c r="E298" s="340"/>
      <c r="F298" s="340"/>
      <c r="G298" s="340"/>
      <c r="H298" s="340"/>
      <c r="I298" s="340"/>
      <c r="J298" s="340"/>
      <c r="K298" s="340"/>
      <c r="L298" s="340"/>
      <c r="M298" s="340"/>
      <c r="N298" s="340"/>
      <c r="O298" s="340"/>
      <c r="P298" s="340"/>
      <c r="Q298" s="340"/>
      <c r="R298" s="340"/>
      <c r="S298" s="340"/>
      <c r="T298" s="340"/>
      <c r="U298" s="340"/>
      <c r="V298" s="340"/>
      <c r="W298" s="340"/>
      <c r="X298" s="340"/>
      <c r="Y298" s="340"/>
      <c r="Z298" s="340"/>
      <c r="AA298" s="340"/>
      <c r="AB298" s="340"/>
      <c r="AC298" s="340"/>
      <c r="AD298" s="340"/>
      <c r="AE298" s="340"/>
      <c r="AF298" s="340"/>
      <c r="AG298" s="340"/>
      <c r="AH298" s="340"/>
      <c r="AI298" s="340"/>
      <c r="AJ298" s="340"/>
      <c r="AK298" s="340"/>
      <c r="AL298" s="340"/>
      <c r="AM298" s="340"/>
      <c r="AN298" s="340"/>
      <c r="AO298" s="340"/>
      <c r="AP298" s="340"/>
      <c r="AQ298" s="340"/>
      <c r="AR298" s="340"/>
      <c r="AS298" s="340"/>
      <c r="AT298" s="340"/>
      <c r="AU298" s="340"/>
      <c r="AV298" s="340"/>
      <c r="AW298" s="340"/>
      <c r="AX298" s="340"/>
      <c r="AY298" s="340"/>
      <c r="AZ298" s="340"/>
      <c r="BA298" s="340"/>
      <c r="BB298" s="340"/>
      <c r="BC298" s="340"/>
      <c r="BD298" s="340"/>
    </row>
    <row r="299" spans="3:56">
      <c r="C299" s="340"/>
      <c r="D299" s="340"/>
      <c r="E299" s="340"/>
      <c r="F299" s="340"/>
      <c r="G299" s="340"/>
      <c r="H299" s="340"/>
      <c r="I299" s="340"/>
      <c r="J299" s="340"/>
      <c r="K299" s="340"/>
      <c r="L299" s="340"/>
      <c r="M299" s="340"/>
      <c r="N299" s="340"/>
      <c r="O299" s="340"/>
      <c r="P299" s="340"/>
      <c r="Q299" s="340"/>
      <c r="R299" s="340"/>
      <c r="S299" s="340"/>
      <c r="T299" s="340"/>
      <c r="U299" s="340"/>
      <c r="V299" s="340"/>
      <c r="W299" s="340"/>
      <c r="X299" s="340"/>
      <c r="Y299" s="340"/>
      <c r="Z299" s="340"/>
      <c r="AA299" s="340"/>
      <c r="AB299" s="340"/>
      <c r="AC299" s="340"/>
      <c r="AD299" s="340"/>
      <c r="AE299" s="340"/>
      <c r="AF299" s="340"/>
      <c r="AG299" s="340"/>
      <c r="AH299" s="340"/>
      <c r="AI299" s="340"/>
      <c r="AJ299" s="340"/>
      <c r="AK299" s="340"/>
      <c r="AL299" s="340"/>
      <c r="AM299" s="340"/>
      <c r="AN299" s="340"/>
      <c r="AO299" s="340"/>
      <c r="AP299" s="340"/>
      <c r="AQ299" s="340"/>
      <c r="AR299" s="340"/>
      <c r="AS299" s="340"/>
      <c r="AT299" s="340"/>
      <c r="AU299" s="340"/>
      <c r="AV299" s="340"/>
      <c r="AW299" s="340"/>
      <c r="AX299" s="340"/>
      <c r="AY299" s="340"/>
      <c r="AZ299" s="340"/>
      <c r="BA299" s="340"/>
      <c r="BB299" s="340"/>
      <c r="BC299" s="340"/>
      <c r="BD299" s="340"/>
    </row>
    <row r="300" spans="3:56">
      <c r="C300" s="340"/>
      <c r="D300" s="340"/>
      <c r="E300" s="340"/>
      <c r="F300" s="340"/>
      <c r="G300" s="340"/>
      <c r="H300" s="340"/>
      <c r="I300" s="340"/>
      <c r="J300" s="340"/>
      <c r="K300" s="340"/>
      <c r="L300" s="340"/>
      <c r="M300" s="340"/>
      <c r="N300" s="340"/>
      <c r="O300" s="340"/>
      <c r="P300" s="340"/>
      <c r="Q300" s="340"/>
      <c r="R300" s="340"/>
      <c r="S300" s="340"/>
      <c r="T300" s="340"/>
      <c r="U300" s="340"/>
      <c r="V300" s="340"/>
      <c r="W300" s="340"/>
      <c r="X300" s="340"/>
      <c r="Y300" s="340"/>
      <c r="Z300" s="340"/>
      <c r="AA300" s="340"/>
      <c r="AB300" s="340"/>
      <c r="AC300" s="340"/>
      <c r="AD300" s="340"/>
      <c r="AE300" s="340"/>
      <c r="AF300" s="340"/>
      <c r="AG300" s="340"/>
      <c r="AH300" s="340"/>
      <c r="AI300" s="340"/>
      <c r="AJ300" s="340"/>
      <c r="AK300" s="340"/>
      <c r="AL300" s="340"/>
      <c r="AM300" s="340"/>
      <c r="AN300" s="340"/>
      <c r="AO300" s="340"/>
      <c r="AP300" s="340"/>
      <c r="AQ300" s="340"/>
      <c r="AR300" s="340"/>
      <c r="AS300" s="340"/>
      <c r="AT300" s="340"/>
      <c r="AU300" s="340"/>
      <c r="AV300" s="340"/>
      <c r="AW300" s="340"/>
      <c r="AX300" s="340"/>
      <c r="AY300" s="340"/>
      <c r="AZ300" s="340"/>
      <c r="BA300" s="340"/>
      <c r="BB300" s="340"/>
      <c r="BC300" s="340"/>
      <c r="BD300" s="340"/>
    </row>
    <row r="301" spans="3:56">
      <c r="C301" s="340"/>
      <c r="D301" s="340"/>
      <c r="E301" s="340"/>
      <c r="F301" s="340"/>
      <c r="G301" s="340"/>
      <c r="H301" s="340"/>
      <c r="I301" s="340"/>
      <c r="J301" s="340"/>
      <c r="K301" s="340"/>
      <c r="L301" s="340"/>
      <c r="M301" s="340"/>
      <c r="N301" s="340"/>
      <c r="O301" s="340"/>
      <c r="P301" s="340"/>
      <c r="Q301" s="340"/>
      <c r="R301" s="340"/>
      <c r="S301" s="340"/>
      <c r="T301" s="340"/>
      <c r="U301" s="340"/>
      <c r="V301" s="340"/>
      <c r="W301" s="340"/>
      <c r="X301" s="340"/>
      <c r="Y301" s="340"/>
      <c r="Z301" s="340"/>
      <c r="AA301" s="340"/>
      <c r="AB301" s="340"/>
      <c r="AC301" s="340"/>
      <c r="AD301" s="340"/>
      <c r="AE301" s="340"/>
      <c r="AF301" s="340"/>
      <c r="AG301" s="340"/>
      <c r="AH301" s="340"/>
      <c r="AI301" s="340"/>
      <c r="AJ301" s="340"/>
      <c r="AK301" s="340"/>
      <c r="AL301" s="340"/>
      <c r="AM301" s="340"/>
      <c r="AN301" s="340"/>
      <c r="AO301" s="340"/>
      <c r="AP301" s="340"/>
      <c r="AQ301" s="340"/>
      <c r="AR301" s="340"/>
      <c r="AS301" s="340"/>
      <c r="AT301" s="340"/>
      <c r="AU301" s="340"/>
      <c r="AV301" s="340"/>
      <c r="AW301" s="340"/>
      <c r="AX301" s="340"/>
      <c r="AY301" s="340"/>
      <c r="AZ301" s="340"/>
      <c r="BA301" s="340"/>
      <c r="BB301" s="340"/>
      <c r="BC301" s="340"/>
      <c r="BD301" s="340"/>
    </row>
    <row r="302" spans="3:56">
      <c r="C302" s="340"/>
      <c r="D302" s="340"/>
      <c r="E302" s="340"/>
      <c r="F302" s="340"/>
      <c r="G302" s="340"/>
      <c r="H302" s="340"/>
      <c r="I302" s="340"/>
      <c r="J302" s="340"/>
      <c r="K302" s="340"/>
      <c r="L302" s="340"/>
      <c r="M302" s="340"/>
      <c r="N302" s="340"/>
      <c r="O302" s="340"/>
      <c r="P302" s="340"/>
      <c r="Q302" s="340"/>
      <c r="R302" s="340"/>
      <c r="S302" s="340"/>
      <c r="T302" s="340"/>
      <c r="U302" s="340"/>
      <c r="V302" s="340"/>
      <c r="W302" s="340"/>
      <c r="X302" s="340"/>
      <c r="Y302" s="340"/>
      <c r="Z302" s="340"/>
      <c r="AA302" s="340"/>
      <c r="AB302" s="340"/>
      <c r="AC302" s="340"/>
      <c r="AD302" s="340"/>
      <c r="AE302" s="340"/>
      <c r="AF302" s="340"/>
      <c r="AG302" s="340"/>
      <c r="AH302" s="340"/>
      <c r="AI302" s="340"/>
      <c r="AJ302" s="340"/>
      <c r="AK302" s="340"/>
      <c r="AL302" s="340"/>
      <c r="AM302" s="340"/>
      <c r="AN302" s="340"/>
      <c r="AO302" s="340"/>
      <c r="AP302" s="340"/>
      <c r="AQ302" s="340"/>
      <c r="AR302" s="340"/>
      <c r="AS302" s="340"/>
      <c r="AT302" s="340"/>
      <c r="AU302" s="340"/>
      <c r="AV302" s="340"/>
      <c r="AW302" s="340"/>
      <c r="AX302" s="340"/>
      <c r="AY302" s="340"/>
      <c r="AZ302" s="340"/>
      <c r="BA302" s="340"/>
      <c r="BB302" s="340"/>
      <c r="BC302" s="340"/>
      <c r="BD302" s="340"/>
    </row>
    <row r="303" spans="3:56">
      <c r="C303" s="340"/>
      <c r="D303" s="340"/>
      <c r="E303" s="340"/>
      <c r="F303" s="340"/>
      <c r="G303" s="340"/>
      <c r="H303" s="340"/>
      <c r="I303" s="340"/>
      <c r="J303" s="340"/>
      <c r="K303" s="340"/>
      <c r="L303" s="340"/>
      <c r="M303" s="340"/>
      <c r="N303" s="340"/>
      <c r="O303" s="340"/>
      <c r="P303" s="340"/>
      <c r="Q303" s="340"/>
      <c r="R303" s="340"/>
      <c r="S303" s="340"/>
      <c r="T303" s="340"/>
      <c r="U303" s="340"/>
      <c r="V303" s="340"/>
      <c r="W303" s="340"/>
      <c r="X303" s="340"/>
      <c r="Y303" s="340"/>
      <c r="Z303" s="340"/>
      <c r="AA303" s="340"/>
      <c r="AB303" s="340"/>
      <c r="AC303" s="340"/>
      <c r="AD303" s="340"/>
      <c r="AE303" s="340"/>
      <c r="AF303" s="340"/>
      <c r="AG303" s="340"/>
      <c r="AH303" s="340"/>
      <c r="AI303" s="340"/>
      <c r="AJ303" s="340"/>
      <c r="AK303" s="340"/>
      <c r="AL303" s="340"/>
      <c r="AM303" s="340"/>
      <c r="AN303" s="340"/>
      <c r="AO303" s="340"/>
      <c r="AP303" s="340"/>
      <c r="AQ303" s="340"/>
      <c r="AR303" s="340"/>
      <c r="AS303" s="340"/>
      <c r="AT303" s="340"/>
      <c r="AU303" s="340"/>
      <c r="AV303" s="340"/>
      <c r="AW303" s="340"/>
      <c r="AX303" s="340"/>
      <c r="AY303" s="340"/>
      <c r="AZ303" s="340"/>
      <c r="BA303" s="340"/>
      <c r="BB303" s="340"/>
      <c r="BC303" s="340"/>
      <c r="BD303" s="340"/>
    </row>
    <row r="304" spans="3:56">
      <c r="C304" s="340"/>
      <c r="D304" s="340"/>
      <c r="E304" s="340"/>
      <c r="F304" s="340"/>
      <c r="G304" s="340"/>
      <c r="H304" s="340"/>
      <c r="I304" s="340"/>
      <c r="J304" s="340"/>
      <c r="K304" s="340"/>
      <c r="L304" s="340"/>
      <c r="M304" s="340"/>
      <c r="N304" s="340"/>
      <c r="O304" s="340"/>
      <c r="P304" s="340"/>
      <c r="Q304" s="340"/>
      <c r="R304" s="340"/>
      <c r="S304" s="340"/>
      <c r="T304" s="340"/>
      <c r="U304" s="340"/>
      <c r="V304" s="340"/>
      <c r="W304" s="340"/>
      <c r="X304" s="340"/>
      <c r="Y304" s="340"/>
      <c r="Z304" s="340"/>
      <c r="AA304" s="340"/>
      <c r="AB304" s="340"/>
      <c r="AC304" s="340"/>
      <c r="AD304" s="340"/>
      <c r="AE304" s="340"/>
      <c r="AF304" s="340"/>
      <c r="AG304" s="340"/>
      <c r="AH304" s="340"/>
      <c r="AI304" s="340"/>
      <c r="AJ304" s="340"/>
      <c r="AK304" s="340"/>
      <c r="AL304" s="340"/>
      <c r="AM304" s="340"/>
      <c r="AN304" s="340"/>
      <c r="AO304" s="340"/>
      <c r="AP304" s="340"/>
      <c r="AQ304" s="340"/>
      <c r="AR304" s="340"/>
      <c r="AS304" s="340"/>
      <c r="AT304" s="340"/>
      <c r="AU304" s="340"/>
      <c r="AV304" s="340"/>
      <c r="AW304" s="340"/>
      <c r="AX304" s="340"/>
      <c r="AY304" s="340"/>
      <c r="AZ304" s="340"/>
      <c r="BA304" s="340"/>
      <c r="BB304" s="340"/>
      <c r="BC304" s="340"/>
      <c r="BD304" s="340"/>
    </row>
    <row r="305" spans="3:56">
      <c r="C305" s="340"/>
      <c r="D305" s="340"/>
      <c r="E305" s="340"/>
      <c r="F305" s="340"/>
      <c r="G305" s="340"/>
      <c r="H305" s="340"/>
      <c r="I305" s="340"/>
      <c r="J305" s="340"/>
      <c r="K305" s="340"/>
      <c r="L305" s="340"/>
      <c r="M305" s="340"/>
      <c r="N305" s="340"/>
      <c r="O305" s="340"/>
      <c r="P305" s="340"/>
      <c r="Q305" s="340"/>
      <c r="R305" s="340"/>
      <c r="S305" s="340"/>
      <c r="T305" s="340"/>
      <c r="U305" s="340"/>
      <c r="V305" s="340"/>
      <c r="W305" s="340"/>
      <c r="X305" s="340"/>
      <c r="Y305" s="340"/>
      <c r="Z305" s="340"/>
      <c r="AA305" s="340"/>
      <c r="AB305" s="340"/>
      <c r="AC305" s="340"/>
      <c r="AD305" s="340"/>
      <c r="AE305" s="340"/>
      <c r="AF305" s="340"/>
      <c r="AG305" s="340"/>
      <c r="AH305" s="340"/>
      <c r="AI305" s="340"/>
      <c r="AJ305" s="340"/>
      <c r="AK305" s="340"/>
      <c r="AL305" s="340"/>
      <c r="AM305" s="340"/>
      <c r="AN305" s="340"/>
      <c r="AO305" s="340"/>
      <c r="AP305" s="340"/>
      <c r="AQ305" s="340"/>
      <c r="AR305" s="340"/>
      <c r="AS305" s="340"/>
      <c r="AT305" s="340"/>
      <c r="AU305" s="340"/>
      <c r="AV305" s="340"/>
      <c r="AW305" s="340"/>
      <c r="AX305" s="340"/>
      <c r="AY305" s="340"/>
      <c r="AZ305" s="340"/>
      <c r="BA305" s="340"/>
      <c r="BB305" s="340"/>
      <c r="BC305" s="340"/>
      <c r="BD305" s="340"/>
    </row>
    <row r="306" spans="3:56">
      <c r="C306" s="340"/>
      <c r="D306" s="340"/>
      <c r="E306" s="340"/>
      <c r="F306" s="340"/>
      <c r="G306" s="340"/>
      <c r="H306" s="340"/>
      <c r="I306" s="340"/>
      <c r="J306" s="340"/>
      <c r="K306" s="340"/>
      <c r="L306" s="340"/>
      <c r="M306" s="340"/>
      <c r="N306" s="340"/>
      <c r="O306" s="340"/>
      <c r="P306" s="340"/>
      <c r="Q306" s="340"/>
      <c r="R306" s="340"/>
      <c r="S306" s="340"/>
      <c r="T306" s="340"/>
      <c r="U306" s="340"/>
      <c r="V306" s="340"/>
      <c r="W306" s="340"/>
      <c r="X306" s="340"/>
      <c r="Y306" s="340"/>
      <c r="Z306" s="340"/>
      <c r="AA306" s="340"/>
      <c r="AB306" s="340"/>
      <c r="AC306" s="340"/>
      <c r="AD306" s="340"/>
      <c r="AE306" s="340"/>
      <c r="AF306" s="340"/>
      <c r="AG306" s="340"/>
      <c r="AH306" s="340"/>
      <c r="AI306" s="340"/>
      <c r="AJ306" s="340"/>
      <c r="AK306" s="340"/>
      <c r="AL306" s="340"/>
      <c r="AM306" s="340"/>
      <c r="AN306" s="340"/>
      <c r="AO306" s="340"/>
      <c r="AP306" s="340"/>
      <c r="AQ306" s="340"/>
      <c r="AR306" s="340"/>
      <c r="AS306" s="340"/>
      <c r="AT306" s="340"/>
      <c r="AU306" s="340"/>
      <c r="AV306" s="340"/>
      <c r="AW306" s="340"/>
      <c r="AX306" s="340"/>
      <c r="AY306" s="340"/>
      <c r="AZ306" s="340"/>
      <c r="BA306" s="340"/>
      <c r="BB306" s="340"/>
      <c r="BC306" s="340"/>
      <c r="BD306" s="340"/>
    </row>
    <row r="307" spans="3:56">
      <c r="C307" s="340"/>
      <c r="D307" s="340"/>
      <c r="E307" s="340"/>
      <c r="F307" s="340"/>
      <c r="G307" s="340"/>
      <c r="H307" s="340"/>
      <c r="I307" s="340"/>
      <c r="J307" s="340"/>
      <c r="K307" s="340"/>
      <c r="L307" s="340"/>
      <c r="M307" s="340"/>
      <c r="N307" s="340"/>
      <c r="O307" s="340"/>
      <c r="P307" s="340"/>
      <c r="Q307" s="340"/>
      <c r="R307" s="340"/>
      <c r="S307" s="340"/>
      <c r="T307" s="340"/>
      <c r="U307" s="340"/>
      <c r="V307" s="340"/>
      <c r="W307" s="340"/>
      <c r="X307" s="340"/>
      <c r="Y307" s="340"/>
      <c r="Z307" s="340"/>
      <c r="AA307" s="340"/>
      <c r="AB307" s="340"/>
      <c r="AC307" s="340"/>
      <c r="AD307" s="340"/>
      <c r="AE307" s="340"/>
      <c r="AF307" s="340"/>
      <c r="AG307" s="340"/>
      <c r="AH307" s="340"/>
      <c r="AI307" s="340"/>
      <c r="AJ307" s="340"/>
      <c r="AK307" s="340"/>
      <c r="AL307" s="340"/>
      <c r="AM307" s="340"/>
      <c r="AN307" s="340"/>
      <c r="AO307" s="340"/>
      <c r="AP307" s="340"/>
      <c r="AQ307" s="340"/>
      <c r="AR307" s="340"/>
      <c r="AS307" s="340"/>
      <c r="AT307" s="340"/>
      <c r="AU307" s="340"/>
      <c r="AV307" s="340"/>
      <c r="AW307" s="340"/>
      <c r="AX307" s="340"/>
      <c r="AY307" s="340"/>
      <c r="AZ307" s="340"/>
      <c r="BA307" s="340"/>
      <c r="BB307" s="340"/>
      <c r="BC307" s="340"/>
      <c r="BD307" s="340"/>
    </row>
    <row r="308" spans="3:56">
      <c r="C308" s="340"/>
      <c r="D308" s="340"/>
      <c r="E308" s="340"/>
      <c r="F308" s="340"/>
      <c r="G308" s="340"/>
      <c r="H308" s="340"/>
      <c r="I308" s="340"/>
      <c r="J308" s="340"/>
      <c r="K308" s="340"/>
      <c r="L308" s="340"/>
      <c r="M308" s="340"/>
      <c r="N308" s="340"/>
      <c r="O308" s="340"/>
      <c r="P308" s="340"/>
      <c r="Q308" s="340"/>
      <c r="R308" s="340"/>
      <c r="S308" s="340"/>
      <c r="T308" s="340"/>
      <c r="U308" s="340"/>
      <c r="V308" s="340"/>
      <c r="W308" s="340"/>
      <c r="X308" s="340"/>
      <c r="Y308" s="340"/>
      <c r="Z308" s="340"/>
      <c r="AA308" s="340"/>
      <c r="AB308" s="340"/>
      <c r="AC308" s="340"/>
      <c r="AD308" s="340"/>
      <c r="AE308" s="340"/>
      <c r="AF308" s="340"/>
      <c r="AG308" s="340"/>
      <c r="AH308" s="340"/>
      <c r="AI308" s="340"/>
      <c r="AJ308" s="340"/>
      <c r="AK308" s="340"/>
      <c r="AL308" s="340"/>
      <c r="AM308" s="340"/>
      <c r="AN308" s="340"/>
      <c r="AO308" s="340"/>
      <c r="AP308" s="340"/>
      <c r="AQ308" s="340"/>
      <c r="AR308" s="340"/>
      <c r="AS308" s="340"/>
      <c r="AT308" s="340"/>
      <c r="AU308" s="340"/>
      <c r="AV308" s="340"/>
      <c r="AW308" s="340"/>
      <c r="AX308" s="340"/>
      <c r="AY308" s="340"/>
      <c r="AZ308" s="340"/>
      <c r="BA308" s="340"/>
      <c r="BB308" s="340"/>
      <c r="BC308" s="340"/>
      <c r="BD308" s="340"/>
    </row>
    <row r="309" spans="3:56">
      <c r="C309" s="340"/>
      <c r="D309" s="340"/>
      <c r="E309" s="340"/>
      <c r="F309" s="340"/>
      <c r="G309" s="340"/>
      <c r="H309" s="340"/>
      <c r="I309" s="340"/>
      <c r="J309" s="340"/>
      <c r="K309" s="340"/>
      <c r="L309" s="340"/>
      <c r="M309" s="340"/>
      <c r="N309" s="340"/>
      <c r="O309" s="340"/>
      <c r="P309" s="340"/>
      <c r="Q309" s="340"/>
      <c r="R309" s="340"/>
      <c r="S309" s="340"/>
      <c r="T309" s="340"/>
      <c r="U309" s="340"/>
      <c r="V309" s="340"/>
      <c r="W309" s="340"/>
      <c r="X309" s="340"/>
      <c r="Y309" s="340"/>
      <c r="Z309" s="340"/>
      <c r="AA309" s="340"/>
      <c r="AB309" s="340"/>
      <c r="AC309" s="340"/>
      <c r="AD309" s="340"/>
      <c r="AE309" s="340"/>
      <c r="AF309" s="340"/>
      <c r="AG309" s="340"/>
      <c r="AH309" s="340"/>
      <c r="AI309" s="340"/>
      <c r="AJ309" s="340"/>
      <c r="AK309" s="340"/>
      <c r="AL309" s="340"/>
      <c r="AM309" s="340"/>
      <c r="AN309" s="340"/>
      <c r="AO309" s="340"/>
      <c r="AP309" s="340"/>
      <c r="AQ309" s="340"/>
      <c r="AR309" s="340"/>
      <c r="AS309" s="340"/>
      <c r="AT309" s="340"/>
      <c r="AU309" s="340"/>
      <c r="AV309" s="340"/>
      <c r="AW309" s="340"/>
      <c r="AX309" s="340"/>
      <c r="AY309" s="340"/>
      <c r="AZ309" s="340"/>
      <c r="BA309" s="340"/>
      <c r="BB309" s="340"/>
      <c r="BC309" s="340"/>
      <c r="BD309" s="340"/>
    </row>
    <row r="310" spans="3:56">
      <c r="C310" s="340"/>
      <c r="D310" s="340"/>
      <c r="E310" s="340"/>
      <c r="F310" s="340"/>
      <c r="G310" s="340"/>
      <c r="H310" s="340"/>
      <c r="I310" s="340"/>
      <c r="J310" s="340"/>
      <c r="K310" s="340"/>
      <c r="L310" s="340"/>
      <c r="M310" s="340"/>
      <c r="N310" s="340"/>
      <c r="O310" s="340"/>
      <c r="P310" s="340"/>
      <c r="Q310" s="340"/>
      <c r="R310" s="340"/>
      <c r="S310" s="340"/>
      <c r="T310" s="340"/>
      <c r="U310" s="340"/>
      <c r="V310" s="340"/>
      <c r="W310" s="340"/>
      <c r="X310" s="340"/>
      <c r="Y310" s="340"/>
      <c r="Z310" s="340"/>
      <c r="AA310" s="340"/>
      <c r="AB310" s="340"/>
      <c r="AC310" s="340"/>
      <c r="AD310" s="340"/>
      <c r="AE310" s="340"/>
      <c r="AF310" s="340"/>
      <c r="AG310" s="340"/>
      <c r="AH310" s="340"/>
      <c r="AI310" s="340"/>
      <c r="AJ310" s="340"/>
      <c r="AK310" s="340"/>
      <c r="AL310" s="340"/>
      <c r="AM310" s="340"/>
      <c r="AN310" s="340"/>
      <c r="AO310" s="340"/>
      <c r="AP310" s="340"/>
      <c r="AQ310" s="340"/>
      <c r="AR310" s="340"/>
      <c r="AS310" s="340"/>
      <c r="AT310" s="340"/>
      <c r="AU310" s="340"/>
      <c r="AV310" s="340"/>
      <c r="AW310" s="340"/>
      <c r="AX310" s="340"/>
      <c r="AY310" s="340"/>
      <c r="AZ310" s="340"/>
      <c r="BA310" s="340"/>
      <c r="BB310" s="340"/>
      <c r="BC310" s="340"/>
      <c r="BD310" s="340"/>
    </row>
    <row r="311" spans="3:56">
      <c r="C311" s="340"/>
      <c r="D311" s="340"/>
      <c r="E311" s="340"/>
      <c r="F311" s="340"/>
      <c r="G311" s="340"/>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340"/>
      <c r="AY311" s="340"/>
      <c r="AZ311" s="340"/>
      <c r="BA311" s="340"/>
      <c r="BB311" s="340"/>
      <c r="BC311" s="340"/>
      <c r="BD311" s="340"/>
    </row>
    <row r="312" spans="3:56">
      <c r="C312" s="340"/>
      <c r="D312" s="340"/>
      <c r="E312" s="340"/>
      <c r="F312" s="340"/>
      <c r="G312" s="340"/>
      <c r="H312" s="340"/>
      <c r="I312" s="340"/>
      <c r="J312" s="340"/>
      <c r="K312" s="340"/>
      <c r="L312" s="340"/>
      <c r="M312" s="340"/>
      <c r="N312" s="340"/>
      <c r="O312" s="340"/>
      <c r="P312" s="340"/>
      <c r="Q312" s="340"/>
      <c r="R312" s="340"/>
      <c r="S312" s="340"/>
      <c r="T312" s="340"/>
      <c r="U312" s="340"/>
      <c r="V312" s="340"/>
      <c r="W312" s="340"/>
      <c r="X312" s="340"/>
      <c r="Y312" s="340"/>
      <c r="Z312" s="340"/>
      <c r="AA312" s="340"/>
      <c r="AB312" s="340"/>
      <c r="AC312" s="340"/>
      <c r="AD312" s="340"/>
      <c r="AE312" s="340"/>
      <c r="AF312" s="340"/>
      <c r="AG312" s="340"/>
      <c r="AH312" s="340"/>
      <c r="AI312" s="340"/>
      <c r="AJ312" s="340"/>
      <c r="AK312" s="340"/>
      <c r="AL312" s="340"/>
      <c r="AM312" s="340"/>
      <c r="AN312" s="340"/>
      <c r="AO312" s="340"/>
      <c r="AP312" s="340"/>
      <c r="AQ312" s="340"/>
      <c r="AR312" s="340"/>
      <c r="AS312" s="340"/>
      <c r="AT312" s="340"/>
      <c r="AU312" s="340"/>
      <c r="AV312" s="340"/>
      <c r="AW312" s="340"/>
      <c r="AX312" s="340"/>
      <c r="AY312" s="340"/>
      <c r="AZ312" s="340"/>
      <c r="BA312" s="340"/>
      <c r="BB312" s="340"/>
      <c r="BC312" s="340"/>
      <c r="BD312" s="340"/>
    </row>
    <row r="313" spans="3:56">
      <c r="C313" s="340"/>
      <c r="D313" s="340"/>
      <c r="E313" s="340"/>
      <c r="F313" s="340"/>
      <c r="G313" s="340"/>
      <c r="H313" s="340"/>
      <c r="I313" s="340"/>
      <c r="J313" s="340"/>
      <c r="K313" s="340"/>
      <c r="L313" s="340"/>
      <c r="M313" s="340"/>
      <c r="N313" s="340"/>
      <c r="O313" s="340"/>
      <c r="P313" s="340"/>
      <c r="Q313" s="340"/>
      <c r="R313" s="340"/>
      <c r="S313" s="340"/>
      <c r="T313" s="340"/>
      <c r="U313" s="340"/>
      <c r="V313" s="340"/>
      <c r="W313" s="340"/>
      <c r="X313" s="340"/>
      <c r="Y313" s="340"/>
      <c r="Z313" s="340"/>
      <c r="AA313" s="340"/>
      <c r="AB313" s="340"/>
      <c r="AC313" s="340"/>
      <c r="AD313" s="340"/>
      <c r="AE313" s="340"/>
      <c r="AF313" s="340"/>
      <c r="AG313" s="340"/>
      <c r="AH313" s="340"/>
      <c r="AI313" s="340"/>
      <c r="AJ313" s="340"/>
      <c r="AK313" s="340"/>
      <c r="AL313" s="340"/>
      <c r="AM313" s="340"/>
      <c r="AN313" s="340"/>
      <c r="AO313" s="340"/>
      <c r="AP313" s="340"/>
      <c r="AQ313" s="340"/>
      <c r="AR313" s="340"/>
      <c r="AS313" s="340"/>
      <c r="AT313" s="340"/>
      <c r="AU313" s="340"/>
      <c r="AV313" s="340"/>
      <c r="AW313" s="340"/>
      <c r="AX313" s="340"/>
      <c r="AY313" s="340"/>
      <c r="AZ313" s="340"/>
      <c r="BA313" s="340"/>
      <c r="BB313" s="340"/>
      <c r="BC313" s="340"/>
      <c r="BD313" s="340"/>
    </row>
    <row r="314" spans="3:56">
      <c r="C314" s="340"/>
      <c r="D314" s="340"/>
      <c r="E314" s="340"/>
      <c r="F314" s="340"/>
      <c r="G314" s="340"/>
      <c r="H314" s="340"/>
      <c r="I314" s="340"/>
      <c r="J314" s="340"/>
      <c r="K314" s="340"/>
      <c r="L314" s="340"/>
      <c r="M314" s="340"/>
      <c r="N314" s="340"/>
      <c r="O314" s="340"/>
      <c r="P314" s="340"/>
      <c r="Q314" s="340"/>
      <c r="R314" s="340"/>
      <c r="S314" s="340"/>
      <c r="T314" s="340"/>
      <c r="U314" s="340"/>
      <c r="V314" s="340"/>
      <c r="W314" s="340"/>
      <c r="X314" s="340"/>
      <c r="Y314" s="340"/>
      <c r="Z314" s="340"/>
      <c r="AA314" s="340"/>
      <c r="AB314" s="340"/>
      <c r="AC314" s="340"/>
      <c r="AD314" s="340"/>
      <c r="AE314" s="340"/>
      <c r="AF314" s="340"/>
      <c r="AG314" s="340"/>
      <c r="AH314" s="340"/>
      <c r="AI314" s="340"/>
      <c r="AJ314" s="340"/>
      <c r="AK314" s="340"/>
      <c r="AL314" s="340"/>
      <c r="AM314" s="340"/>
      <c r="AN314" s="340"/>
      <c r="AO314" s="340"/>
      <c r="AP314" s="340"/>
      <c r="AQ314" s="340"/>
      <c r="AR314" s="340"/>
      <c r="AS314" s="340"/>
      <c r="AT314" s="340"/>
      <c r="AU314" s="340"/>
      <c r="AV314" s="340"/>
      <c r="AW314" s="340"/>
      <c r="AX314" s="340"/>
      <c r="AY314" s="340"/>
      <c r="AZ314" s="340"/>
      <c r="BA314" s="340"/>
      <c r="BB314" s="340"/>
      <c r="BC314" s="340"/>
      <c r="BD314" s="340"/>
    </row>
    <row r="315" spans="3:56">
      <c r="C315" s="340"/>
      <c r="D315" s="340"/>
      <c r="E315" s="340"/>
      <c r="F315" s="340"/>
      <c r="G315" s="340"/>
      <c r="H315" s="340"/>
      <c r="I315" s="340"/>
      <c r="J315" s="340"/>
      <c r="K315" s="340"/>
      <c r="L315" s="340"/>
      <c r="M315" s="340"/>
      <c r="N315" s="340"/>
      <c r="O315" s="340"/>
      <c r="P315" s="340"/>
      <c r="Q315" s="340"/>
      <c r="R315" s="340"/>
      <c r="S315" s="340"/>
      <c r="T315" s="340"/>
      <c r="U315" s="340"/>
      <c r="V315" s="340"/>
      <c r="W315" s="340"/>
      <c r="X315" s="340"/>
      <c r="Y315" s="340"/>
      <c r="Z315" s="340"/>
      <c r="AA315" s="340"/>
      <c r="AB315" s="340"/>
      <c r="AC315" s="340"/>
      <c r="AD315" s="340"/>
      <c r="AE315" s="340"/>
      <c r="AF315" s="340"/>
      <c r="AG315" s="340"/>
      <c r="AH315" s="340"/>
      <c r="AI315" s="340"/>
      <c r="AJ315" s="340"/>
      <c r="AK315" s="340"/>
      <c r="AL315" s="340"/>
      <c r="AM315" s="340"/>
      <c r="AN315" s="340"/>
      <c r="AO315" s="340"/>
      <c r="AP315" s="340"/>
      <c r="AQ315" s="340"/>
      <c r="AR315" s="340"/>
      <c r="AS315" s="340"/>
      <c r="AT315" s="340"/>
      <c r="AU315" s="340"/>
      <c r="AV315" s="340"/>
      <c r="AW315" s="340"/>
      <c r="AX315" s="340"/>
      <c r="AY315" s="340"/>
      <c r="AZ315" s="340"/>
      <c r="BA315" s="340"/>
      <c r="BB315" s="340"/>
      <c r="BC315" s="340"/>
      <c r="BD315" s="340"/>
    </row>
    <row r="316" spans="3:56">
      <c r="C316" s="340"/>
      <c r="D316" s="340"/>
      <c r="E316" s="340"/>
      <c r="F316" s="340"/>
      <c r="G316" s="340"/>
      <c r="H316" s="340"/>
      <c r="I316" s="340"/>
      <c r="J316" s="340"/>
      <c r="K316" s="340"/>
      <c r="L316" s="340"/>
      <c r="M316" s="340"/>
      <c r="N316" s="340"/>
      <c r="O316" s="340"/>
      <c r="P316" s="340"/>
      <c r="Q316" s="340"/>
      <c r="R316" s="340"/>
      <c r="S316" s="340"/>
      <c r="T316" s="340"/>
      <c r="U316" s="340"/>
      <c r="V316" s="340"/>
      <c r="W316" s="340"/>
      <c r="X316" s="340"/>
      <c r="Y316" s="340"/>
      <c r="Z316" s="340"/>
      <c r="AA316" s="340"/>
      <c r="AB316" s="340"/>
      <c r="AC316" s="340"/>
      <c r="AD316" s="340"/>
      <c r="AE316" s="340"/>
      <c r="AF316" s="340"/>
      <c r="AG316" s="340"/>
      <c r="AH316" s="340"/>
      <c r="AI316" s="340"/>
      <c r="AJ316" s="340"/>
      <c r="AK316" s="340"/>
      <c r="AL316" s="340"/>
      <c r="AM316" s="340"/>
      <c r="AN316" s="340"/>
      <c r="AO316" s="340"/>
      <c r="AP316" s="340"/>
      <c r="AQ316" s="340"/>
      <c r="AR316" s="340"/>
      <c r="AS316" s="340"/>
      <c r="AT316" s="340"/>
      <c r="AU316" s="340"/>
      <c r="AV316" s="340"/>
      <c r="AW316" s="340"/>
      <c r="AX316" s="340"/>
      <c r="AY316" s="340"/>
      <c r="AZ316" s="340"/>
      <c r="BA316" s="340"/>
      <c r="BB316" s="340"/>
      <c r="BC316" s="340"/>
      <c r="BD316" s="340"/>
    </row>
    <row r="317" spans="3:56">
      <c r="C317" s="340"/>
      <c r="D317" s="340"/>
      <c r="E317" s="340"/>
      <c r="F317" s="340"/>
      <c r="G317" s="340"/>
      <c r="H317" s="340"/>
      <c r="I317" s="340"/>
      <c r="J317" s="340"/>
      <c r="K317" s="340"/>
      <c r="L317" s="340"/>
      <c r="M317" s="340"/>
      <c r="N317" s="340"/>
      <c r="O317" s="340"/>
      <c r="P317" s="340"/>
      <c r="Q317" s="340"/>
      <c r="R317" s="340"/>
      <c r="S317" s="340"/>
      <c r="T317" s="340"/>
      <c r="U317" s="340"/>
      <c r="V317" s="340"/>
      <c r="W317" s="340"/>
      <c r="X317" s="340"/>
      <c r="Y317" s="340"/>
      <c r="Z317" s="340"/>
      <c r="AA317" s="340"/>
      <c r="AB317" s="340"/>
      <c r="AC317" s="340"/>
      <c r="AD317" s="340"/>
      <c r="AE317" s="340"/>
      <c r="AF317" s="340"/>
      <c r="AG317" s="340"/>
      <c r="AH317" s="340"/>
      <c r="AI317" s="340"/>
      <c r="AJ317" s="340"/>
      <c r="AK317" s="340"/>
      <c r="AL317" s="340"/>
      <c r="AM317" s="340"/>
      <c r="AN317" s="340"/>
      <c r="AO317" s="340"/>
      <c r="AP317" s="340"/>
      <c r="AQ317" s="340"/>
      <c r="AR317" s="340"/>
      <c r="AS317" s="340"/>
      <c r="AT317" s="340"/>
      <c r="AU317" s="340"/>
      <c r="AV317" s="340"/>
      <c r="AW317" s="340"/>
      <c r="AX317" s="340"/>
      <c r="AY317" s="340"/>
      <c r="AZ317" s="340"/>
      <c r="BA317" s="340"/>
      <c r="BB317" s="340"/>
      <c r="BC317" s="340"/>
      <c r="BD317" s="340"/>
    </row>
    <row r="318" spans="3:56">
      <c r="C318" s="340"/>
      <c r="D318" s="340"/>
      <c r="E318" s="340"/>
      <c r="F318" s="340"/>
      <c r="G318" s="340"/>
      <c r="H318" s="340"/>
      <c r="I318" s="340"/>
      <c r="J318" s="340"/>
      <c r="K318" s="340"/>
      <c r="L318" s="340"/>
      <c r="M318" s="340"/>
      <c r="N318" s="340"/>
      <c r="O318" s="340"/>
      <c r="P318" s="340"/>
      <c r="Q318" s="340"/>
      <c r="R318" s="340"/>
      <c r="S318" s="340"/>
      <c r="T318" s="340"/>
      <c r="U318" s="340"/>
      <c r="V318" s="340"/>
      <c r="W318" s="340"/>
      <c r="X318" s="340"/>
      <c r="Y318" s="340"/>
      <c r="Z318" s="340"/>
      <c r="AA318" s="340"/>
      <c r="AB318" s="340"/>
      <c r="AC318" s="340"/>
      <c r="AD318" s="340"/>
      <c r="AE318" s="340"/>
      <c r="AF318" s="340"/>
      <c r="AG318" s="340"/>
      <c r="AH318" s="340"/>
      <c r="AI318" s="340"/>
      <c r="AJ318" s="340"/>
      <c r="AK318" s="340"/>
      <c r="AL318" s="340"/>
      <c r="AM318" s="340"/>
      <c r="AN318" s="340"/>
      <c r="AO318" s="340"/>
      <c r="AP318" s="340"/>
      <c r="AQ318" s="340"/>
      <c r="AR318" s="340"/>
      <c r="AS318" s="340"/>
      <c r="AT318" s="340"/>
      <c r="AU318" s="340"/>
      <c r="AV318" s="340"/>
      <c r="AW318" s="340"/>
      <c r="AX318" s="340"/>
      <c r="AY318" s="340"/>
      <c r="AZ318" s="340"/>
      <c r="BA318" s="340"/>
      <c r="BB318" s="340"/>
      <c r="BC318" s="340"/>
      <c r="BD318" s="340"/>
    </row>
    <row r="319" spans="3:56">
      <c r="C319" s="340"/>
      <c r="D319" s="340"/>
      <c r="E319" s="340"/>
      <c r="F319" s="340"/>
      <c r="G319" s="340"/>
      <c r="H319" s="340"/>
      <c r="I319" s="340"/>
      <c r="J319" s="340"/>
      <c r="K319" s="340"/>
      <c r="L319" s="340"/>
      <c r="M319" s="340"/>
      <c r="N319" s="340"/>
      <c r="O319" s="340"/>
      <c r="P319" s="340"/>
      <c r="Q319" s="340"/>
      <c r="R319" s="340"/>
      <c r="S319" s="340"/>
      <c r="T319" s="340"/>
      <c r="U319" s="340"/>
      <c r="V319" s="340"/>
      <c r="W319" s="340"/>
      <c r="X319" s="340"/>
      <c r="Y319" s="340"/>
      <c r="Z319" s="340"/>
      <c r="AA319" s="340"/>
      <c r="AB319" s="340"/>
      <c r="AC319" s="340"/>
      <c r="AD319" s="340"/>
      <c r="AE319" s="340"/>
      <c r="AF319" s="340"/>
      <c r="AG319" s="340"/>
      <c r="AH319" s="340"/>
      <c r="AI319" s="340"/>
      <c r="AJ319" s="340"/>
      <c r="AK319" s="340"/>
      <c r="AL319" s="340"/>
      <c r="AM319" s="340"/>
      <c r="AN319" s="340"/>
      <c r="AO319" s="340"/>
      <c r="AP319" s="340"/>
      <c r="AQ319" s="340"/>
      <c r="AR319" s="340"/>
      <c r="AS319" s="340"/>
      <c r="AT319" s="340"/>
      <c r="AU319" s="340"/>
      <c r="AV319" s="340"/>
      <c r="AW319" s="340"/>
      <c r="AX319" s="340"/>
      <c r="AY319" s="340"/>
      <c r="AZ319" s="340"/>
      <c r="BA319" s="340"/>
      <c r="BB319" s="340"/>
      <c r="BC319" s="340"/>
      <c r="BD319" s="340"/>
    </row>
    <row r="320" spans="3:56">
      <c r="C320" s="340"/>
      <c r="D320" s="340"/>
      <c r="E320" s="340"/>
      <c r="F320" s="340"/>
      <c r="G320" s="340"/>
      <c r="H320" s="340"/>
      <c r="I320" s="340"/>
      <c r="J320" s="340"/>
      <c r="K320" s="340"/>
      <c r="L320" s="340"/>
      <c r="M320" s="340"/>
      <c r="N320" s="340"/>
      <c r="O320" s="340"/>
      <c r="P320" s="340"/>
      <c r="Q320" s="340"/>
      <c r="R320" s="340"/>
      <c r="S320" s="340"/>
      <c r="T320" s="340"/>
      <c r="U320" s="340"/>
      <c r="V320" s="340"/>
      <c r="W320" s="340"/>
      <c r="X320" s="340"/>
      <c r="Y320" s="340"/>
      <c r="Z320" s="340"/>
      <c r="AA320" s="340"/>
      <c r="AB320" s="340"/>
      <c r="AC320" s="340"/>
      <c r="AD320" s="340"/>
      <c r="AE320" s="340"/>
      <c r="AF320" s="340"/>
      <c r="AG320" s="340"/>
      <c r="AH320" s="340"/>
      <c r="AI320" s="340"/>
      <c r="AJ320" s="340"/>
      <c r="AK320" s="340"/>
      <c r="AL320" s="340"/>
      <c r="AM320" s="340"/>
      <c r="AN320" s="340"/>
      <c r="AO320" s="340"/>
      <c r="AP320" s="340"/>
      <c r="AQ320" s="340"/>
      <c r="AR320" s="340"/>
      <c r="AS320" s="340"/>
      <c r="AT320" s="340"/>
      <c r="AU320" s="340"/>
      <c r="AV320" s="340"/>
      <c r="AW320" s="340"/>
      <c r="AX320" s="340"/>
      <c r="AY320" s="340"/>
      <c r="AZ320" s="340"/>
      <c r="BA320" s="340"/>
      <c r="BB320" s="340"/>
      <c r="BC320" s="340"/>
      <c r="BD320" s="340"/>
    </row>
    <row r="321" spans="3:56">
      <c r="C321" s="340"/>
      <c r="D321" s="340"/>
      <c r="E321" s="340"/>
      <c r="F321" s="340"/>
      <c r="G321" s="340"/>
      <c r="H321" s="340"/>
      <c r="I321" s="340"/>
      <c r="J321" s="340"/>
      <c r="K321" s="340"/>
      <c r="L321" s="340"/>
      <c r="M321" s="340"/>
      <c r="N321" s="340"/>
      <c r="O321" s="340"/>
      <c r="P321" s="340"/>
      <c r="Q321" s="340"/>
      <c r="R321" s="340"/>
      <c r="S321" s="340"/>
      <c r="T321" s="340"/>
      <c r="U321" s="340"/>
      <c r="V321" s="340"/>
      <c r="W321" s="340"/>
      <c r="X321" s="340"/>
      <c r="Y321" s="340"/>
      <c r="Z321" s="340"/>
      <c r="AA321" s="340"/>
      <c r="AB321" s="340"/>
      <c r="AC321" s="340"/>
      <c r="AD321" s="340"/>
      <c r="AE321" s="340"/>
      <c r="AF321" s="340"/>
      <c r="AG321" s="340"/>
      <c r="AH321" s="340"/>
      <c r="AI321" s="340"/>
      <c r="AJ321" s="340"/>
      <c r="AK321" s="340"/>
      <c r="AL321" s="340"/>
      <c r="AM321" s="340"/>
      <c r="AN321" s="340"/>
      <c r="AO321" s="340"/>
      <c r="AP321" s="340"/>
      <c r="AQ321" s="340"/>
      <c r="AR321" s="340"/>
      <c r="AS321" s="340"/>
      <c r="AT321" s="340"/>
      <c r="AU321" s="340"/>
      <c r="AV321" s="340"/>
      <c r="AW321" s="340"/>
      <c r="AX321" s="340"/>
      <c r="AY321" s="340"/>
      <c r="AZ321" s="340"/>
      <c r="BA321" s="340"/>
      <c r="BB321" s="340"/>
      <c r="BC321" s="340"/>
      <c r="BD321" s="340"/>
    </row>
    <row r="322" spans="3:56">
      <c r="C322" s="340"/>
      <c r="D322" s="340"/>
      <c r="E322" s="340"/>
      <c r="F322" s="340"/>
      <c r="G322" s="340"/>
      <c r="H322" s="340"/>
      <c r="I322" s="340"/>
      <c r="J322" s="340"/>
      <c r="K322" s="340"/>
      <c r="L322" s="340"/>
      <c r="M322" s="340"/>
      <c r="N322" s="340"/>
      <c r="O322" s="340"/>
      <c r="P322" s="340"/>
      <c r="Q322" s="340"/>
      <c r="R322" s="340"/>
      <c r="S322" s="340"/>
      <c r="T322" s="340"/>
      <c r="U322" s="340"/>
      <c r="V322" s="340"/>
      <c r="W322" s="340"/>
      <c r="X322" s="340"/>
      <c r="Y322" s="340"/>
      <c r="Z322" s="340"/>
      <c r="AA322" s="340"/>
      <c r="AB322" s="340"/>
      <c r="AC322" s="340"/>
      <c r="AD322" s="340"/>
      <c r="AE322" s="340"/>
      <c r="AF322" s="340"/>
      <c r="AG322" s="340"/>
      <c r="AH322" s="340"/>
      <c r="AI322" s="340"/>
      <c r="AJ322" s="340"/>
      <c r="AK322" s="340"/>
      <c r="AL322" s="340"/>
      <c r="AM322" s="340"/>
      <c r="AN322" s="340"/>
      <c r="AO322" s="340"/>
      <c r="AP322" s="340"/>
      <c r="AQ322" s="340"/>
      <c r="AR322" s="340"/>
      <c r="AS322" s="340"/>
      <c r="AT322" s="340"/>
      <c r="AU322" s="340"/>
      <c r="AV322" s="340"/>
      <c r="AW322" s="340"/>
      <c r="AX322" s="340"/>
      <c r="AY322" s="340"/>
      <c r="AZ322" s="340"/>
      <c r="BA322" s="340"/>
      <c r="BB322" s="340"/>
      <c r="BC322" s="340"/>
      <c r="BD322" s="340"/>
    </row>
    <row r="323" spans="3:56">
      <c r="C323" s="340"/>
      <c r="D323" s="340"/>
      <c r="E323" s="340"/>
      <c r="F323" s="340"/>
      <c r="G323" s="340"/>
      <c r="H323" s="340"/>
      <c r="I323" s="340"/>
      <c r="J323" s="340"/>
      <c r="K323" s="340"/>
      <c r="L323" s="340"/>
      <c r="M323" s="340"/>
      <c r="N323" s="340"/>
      <c r="O323" s="340"/>
      <c r="P323" s="340"/>
      <c r="Q323" s="340"/>
      <c r="R323" s="340"/>
      <c r="S323" s="340"/>
      <c r="T323" s="340"/>
      <c r="U323" s="340"/>
      <c r="V323" s="340"/>
      <c r="W323" s="340"/>
      <c r="X323" s="340"/>
      <c r="Y323" s="340"/>
      <c r="Z323" s="340"/>
      <c r="AA323" s="340"/>
      <c r="AB323" s="340"/>
      <c r="AC323" s="340"/>
      <c r="AD323" s="340"/>
      <c r="AE323" s="340"/>
      <c r="AF323" s="340"/>
      <c r="AG323" s="340"/>
      <c r="AH323" s="340"/>
      <c r="AI323" s="340"/>
      <c r="AJ323" s="340"/>
      <c r="AK323" s="340"/>
      <c r="AL323" s="340"/>
      <c r="AM323" s="340"/>
      <c r="AN323" s="340"/>
      <c r="AO323" s="340"/>
      <c r="AP323" s="340"/>
      <c r="AQ323" s="340"/>
      <c r="AR323" s="340"/>
      <c r="AS323" s="340"/>
      <c r="AT323" s="340"/>
      <c r="AU323" s="340"/>
      <c r="AV323" s="340"/>
      <c r="AW323" s="340"/>
      <c r="AX323" s="340"/>
      <c r="AY323" s="340"/>
      <c r="AZ323" s="340"/>
      <c r="BA323" s="340"/>
      <c r="BB323" s="340"/>
      <c r="BC323" s="340"/>
      <c r="BD323" s="340"/>
    </row>
    <row r="324" spans="3:56">
      <c r="C324" s="340"/>
      <c r="D324" s="340"/>
      <c r="E324" s="340"/>
      <c r="F324" s="340"/>
      <c r="G324" s="340"/>
      <c r="H324" s="340"/>
      <c r="I324" s="340"/>
      <c r="J324" s="340"/>
      <c r="K324" s="340"/>
      <c r="L324" s="340"/>
      <c r="M324" s="340"/>
      <c r="N324" s="340"/>
      <c r="O324" s="340"/>
      <c r="P324" s="340"/>
      <c r="Q324" s="340"/>
      <c r="R324" s="340"/>
      <c r="S324" s="340"/>
      <c r="T324" s="340"/>
      <c r="U324" s="340"/>
      <c r="V324" s="340"/>
      <c r="W324" s="340"/>
      <c r="X324" s="340"/>
      <c r="Y324" s="340"/>
      <c r="Z324" s="340"/>
      <c r="AA324" s="340"/>
      <c r="AB324" s="340"/>
      <c r="AC324" s="340"/>
      <c r="AD324" s="340"/>
      <c r="AE324" s="340"/>
      <c r="AF324" s="340"/>
      <c r="AG324" s="340"/>
      <c r="AH324" s="340"/>
      <c r="AI324" s="340"/>
      <c r="AJ324" s="340"/>
      <c r="AK324" s="340"/>
      <c r="AL324" s="340"/>
      <c r="AM324" s="340"/>
      <c r="AN324" s="340"/>
      <c r="AO324" s="340"/>
      <c r="AP324" s="340"/>
      <c r="AQ324" s="340"/>
      <c r="AR324" s="340"/>
      <c r="AS324" s="340"/>
      <c r="AT324" s="340"/>
      <c r="AU324" s="340"/>
      <c r="AV324" s="340"/>
      <c r="AW324" s="340"/>
      <c r="AX324" s="340"/>
      <c r="AY324" s="340"/>
      <c r="AZ324" s="340"/>
      <c r="BA324" s="340"/>
      <c r="BB324" s="340"/>
      <c r="BC324" s="340"/>
      <c r="BD324" s="340"/>
    </row>
    <row r="325" spans="3:56">
      <c r="C325" s="340"/>
      <c r="D325" s="340"/>
      <c r="E325" s="340"/>
      <c r="F325" s="340"/>
      <c r="G325" s="340"/>
      <c r="H325" s="340"/>
      <c r="I325" s="340"/>
      <c r="J325" s="340"/>
      <c r="K325" s="340"/>
      <c r="L325" s="340"/>
      <c r="M325" s="340"/>
      <c r="N325" s="340"/>
      <c r="O325" s="340"/>
      <c r="P325" s="340"/>
      <c r="Q325" s="340"/>
      <c r="R325" s="340"/>
      <c r="S325" s="340"/>
      <c r="T325" s="340"/>
      <c r="U325" s="340"/>
      <c r="V325" s="340"/>
      <c r="W325" s="340"/>
      <c r="X325" s="340"/>
      <c r="Y325" s="340"/>
      <c r="Z325" s="340"/>
      <c r="AA325" s="340"/>
      <c r="AB325" s="340"/>
      <c r="AC325" s="340"/>
      <c r="AD325" s="340"/>
      <c r="AE325" s="340"/>
      <c r="AF325" s="340"/>
      <c r="AG325" s="340"/>
      <c r="AH325" s="340"/>
      <c r="AI325" s="340"/>
      <c r="AJ325" s="340"/>
      <c r="AK325" s="340"/>
      <c r="AL325" s="340"/>
      <c r="AM325" s="340"/>
      <c r="AN325" s="340"/>
      <c r="AO325" s="340"/>
      <c r="AP325" s="340"/>
      <c r="AQ325" s="340"/>
      <c r="AR325" s="340"/>
      <c r="AS325" s="340"/>
      <c r="AT325" s="340"/>
      <c r="AU325" s="340"/>
      <c r="AV325" s="340"/>
      <c r="AW325" s="340"/>
      <c r="AX325" s="340"/>
      <c r="AY325" s="340"/>
      <c r="AZ325" s="340"/>
      <c r="BA325" s="340"/>
      <c r="BB325" s="340"/>
      <c r="BC325" s="340"/>
      <c r="BD325" s="340"/>
    </row>
    <row r="326" spans="3:56">
      <c r="C326" s="340"/>
      <c r="D326" s="340"/>
      <c r="E326" s="340"/>
      <c r="F326" s="340"/>
      <c r="G326" s="340"/>
      <c r="H326" s="340"/>
      <c r="I326" s="340"/>
      <c r="J326" s="340"/>
      <c r="K326" s="340"/>
      <c r="L326" s="340"/>
      <c r="M326" s="340"/>
      <c r="N326" s="340"/>
      <c r="O326" s="340"/>
      <c r="P326" s="340"/>
      <c r="Q326" s="340"/>
      <c r="R326" s="340"/>
      <c r="S326" s="340"/>
      <c r="T326" s="340"/>
      <c r="U326" s="340"/>
      <c r="V326" s="340"/>
      <c r="W326" s="340"/>
      <c r="X326" s="340"/>
      <c r="Y326" s="340"/>
      <c r="Z326" s="340"/>
      <c r="AA326" s="340"/>
      <c r="AB326" s="340"/>
      <c r="AC326" s="340"/>
      <c r="AD326" s="340"/>
      <c r="AE326" s="340"/>
      <c r="AF326" s="340"/>
      <c r="AG326" s="340"/>
      <c r="AH326" s="340"/>
      <c r="AI326" s="340"/>
      <c r="AJ326" s="340"/>
      <c r="AK326" s="340"/>
      <c r="AL326" s="340"/>
      <c r="AM326" s="340"/>
      <c r="AN326" s="340"/>
      <c r="AO326" s="340"/>
      <c r="AP326" s="340"/>
      <c r="AQ326" s="340"/>
      <c r="AR326" s="340"/>
      <c r="AS326" s="340"/>
      <c r="AT326" s="340"/>
      <c r="AU326" s="340"/>
      <c r="AV326" s="340"/>
      <c r="AW326" s="340"/>
      <c r="AX326" s="340"/>
      <c r="AY326" s="340"/>
      <c r="AZ326" s="340"/>
      <c r="BA326" s="340"/>
      <c r="BB326" s="340"/>
      <c r="BC326" s="340"/>
      <c r="BD326" s="340"/>
    </row>
    <row r="327" spans="3:56">
      <c r="C327" s="340"/>
      <c r="D327" s="340"/>
      <c r="E327" s="340"/>
      <c r="F327" s="340"/>
      <c r="G327" s="340"/>
      <c r="H327" s="340"/>
      <c r="I327" s="340"/>
      <c r="J327" s="340"/>
      <c r="K327" s="340"/>
      <c r="L327" s="340"/>
      <c r="M327" s="340"/>
      <c r="N327" s="340"/>
      <c r="O327" s="340"/>
      <c r="P327" s="340"/>
      <c r="Q327" s="340"/>
      <c r="R327" s="340"/>
      <c r="S327" s="340"/>
      <c r="T327" s="340"/>
      <c r="U327" s="340"/>
      <c r="V327" s="340"/>
      <c r="W327" s="340"/>
      <c r="X327" s="340"/>
      <c r="Y327" s="340"/>
      <c r="Z327" s="340"/>
      <c r="AA327" s="340"/>
      <c r="AB327" s="340"/>
      <c r="AC327" s="340"/>
      <c r="AD327" s="340"/>
      <c r="AE327" s="340"/>
      <c r="AF327" s="340"/>
      <c r="AG327" s="340"/>
      <c r="AH327" s="340"/>
      <c r="AI327" s="340"/>
      <c r="AJ327" s="340"/>
      <c r="AK327" s="340"/>
      <c r="AL327" s="340"/>
      <c r="AM327" s="340"/>
      <c r="AN327" s="340"/>
      <c r="AO327" s="340"/>
      <c r="AP327" s="340"/>
      <c r="AQ327" s="340"/>
      <c r="AR327" s="340"/>
      <c r="AS327" s="340"/>
      <c r="AT327" s="340"/>
      <c r="AU327" s="340"/>
      <c r="AV327" s="340"/>
      <c r="AW327" s="340"/>
      <c r="AX327" s="340"/>
      <c r="AY327" s="340"/>
      <c r="AZ327" s="340"/>
      <c r="BA327" s="340"/>
      <c r="BB327" s="340"/>
      <c r="BC327" s="340"/>
      <c r="BD327" s="340"/>
    </row>
    <row r="328" spans="3:56">
      <c r="C328" s="340"/>
      <c r="D328" s="340"/>
      <c r="E328" s="340"/>
      <c r="F328" s="340"/>
      <c r="G328" s="340"/>
      <c r="H328" s="340"/>
      <c r="I328" s="340"/>
      <c r="J328" s="340"/>
      <c r="K328" s="340"/>
      <c r="L328" s="340"/>
      <c r="M328" s="340"/>
      <c r="N328" s="340"/>
      <c r="O328" s="340"/>
      <c r="P328" s="340"/>
      <c r="Q328" s="340"/>
      <c r="R328" s="340"/>
      <c r="S328" s="340"/>
      <c r="T328" s="340"/>
      <c r="U328" s="340"/>
      <c r="V328" s="340"/>
      <c r="W328" s="340"/>
      <c r="X328" s="340"/>
      <c r="Y328" s="340"/>
      <c r="Z328" s="340"/>
      <c r="AA328" s="340"/>
      <c r="AB328" s="340"/>
      <c r="AC328" s="340"/>
      <c r="AD328" s="340"/>
      <c r="AE328" s="340"/>
      <c r="AF328" s="340"/>
      <c r="AG328" s="340"/>
      <c r="AH328" s="340"/>
      <c r="AI328" s="340"/>
      <c r="AJ328" s="340"/>
      <c r="AK328" s="340"/>
      <c r="AL328" s="340"/>
      <c r="AM328" s="340"/>
      <c r="AN328" s="340"/>
      <c r="AO328" s="340"/>
      <c r="AP328" s="340"/>
      <c r="AQ328" s="340"/>
      <c r="AR328" s="340"/>
      <c r="AS328" s="340"/>
      <c r="AT328" s="340"/>
      <c r="AU328" s="340"/>
      <c r="AV328" s="340"/>
      <c r="AW328" s="340"/>
      <c r="AX328" s="340"/>
      <c r="AY328" s="340"/>
      <c r="AZ328" s="340"/>
      <c r="BA328" s="340"/>
      <c r="BB328" s="340"/>
      <c r="BC328" s="340"/>
      <c r="BD328" s="340"/>
    </row>
    <row r="329" spans="3:56">
      <c r="C329" s="340"/>
      <c r="D329" s="340"/>
      <c r="E329" s="340"/>
      <c r="F329" s="340"/>
      <c r="G329" s="340"/>
      <c r="H329" s="340"/>
      <c r="I329" s="340"/>
      <c r="J329" s="340"/>
      <c r="K329" s="340"/>
      <c r="L329" s="340"/>
      <c r="M329" s="340"/>
      <c r="N329" s="340"/>
      <c r="O329" s="340"/>
      <c r="P329" s="340"/>
      <c r="Q329" s="340"/>
      <c r="R329" s="340"/>
      <c r="S329" s="340"/>
      <c r="T329" s="340"/>
      <c r="U329" s="340"/>
      <c r="V329" s="340"/>
      <c r="W329" s="340"/>
      <c r="X329" s="340"/>
      <c r="Y329" s="340"/>
      <c r="Z329" s="340"/>
      <c r="AA329" s="340"/>
      <c r="AB329" s="340"/>
      <c r="AC329" s="340"/>
      <c r="AD329" s="340"/>
      <c r="AE329" s="340"/>
      <c r="AF329" s="340"/>
      <c r="AG329" s="340"/>
      <c r="AH329" s="340"/>
      <c r="AI329" s="340"/>
      <c r="AJ329" s="340"/>
      <c r="AK329" s="340"/>
      <c r="AL329" s="340"/>
      <c r="AM329" s="340"/>
      <c r="AN329" s="340"/>
      <c r="AO329" s="340"/>
      <c r="AP329" s="340"/>
      <c r="AQ329" s="340"/>
      <c r="AR329" s="340"/>
      <c r="AS329" s="340"/>
      <c r="AT329" s="340"/>
      <c r="AU329" s="340"/>
      <c r="AV329" s="340"/>
      <c r="AW329" s="340"/>
      <c r="AX329" s="340"/>
      <c r="AY329" s="340"/>
      <c r="AZ329" s="340"/>
      <c r="BA329" s="340"/>
      <c r="BB329" s="340"/>
      <c r="BC329" s="340"/>
      <c r="BD329" s="340"/>
    </row>
    <row r="330" spans="3:56">
      <c r="C330" s="340"/>
      <c r="D330" s="340"/>
      <c r="E330" s="340"/>
      <c r="F330" s="340"/>
      <c r="G330" s="340"/>
      <c r="H330" s="340"/>
      <c r="I330" s="340"/>
      <c r="J330" s="340"/>
      <c r="K330" s="340"/>
      <c r="L330" s="340"/>
      <c r="M330" s="340"/>
      <c r="N330" s="340"/>
      <c r="O330" s="340"/>
      <c r="P330" s="340"/>
      <c r="Q330" s="340"/>
      <c r="R330" s="340"/>
      <c r="S330" s="340"/>
      <c r="T330" s="340"/>
      <c r="U330" s="340"/>
      <c r="V330" s="340"/>
      <c r="W330" s="340"/>
      <c r="X330" s="340"/>
      <c r="Y330" s="340"/>
      <c r="Z330" s="340"/>
      <c r="AA330" s="340"/>
      <c r="AB330" s="340"/>
      <c r="AC330" s="340"/>
      <c r="AD330" s="340"/>
      <c r="AE330" s="340"/>
      <c r="AF330" s="340"/>
      <c r="AG330" s="340"/>
      <c r="AH330" s="340"/>
      <c r="AI330" s="340"/>
      <c r="AJ330" s="340"/>
      <c r="AK330" s="340"/>
      <c r="AL330" s="340"/>
      <c r="AM330" s="340"/>
      <c r="AN330" s="340"/>
      <c r="AO330" s="340"/>
      <c r="AP330" s="340"/>
      <c r="AQ330" s="340"/>
      <c r="AR330" s="340"/>
      <c r="AS330" s="340"/>
      <c r="AT330" s="340"/>
      <c r="AU330" s="340"/>
      <c r="AV330" s="340"/>
      <c r="AW330" s="340"/>
      <c r="AX330" s="340"/>
      <c r="AY330" s="340"/>
      <c r="AZ330" s="340"/>
      <c r="BA330" s="340"/>
      <c r="BB330" s="340"/>
      <c r="BC330" s="340"/>
      <c r="BD330" s="340"/>
    </row>
    <row r="331" spans="3:56">
      <c r="C331" s="340"/>
      <c r="D331" s="340"/>
      <c r="E331" s="340"/>
      <c r="F331" s="340"/>
      <c r="G331" s="340"/>
      <c r="H331" s="340"/>
      <c r="I331" s="340"/>
      <c r="J331" s="340"/>
      <c r="K331" s="340"/>
      <c r="L331" s="340"/>
      <c r="M331" s="340"/>
      <c r="N331" s="340"/>
      <c r="O331" s="340"/>
      <c r="P331" s="340"/>
      <c r="Q331" s="340"/>
      <c r="R331" s="340"/>
      <c r="S331" s="340"/>
      <c r="T331" s="340"/>
      <c r="U331" s="340"/>
      <c r="V331" s="340"/>
      <c r="W331" s="340"/>
      <c r="X331" s="340"/>
      <c r="Y331" s="340"/>
      <c r="Z331" s="340"/>
      <c r="AA331" s="340"/>
      <c r="AB331" s="340"/>
      <c r="AC331" s="340"/>
      <c r="AD331" s="340"/>
      <c r="AE331" s="340"/>
      <c r="AF331" s="340"/>
      <c r="AG331" s="340"/>
      <c r="AH331" s="340"/>
      <c r="AI331" s="340"/>
      <c r="AJ331" s="340"/>
      <c r="AK331" s="340"/>
      <c r="AL331" s="340"/>
      <c r="AM331" s="340"/>
      <c r="AN331" s="340"/>
      <c r="AO331" s="340"/>
      <c r="AP331" s="340"/>
      <c r="AQ331" s="340"/>
      <c r="AR331" s="340"/>
      <c r="AS331" s="340"/>
      <c r="AT331" s="340"/>
      <c r="AU331" s="340"/>
      <c r="AV331" s="340"/>
      <c r="AW331" s="340"/>
      <c r="AX331" s="340"/>
      <c r="AY331" s="340"/>
      <c r="AZ331" s="340"/>
      <c r="BA331" s="340"/>
      <c r="BB331" s="340"/>
      <c r="BC331" s="340"/>
      <c r="BD331" s="340"/>
    </row>
    <row r="332" spans="3:56">
      <c r="C332" s="340"/>
      <c r="D332" s="340"/>
      <c r="E332" s="340"/>
      <c r="F332" s="340"/>
      <c r="G332" s="340"/>
      <c r="H332" s="340"/>
      <c r="I332" s="340"/>
      <c r="J332" s="340"/>
      <c r="K332" s="340"/>
      <c r="L332" s="340"/>
      <c r="M332" s="340"/>
      <c r="N332" s="340"/>
      <c r="O332" s="340"/>
      <c r="P332" s="340"/>
      <c r="Q332" s="340"/>
      <c r="R332" s="340"/>
      <c r="S332" s="340"/>
      <c r="T332" s="340"/>
      <c r="U332" s="340"/>
      <c r="V332" s="340"/>
      <c r="W332" s="340"/>
      <c r="X332" s="340"/>
      <c r="Y332" s="340"/>
      <c r="Z332" s="340"/>
      <c r="AA332" s="340"/>
      <c r="AB332" s="340"/>
      <c r="AC332" s="340"/>
      <c r="AD332" s="340"/>
      <c r="AE332" s="340"/>
      <c r="AF332" s="340"/>
      <c r="AG332" s="340"/>
      <c r="AH332" s="340"/>
      <c r="AI332" s="340"/>
      <c r="AJ332" s="340"/>
      <c r="AK332" s="340"/>
      <c r="AL332" s="340"/>
      <c r="AM332" s="340"/>
      <c r="AN332" s="340"/>
      <c r="AO332" s="340"/>
      <c r="AP332" s="340"/>
      <c r="AQ332" s="340"/>
      <c r="AR332" s="340"/>
      <c r="AS332" s="340"/>
      <c r="AT332" s="340"/>
      <c r="AU332" s="340"/>
      <c r="AV332" s="340"/>
      <c r="AW332" s="340"/>
      <c r="AX332" s="340"/>
      <c r="AY332" s="340"/>
      <c r="AZ332" s="340"/>
      <c r="BA332" s="340"/>
      <c r="BB332" s="340"/>
      <c r="BC332" s="340"/>
      <c r="BD332" s="340"/>
    </row>
    <row r="333" spans="3:56">
      <c r="C333" s="340"/>
      <c r="D333" s="340"/>
      <c r="E333" s="340"/>
      <c r="F333" s="340"/>
      <c r="G333" s="340"/>
      <c r="H333" s="340"/>
      <c r="I333" s="340"/>
      <c r="J333" s="340"/>
      <c r="K333" s="340"/>
      <c r="L333" s="340"/>
      <c r="M333" s="340"/>
      <c r="N333" s="340"/>
      <c r="O333" s="340"/>
      <c r="P333" s="340"/>
      <c r="Q333" s="340"/>
      <c r="R333" s="340"/>
      <c r="S333" s="340"/>
      <c r="T333" s="340"/>
      <c r="U333" s="340"/>
      <c r="V333" s="340"/>
      <c r="W333" s="340"/>
      <c r="X333" s="340"/>
      <c r="Y333" s="340"/>
      <c r="Z333" s="340"/>
      <c r="AA333" s="340"/>
      <c r="AB333" s="340"/>
      <c r="AC333" s="340"/>
      <c r="AD333" s="340"/>
      <c r="AE333" s="340"/>
      <c r="AF333" s="340"/>
      <c r="AG333" s="340"/>
      <c r="AH333" s="340"/>
      <c r="AI333" s="340"/>
      <c r="AJ333" s="340"/>
      <c r="AK333" s="340"/>
      <c r="AL333" s="340"/>
      <c r="AM333" s="340"/>
      <c r="AN333" s="340"/>
      <c r="AO333" s="340"/>
      <c r="AP333" s="340"/>
      <c r="AQ333" s="340"/>
      <c r="AR333" s="340"/>
      <c r="AS333" s="340"/>
      <c r="AT333" s="340"/>
      <c r="AU333" s="340"/>
      <c r="AV333" s="340"/>
      <c r="AW333" s="340"/>
      <c r="AX333" s="340"/>
      <c r="AY333" s="340"/>
      <c r="AZ333" s="340"/>
      <c r="BA333" s="340"/>
      <c r="BB333" s="340"/>
      <c r="BC333" s="340"/>
      <c r="BD333" s="340"/>
    </row>
    <row r="334" spans="3:56">
      <c r="C334" s="340"/>
      <c r="D334" s="340"/>
      <c r="E334" s="340"/>
      <c r="F334" s="340"/>
      <c r="G334" s="340"/>
      <c r="H334" s="340"/>
      <c r="I334" s="340"/>
      <c r="J334" s="340"/>
      <c r="K334" s="340"/>
      <c r="L334" s="340"/>
      <c r="M334" s="340"/>
      <c r="N334" s="340"/>
      <c r="O334" s="340"/>
      <c r="P334" s="340"/>
      <c r="Q334" s="340"/>
      <c r="R334" s="340"/>
      <c r="S334" s="340"/>
      <c r="T334" s="340"/>
      <c r="U334" s="340"/>
      <c r="V334" s="340"/>
      <c r="W334" s="340"/>
      <c r="X334" s="340"/>
      <c r="Y334" s="340"/>
      <c r="Z334" s="340"/>
      <c r="AA334" s="340"/>
      <c r="AB334" s="340"/>
      <c r="AC334" s="340"/>
      <c r="AD334" s="340"/>
      <c r="AE334" s="340"/>
      <c r="AF334" s="340"/>
      <c r="AG334" s="340"/>
      <c r="AH334" s="340"/>
      <c r="AI334" s="340"/>
      <c r="AJ334" s="340"/>
      <c r="AK334" s="340"/>
      <c r="AL334" s="340"/>
      <c r="AM334" s="340"/>
      <c r="AN334" s="340"/>
      <c r="AO334" s="340"/>
      <c r="AP334" s="340"/>
      <c r="AQ334" s="340"/>
      <c r="AR334" s="340"/>
      <c r="AS334" s="340"/>
      <c r="AT334" s="340"/>
      <c r="AU334" s="340"/>
      <c r="AV334" s="340"/>
      <c r="AW334" s="340"/>
      <c r="AX334" s="340"/>
      <c r="AY334" s="340"/>
      <c r="AZ334" s="340"/>
      <c r="BA334" s="340"/>
      <c r="BB334" s="340"/>
      <c r="BC334" s="340"/>
      <c r="BD334" s="340"/>
    </row>
    <row r="335" spans="3:56">
      <c r="C335" s="340"/>
      <c r="D335" s="340"/>
      <c r="E335" s="340"/>
      <c r="F335" s="340"/>
      <c r="G335" s="340"/>
      <c r="H335" s="340"/>
      <c r="I335" s="340"/>
      <c r="J335" s="340"/>
      <c r="K335" s="340"/>
      <c r="L335" s="340"/>
      <c r="M335" s="340"/>
      <c r="N335" s="340"/>
      <c r="O335" s="340"/>
      <c r="P335" s="340"/>
      <c r="Q335" s="340"/>
      <c r="R335" s="340"/>
      <c r="S335" s="340"/>
      <c r="T335" s="340"/>
      <c r="U335" s="340"/>
      <c r="V335" s="340"/>
      <c r="W335" s="340"/>
      <c r="X335" s="340"/>
      <c r="Y335" s="340"/>
      <c r="Z335" s="340"/>
      <c r="AA335" s="340"/>
      <c r="AB335" s="340"/>
      <c r="AC335" s="340"/>
      <c r="AD335" s="340"/>
      <c r="AE335" s="340"/>
      <c r="AF335" s="340"/>
      <c r="AG335" s="340"/>
      <c r="AH335" s="340"/>
      <c r="AI335" s="340"/>
      <c r="AJ335" s="340"/>
      <c r="AK335" s="340"/>
      <c r="AL335" s="340"/>
      <c r="AM335" s="340"/>
      <c r="AN335" s="340"/>
      <c r="AO335" s="340"/>
      <c r="AP335" s="340"/>
      <c r="AQ335" s="340"/>
      <c r="AR335" s="340"/>
      <c r="AS335" s="340"/>
      <c r="AT335" s="340"/>
      <c r="AU335" s="340"/>
      <c r="AV335" s="340"/>
      <c r="AW335" s="340"/>
      <c r="AX335" s="340"/>
      <c r="AY335" s="340"/>
      <c r="AZ335" s="340"/>
      <c r="BA335" s="340"/>
      <c r="BB335" s="340"/>
      <c r="BC335" s="340"/>
      <c r="BD335" s="340"/>
    </row>
    <row r="336" spans="3:56">
      <c r="C336" s="340"/>
      <c r="D336" s="340"/>
      <c r="E336" s="340"/>
      <c r="F336" s="340"/>
      <c r="G336" s="340"/>
      <c r="H336" s="340"/>
      <c r="I336" s="340"/>
      <c r="J336" s="340"/>
      <c r="K336" s="340"/>
      <c r="L336" s="340"/>
      <c r="M336" s="340"/>
      <c r="N336" s="340"/>
      <c r="O336" s="340"/>
      <c r="P336" s="340"/>
      <c r="Q336" s="340"/>
      <c r="R336" s="340"/>
      <c r="S336" s="340"/>
      <c r="T336" s="340"/>
      <c r="U336" s="340"/>
      <c r="V336" s="340"/>
      <c r="W336" s="340"/>
      <c r="X336" s="340"/>
      <c r="Y336" s="340"/>
      <c r="Z336" s="340"/>
      <c r="AA336" s="340"/>
      <c r="AB336" s="340"/>
      <c r="AC336" s="340"/>
      <c r="AD336" s="340"/>
      <c r="AE336" s="340"/>
      <c r="AF336" s="340"/>
      <c r="AG336" s="340"/>
      <c r="AH336" s="340"/>
      <c r="AI336" s="340"/>
      <c r="AJ336" s="340"/>
      <c r="AK336" s="340"/>
      <c r="AL336" s="340"/>
      <c r="AM336" s="340"/>
      <c r="AN336" s="340"/>
      <c r="AO336" s="340"/>
      <c r="AP336" s="340"/>
      <c r="AQ336" s="340"/>
      <c r="AR336" s="340"/>
      <c r="AS336" s="340"/>
      <c r="AT336" s="340"/>
      <c r="AU336" s="340"/>
      <c r="AV336" s="340"/>
      <c r="AW336" s="340"/>
      <c r="AX336" s="340"/>
      <c r="AY336" s="340"/>
      <c r="AZ336" s="340"/>
      <c r="BA336" s="340"/>
      <c r="BB336" s="340"/>
      <c r="BC336" s="340"/>
      <c r="BD336" s="340"/>
    </row>
    <row r="337" spans="3:56">
      <c r="C337" s="340"/>
      <c r="D337" s="340"/>
      <c r="E337" s="340"/>
      <c r="F337" s="340"/>
      <c r="G337" s="340"/>
      <c r="H337" s="340"/>
      <c r="I337" s="340"/>
      <c r="J337" s="340"/>
      <c r="K337" s="340"/>
      <c r="L337" s="340"/>
      <c r="M337" s="340"/>
      <c r="N337" s="340"/>
      <c r="O337" s="340"/>
      <c r="P337" s="340"/>
      <c r="Q337" s="340"/>
      <c r="R337" s="340"/>
      <c r="S337" s="340"/>
      <c r="T337" s="340"/>
      <c r="U337" s="340"/>
      <c r="V337" s="340"/>
      <c r="W337" s="340"/>
      <c r="X337" s="340"/>
      <c r="Y337" s="340"/>
      <c r="Z337" s="340"/>
      <c r="AA337" s="340"/>
      <c r="AB337" s="340"/>
      <c r="AC337" s="340"/>
      <c r="AD337" s="340"/>
      <c r="AE337" s="340"/>
      <c r="AF337" s="340"/>
      <c r="AG337" s="340"/>
      <c r="AH337" s="340"/>
      <c r="AI337" s="340"/>
      <c r="AJ337" s="340"/>
      <c r="AK337" s="340"/>
      <c r="AL337" s="340"/>
      <c r="AM337" s="340"/>
      <c r="AN337" s="340"/>
      <c r="AO337" s="340"/>
      <c r="AP337" s="340"/>
      <c r="AQ337" s="340"/>
      <c r="AR337" s="340"/>
      <c r="AS337" s="340"/>
      <c r="AT337" s="340"/>
      <c r="AU337" s="340"/>
      <c r="AV337" s="340"/>
      <c r="AW337" s="340"/>
      <c r="AX337" s="340"/>
      <c r="AY337" s="340"/>
      <c r="AZ337" s="340"/>
      <c r="BA337" s="340"/>
      <c r="BB337" s="340"/>
      <c r="BC337" s="340"/>
      <c r="BD337" s="340"/>
    </row>
    <row r="338" spans="3:56">
      <c r="C338" s="340"/>
      <c r="D338" s="340"/>
      <c r="E338" s="340"/>
      <c r="F338" s="340"/>
      <c r="G338" s="340"/>
      <c r="H338" s="340"/>
      <c r="I338" s="340"/>
      <c r="J338" s="340"/>
      <c r="K338" s="340"/>
      <c r="L338" s="340"/>
      <c r="M338" s="340"/>
      <c r="N338" s="340"/>
      <c r="O338" s="340"/>
      <c r="P338" s="340"/>
      <c r="Q338" s="340"/>
      <c r="R338" s="340"/>
      <c r="S338" s="340"/>
      <c r="T338" s="340"/>
      <c r="U338" s="340"/>
      <c r="V338" s="340"/>
      <c r="W338" s="340"/>
      <c r="X338" s="340"/>
      <c r="Y338" s="340"/>
      <c r="Z338" s="340"/>
      <c r="AA338" s="340"/>
      <c r="AB338" s="340"/>
      <c r="AC338" s="340"/>
      <c r="AD338" s="340"/>
      <c r="AE338" s="340"/>
      <c r="AF338" s="340"/>
      <c r="AG338" s="340"/>
      <c r="AH338" s="340"/>
      <c r="AI338" s="340"/>
      <c r="AJ338" s="340"/>
      <c r="AK338" s="340"/>
      <c r="AL338" s="340"/>
      <c r="AM338" s="340"/>
      <c r="AN338" s="340"/>
      <c r="AO338" s="340"/>
      <c r="AP338" s="340"/>
      <c r="AQ338" s="340"/>
      <c r="AR338" s="340"/>
      <c r="AS338" s="340"/>
      <c r="AT338" s="340"/>
      <c r="AU338" s="340"/>
      <c r="AV338" s="340"/>
      <c r="AW338" s="340"/>
      <c r="AX338" s="340"/>
      <c r="AY338" s="340"/>
      <c r="AZ338" s="340"/>
      <c r="BA338" s="340"/>
      <c r="BB338" s="340"/>
      <c r="BC338" s="340"/>
      <c r="BD338" s="340"/>
    </row>
    <row r="339" spans="3:56">
      <c r="C339" s="340"/>
      <c r="D339" s="340"/>
      <c r="E339" s="340"/>
      <c r="F339" s="340"/>
      <c r="G339" s="340"/>
      <c r="H339" s="340"/>
      <c r="I339" s="340"/>
      <c r="J339" s="340"/>
      <c r="K339" s="340"/>
      <c r="L339" s="340"/>
      <c r="M339" s="340"/>
      <c r="N339" s="340"/>
      <c r="O339" s="340"/>
      <c r="P339" s="340"/>
      <c r="Q339" s="340"/>
      <c r="R339" s="340"/>
      <c r="S339" s="340"/>
      <c r="T339" s="340"/>
      <c r="U339" s="340"/>
      <c r="V339" s="340"/>
      <c r="W339" s="340"/>
      <c r="X339" s="340"/>
      <c r="Y339" s="340"/>
      <c r="Z339" s="340"/>
      <c r="AA339" s="340"/>
      <c r="AB339" s="340"/>
      <c r="AC339" s="340"/>
      <c r="AD339" s="340"/>
      <c r="AE339" s="340"/>
      <c r="AF339" s="340"/>
      <c r="AG339" s="340"/>
      <c r="AH339" s="340"/>
      <c r="AI339" s="340"/>
      <c r="AJ339" s="340"/>
      <c r="AK339" s="340"/>
      <c r="AL339" s="340"/>
      <c r="AM339" s="340"/>
      <c r="AN339" s="340"/>
      <c r="AO339" s="340"/>
      <c r="AP339" s="340"/>
      <c r="AQ339" s="340"/>
      <c r="AR339" s="340"/>
      <c r="AS339" s="340"/>
      <c r="AT339" s="340"/>
      <c r="AU339" s="340"/>
      <c r="AV339" s="340"/>
      <c r="AW339" s="340"/>
      <c r="AX339" s="340"/>
      <c r="AY339" s="340"/>
      <c r="AZ339" s="340"/>
      <c r="BA339" s="340"/>
      <c r="BB339" s="340"/>
      <c r="BC339" s="340"/>
      <c r="BD339" s="340"/>
    </row>
    <row r="340" spans="3:56">
      <c r="C340" s="340"/>
      <c r="D340" s="340"/>
      <c r="E340" s="340"/>
      <c r="F340" s="340"/>
      <c r="G340" s="340"/>
      <c r="H340" s="340"/>
      <c r="I340" s="340"/>
      <c r="J340" s="340"/>
      <c r="K340" s="340"/>
      <c r="L340" s="340"/>
      <c r="M340" s="340"/>
      <c r="N340" s="340"/>
      <c r="O340" s="340"/>
      <c r="P340" s="340"/>
      <c r="Q340" s="340"/>
      <c r="R340" s="340"/>
      <c r="S340" s="340"/>
      <c r="T340" s="340"/>
      <c r="U340" s="340"/>
      <c r="V340" s="340"/>
      <c r="W340" s="340"/>
      <c r="X340" s="340"/>
      <c r="Y340" s="340"/>
      <c r="Z340" s="340"/>
      <c r="AA340" s="340"/>
      <c r="AB340" s="340"/>
      <c r="AC340" s="340"/>
      <c r="AD340" s="340"/>
      <c r="AE340" s="340"/>
      <c r="AF340" s="340"/>
      <c r="AG340" s="340"/>
      <c r="AH340" s="340"/>
      <c r="AI340" s="340"/>
      <c r="AJ340" s="340"/>
      <c r="AK340" s="340"/>
      <c r="AL340" s="340"/>
      <c r="AM340" s="340"/>
      <c r="AN340" s="340"/>
      <c r="AO340" s="340"/>
      <c r="AP340" s="340"/>
      <c r="AQ340" s="340"/>
      <c r="AR340" s="340"/>
      <c r="AS340" s="340"/>
      <c r="AT340" s="340"/>
      <c r="AU340" s="340"/>
      <c r="AV340" s="340"/>
      <c r="AW340" s="340"/>
      <c r="AX340" s="340"/>
      <c r="AY340" s="340"/>
      <c r="AZ340" s="340"/>
      <c r="BA340" s="340"/>
      <c r="BB340" s="340"/>
      <c r="BC340" s="340"/>
      <c r="BD340" s="340"/>
    </row>
    <row r="341" spans="3:56">
      <c r="C341" s="340"/>
      <c r="D341" s="340"/>
      <c r="E341" s="340"/>
      <c r="F341" s="340"/>
      <c r="G341" s="340"/>
      <c r="H341" s="340"/>
      <c r="I341" s="340"/>
      <c r="J341" s="340"/>
      <c r="K341" s="340"/>
      <c r="L341" s="340"/>
      <c r="M341" s="340"/>
      <c r="N341" s="340"/>
      <c r="O341" s="340"/>
      <c r="P341" s="340"/>
      <c r="Q341" s="340"/>
      <c r="R341" s="340"/>
      <c r="S341" s="340"/>
      <c r="T341" s="340"/>
      <c r="U341" s="340"/>
      <c r="V341" s="340"/>
      <c r="W341" s="340"/>
      <c r="X341" s="340"/>
      <c r="Y341" s="340"/>
      <c r="Z341" s="340"/>
      <c r="AA341" s="340"/>
      <c r="AB341" s="340"/>
      <c r="AC341" s="340"/>
      <c r="AD341" s="340"/>
      <c r="AE341" s="340"/>
      <c r="AF341" s="340"/>
      <c r="AG341" s="340"/>
      <c r="AH341" s="340"/>
      <c r="AI341" s="340"/>
      <c r="AJ341" s="340"/>
      <c r="AK341" s="340"/>
      <c r="AL341" s="340"/>
      <c r="AM341" s="340"/>
      <c r="AN341" s="340"/>
      <c r="AO341" s="340"/>
      <c r="AP341" s="340"/>
      <c r="AQ341" s="340"/>
      <c r="AR341" s="340"/>
      <c r="AS341" s="340"/>
      <c r="AT341" s="340"/>
      <c r="AU341" s="340"/>
      <c r="AV341" s="340"/>
      <c r="AW341" s="340"/>
      <c r="AX341" s="340"/>
      <c r="AY341" s="340"/>
      <c r="AZ341" s="340"/>
      <c r="BA341" s="340"/>
      <c r="BB341" s="340"/>
      <c r="BC341" s="340"/>
      <c r="BD341" s="340"/>
    </row>
    <row r="342" spans="3:56">
      <c r="C342" s="340"/>
      <c r="D342" s="340"/>
      <c r="E342" s="340"/>
      <c r="F342" s="340"/>
      <c r="G342" s="340"/>
      <c r="H342" s="340"/>
      <c r="I342" s="340"/>
      <c r="J342" s="340"/>
      <c r="K342" s="340"/>
      <c r="L342" s="340"/>
      <c r="M342" s="340"/>
      <c r="N342" s="340"/>
      <c r="O342" s="340"/>
      <c r="P342" s="340"/>
      <c r="Q342" s="340"/>
      <c r="R342" s="340"/>
      <c r="S342" s="340"/>
      <c r="T342" s="340"/>
      <c r="U342" s="340"/>
      <c r="V342" s="340"/>
      <c r="W342" s="340"/>
      <c r="X342" s="340"/>
      <c r="Y342" s="340"/>
      <c r="Z342" s="340"/>
      <c r="AA342" s="340"/>
      <c r="AB342" s="340"/>
      <c r="AC342" s="340"/>
      <c r="AD342" s="340"/>
      <c r="AE342" s="340"/>
      <c r="AF342" s="340"/>
      <c r="AG342" s="340"/>
      <c r="AH342" s="340"/>
      <c r="AI342" s="340"/>
      <c r="AJ342" s="340"/>
      <c r="AK342" s="340"/>
      <c r="AL342" s="340"/>
      <c r="AM342" s="340"/>
      <c r="AN342" s="340"/>
      <c r="AO342" s="340"/>
      <c r="AP342" s="340"/>
      <c r="AQ342" s="340"/>
      <c r="AR342" s="340"/>
      <c r="AS342" s="340"/>
      <c r="AT342" s="340"/>
      <c r="AU342" s="340"/>
      <c r="AV342" s="340"/>
      <c r="AW342" s="340"/>
      <c r="AX342" s="340"/>
      <c r="AY342" s="340"/>
      <c r="AZ342" s="340"/>
      <c r="BA342" s="340"/>
      <c r="BB342" s="340"/>
      <c r="BC342" s="340"/>
      <c r="BD342" s="340"/>
    </row>
    <row r="343" spans="3:56">
      <c r="C343" s="340"/>
      <c r="D343" s="340"/>
      <c r="E343" s="340"/>
      <c r="F343" s="340"/>
      <c r="G343" s="340"/>
      <c r="H343" s="340"/>
      <c r="I343" s="340"/>
      <c r="J343" s="340"/>
      <c r="K343" s="340"/>
      <c r="L343" s="340"/>
      <c r="M343" s="340"/>
      <c r="N343" s="340"/>
      <c r="O343" s="340"/>
      <c r="P343" s="340"/>
      <c r="Q343" s="340"/>
      <c r="R343" s="340"/>
      <c r="S343" s="340"/>
      <c r="T343" s="340"/>
      <c r="U343" s="340"/>
      <c r="V343" s="340"/>
      <c r="W343" s="340"/>
      <c r="X343" s="340"/>
      <c r="Y343" s="340"/>
      <c r="Z343" s="340"/>
      <c r="AA343" s="340"/>
      <c r="AB343" s="340"/>
      <c r="AC343" s="340"/>
      <c r="AD343" s="340"/>
      <c r="AE343" s="340"/>
      <c r="AF343" s="340"/>
      <c r="AG343" s="340"/>
      <c r="AH343" s="340"/>
      <c r="AI343" s="340"/>
      <c r="AJ343" s="340"/>
      <c r="AK343" s="340"/>
      <c r="AL343" s="340"/>
      <c r="AM343" s="340"/>
      <c r="AN343" s="340"/>
      <c r="AO343" s="340"/>
      <c r="AP343" s="340"/>
      <c r="AQ343" s="340"/>
      <c r="AR343" s="340"/>
      <c r="AS343" s="340"/>
      <c r="AT343" s="340"/>
      <c r="AU343" s="340"/>
      <c r="AV343" s="340"/>
      <c r="AW343" s="340"/>
      <c r="AX343" s="340"/>
      <c r="AY343" s="340"/>
      <c r="AZ343" s="340"/>
      <c r="BA343" s="340"/>
      <c r="BB343" s="340"/>
      <c r="BC343" s="340"/>
      <c r="BD343" s="340"/>
    </row>
    <row r="344" spans="3:56">
      <c r="C344" s="340"/>
      <c r="D344" s="340"/>
      <c r="E344" s="340"/>
      <c r="F344" s="340"/>
      <c r="G344" s="340"/>
      <c r="H344" s="340"/>
      <c r="I344" s="340"/>
      <c r="J344" s="340"/>
      <c r="K344" s="340"/>
      <c r="L344" s="340"/>
      <c r="M344" s="340"/>
      <c r="N344" s="340"/>
      <c r="O344" s="340"/>
      <c r="P344" s="340"/>
      <c r="Q344" s="340"/>
      <c r="R344" s="340"/>
      <c r="S344" s="340"/>
      <c r="T344" s="340"/>
      <c r="U344" s="340"/>
      <c r="V344" s="340"/>
      <c r="W344" s="340"/>
      <c r="X344" s="340"/>
      <c r="Y344" s="340"/>
      <c r="Z344" s="340"/>
      <c r="AA344" s="340"/>
      <c r="AB344" s="340"/>
      <c r="AC344" s="340"/>
      <c r="AD344" s="340"/>
      <c r="AE344" s="340"/>
      <c r="AF344" s="340"/>
      <c r="AG344" s="340"/>
      <c r="AH344" s="340"/>
      <c r="AI344" s="340"/>
      <c r="AJ344" s="340"/>
      <c r="AK344" s="340"/>
      <c r="AL344" s="340"/>
      <c r="AM344" s="340"/>
      <c r="AN344" s="340"/>
      <c r="AO344" s="340"/>
      <c r="AP344" s="340"/>
      <c r="AQ344" s="340"/>
      <c r="AR344" s="340"/>
      <c r="AS344" s="340"/>
      <c r="AT344" s="340"/>
      <c r="AU344" s="340"/>
      <c r="AV344" s="340"/>
      <c r="AW344" s="340"/>
      <c r="AX344" s="340"/>
      <c r="AY344" s="340"/>
      <c r="AZ344" s="340"/>
      <c r="BA344" s="340"/>
      <c r="BB344" s="340"/>
      <c r="BC344" s="340"/>
      <c r="BD344" s="340"/>
    </row>
    <row r="345" spans="3:56">
      <c r="C345" s="340"/>
      <c r="D345" s="340"/>
      <c r="E345" s="340"/>
      <c r="F345" s="340"/>
      <c r="G345" s="340"/>
      <c r="H345" s="340"/>
      <c r="I345" s="340"/>
      <c r="J345" s="340"/>
      <c r="K345" s="340"/>
      <c r="L345" s="340"/>
      <c r="M345" s="340"/>
      <c r="N345" s="340"/>
      <c r="O345" s="340"/>
      <c r="P345" s="340"/>
      <c r="Q345" s="340"/>
      <c r="R345" s="340"/>
      <c r="S345" s="340"/>
      <c r="T345" s="340"/>
      <c r="U345" s="340"/>
      <c r="V345" s="340"/>
      <c r="W345" s="340"/>
      <c r="X345" s="340"/>
      <c r="Y345" s="340"/>
      <c r="Z345" s="340"/>
      <c r="AA345" s="340"/>
      <c r="AB345" s="340"/>
      <c r="AC345" s="340"/>
      <c r="AD345" s="340"/>
      <c r="AE345" s="340"/>
      <c r="AF345" s="340"/>
      <c r="AG345" s="340"/>
      <c r="AH345" s="340"/>
      <c r="AI345" s="340"/>
      <c r="AJ345" s="340"/>
      <c r="AK345" s="340"/>
      <c r="AL345" s="340"/>
      <c r="AM345" s="340"/>
      <c r="AN345" s="340"/>
      <c r="AO345" s="340"/>
      <c r="AP345" s="340"/>
      <c r="AQ345" s="340"/>
      <c r="AR345" s="340"/>
      <c r="AS345" s="340"/>
      <c r="AT345" s="340"/>
      <c r="AU345" s="340"/>
      <c r="AV345" s="340"/>
      <c r="AW345" s="340"/>
      <c r="AX345" s="340"/>
      <c r="AY345" s="340"/>
      <c r="AZ345" s="340"/>
      <c r="BA345" s="340"/>
      <c r="BB345" s="340"/>
      <c r="BC345" s="340"/>
      <c r="BD345" s="340"/>
    </row>
    <row r="346" spans="3:56">
      <c r="C346" s="340"/>
      <c r="D346" s="340"/>
      <c r="E346" s="340"/>
      <c r="F346" s="340"/>
      <c r="G346" s="340"/>
      <c r="H346" s="340"/>
      <c r="I346" s="340"/>
      <c r="J346" s="340"/>
      <c r="K346" s="340"/>
      <c r="L346" s="340"/>
      <c r="M346" s="340"/>
      <c r="N346" s="340"/>
      <c r="O346" s="340"/>
      <c r="P346" s="340"/>
      <c r="Q346" s="340"/>
      <c r="R346" s="340"/>
      <c r="S346" s="340"/>
      <c r="T346" s="340"/>
      <c r="U346" s="340"/>
      <c r="V346" s="340"/>
      <c r="W346" s="340"/>
      <c r="X346" s="340"/>
      <c r="Y346" s="340"/>
      <c r="Z346" s="340"/>
      <c r="AA346" s="340"/>
      <c r="AB346" s="340"/>
      <c r="AC346" s="340"/>
      <c r="AD346" s="340"/>
      <c r="AE346" s="340"/>
      <c r="AF346" s="340"/>
      <c r="AG346" s="340"/>
      <c r="AH346" s="340"/>
      <c r="AI346" s="340"/>
      <c r="AJ346" s="340"/>
      <c r="AK346" s="340"/>
      <c r="AL346" s="340"/>
      <c r="AM346" s="340"/>
      <c r="AN346" s="340"/>
      <c r="AO346" s="340"/>
      <c r="AP346" s="340"/>
      <c r="AQ346" s="340"/>
      <c r="AR346" s="340"/>
      <c r="AS346" s="340"/>
      <c r="AT346" s="340"/>
      <c r="AU346" s="340"/>
      <c r="AV346" s="340"/>
      <c r="AW346" s="340"/>
      <c r="AX346" s="340"/>
      <c r="AY346" s="340"/>
      <c r="AZ346" s="340"/>
      <c r="BA346" s="340"/>
      <c r="BB346" s="340"/>
      <c r="BC346" s="340"/>
      <c r="BD346" s="340"/>
    </row>
    <row r="347" spans="3:56">
      <c r="C347" s="340"/>
      <c r="D347" s="340"/>
      <c r="E347" s="340"/>
      <c r="F347" s="340"/>
      <c r="G347" s="340"/>
      <c r="H347" s="340"/>
      <c r="I347" s="340"/>
      <c r="J347" s="340"/>
      <c r="K347" s="340"/>
      <c r="L347" s="340"/>
      <c r="M347" s="340"/>
      <c r="N347" s="340"/>
      <c r="O347" s="340"/>
      <c r="P347" s="340"/>
      <c r="Q347" s="340"/>
      <c r="R347" s="340"/>
      <c r="S347" s="340"/>
      <c r="T347" s="340"/>
      <c r="U347" s="340"/>
      <c r="V347" s="340"/>
      <c r="W347" s="340"/>
      <c r="X347" s="340"/>
      <c r="Y347" s="340"/>
      <c r="Z347" s="340"/>
      <c r="AA347" s="340"/>
      <c r="AB347" s="340"/>
      <c r="AC347" s="340"/>
      <c r="AD347" s="340"/>
      <c r="AE347" s="340"/>
      <c r="AF347" s="340"/>
      <c r="AG347" s="340"/>
      <c r="AH347" s="340"/>
      <c r="AI347" s="340"/>
      <c r="AJ347" s="340"/>
      <c r="AK347" s="340"/>
      <c r="AL347" s="340"/>
      <c r="AM347" s="340"/>
      <c r="AN347" s="340"/>
      <c r="AO347" s="340"/>
      <c r="AP347" s="340"/>
      <c r="AQ347" s="340"/>
      <c r="AR347" s="340"/>
      <c r="AS347" s="340"/>
      <c r="AT347" s="340"/>
      <c r="AU347" s="340"/>
      <c r="AV347" s="340"/>
      <c r="AW347" s="340"/>
      <c r="AX347" s="340"/>
      <c r="AY347" s="340"/>
      <c r="AZ347" s="340"/>
      <c r="BA347" s="340"/>
      <c r="BB347" s="340"/>
      <c r="BC347" s="340"/>
      <c r="BD347" s="340"/>
    </row>
    <row r="348" spans="3:56">
      <c r="C348" s="340"/>
      <c r="D348" s="340"/>
      <c r="E348" s="340"/>
      <c r="F348" s="340"/>
      <c r="G348" s="340"/>
      <c r="H348" s="340"/>
      <c r="I348" s="340"/>
      <c r="J348" s="340"/>
      <c r="K348" s="340"/>
      <c r="L348" s="340"/>
      <c r="M348" s="340"/>
      <c r="N348" s="340"/>
      <c r="O348" s="340"/>
      <c r="P348" s="340"/>
      <c r="Q348" s="340"/>
      <c r="R348" s="340"/>
      <c r="S348" s="340"/>
      <c r="T348" s="340"/>
      <c r="U348" s="340"/>
      <c r="V348" s="340"/>
      <c r="W348" s="340"/>
      <c r="X348" s="340"/>
      <c r="Y348" s="340"/>
      <c r="Z348" s="340"/>
      <c r="AA348" s="340"/>
      <c r="AB348" s="340"/>
      <c r="AC348" s="340"/>
      <c r="AD348" s="340"/>
      <c r="AE348" s="340"/>
      <c r="AF348" s="340"/>
      <c r="AG348" s="340"/>
      <c r="AH348" s="340"/>
      <c r="AI348" s="340"/>
      <c r="AJ348" s="340"/>
      <c r="AK348" s="340"/>
      <c r="AL348" s="340"/>
      <c r="AM348" s="340"/>
      <c r="AN348" s="340"/>
      <c r="AO348" s="340"/>
      <c r="AP348" s="340"/>
      <c r="AQ348" s="340"/>
      <c r="AR348" s="340"/>
      <c r="AS348" s="340"/>
      <c r="AT348" s="340"/>
      <c r="AU348" s="340"/>
      <c r="AV348" s="340"/>
      <c r="AW348" s="340"/>
      <c r="AX348" s="340"/>
      <c r="AY348" s="340"/>
      <c r="AZ348" s="340"/>
      <c r="BA348" s="340"/>
      <c r="BB348" s="340"/>
      <c r="BC348" s="340"/>
      <c r="BD348" s="340"/>
    </row>
    <row r="349" spans="3:56">
      <c r="C349" s="340"/>
      <c r="D349" s="340"/>
      <c r="E349" s="340"/>
      <c r="F349" s="340"/>
      <c r="G349" s="340"/>
      <c r="H349" s="340"/>
      <c r="I349" s="340"/>
      <c r="J349" s="340"/>
      <c r="K349" s="340"/>
      <c r="L349" s="340"/>
      <c r="M349" s="340"/>
      <c r="N349" s="340"/>
      <c r="O349" s="340"/>
      <c r="P349" s="340"/>
      <c r="Q349" s="340"/>
      <c r="R349" s="340"/>
      <c r="S349" s="340"/>
      <c r="T349" s="340"/>
      <c r="U349" s="340"/>
      <c r="V349" s="340"/>
      <c r="W349" s="340"/>
      <c r="X349" s="340"/>
      <c r="Y349" s="340"/>
      <c r="Z349" s="340"/>
      <c r="AA349" s="340"/>
      <c r="AB349" s="340"/>
      <c r="AC349" s="340"/>
      <c r="AD349" s="340"/>
      <c r="AE349" s="340"/>
      <c r="AF349" s="340"/>
      <c r="AG349" s="340"/>
      <c r="AH349" s="340"/>
      <c r="AI349" s="340"/>
      <c r="AJ349" s="340"/>
      <c r="AK349" s="340"/>
      <c r="AL349" s="340"/>
      <c r="AM349" s="340"/>
      <c r="AN349" s="340"/>
      <c r="AO349" s="340"/>
      <c r="AP349" s="340"/>
      <c r="AQ349" s="340"/>
      <c r="AR349" s="340"/>
      <c r="AS349" s="340"/>
      <c r="AT349" s="340"/>
      <c r="AU349" s="340"/>
      <c r="AV349" s="340"/>
      <c r="AW349" s="340"/>
      <c r="AX349" s="340"/>
      <c r="AY349" s="340"/>
      <c r="AZ349" s="340"/>
      <c r="BA349" s="340"/>
      <c r="BB349" s="340"/>
      <c r="BC349" s="340"/>
      <c r="BD349" s="340"/>
    </row>
    <row r="350" spans="3:56">
      <c r="C350" s="340"/>
      <c r="D350" s="340"/>
      <c r="E350" s="340"/>
      <c r="F350" s="340"/>
      <c r="G350" s="340"/>
      <c r="H350" s="340"/>
      <c r="I350" s="340"/>
      <c r="J350" s="340"/>
      <c r="K350" s="340"/>
      <c r="L350" s="340"/>
      <c r="M350" s="340"/>
      <c r="N350" s="340"/>
      <c r="O350" s="340"/>
      <c r="P350" s="340"/>
      <c r="Q350" s="340"/>
      <c r="R350" s="340"/>
      <c r="S350" s="340"/>
      <c r="T350" s="340"/>
      <c r="U350" s="340"/>
      <c r="V350" s="340"/>
      <c r="W350" s="340"/>
      <c r="X350" s="340"/>
      <c r="Y350" s="340"/>
      <c r="Z350" s="340"/>
      <c r="AA350" s="340"/>
      <c r="AB350" s="340"/>
      <c r="AC350" s="340"/>
      <c r="AD350" s="340"/>
      <c r="AE350" s="340"/>
      <c r="AF350" s="340"/>
      <c r="AG350" s="340"/>
      <c r="AH350" s="340"/>
      <c r="AI350" s="340"/>
      <c r="AJ350" s="340"/>
      <c r="AK350" s="340"/>
      <c r="AL350" s="340"/>
      <c r="AM350" s="340"/>
      <c r="AN350" s="340"/>
      <c r="AO350" s="340"/>
      <c r="AP350" s="340"/>
      <c r="AQ350" s="340"/>
      <c r="AR350" s="340"/>
      <c r="AS350" s="340"/>
      <c r="AT350" s="340"/>
      <c r="AU350" s="340"/>
      <c r="AV350" s="340"/>
      <c r="AW350" s="340"/>
      <c r="AX350" s="340"/>
      <c r="AY350" s="340"/>
      <c r="AZ350" s="340"/>
      <c r="BA350" s="340"/>
      <c r="BB350" s="340"/>
      <c r="BC350" s="340"/>
      <c r="BD350" s="340"/>
    </row>
    <row r="351" spans="3:56">
      <c r="C351" s="340"/>
      <c r="D351" s="340"/>
      <c r="E351" s="340"/>
      <c r="F351" s="340"/>
      <c r="G351" s="340"/>
      <c r="H351" s="340"/>
      <c r="I351" s="340"/>
      <c r="J351" s="340"/>
      <c r="K351" s="340"/>
      <c r="L351" s="340"/>
      <c r="M351" s="340"/>
      <c r="N351" s="340"/>
      <c r="O351" s="340"/>
      <c r="P351" s="340"/>
      <c r="Q351" s="340"/>
      <c r="R351" s="340"/>
      <c r="S351" s="340"/>
      <c r="T351" s="340"/>
      <c r="U351" s="340"/>
      <c r="V351" s="340"/>
      <c r="W351" s="340"/>
      <c r="X351" s="340"/>
      <c r="Y351" s="340"/>
      <c r="Z351" s="340"/>
      <c r="AA351" s="340"/>
      <c r="AB351" s="340"/>
      <c r="AC351" s="340"/>
      <c r="AD351" s="340"/>
      <c r="AE351" s="340"/>
      <c r="AF351" s="340"/>
      <c r="AG351" s="340"/>
      <c r="AH351" s="340"/>
      <c r="AI351" s="340"/>
      <c r="AJ351" s="340"/>
      <c r="AK351" s="340"/>
      <c r="AL351" s="340"/>
      <c r="AM351" s="340"/>
      <c r="AN351" s="340"/>
      <c r="AO351" s="340"/>
      <c r="AP351" s="340"/>
      <c r="AQ351" s="340"/>
      <c r="AR351" s="340"/>
      <c r="AS351" s="340"/>
      <c r="AT351" s="340"/>
      <c r="AU351" s="340"/>
      <c r="AV351" s="340"/>
      <c r="AW351" s="340"/>
      <c r="AX351" s="340"/>
      <c r="AY351" s="340"/>
      <c r="AZ351" s="340"/>
      <c r="BA351" s="340"/>
      <c r="BB351" s="340"/>
      <c r="BC351" s="340"/>
      <c r="BD351" s="340"/>
    </row>
    <row r="352" spans="3:56">
      <c r="C352" s="340"/>
      <c r="D352" s="340"/>
      <c r="E352" s="340"/>
      <c r="F352" s="340"/>
      <c r="G352" s="340"/>
      <c r="H352" s="340"/>
      <c r="I352" s="340"/>
      <c r="J352" s="340"/>
      <c r="K352" s="340"/>
      <c r="L352" s="340"/>
      <c r="M352" s="340"/>
      <c r="N352" s="340"/>
      <c r="O352" s="340"/>
      <c r="P352" s="340"/>
      <c r="Q352" s="340"/>
      <c r="R352" s="340"/>
      <c r="S352" s="340"/>
      <c r="T352" s="340"/>
      <c r="U352" s="340"/>
      <c r="V352" s="340"/>
      <c r="W352" s="340"/>
      <c r="X352" s="340"/>
      <c r="Y352" s="340"/>
      <c r="Z352" s="340"/>
      <c r="AA352" s="340"/>
      <c r="AB352" s="340"/>
      <c r="AC352" s="340"/>
      <c r="AD352" s="340"/>
      <c r="AE352" s="340"/>
      <c r="AF352" s="340"/>
      <c r="AG352" s="340"/>
      <c r="AH352" s="340"/>
      <c r="AI352" s="340"/>
      <c r="AJ352" s="340"/>
      <c r="AK352" s="340"/>
      <c r="AL352" s="340"/>
      <c r="AM352" s="340"/>
      <c r="AN352" s="340"/>
      <c r="AO352" s="340"/>
      <c r="AP352" s="340"/>
      <c r="AQ352" s="340"/>
      <c r="AR352" s="340"/>
      <c r="AS352" s="340"/>
      <c r="AT352" s="340"/>
      <c r="AU352" s="340"/>
      <c r="AV352" s="340"/>
      <c r="AW352" s="340"/>
      <c r="AX352" s="340"/>
      <c r="AY352" s="340"/>
      <c r="AZ352" s="340"/>
      <c r="BA352" s="340"/>
      <c r="BB352" s="340"/>
      <c r="BC352" s="340"/>
      <c r="BD352" s="340"/>
    </row>
    <row r="353" spans="3:56">
      <c r="C353" s="340"/>
      <c r="D353" s="340"/>
      <c r="E353" s="340"/>
      <c r="F353" s="340"/>
      <c r="G353" s="340"/>
      <c r="H353" s="340"/>
      <c r="I353" s="340"/>
      <c r="J353" s="340"/>
      <c r="K353" s="340"/>
      <c r="L353" s="340"/>
      <c r="M353" s="340"/>
      <c r="N353" s="340"/>
      <c r="O353" s="340"/>
      <c r="P353" s="340"/>
      <c r="Q353" s="340"/>
      <c r="R353" s="340"/>
      <c r="S353" s="340"/>
      <c r="T353" s="340"/>
      <c r="U353" s="340"/>
      <c r="V353" s="340"/>
      <c r="W353" s="340"/>
      <c r="X353" s="340"/>
      <c r="Y353" s="340"/>
      <c r="Z353" s="340"/>
      <c r="AA353" s="340"/>
      <c r="AB353" s="340"/>
      <c r="AC353" s="340"/>
      <c r="AD353" s="340"/>
      <c r="AE353" s="340"/>
      <c r="AF353" s="340"/>
      <c r="AG353" s="340"/>
      <c r="AH353" s="340"/>
      <c r="AI353" s="340"/>
      <c r="AJ353" s="340"/>
      <c r="AK353" s="340"/>
      <c r="AL353" s="340"/>
      <c r="AM353" s="340"/>
      <c r="AN353" s="340"/>
      <c r="AO353" s="340"/>
      <c r="AP353" s="340"/>
      <c r="AQ353" s="340"/>
      <c r="AR353" s="340"/>
      <c r="AS353" s="340"/>
      <c r="AT353" s="340"/>
      <c r="AU353" s="340"/>
      <c r="AV353" s="340"/>
      <c r="AW353" s="340"/>
      <c r="AX353" s="340"/>
      <c r="AY353" s="340"/>
      <c r="AZ353" s="340"/>
      <c r="BA353" s="340"/>
      <c r="BB353" s="340"/>
      <c r="BC353" s="340"/>
      <c r="BD353" s="340"/>
    </row>
    <row r="354" spans="3:56">
      <c r="C354" s="340"/>
      <c r="D354" s="340"/>
      <c r="E354" s="340"/>
      <c r="F354" s="340"/>
      <c r="G354" s="340"/>
      <c r="H354" s="340"/>
      <c r="I354" s="340"/>
      <c r="J354" s="340"/>
      <c r="K354" s="340"/>
      <c r="L354" s="340"/>
      <c r="M354" s="340"/>
      <c r="N354" s="340"/>
      <c r="O354" s="340"/>
      <c r="P354" s="340"/>
      <c r="Q354" s="340"/>
      <c r="R354" s="340"/>
      <c r="S354" s="340"/>
      <c r="T354" s="340"/>
      <c r="U354" s="340"/>
      <c r="V354" s="340"/>
      <c r="W354" s="340"/>
      <c r="X354" s="340"/>
      <c r="Y354" s="340"/>
      <c r="Z354" s="340"/>
      <c r="AA354" s="340"/>
      <c r="AB354" s="340"/>
      <c r="AC354" s="340"/>
      <c r="AD354" s="340"/>
      <c r="AE354" s="340"/>
      <c r="AF354" s="340"/>
      <c r="AG354" s="340"/>
      <c r="AH354" s="340"/>
      <c r="AI354" s="340"/>
      <c r="AJ354" s="340"/>
      <c r="AK354" s="340"/>
      <c r="AL354" s="340"/>
      <c r="AM354" s="340"/>
      <c r="AN354" s="340"/>
      <c r="AO354" s="340"/>
      <c r="AP354" s="340"/>
      <c r="AQ354" s="340"/>
      <c r="AR354" s="340"/>
      <c r="AS354" s="340"/>
      <c r="AT354" s="340"/>
      <c r="AU354" s="340"/>
      <c r="AV354" s="340"/>
      <c r="AW354" s="340"/>
      <c r="AX354" s="340"/>
      <c r="AY354" s="340"/>
      <c r="AZ354" s="340"/>
      <c r="BA354" s="340"/>
      <c r="BB354" s="340"/>
      <c r="BC354" s="340"/>
      <c r="BD354" s="340"/>
    </row>
    <row r="355" spans="3:56">
      <c r="C355" s="340"/>
      <c r="D355" s="340"/>
      <c r="E355" s="340"/>
      <c r="F355" s="340"/>
      <c r="G355" s="340"/>
      <c r="H355" s="340"/>
      <c r="I355" s="340"/>
      <c r="J355" s="340"/>
      <c r="K355" s="340"/>
      <c r="L355" s="340"/>
      <c r="M355" s="340"/>
      <c r="N355" s="340"/>
      <c r="O355" s="340"/>
      <c r="P355" s="340"/>
      <c r="Q355" s="340"/>
      <c r="R355" s="340"/>
      <c r="S355" s="340"/>
      <c r="T355" s="340"/>
      <c r="U355" s="340"/>
      <c r="V355" s="340"/>
      <c r="W355" s="340"/>
      <c r="X355" s="340"/>
      <c r="Y355" s="340"/>
      <c r="Z355" s="340"/>
      <c r="AA355" s="340"/>
      <c r="AB355" s="340"/>
      <c r="AC355" s="340"/>
      <c r="AD355" s="340"/>
      <c r="AE355" s="340"/>
      <c r="AF355" s="340"/>
      <c r="AG355" s="340"/>
      <c r="AH355" s="340"/>
      <c r="AI355" s="340"/>
      <c r="AJ355" s="340"/>
      <c r="AK355" s="340"/>
      <c r="AL355" s="340"/>
      <c r="AM355" s="340"/>
      <c r="AN355" s="340"/>
      <c r="AO355" s="340"/>
      <c r="AP355" s="340"/>
      <c r="AQ355" s="340"/>
      <c r="AR355" s="340"/>
      <c r="AS355" s="340"/>
      <c r="AT355" s="340"/>
      <c r="AU355" s="340"/>
      <c r="AV355" s="340"/>
      <c r="AW355" s="340"/>
      <c r="AX355" s="340"/>
      <c r="AY355" s="340"/>
      <c r="AZ355" s="340"/>
      <c r="BA355" s="340"/>
      <c r="BB355" s="340"/>
      <c r="BC355" s="340"/>
      <c r="BD355" s="340"/>
    </row>
    <row r="356" spans="3:56">
      <c r="C356" s="340"/>
      <c r="D356" s="340"/>
      <c r="E356" s="340"/>
      <c r="F356" s="340"/>
      <c r="G356" s="340"/>
      <c r="H356" s="340"/>
      <c r="I356" s="340"/>
      <c r="J356" s="340"/>
      <c r="K356" s="340"/>
      <c r="L356" s="340"/>
      <c r="M356" s="340"/>
      <c r="N356" s="340"/>
      <c r="O356" s="340"/>
      <c r="P356" s="340"/>
      <c r="Q356" s="340"/>
      <c r="R356" s="340"/>
      <c r="S356" s="340"/>
      <c r="T356" s="340"/>
      <c r="U356" s="340"/>
      <c r="V356" s="340"/>
      <c r="W356" s="340"/>
      <c r="X356" s="340"/>
      <c r="Y356" s="340"/>
      <c r="Z356" s="340"/>
      <c r="AA356" s="340"/>
      <c r="AB356" s="340"/>
      <c r="AC356" s="340"/>
      <c r="AD356" s="340"/>
      <c r="AE356" s="340"/>
      <c r="AF356" s="340"/>
      <c r="AG356" s="340"/>
      <c r="AH356" s="340"/>
      <c r="AI356" s="340"/>
      <c r="AJ356" s="340"/>
      <c r="AK356" s="340"/>
      <c r="AL356" s="340"/>
      <c r="AM356" s="340"/>
      <c r="AN356" s="340"/>
      <c r="AO356" s="340"/>
      <c r="AP356" s="340"/>
      <c r="AQ356" s="340"/>
      <c r="AR356" s="340"/>
      <c r="AS356" s="340"/>
      <c r="AT356" s="340"/>
      <c r="AU356" s="340"/>
      <c r="AV356" s="340"/>
      <c r="AW356" s="340"/>
      <c r="AX356" s="340"/>
      <c r="AY356" s="340"/>
      <c r="AZ356" s="340"/>
      <c r="BA356" s="340"/>
      <c r="BB356" s="340"/>
      <c r="BC356" s="340"/>
      <c r="BD356" s="340"/>
    </row>
    <row r="357" spans="3:56">
      <c r="C357" s="340"/>
      <c r="D357" s="340"/>
      <c r="E357" s="340"/>
      <c r="F357" s="340"/>
      <c r="G357" s="340"/>
      <c r="H357" s="340"/>
      <c r="I357" s="340"/>
      <c r="J357" s="340"/>
      <c r="K357" s="340"/>
      <c r="L357" s="340"/>
      <c r="M357" s="340"/>
      <c r="N357" s="340"/>
      <c r="O357" s="340"/>
      <c r="P357" s="340"/>
      <c r="Q357" s="340"/>
      <c r="R357" s="340"/>
      <c r="S357" s="340"/>
      <c r="T357" s="340"/>
      <c r="U357" s="340"/>
      <c r="V357" s="340"/>
      <c r="W357" s="340"/>
      <c r="X357" s="340"/>
      <c r="Y357" s="340"/>
      <c r="Z357" s="340"/>
      <c r="AA357" s="340"/>
      <c r="AB357" s="340"/>
      <c r="AC357" s="340"/>
      <c r="AD357" s="340"/>
      <c r="AE357" s="340"/>
      <c r="AF357" s="340"/>
      <c r="AG357" s="340"/>
      <c r="AH357" s="340"/>
      <c r="AI357" s="340"/>
      <c r="AJ357" s="340"/>
      <c r="AK357" s="340"/>
      <c r="AL357" s="340"/>
      <c r="AM357" s="340"/>
      <c r="AN357" s="340"/>
      <c r="AO357" s="340"/>
      <c r="AP357" s="340"/>
      <c r="AQ357" s="340"/>
      <c r="AR357" s="340"/>
      <c r="AS357" s="340"/>
      <c r="AT357" s="340"/>
      <c r="AU357" s="340"/>
      <c r="AV357" s="340"/>
      <c r="AW357" s="340"/>
      <c r="AX357" s="340"/>
      <c r="AY357" s="340"/>
      <c r="AZ357" s="340"/>
      <c r="BA357" s="340"/>
      <c r="BB357" s="340"/>
      <c r="BC357" s="340"/>
      <c r="BD357" s="340"/>
    </row>
    <row r="358" spans="3:56">
      <c r="C358" s="340"/>
      <c r="D358" s="340"/>
      <c r="E358" s="340"/>
      <c r="F358" s="340"/>
      <c r="G358" s="340"/>
      <c r="H358" s="340"/>
      <c r="I358" s="340"/>
      <c r="J358" s="340"/>
      <c r="K358" s="340"/>
      <c r="L358" s="340"/>
      <c r="M358" s="340"/>
      <c r="N358" s="340"/>
      <c r="O358" s="340"/>
      <c r="P358" s="340"/>
      <c r="Q358" s="340"/>
      <c r="R358" s="340"/>
      <c r="S358" s="340"/>
      <c r="T358" s="340"/>
      <c r="U358" s="340"/>
      <c r="V358" s="340"/>
      <c r="W358" s="340"/>
      <c r="X358" s="340"/>
      <c r="Y358" s="340"/>
      <c r="Z358" s="340"/>
      <c r="AA358" s="340"/>
      <c r="AB358" s="340"/>
      <c r="AC358" s="340"/>
      <c r="AD358" s="340"/>
      <c r="AE358" s="340"/>
      <c r="AF358" s="340"/>
      <c r="AG358" s="340"/>
      <c r="AH358" s="340"/>
      <c r="AI358" s="340"/>
      <c r="AJ358" s="340"/>
      <c r="AK358" s="340"/>
      <c r="AL358" s="340"/>
      <c r="AM358" s="340"/>
      <c r="AN358" s="340"/>
      <c r="AO358" s="340"/>
      <c r="AP358" s="340"/>
      <c r="AQ358" s="340"/>
      <c r="AR358" s="340"/>
      <c r="AS358" s="340"/>
      <c r="AT358" s="340"/>
      <c r="AU358" s="340"/>
      <c r="AV358" s="340"/>
      <c r="AW358" s="340"/>
      <c r="AX358" s="340"/>
      <c r="AY358" s="340"/>
      <c r="AZ358" s="340"/>
      <c r="BA358" s="340"/>
      <c r="BB358" s="340"/>
      <c r="BC358" s="340"/>
      <c r="BD358" s="340"/>
    </row>
    <row r="359" spans="3:56">
      <c r="C359" s="340"/>
      <c r="D359" s="340"/>
      <c r="E359" s="340"/>
      <c r="F359" s="340"/>
      <c r="G359" s="340"/>
      <c r="H359" s="340"/>
      <c r="I359" s="340"/>
      <c r="J359" s="340"/>
      <c r="K359" s="340"/>
      <c r="L359" s="340"/>
      <c r="M359" s="340"/>
      <c r="N359" s="340"/>
      <c r="O359" s="340"/>
      <c r="P359" s="340"/>
      <c r="Q359" s="340"/>
      <c r="R359" s="340"/>
      <c r="S359" s="340"/>
      <c r="T359" s="340"/>
      <c r="U359" s="340"/>
      <c r="V359" s="340"/>
      <c r="W359" s="340"/>
      <c r="X359" s="340"/>
      <c r="Y359" s="340"/>
      <c r="Z359" s="340"/>
      <c r="AA359" s="340"/>
      <c r="AB359" s="340"/>
      <c r="AC359" s="340"/>
      <c r="AD359" s="340"/>
      <c r="AE359" s="340"/>
      <c r="AF359" s="340"/>
      <c r="AG359" s="340"/>
      <c r="AH359" s="340"/>
      <c r="AI359" s="340"/>
      <c r="AJ359" s="340"/>
      <c r="AK359" s="340"/>
      <c r="AL359" s="340"/>
      <c r="AM359" s="340"/>
      <c r="AN359" s="340"/>
      <c r="AO359" s="340"/>
      <c r="AP359" s="340"/>
      <c r="AQ359" s="340"/>
      <c r="AR359" s="340"/>
      <c r="AS359" s="340"/>
      <c r="AT359" s="340"/>
      <c r="AU359" s="340"/>
      <c r="AV359" s="340"/>
      <c r="AW359" s="340"/>
      <c r="AX359" s="340"/>
      <c r="AY359" s="340"/>
      <c r="AZ359" s="340"/>
      <c r="BA359" s="340"/>
      <c r="BB359" s="340"/>
      <c r="BC359" s="340"/>
      <c r="BD359" s="340"/>
    </row>
    <row r="360" spans="3:56">
      <c r="C360" s="340"/>
      <c r="D360" s="340"/>
      <c r="E360" s="340"/>
      <c r="F360" s="340"/>
      <c r="G360" s="340"/>
      <c r="H360" s="340"/>
      <c r="I360" s="340"/>
      <c r="J360" s="340"/>
      <c r="K360" s="340"/>
      <c r="L360" s="340"/>
      <c r="M360" s="340"/>
      <c r="N360" s="340"/>
      <c r="O360" s="340"/>
      <c r="P360" s="340"/>
      <c r="Q360" s="340"/>
      <c r="R360" s="340"/>
      <c r="S360" s="340"/>
      <c r="T360" s="340"/>
      <c r="U360" s="340"/>
      <c r="V360" s="340"/>
      <c r="W360" s="340"/>
      <c r="X360" s="340"/>
      <c r="Y360" s="340"/>
      <c r="Z360" s="340"/>
      <c r="AA360" s="340"/>
      <c r="AB360" s="340"/>
      <c r="AC360" s="340"/>
      <c r="AD360" s="340"/>
      <c r="AE360" s="340"/>
      <c r="AF360" s="340"/>
      <c r="AG360" s="340"/>
      <c r="AH360" s="340"/>
      <c r="AI360" s="340"/>
      <c r="AJ360" s="340"/>
      <c r="AK360" s="340"/>
      <c r="AL360" s="340"/>
      <c r="AM360" s="340"/>
      <c r="AN360" s="340"/>
      <c r="AO360" s="340"/>
      <c r="AP360" s="340"/>
      <c r="AQ360" s="340"/>
      <c r="AR360" s="340"/>
      <c r="AS360" s="340"/>
      <c r="AT360" s="340"/>
      <c r="AU360" s="340"/>
      <c r="AV360" s="340"/>
      <c r="AW360" s="340"/>
      <c r="AX360" s="340"/>
      <c r="AY360" s="340"/>
      <c r="AZ360" s="340"/>
      <c r="BA360" s="340"/>
      <c r="BB360" s="340"/>
      <c r="BC360" s="340"/>
      <c r="BD360" s="340"/>
    </row>
    <row r="361" spans="3:56">
      <c r="C361" s="340"/>
      <c r="D361" s="340"/>
      <c r="E361" s="340"/>
      <c r="F361" s="340"/>
      <c r="G361" s="340"/>
      <c r="H361" s="340"/>
      <c r="I361" s="340"/>
      <c r="J361" s="340"/>
      <c r="K361" s="340"/>
      <c r="L361" s="340"/>
      <c r="M361" s="340"/>
      <c r="N361" s="340"/>
      <c r="O361" s="340"/>
      <c r="P361" s="340"/>
      <c r="Q361" s="340"/>
      <c r="R361" s="340"/>
      <c r="S361" s="340"/>
      <c r="T361" s="340"/>
      <c r="U361" s="340"/>
      <c r="V361" s="340"/>
      <c r="W361" s="340"/>
      <c r="X361" s="340"/>
      <c r="Y361" s="340"/>
      <c r="Z361" s="340"/>
      <c r="AA361" s="340"/>
      <c r="AB361" s="340"/>
      <c r="AC361" s="340"/>
      <c r="AD361" s="340"/>
      <c r="AE361" s="340"/>
      <c r="AF361" s="340"/>
      <c r="AG361" s="340"/>
      <c r="AH361" s="340"/>
      <c r="AI361" s="340"/>
      <c r="AJ361" s="340"/>
      <c r="AK361" s="340"/>
      <c r="AL361" s="340"/>
      <c r="AM361" s="340"/>
      <c r="AN361" s="340"/>
      <c r="AO361" s="340"/>
      <c r="AP361" s="340"/>
      <c r="AQ361" s="340"/>
      <c r="AR361" s="340"/>
      <c r="AS361" s="340"/>
      <c r="AT361" s="340"/>
      <c r="AU361" s="340"/>
      <c r="AV361" s="340"/>
      <c r="AW361" s="340"/>
      <c r="AX361" s="340"/>
      <c r="AY361" s="340"/>
      <c r="AZ361" s="340"/>
      <c r="BA361" s="340"/>
      <c r="BB361" s="340"/>
      <c r="BC361" s="340"/>
      <c r="BD361" s="340"/>
    </row>
    <row r="362" spans="3:56">
      <c r="C362" s="340"/>
      <c r="D362" s="340"/>
      <c r="E362" s="340"/>
      <c r="F362" s="340"/>
      <c r="G362" s="340"/>
      <c r="H362" s="340"/>
      <c r="I362" s="340"/>
      <c r="J362" s="340"/>
      <c r="K362" s="340"/>
      <c r="L362" s="340"/>
      <c r="M362" s="340"/>
      <c r="N362" s="340"/>
      <c r="O362" s="340"/>
      <c r="P362" s="340"/>
      <c r="Q362" s="340"/>
      <c r="R362" s="340"/>
      <c r="S362" s="340"/>
      <c r="T362" s="340"/>
      <c r="U362" s="340"/>
      <c r="V362" s="340"/>
      <c r="W362" s="340"/>
      <c r="X362" s="340"/>
      <c r="Y362" s="340"/>
      <c r="Z362" s="340"/>
      <c r="AA362" s="340"/>
      <c r="AB362" s="340"/>
      <c r="AC362" s="340"/>
      <c r="AD362" s="340"/>
      <c r="AE362" s="340"/>
      <c r="AF362" s="340"/>
      <c r="AG362" s="340"/>
      <c r="AH362" s="340"/>
      <c r="AI362" s="340"/>
      <c r="AJ362" s="340"/>
      <c r="AK362" s="340"/>
      <c r="AL362" s="340"/>
      <c r="AM362" s="340"/>
      <c r="AN362" s="340"/>
      <c r="AO362" s="340"/>
      <c r="AP362" s="340"/>
      <c r="AQ362" s="340"/>
      <c r="AR362" s="340"/>
      <c r="AS362" s="340"/>
      <c r="AT362" s="340"/>
      <c r="AU362" s="340"/>
      <c r="AV362" s="340"/>
      <c r="AW362" s="340"/>
      <c r="AX362" s="340"/>
      <c r="AY362" s="340"/>
      <c r="AZ362" s="340"/>
      <c r="BA362" s="340"/>
      <c r="BB362" s="340"/>
      <c r="BC362" s="340"/>
      <c r="BD362" s="340"/>
    </row>
    <row r="363" spans="3:56">
      <c r="C363" s="340"/>
      <c r="D363" s="340"/>
      <c r="E363" s="340"/>
      <c r="F363" s="340"/>
      <c r="G363" s="340"/>
      <c r="H363" s="340"/>
      <c r="I363" s="340"/>
      <c r="J363" s="340"/>
      <c r="K363" s="340"/>
      <c r="L363" s="340"/>
      <c r="M363" s="340"/>
      <c r="N363" s="340"/>
      <c r="O363" s="340"/>
      <c r="P363" s="340"/>
      <c r="Q363" s="340"/>
      <c r="R363" s="340"/>
      <c r="S363" s="340"/>
      <c r="T363" s="340"/>
      <c r="U363" s="340"/>
      <c r="V363" s="340"/>
      <c r="W363" s="340"/>
      <c r="X363" s="340"/>
      <c r="Y363" s="340"/>
      <c r="Z363" s="340"/>
      <c r="AA363" s="340"/>
      <c r="AB363" s="340"/>
      <c r="AC363" s="340"/>
      <c r="AD363" s="340"/>
      <c r="AE363" s="340"/>
      <c r="AF363" s="340"/>
      <c r="AG363" s="340"/>
      <c r="AH363" s="340"/>
      <c r="AI363" s="340"/>
      <c r="AJ363" s="340"/>
      <c r="AK363" s="340"/>
      <c r="AL363" s="340"/>
      <c r="AM363" s="340"/>
      <c r="AN363" s="340"/>
      <c r="AO363" s="340"/>
      <c r="AP363" s="340"/>
      <c r="AQ363" s="340"/>
      <c r="AR363" s="340"/>
      <c r="AS363" s="340"/>
      <c r="AT363" s="340"/>
      <c r="AU363" s="340"/>
      <c r="AV363" s="340"/>
      <c r="AW363" s="340"/>
      <c r="AX363" s="340"/>
      <c r="AY363" s="340"/>
      <c r="AZ363" s="340"/>
      <c r="BA363" s="340"/>
      <c r="BB363" s="340"/>
      <c r="BC363" s="340"/>
      <c r="BD363" s="340"/>
    </row>
    <row r="364" spans="3:56">
      <c r="C364" s="340"/>
      <c r="D364" s="340"/>
      <c r="E364" s="340"/>
      <c r="F364" s="340"/>
      <c r="G364" s="340"/>
      <c r="H364" s="340"/>
      <c r="I364" s="340"/>
      <c r="J364" s="340"/>
      <c r="K364" s="340"/>
      <c r="L364" s="340"/>
      <c r="M364" s="340"/>
      <c r="N364" s="340"/>
      <c r="O364" s="340"/>
      <c r="P364" s="340"/>
      <c r="Q364" s="340"/>
      <c r="R364" s="340"/>
      <c r="S364" s="340"/>
      <c r="T364" s="340"/>
      <c r="U364" s="340"/>
      <c r="V364" s="340"/>
      <c r="W364" s="340"/>
      <c r="X364" s="340"/>
      <c r="Y364" s="340"/>
      <c r="Z364" s="340"/>
      <c r="AA364" s="340"/>
      <c r="AB364" s="340"/>
      <c r="AC364" s="340"/>
      <c r="AD364" s="340"/>
      <c r="AE364" s="340"/>
      <c r="AF364" s="340"/>
      <c r="AG364" s="340"/>
      <c r="AH364" s="340"/>
      <c r="AI364" s="340"/>
      <c r="AJ364" s="340"/>
      <c r="AK364" s="340"/>
      <c r="AL364" s="340"/>
      <c r="AM364" s="340"/>
      <c r="AN364" s="340"/>
      <c r="AO364" s="340"/>
      <c r="AP364" s="340"/>
      <c r="AQ364" s="340"/>
      <c r="AR364" s="340"/>
      <c r="AS364" s="340"/>
      <c r="AT364" s="340"/>
      <c r="AU364" s="340"/>
      <c r="AV364" s="340"/>
      <c r="AW364" s="340"/>
      <c r="AX364" s="340"/>
      <c r="AY364" s="340"/>
      <c r="AZ364" s="340"/>
      <c r="BA364" s="340"/>
      <c r="BB364" s="340"/>
      <c r="BC364" s="340"/>
      <c r="BD364" s="340"/>
    </row>
    <row r="365" spans="3:56">
      <c r="C365" s="340"/>
      <c r="D365" s="340"/>
      <c r="E365" s="340"/>
      <c r="F365" s="340"/>
      <c r="G365" s="340"/>
      <c r="H365" s="340"/>
      <c r="I365" s="340"/>
      <c r="J365" s="340"/>
      <c r="K365" s="340"/>
      <c r="L365" s="340"/>
      <c r="M365" s="340"/>
      <c r="N365" s="340"/>
      <c r="O365" s="340"/>
      <c r="P365" s="340"/>
      <c r="Q365" s="340"/>
      <c r="R365" s="340"/>
      <c r="S365" s="340"/>
      <c r="T365" s="340"/>
      <c r="U365" s="340"/>
      <c r="V365" s="340"/>
      <c r="W365" s="340"/>
      <c r="X365" s="340"/>
      <c r="Y365" s="340"/>
      <c r="Z365" s="340"/>
      <c r="AA365" s="340"/>
      <c r="AB365" s="340"/>
      <c r="AC365" s="340"/>
      <c r="AD365" s="340"/>
      <c r="AE365" s="340"/>
      <c r="AF365" s="340"/>
      <c r="AG365" s="340"/>
      <c r="AH365" s="340"/>
      <c r="AI365" s="340"/>
      <c r="AJ365" s="340"/>
      <c r="AK365" s="340"/>
      <c r="AL365" s="340"/>
      <c r="AM365" s="340"/>
      <c r="AN365" s="340"/>
      <c r="AO365" s="340"/>
      <c r="AP365" s="340"/>
      <c r="AQ365" s="340"/>
      <c r="AR365" s="340"/>
      <c r="AS365" s="340"/>
      <c r="AT365" s="340"/>
      <c r="AU365" s="340"/>
      <c r="AV365" s="340"/>
      <c r="AW365" s="340"/>
      <c r="AX365" s="340"/>
      <c r="AY365" s="340"/>
      <c r="AZ365" s="340"/>
      <c r="BA365" s="340"/>
      <c r="BB365" s="340"/>
      <c r="BC365" s="340"/>
      <c r="BD365" s="340"/>
    </row>
    <row r="366" spans="3:56">
      <c r="C366" s="340"/>
      <c r="D366" s="340"/>
      <c r="E366" s="340"/>
      <c r="F366" s="340"/>
      <c r="G366" s="340"/>
      <c r="H366" s="340"/>
      <c r="I366" s="340"/>
      <c r="J366" s="340"/>
      <c r="K366" s="340"/>
      <c r="L366" s="340"/>
      <c r="M366" s="340"/>
      <c r="N366" s="340"/>
      <c r="O366" s="340"/>
      <c r="P366" s="340"/>
      <c r="Q366" s="340"/>
      <c r="R366" s="340"/>
      <c r="S366" s="340"/>
      <c r="T366" s="340"/>
      <c r="U366" s="340"/>
      <c r="V366" s="340"/>
      <c r="W366" s="340"/>
      <c r="X366" s="340"/>
      <c r="Y366" s="340"/>
      <c r="Z366" s="340"/>
      <c r="AA366" s="340"/>
      <c r="AB366" s="340"/>
      <c r="AC366" s="340"/>
      <c r="AD366" s="340"/>
      <c r="AE366" s="340"/>
      <c r="AF366" s="340"/>
      <c r="AG366" s="340"/>
      <c r="AH366" s="340"/>
      <c r="AI366" s="340"/>
      <c r="AJ366" s="340"/>
      <c r="AK366" s="340"/>
      <c r="AL366" s="340"/>
      <c r="AM366" s="340"/>
      <c r="AN366" s="340"/>
      <c r="AO366" s="340"/>
      <c r="AP366" s="340"/>
      <c r="AQ366" s="340"/>
      <c r="AR366" s="340"/>
      <c r="AS366" s="340"/>
      <c r="AT366" s="340"/>
      <c r="AU366" s="340"/>
      <c r="AV366" s="340"/>
      <c r="AW366" s="340"/>
      <c r="AX366" s="340"/>
      <c r="AY366" s="340"/>
      <c r="AZ366" s="340"/>
      <c r="BA366" s="340"/>
      <c r="BB366" s="340"/>
      <c r="BC366" s="340"/>
      <c r="BD366" s="340"/>
    </row>
    <row r="367" spans="3:56">
      <c r="C367" s="340"/>
      <c r="D367" s="340"/>
      <c r="E367" s="340"/>
      <c r="F367" s="340"/>
      <c r="G367" s="340"/>
      <c r="H367" s="340"/>
      <c r="I367" s="340"/>
      <c r="J367" s="340"/>
      <c r="K367" s="340"/>
      <c r="L367" s="340"/>
      <c r="M367" s="340"/>
      <c r="N367" s="340"/>
      <c r="O367" s="340"/>
      <c r="P367" s="340"/>
      <c r="Q367" s="340"/>
      <c r="R367" s="340"/>
      <c r="S367" s="340"/>
      <c r="T367" s="340"/>
      <c r="U367" s="340"/>
      <c r="V367" s="340"/>
      <c r="W367" s="340"/>
      <c r="X367" s="340"/>
      <c r="Y367" s="340"/>
      <c r="Z367" s="340"/>
      <c r="AA367" s="340"/>
      <c r="AB367" s="340"/>
      <c r="AC367" s="340"/>
      <c r="AD367" s="340"/>
      <c r="AE367" s="340"/>
      <c r="AF367" s="340"/>
      <c r="AG367" s="340"/>
      <c r="AH367" s="340"/>
      <c r="AI367" s="340"/>
      <c r="AJ367" s="340"/>
      <c r="AK367" s="340"/>
      <c r="AL367" s="340"/>
      <c r="AM367" s="340"/>
      <c r="AN367" s="340"/>
      <c r="AO367" s="340"/>
      <c r="AP367" s="340"/>
      <c r="AQ367" s="340"/>
      <c r="AR367" s="340"/>
      <c r="AS367" s="340"/>
      <c r="AT367" s="340"/>
      <c r="AU367" s="340"/>
      <c r="AV367" s="340"/>
      <c r="AW367" s="340"/>
      <c r="AX367" s="340"/>
      <c r="AY367" s="340"/>
      <c r="AZ367" s="340"/>
      <c r="BA367" s="340"/>
      <c r="BB367" s="340"/>
      <c r="BC367" s="340"/>
      <c r="BD367" s="340"/>
    </row>
    <row r="368" spans="3:56">
      <c r="C368" s="340"/>
      <c r="D368" s="340"/>
      <c r="E368" s="340"/>
      <c r="F368" s="340"/>
      <c r="G368" s="340"/>
      <c r="H368" s="340"/>
      <c r="I368" s="340"/>
      <c r="J368" s="340"/>
      <c r="K368" s="340"/>
      <c r="L368" s="340"/>
      <c r="M368" s="340"/>
      <c r="N368" s="340"/>
      <c r="O368" s="340"/>
      <c r="P368" s="340"/>
      <c r="Q368" s="340"/>
      <c r="R368" s="340"/>
      <c r="S368" s="340"/>
      <c r="T368" s="340"/>
      <c r="U368" s="340"/>
      <c r="V368" s="340"/>
      <c r="W368" s="340"/>
      <c r="X368" s="340"/>
      <c r="Y368" s="340"/>
      <c r="Z368" s="340"/>
      <c r="AA368" s="340"/>
      <c r="AB368" s="340"/>
      <c r="AC368" s="340"/>
      <c r="AD368" s="340"/>
      <c r="AE368" s="340"/>
      <c r="AF368" s="340"/>
      <c r="AG368" s="340"/>
      <c r="AH368" s="340"/>
      <c r="AI368" s="340"/>
      <c r="AJ368" s="340"/>
      <c r="AK368" s="340"/>
      <c r="AL368" s="340"/>
      <c r="AM368" s="340"/>
      <c r="AN368" s="340"/>
      <c r="AO368" s="340"/>
      <c r="AP368" s="340"/>
      <c r="AQ368" s="340"/>
      <c r="AR368" s="340"/>
      <c r="AS368" s="340"/>
      <c r="AT368" s="340"/>
      <c r="AU368" s="340"/>
      <c r="AV368" s="340"/>
      <c r="AW368" s="340"/>
      <c r="AX368" s="340"/>
      <c r="AY368" s="340"/>
      <c r="AZ368" s="340"/>
      <c r="BA368" s="340"/>
      <c r="BB368" s="340"/>
      <c r="BC368" s="340"/>
      <c r="BD368" s="340"/>
    </row>
    <row r="369" spans="3:56">
      <c r="C369" s="340"/>
      <c r="D369" s="340"/>
      <c r="E369" s="340"/>
      <c r="F369" s="340"/>
      <c r="G369" s="340"/>
      <c r="H369" s="340"/>
      <c r="I369" s="340"/>
      <c r="J369" s="340"/>
      <c r="K369" s="340"/>
      <c r="L369" s="340"/>
      <c r="M369" s="340"/>
      <c r="N369" s="340"/>
      <c r="O369" s="340"/>
      <c r="P369" s="340"/>
      <c r="Q369" s="340"/>
      <c r="R369" s="340"/>
      <c r="S369" s="340"/>
      <c r="T369" s="340"/>
      <c r="U369" s="340"/>
      <c r="V369" s="340"/>
      <c r="W369" s="340"/>
      <c r="X369" s="340"/>
      <c r="Y369" s="340"/>
      <c r="Z369" s="340"/>
      <c r="AA369" s="340"/>
      <c r="AB369" s="340"/>
      <c r="AC369" s="340"/>
      <c r="AD369" s="340"/>
      <c r="AE369" s="340"/>
      <c r="AF369" s="340"/>
      <c r="AG369" s="340"/>
      <c r="AH369" s="340"/>
      <c r="AI369" s="340"/>
      <c r="AJ369" s="340"/>
      <c r="AK369" s="340"/>
      <c r="AL369" s="340"/>
      <c r="AM369" s="340"/>
      <c r="AN369" s="340"/>
      <c r="AO369" s="340"/>
      <c r="AP369" s="340"/>
      <c r="AQ369" s="340"/>
      <c r="AR369" s="340"/>
      <c r="AS369" s="340"/>
      <c r="AT369" s="340"/>
      <c r="AU369" s="340"/>
      <c r="AV369" s="340"/>
      <c r="AW369" s="340"/>
      <c r="AX369" s="340"/>
      <c r="AY369" s="340"/>
      <c r="AZ369" s="340"/>
      <c r="BA369" s="340"/>
      <c r="BB369" s="340"/>
      <c r="BC369" s="340"/>
      <c r="BD369" s="340"/>
    </row>
    <row r="370" spans="3:56">
      <c r="C370" s="340"/>
      <c r="D370" s="340"/>
      <c r="E370" s="340"/>
      <c r="F370" s="340"/>
      <c r="G370" s="340"/>
      <c r="H370" s="340"/>
      <c r="I370" s="340"/>
      <c r="J370" s="340"/>
      <c r="K370" s="340"/>
      <c r="L370" s="340"/>
      <c r="M370" s="340"/>
      <c r="N370" s="340"/>
      <c r="O370" s="340"/>
      <c r="P370" s="340"/>
      <c r="Q370" s="340"/>
      <c r="R370" s="340"/>
      <c r="S370" s="340"/>
      <c r="T370" s="340"/>
      <c r="U370" s="340"/>
      <c r="V370" s="340"/>
      <c r="W370" s="340"/>
      <c r="X370" s="340"/>
      <c r="Y370" s="340"/>
      <c r="Z370" s="340"/>
      <c r="AA370" s="340"/>
      <c r="AB370" s="340"/>
      <c r="AC370" s="340"/>
      <c r="AD370" s="340"/>
      <c r="AE370" s="340"/>
      <c r="AF370" s="340"/>
      <c r="AG370" s="340"/>
      <c r="AH370" s="340"/>
      <c r="AI370" s="340"/>
      <c r="AJ370" s="340"/>
      <c r="AK370" s="340"/>
      <c r="AL370" s="340"/>
      <c r="AM370" s="340"/>
      <c r="AN370" s="340"/>
      <c r="AO370" s="340"/>
      <c r="AP370" s="340"/>
      <c r="AQ370" s="340"/>
      <c r="AR370" s="340"/>
      <c r="AS370" s="340"/>
      <c r="AT370" s="340"/>
      <c r="AU370" s="340"/>
      <c r="AV370" s="340"/>
      <c r="AW370" s="340"/>
      <c r="AX370" s="340"/>
      <c r="AY370" s="340"/>
      <c r="AZ370" s="340"/>
      <c r="BA370" s="340"/>
      <c r="BB370" s="340"/>
      <c r="BC370" s="340"/>
      <c r="BD370" s="340"/>
    </row>
    <row r="371" spans="3:56">
      <c r="C371" s="340"/>
      <c r="D371" s="340"/>
      <c r="E371" s="340"/>
      <c r="F371" s="340"/>
      <c r="G371" s="340"/>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340"/>
      <c r="AY371" s="340"/>
      <c r="AZ371" s="340"/>
      <c r="BA371" s="340"/>
      <c r="BB371" s="340"/>
      <c r="BC371" s="340"/>
      <c r="BD371" s="340"/>
    </row>
    <row r="372" spans="3:56">
      <c r="C372" s="340"/>
      <c r="D372" s="340"/>
      <c r="E372" s="340"/>
      <c r="F372" s="340"/>
      <c r="G372" s="340"/>
      <c r="H372" s="340"/>
      <c r="I372" s="340"/>
      <c r="J372" s="340"/>
      <c r="K372" s="340"/>
      <c r="L372" s="340"/>
      <c r="M372" s="340"/>
      <c r="N372" s="340"/>
      <c r="O372" s="340"/>
      <c r="P372" s="340"/>
      <c r="Q372" s="340"/>
      <c r="R372" s="340"/>
      <c r="S372" s="340"/>
      <c r="T372" s="340"/>
      <c r="U372" s="340"/>
      <c r="V372" s="340"/>
      <c r="W372" s="340"/>
      <c r="X372" s="340"/>
      <c r="Y372" s="340"/>
      <c r="Z372" s="340"/>
      <c r="AA372" s="340"/>
      <c r="AB372" s="340"/>
      <c r="AC372" s="340"/>
      <c r="AD372" s="340"/>
      <c r="AE372" s="340"/>
      <c r="AF372" s="340"/>
      <c r="AG372" s="340"/>
      <c r="AH372" s="340"/>
      <c r="AI372" s="340"/>
      <c r="AJ372" s="340"/>
      <c r="AK372" s="340"/>
      <c r="AL372" s="340"/>
      <c r="AM372" s="340"/>
      <c r="AN372" s="340"/>
      <c r="AO372" s="340"/>
      <c r="AP372" s="340"/>
      <c r="AQ372" s="340"/>
      <c r="AR372" s="340"/>
      <c r="AS372" s="340"/>
      <c r="AT372" s="340"/>
      <c r="AU372" s="340"/>
      <c r="AV372" s="340"/>
      <c r="AW372" s="340"/>
      <c r="AX372" s="340"/>
      <c r="AY372" s="340"/>
      <c r="AZ372" s="340"/>
      <c r="BA372" s="340"/>
      <c r="BB372" s="340"/>
      <c r="BC372" s="340"/>
      <c r="BD372" s="340"/>
    </row>
    <row r="373" spans="3:56">
      <c r="C373" s="340"/>
      <c r="D373" s="340"/>
      <c r="E373" s="340"/>
      <c r="F373" s="340"/>
      <c r="G373" s="340"/>
      <c r="H373" s="340"/>
      <c r="I373" s="340"/>
      <c r="J373" s="340"/>
      <c r="K373" s="340"/>
      <c r="L373" s="340"/>
      <c r="M373" s="340"/>
      <c r="N373" s="340"/>
      <c r="O373" s="340"/>
      <c r="P373" s="340"/>
      <c r="Q373" s="340"/>
      <c r="R373" s="340"/>
      <c r="S373" s="340"/>
      <c r="T373" s="340"/>
      <c r="U373" s="340"/>
      <c r="V373" s="340"/>
      <c r="W373" s="340"/>
      <c r="X373" s="340"/>
      <c r="Y373" s="340"/>
      <c r="Z373" s="340"/>
      <c r="AA373" s="340"/>
      <c r="AB373" s="340"/>
      <c r="AC373" s="340"/>
      <c r="AD373" s="340"/>
      <c r="AE373" s="340"/>
      <c r="AF373" s="340"/>
      <c r="AG373" s="340"/>
      <c r="AH373" s="340"/>
      <c r="AI373" s="340"/>
      <c r="AJ373" s="340"/>
      <c r="AK373" s="340"/>
      <c r="AL373" s="340"/>
      <c r="AM373" s="340"/>
      <c r="AN373" s="340"/>
      <c r="AO373" s="340"/>
      <c r="AP373" s="340"/>
      <c r="AQ373" s="340"/>
      <c r="AR373" s="340"/>
      <c r="AS373" s="340"/>
      <c r="AT373" s="340"/>
      <c r="AU373" s="340"/>
      <c r="AV373" s="340"/>
      <c r="AW373" s="340"/>
      <c r="AX373" s="340"/>
      <c r="AY373" s="340"/>
      <c r="AZ373" s="340"/>
      <c r="BA373" s="340"/>
      <c r="BB373" s="340"/>
      <c r="BC373" s="340"/>
      <c r="BD373" s="340"/>
    </row>
    <row r="374" spans="3:56">
      <c r="C374" s="340"/>
      <c r="D374" s="340"/>
      <c r="E374" s="340"/>
      <c r="F374" s="340"/>
      <c r="G374" s="340"/>
      <c r="H374" s="340"/>
      <c r="I374" s="340"/>
      <c r="J374" s="340"/>
      <c r="K374" s="340"/>
      <c r="L374" s="340"/>
      <c r="M374" s="340"/>
      <c r="N374" s="340"/>
      <c r="O374" s="340"/>
      <c r="P374" s="340"/>
      <c r="Q374" s="340"/>
      <c r="R374" s="340"/>
      <c r="S374" s="340"/>
      <c r="T374" s="340"/>
      <c r="U374" s="340"/>
      <c r="V374" s="340"/>
      <c r="W374" s="340"/>
      <c r="X374" s="340"/>
      <c r="Y374" s="340"/>
      <c r="Z374" s="340"/>
      <c r="AA374" s="340"/>
      <c r="AB374" s="340"/>
      <c r="AC374" s="340"/>
      <c r="AD374" s="340"/>
      <c r="AE374" s="340"/>
      <c r="AF374" s="340"/>
      <c r="AG374" s="340"/>
      <c r="AH374" s="340"/>
      <c r="AI374" s="340"/>
      <c r="AJ374" s="340"/>
      <c r="AK374" s="340"/>
      <c r="AL374" s="340"/>
      <c r="AM374" s="340"/>
      <c r="AN374" s="340"/>
      <c r="AO374" s="340"/>
      <c r="AP374" s="340"/>
      <c r="AQ374" s="340"/>
      <c r="AR374" s="340"/>
      <c r="AS374" s="340"/>
      <c r="AT374" s="340"/>
      <c r="AU374" s="340"/>
      <c r="AV374" s="340"/>
      <c r="AW374" s="340"/>
      <c r="AX374" s="340"/>
      <c r="AY374" s="340"/>
      <c r="AZ374" s="340"/>
      <c r="BA374" s="340"/>
      <c r="BB374" s="340"/>
      <c r="BC374" s="340"/>
      <c r="BD374" s="340"/>
    </row>
    <row r="375" spans="3:56">
      <c r="C375" s="340"/>
      <c r="D375" s="340"/>
      <c r="E375" s="340"/>
      <c r="F375" s="340"/>
      <c r="G375" s="340"/>
      <c r="H375" s="340"/>
      <c r="I375" s="340"/>
      <c r="J375" s="340"/>
      <c r="K375" s="340"/>
      <c r="L375" s="340"/>
      <c r="M375" s="340"/>
      <c r="N375" s="340"/>
      <c r="O375" s="340"/>
      <c r="P375" s="340"/>
      <c r="Q375" s="340"/>
      <c r="R375" s="340"/>
      <c r="S375" s="340"/>
      <c r="T375" s="340"/>
      <c r="U375" s="340"/>
      <c r="V375" s="340"/>
      <c r="W375" s="340"/>
      <c r="X375" s="340"/>
      <c r="Y375" s="340"/>
      <c r="Z375" s="340"/>
      <c r="AA375" s="340"/>
      <c r="AB375" s="340"/>
      <c r="AC375" s="340"/>
      <c r="AD375" s="340"/>
      <c r="AE375" s="340"/>
      <c r="AF375" s="340"/>
      <c r="AG375" s="340"/>
      <c r="AH375" s="340"/>
      <c r="AI375" s="340"/>
      <c r="AJ375" s="340"/>
      <c r="AK375" s="340"/>
      <c r="AL375" s="340"/>
      <c r="AM375" s="340"/>
      <c r="AN375" s="340"/>
      <c r="AO375" s="340"/>
      <c r="AP375" s="340"/>
      <c r="AQ375" s="340"/>
      <c r="AR375" s="340"/>
      <c r="AS375" s="340"/>
      <c r="AT375" s="340"/>
      <c r="AU375" s="340"/>
      <c r="AV375" s="340"/>
      <c r="AW375" s="340"/>
      <c r="AX375" s="340"/>
      <c r="AY375" s="340"/>
      <c r="AZ375" s="340"/>
      <c r="BA375" s="340"/>
      <c r="BB375" s="340"/>
      <c r="BC375" s="340"/>
      <c r="BD375" s="340"/>
    </row>
    <row r="376" spans="3:56">
      <c r="C376" s="340"/>
      <c r="D376" s="340"/>
      <c r="E376" s="340"/>
      <c r="F376" s="340"/>
      <c r="G376" s="340"/>
      <c r="H376" s="340"/>
      <c r="I376" s="340"/>
      <c r="J376" s="340"/>
      <c r="K376" s="340"/>
      <c r="L376" s="340"/>
      <c r="M376" s="340"/>
      <c r="N376" s="340"/>
      <c r="O376" s="340"/>
      <c r="P376" s="340"/>
      <c r="Q376" s="340"/>
      <c r="R376" s="340"/>
      <c r="S376" s="340"/>
      <c r="T376" s="340"/>
      <c r="U376" s="340"/>
      <c r="V376" s="340"/>
      <c r="W376" s="340"/>
      <c r="X376" s="340"/>
      <c r="Y376" s="340"/>
      <c r="Z376" s="340"/>
      <c r="AA376" s="340"/>
      <c r="AB376" s="340"/>
      <c r="AC376" s="340"/>
      <c r="AD376" s="340"/>
      <c r="AE376" s="340"/>
      <c r="AF376" s="340"/>
      <c r="AG376" s="340"/>
      <c r="AH376" s="340"/>
      <c r="AI376" s="340"/>
      <c r="AJ376" s="340"/>
      <c r="AK376" s="340"/>
      <c r="AL376" s="340"/>
      <c r="AM376" s="340"/>
      <c r="AN376" s="340"/>
      <c r="AO376" s="340"/>
      <c r="AP376" s="340"/>
      <c r="AQ376" s="340"/>
      <c r="AR376" s="340"/>
      <c r="AS376" s="340"/>
      <c r="AT376" s="340"/>
      <c r="AU376" s="340"/>
      <c r="AV376" s="340"/>
      <c r="AW376" s="340"/>
      <c r="AX376" s="340"/>
      <c r="AY376" s="340"/>
      <c r="AZ376" s="340"/>
      <c r="BA376" s="340"/>
      <c r="BB376" s="340"/>
      <c r="BC376" s="340"/>
      <c r="BD376" s="340"/>
    </row>
    <row r="377" spans="3:56">
      <c r="C377" s="340"/>
      <c r="D377" s="340"/>
      <c r="E377" s="340"/>
      <c r="F377" s="340"/>
      <c r="G377" s="340"/>
      <c r="H377" s="340"/>
      <c r="I377" s="340"/>
      <c r="J377" s="340"/>
      <c r="K377" s="340"/>
      <c r="L377" s="340"/>
      <c r="M377" s="340"/>
      <c r="N377" s="340"/>
      <c r="O377" s="340"/>
      <c r="P377" s="340"/>
      <c r="Q377" s="340"/>
      <c r="R377" s="340"/>
      <c r="S377" s="340"/>
      <c r="T377" s="340"/>
      <c r="U377" s="340"/>
      <c r="V377" s="340"/>
      <c r="W377" s="340"/>
      <c r="X377" s="340"/>
      <c r="Y377" s="340"/>
      <c r="Z377" s="340"/>
      <c r="AA377" s="340"/>
      <c r="AB377" s="340"/>
      <c r="AC377" s="340"/>
      <c r="AD377" s="340"/>
      <c r="AE377" s="340"/>
      <c r="AF377" s="340"/>
      <c r="AG377" s="340"/>
      <c r="AH377" s="340"/>
      <c r="AI377" s="340"/>
      <c r="AJ377" s="340"/>
      <c r="AK377" s="340"/>
      <c r="AL377" s="340"/>
      <c r="AM377" s="340"/>
      <c r="AN377" s="340"/>
      <c r="AO377" s="340"/>
      <c r="AP377" s="340"/>
      <c r="AQ377" s="340"/>
      <c r="AR377" s="340"/>
      <c r="AS377" s="340"/>
      <c r="AT377" s="340"/>
      <c r="AU377" s="340"/>
      <c r="AV377" s="340"/>
      <c r="AW377" s="340"/>
      <c r="AX377" s="340"/>
      <c r="AY377" s="340"/>
      <c r="AZ377" s="340"/>
      <c r="BA377" s="340"/>
      <c r="BB377" s="340"/>
      <c r="BC377" s="340"/>
      <c r="BD377" s="340"/>
    </row>
    <row r="378" spans="3:56">
      <c r="C378" s="340"/>
      <c r="D378" s="340"/>
      <c r="E378" s="340"/>
      <c r="F378" s="340"/>
      <c r="G378" s="340"/>
      <c r="H378" s="340"/>
      <c r="I378" s="340"/>
      <c r="J378" s="340"/>
      <c r="K378" s="340"/>
      <c r="L378" s="340"/>
      <c r="M378" s="340"/>
      <c r="N378" s="340"/>
      <c r="O378" s="340"/>
      <c r="P378" s="340"/>
      <c r="Q378" s="340"/>
      <c r="R378" s="340"/>
      <c r="S378" s="340"/>
      <c r="T378" s="340"/>
      <c r="U378" s="340"/>
      <c r="V378" s="340"/>
      <c r="W378" s="340"/>
      <c r="X378" s="340"/>
      <c r="Y378" s="340"/>
      <c r="Z378" s="340"/>
      <c r="AA378" s="340"/>
      <c r="AB378" s="340"/>
      <c r="AC378" s="340"/>
      <c r="AD378" s="340"/>
      <c r="AE378" s="340"/>
      <c r="AF378" s="340"/>
      <c r="AG378" s="340"/>
      <c r="AH378" s="340"/>
      <c r="AI378" s="340"/>
      <c r="AJ378" s="340"/>
      <c r="AK378" s="340"/>
      <c r="AL378" s="340"/>
      <c r="AM378" s="340"/>
      <c r="AN378" s="340"/>
      <c r="AO378" s="340"/>
      <c r="AP378" s="340"/>
      <c r="AQ378" s="340"/>
      <c r="AR378" s="340"/>
      <c r="AS378" s="340"/>
      <c r="AT378" s="340"/>
      <c r="AU378" s="340"/>
      <c r="AV378" s="340"/>
      <c r="AW378" s="340"/>
      <c r="AX378" s="340"/>
      <c r="AY378" s="340"/>
      <c r="AZ378" s="340"/>
      <c r="BA378" s="340"/>
      <c r="BB378" s="340"/>
      <c r="BC378" s="340"/>
      <c r="BD378" s="340"/>
    </row>
    <row r="379" spans="3:56">
      <c r="C379" s="340"/>
      <c r="D379" s="340"/>
      <c r="E379" s="340"/>
      <c r="F379" s="340"/>
      <c r="G379" s="340"/>
      <c r="H379" s="340"/>
      <c r="I379" s="340"/>
      <c r="J379" s="340"/>
      <c r="K379" s="340"/>
      <c r="L379" s="340"/>
      <c r="M379" s="340"/>
      <c r="N379" s="340"/>
      <c r="O379" s="340"/>
      <c r="P379" s="340"/>
      <c r="Q379" s="340"/>
      <c r="R379" s="340"/>
      <c r="S379" s="340"/>
      <c r="T379" s="340"/>
      <c r="U379" s="340"/>
      <c r="V379" s="340"/>
      <c r="W379" s="340"/>
      <c r="X379" s="340"/>
      <c r="Y379" s="340"/>
      <c r="Z379" s="340"/>
      <c r="AA379" s="340"/>
      <c r="AB379" s="340"/>
      <c r="AC379" s="340"/>
      <c r="AD379" s="340"/>
      <c r="AE379" s="340"/>
      <c r="AF379" s="340"/>
      <c r="AG379" s="340"/>
      <c r="AH379" s="340"/>
      <c r="AI379" s="340"/>
      <c r="AJ379" s="340"/>
      <c r="AK379" s="340"/>
      <c r="AL379" s="340"/>
      <c r="AM379" s="340"/>
      <c r="AN379" s="340"/>
      <c r="AO379" s="340"/>
      <c r="AP379" s="340"/>
      <c r="AQ379" s="340"/>
      <c r="AR379" s="340"/>
      <c r="AS379" s="340"/>
      <c r="AT379" s="340"/>
      <c r="AU379" s="340"/>
      <c r="AV379" s="340"/>
      <c r="AW379" s="340"/>
      <c r="AX379" s="340"/>
      <c r="AY379" s="340"/>
      <c r="AZ379" s="340"/>
      <c r="BA379" s="340"/>
      <c r="BB379" s="340"/>
      <c r="BC379" s="340"/>
      <c r="BD379" s="340"/>
    </row>
    <row r="380" spans="3:56">
      <c r="C380" s="340"/>
      <c r="D380" s="340"/>
      <c r="E380" s="340"/>
      <c r="F380" s="340"/>
      <c r="G380" s="340"/>
      <c r="H380" s="340"/>
      <c r="I380" s="340"/>
      <c r="J380" s="340"/>
      <c r="K380" s="340"/>
      <c r="L380" s="340"/>
      <c r="M380" s="340"/>
      <c r="N380" s="340"/>
      <c r="O380" s="340"/>
      <c r="P380" s="340"/>
      <c r="Q380" s="340"/>
      <c r="R380" s="340"/>
      <c r="S380" s="340"/>
      <c r="T380" s="340"/>
      <c r="U380" s="340"/>
      <c r="V380" s="340"/>
      <c r="W380" s="340"/>
      <c r="X380" s="340"/>
      <c r="Y380" s="340"/>
      <c r="Z380" s="340"/>
      <c r="AA380" s="340"/>
      <c r="AB380" s="340"/>
      <c r="AC380" s="340"/>
      <c r="AD380" s="340"/>
      <c r="AE380" s="340"/>
      <c r="AF380" s="340"/>
      <c r="AG380" s="340"/>
      <c r="AH380" s="340"/>
      <c r="AI380" s="340"/>
      <c r="AJ380" s="340"/>
      <c r="AK380" s="340"/>
      <c r="AL380" s="340"/>
      <c r="AM380" s="340"/>
      <c r="AN380" s="340"/>
      <c r="AO380" s="340"/>
      <c r="AP380" s="340"/>
      <c r="AQ380" s="340"/>
      <c r="AR380" s="340"/>
      <c r="AS380" s="340"/>
      <c r="AT380" s="340"/>
      <c r="AU380" s="340"/>
      <c r="AV380" s="340"/>
      <c r="AW380" s="340"/>
      <c r="AX380" s="340"/>
      <c r="AY380" s="340"/>
      <c r="AZ380" s="340"/>
      <c r="BA380" s="340"/>
      <c r="BB380" s="340"/>
      <c r="BC380" s="340"/>
      <c r="BD380" s="340"/>
    </row>
    <row r="381" spans="3:56">
      <c r="C381" s="340"/>
      <c r="D381" s="340"/>
      <c r="E381" s="340"/>
      <c r="F381" s="340"/>
      <c r="G381" s="340"/>
      <c r="H381" s="340"/>
      <c r="I381" s="340"/>
      <c r="J381" s="340"/>
      <c r="K381" s="340"/>
      <c r="L381" s="340"/>
      <c r="M381" s="340"/>
      <c r="N381" s="340"/>
      <c r="O381" s="340"/>
      <c r="P381" s="340"/>
      <c r="Q381" s="340"/>
      <c r="R381" s="340"/>
      <c r="S381" s="340"/>
      <c r="T381" s="340"/>
      <c r="U381" s="340"/>
      <c r="V381" s="340"/>
      <c r="W381" s="340"/>
      <c r="X381" s="340"/>
      <c r="Y381" s="340"/>
      <c r="Z381" s="340"/>
      <c r="AA381" s="340"/>
      <c r="AB381" s="340"/>
      <c r="AC381" s="340"/>
      <c r="AD381" s="340"/>
      <c r="AE381" s="340"/>
      <c r="AF381" s="340"/>
      <c r="AG381" s="340"/>
      <c r="AH381" s="340"/>
      <c r="AI381" s="340"/>
      <c r="AJ381" s="340"/>
      <c r="AK381" s="340"/>
      <c r="AL381" s="340"/>
      <c r="AM381" s="340"/>
      <c r="AN381" s="340"/>
      <c r="AO381" s="340"/>
      <c r="AP381" s="340"/>
      <c r="AQ381" s="340"/>
      <c r="AR381" s="340"/>
      <c r="AS381" s="340"/>
      <c r="AT381" s="340"/>
      <c r="AU381" s="340"/>
      <c r="AV381" s="340"/>
      <c r="AW381" s="340"/>
      <c r="AX381" s="340"/>
      <c r="AY381" s="340"/>
      <c r="AZ381" s="340"/>
      <c r="BA381" s="340"/>
      <c r="BB381" s="340"/>
      <c r="BC381" s="340"/>
      <c r="BD381" s="340"/>
    </row>
    <row r="382" spans="3:56">
      <c r="C382" s="340"/>
      <c r="D382" s="340"/>
      <c r="E382" s="340"/>
      <c r="F382" s="340"/>
      <c r="G382" s="340"/>
      <c r="H382" s="340"/>
      <c r="I382" s="340"/>
      <c r="J382" s="340"/>
      <c r="K382" s="340"/>
      <c r="L382" s="340"/>
      <c r="M382" s="340"/>
      <c r="N382" s="340"/>
      <c r="O382" s="340"/>
      <c r="P382" s="340"/>
      <c r="Q382" s="340"/>
      <c r="R382" s="340"/>
      <c r="S382" s="340"/>
      <c r="T382" s="340"/>
      <c r="U382" s="340"/>
      <c r="V382" s="340"/>
      <c r="W382" s="340"/>
      <c r="X382" s="340"/>
      <c r="Y382" s="340"/>
      <c r="Z382" s="340"/>
      <c r="AA382" s="340"/>
      <c r="AB382" s="340"/>
      <c r="AC382" s="340"/>
      <c r="AD382" s="340"/>
      <c r="AE382" s="340"/>
      <c r="AF382" s="340"/>
      <c r="AG382" s="340"/>
      <c r="AH382" s="340"/>
      <c r="AI382" s="340"/>
      <c r="AJ382" s="340"/>
      <c r="AK382" s="340"/>
      <c r="AL382" s="340"/>
      <c r="AM382" s="340"/>
      <c r="AN382" s="340"/>
      <c r="AO382" s="340"/>
      <c r="AP382" s="340"/>
      <c r="AQ382" s="340"/>
      <c r="AR382" s="340"/>
      <c r="AS382" s="340"/>
      <c r="AT382" s="340"/>
      <c r="AU382" s="340"/>
      <c r="AV382" s="340"/>
      <c r="AW382" s="340"/>
      <c r="AX382" s="340"/>
      <c r="AY382" s="340"/>
      <c r="AZ382" s="340"/>
      <c r="BA382" s="340"/>
      <c r="BB382" s="340"/>
      <c r="BC382" s="340"/>
      <c r="BD382" s="340"/>
    </row>
    <row r="383" spans="3:56">
      <c r="C383" s="340"/>
      <c r="D383" s="340"/>
      <c r="E383" s="340"/>
      <c r="F383" s="340"/>
      <c r="G383" s="340"/>
      <c r="H383" s="340"/>
      <c r="I383" s="340"/>
      <c r="J383" s="340"/>
      <c r="K383" s="340"/>
      <c r="L383" s="340"/>
      <c r="M383" s="340"/>
      <c r="N383" s="340"/>
      <c r="O383" s="340"/>
      <c r="P383" s="340"/>
      <c r="Q383" s="340"/>
      <c r="R383" s="340"/>
      <c r="S383" s="340"/>
      <c r="T383" s="340"/>
      <c r="U383" s="340"/>
      <c r="V383" s="340"/>
      <c r="W383" s="340"/>
      <c r="X383" s="340"/>
      <c r="Y383" s="340"/>
      <c r="Z383" s="340"/>
      <c r="AA383" s="340"/>
      <c r="AB383" s="340"/>
      <c r="AC383" s="340"/>
      <c r="AD383" s="340"/>
      <c r="AE383" s="340"/>
      <c r="AF383" s="340"/>
      <c r="AG383" s="340"/>
      <c r="AH383" s="340"/>
      <c r="AI383" s="340"/>
      <c r="AJ383" s="340"/>
      <c r="AK383" s="340"/>
      <c r="AL383" s="340"/>
      <c r="AM383" s="340"/>
      <c r="AN383" s="340"/>
      <c r="AO383" s="340"/>
      <c r="AP383" s="340"/>
      <c r="AQ383" s="340"/>
      <c r="AR383" s="340"/>
      <c r="AS383" s="340"/>
      <c r="AT383" s="340"/>
      <c r="AU383" s="340"/>
      <c r="AV383" s="340"/>
      <c r="AW383" s="340"/>
      <c r="AX383" s="340"/>
      <c r="AY383" s="340"/>
      <c r="AZ383" s="340"/>
      <c r="BA383" s="340"/>
      <c r="BB383" s="340"/>
      <c r="BC383" s="340"/>
      <c r="BD383" s="340"/>
    </row>
    <row r="384" spans="3:56">
      <c r="C384" s="340"/>
      <c r="D384" s="340"/>
      <c r="E384" s="340"/>
      <c r="F384" s="340"/>
      <c r="G384" s="340"/>
      <c r="H384" s="340"/>
      <c r="I384" s="340"/>
      <c r="J384" s="340"/>
      <c r="K384" s="340"/>
      <c r="L384" s="340"/>
      <c r="M384" s="340"/>
      <c r="N384" s="340"/>
      <c r="O384" s="340"/>
      <c r="P384" s="340"/>
      <c r="Q384" s="340"/>
      <c r="R384" s="340"/>
      <c r="S384" s="340"/>
      <c r="T384" s="340"/>
      <c r="U384" s="340"/>
      <c r="V384" s="340"/>
      <c r="W384" s="340"/>
      <c r="X384" s="340"/>
      <c r="Y384" s="340"/>
      <c r="Z384" s="340"/>
      <c r="AA384" s="340"/>
      <c r="AB384" s="340"/>
      <c r="AC384" s="340"/>
      <c r="AD384" s="340"/>
      <c r="AE384" s="340"/>
      <c r="AF384" s="340"/>
      <c r="AG384" s="340"/>
      <c r="AH384" s="340"/>
      <c r="AI384" s="340"/>
      <c r="AJ384" s="340"/>
      <c r="AK384" s="340"/>
      <c r="AL384" s="340"/>
      <c r="AM384" s="340"/>
      <c r="AN384" s="340"/>
      <c r="AO384" s="340"/>
      <c r="AP384" s="340"/>
      <c r="AQ384" s="340"/>
      <c r="AR384" s="340"/>
      <c r="AS384" s="340"/>
      <c r="AT384" s="340"/>
      <c r="AU384" s="340"/>
      <c r="AV384" s="340"/>
      <c r="AW384" s="340"/>
      <c r="AX384" s="340"/>
      <c r="AY384" s="340"/>
      <c r="AZ384" s="340"/>
      <c r="BA384" s="340"/>
      <c r="BB384" s="340"/>
      <c r="BC384" s="340"/>
      <c r="BD384" s="340"/>
    </row>
    <row r="385" spans="3:56">
      <c r="C385" s="340"/>
      <c r="D385" s="340"/>
      <c r="E385" s="340"/>
      <c r="F385" s="340"/>
      <c r="G385" s="340"/>
      <c r="H385" s="340"/>
      <c r="I385" s="340"/>
      <c r="J385" s="340"/>
      <c r="K385" s="340"/>
      <c r="L385" s="340"/>
      <c r="M385" s="340"/>
      <c r="N385" s="340"/>
      <c r="O385" s="340"/>
      <c r="P385" s="340"/>
      <c r="Q385" s="340"/>
      <c r="R385" s="340"/>
      <c r="S385" s="340"/>
      <c r="T385" s="340"/>
      <c r="U385" s="340"/>
      <c r="V385" s="340"/>
      <c r="W385" s="340"/>
      <c r="X385" s="340"/>
      <c r="Y385" s="340"/>
      <c r="Z385" s="340"/>
      <c r="AA385" s="340"/>
      <c r="AB385" s="340"/>
      <c r="AC385" s="340"/>
      <c r="AD385" s="340"/>
      <c r="AE385" s="340"/>
      <c r="AF385" s="340"/>
      <c r="AG385" s="340"/>
      <c r="AH385" s="340"/>
      <c r="AI385" s="340"/>
      <c r="AJ385" s="340"/>
      <c r="AK385" s="340"/>
      <c r="AL385" s="340"/>
      <c r="AM385" s="340"/>
      <c r="AN385" s="340"/>
      <c r="AO385" s="340"/>
      <c r="AP385" s="340"/>
      <c r="AQ385" s="340"/>
      <c r="AR385" s="340"/>
      <c r="AS385" s="340"/>
      <c r="AT385" s="340"/>
      <c r="AU385" s="340"/>
      <c r="AV385" s="340"/>
      <c r="AW385" s="340"/>
      <c r="AX385" s="340"/>
      <c r="AY385" s="340"/>
      <c r="AZ385" s="340"/>
      <c r="BA385" s="340"/>
      <c r="BB385" s="340"/>
      <c r="BC385" s="340"/>
      <c r="BD385" s="340"/>
    </row>
    <row r="386" spans="3:56">
      <c r="C386" s="340"/>
      <c r="D386" s="340"/>
      <c r="E386" s="340"/>
      <c r="F386" s="340"/>
      <c r="G386" s="340"/>
      <c r="H386" s="340"/>
      <c r="I386" s="340"/>
      <c r="J386" s="340"/>
      <c r="K386" s="340"/>
      <c r="L386" s="340"/>
      <c r="M386" s="340"/>
      <c r="N386" s="340"/>
      <c r="O386" s="340"/>
      <c r="P386" s="340"/>
      <c r="Q386" s="340"/>
      <c r="R386" s="340"/>
      <c r="S386" s="340"/>
      <c r="T386" s="340"/>
      <c r="U386" s="340"/>
      <c r="V386" s="340"/>
      <c r="W386" s="340"/>
      <c r="X386" s="340"/>
      <c r="Y386" s="340"/>
      <c r="Z386" s="340"/>
      <c r="AA386" s="340"/>
      <c r="AB386" s="340"/>
      <c r="AC386" s="340"/>
      <c r="AD386" s="340"/>
      <c r="AE386" s="340"/>
      <c r="AF386" s="340"/>
      <c r="AG386" s="340"/>
      <c r="AH386" s="340"/>
      <c r="AI386" s="340"/>
      <c r="AJ386" s="340"/>
      <c r="AK386" s="340"/>
      <c r="AL386" s="340"/>
      <c r="AM386" s="340"/>
      <c r="AN386" s="340"/>
      <c r="AO386" s="340"/>
      <c r="AP386" s="340"/>
      <c r="AQ386" s="340"/>
      <c r="AR386" s="340"/>
      <c r="AS386" s="340"/>
      <c r="AT386" s="340"/>
      <c r="AU386" s="340"/>
      <c r="AV386" s="340"/>
      <c r="AW386" s="340"/>
      <c r="AX386" s="340"/>
      <c r="AY386" s="340"/>
      <c r="AZ386" s="340"/>
      <c r="BA386" s="340"/>
      <c r="BB386" s="340"/>
      <c r="BC386" s="340"/>
      <c r="BD386" s="340"/>
    </row>
    <row r="387" spans="3:56">
      <c r="C387" s="340"/>
      <c r="D387" s="340"/>
      <c r="E387" s="340"/>
      <c r="F387" s="340"/>
      <c r="G387" s="340"/>
      <c r="H387" s="340"/>
      <c r="I387" s="340"/>
      <c r="J387" s="340"/>
      <c r="K387" s="340"/>
      <c r="L387" s="340"/>
      <c r="M387" s="340"/>
      <c r="N387" s="340"/>
      <c r="O387" s="340"/>
      <c r="P387" s="340"/>
      <c r="Q387" s="340"/>
      <c r="R387" s="340"/>
      <c r="S387" s="340"/>
      <c r="T387" s="340"/>
      <c r="U387" s="340"/>
      <c r="V387" s="340"/>
      <c r="W387" s="340"/>
      <c r="X387" s="340"/>
      <c r="Y387" s="340"/>
      <c r="Z387" s="340"/>
      <c r="AA387" s="340"/>
      <c r="AB387" s="340"/>
      <c r="AC387" s="340"/>
      <c r="AD387" s="340"/>
      <c r="AE387" s="340"/>
      <c r="AF387" s="340"/>
      <c r="AG387" s="340"/>
      <c r="AH387" s="340"/>
      <c r="AI387" s="340"/>
      <c r="AJ387" s="340"/>
      <c r="AK387" s="340"/>
      <c r="AL387" s="340"/>
      <c r="AM387" s="340"/>
      <c r="AN387" s="340"/>
      <c r="AO387" s="340"/>
      <c r="AP387" s="340"/>
      <c r="AQ387" s="340"/>
      <c r="AR387" s="340"/>
      <c r="AS387" s="340"/>
      <c r="AT387" s="340"/>
      <c r="AU387" s="340"/>
      <c r="AV387" s="340"/>
      <c r="AW387" s="340"/>
      <c r="AX387" s="340"/>
      <c r="AY387" s="340"/>
      <c r="AZ387" s="340"/>
      <c r="BA387" s="340"/>
      <c r="BB387" s="340"/>
      <c r="BC387" s="340"/>
      <c r="BD387" s="340"/>
    </row>
    <row r="388" spans="3:56">
      <c r="C388" s="340"/>
      <c r="D388" s="340"/>
      <c r="E388" s="340"/>
      <c r="F388" s="340"/>
      <c r="G388" s="340"/>
      <c r="H388" s="340"/>
      <c r="I388" s="340"/>
      <c r="J388" s="340"/>
      <c r="K388" s="340"/>
      <c r="L388" s="340"/>
      <c r="M388" s="340"/>
      <c r="N388" s="340"/>
      <c r="O388" s="340"/>
      <c r="P388" s="340"/>
      <c r="Q388" s="340"/>
      <c r="R388" s="340"/>
      <c r="S388" s="340"/>
      <c r="T388" s="340"/>
      <c r="U388" s="340"/>
      <c r="V388" s="340"/>
      <c r="W388" s="340"/>
      <c r="X388" s="340"/>
      <c r="Y388" s="340"/>
      <c r="Z388" s="340"/>
      <c r="AA388" s="340"/>
      <c r="AB388" s="340"/>
      <c r="AC388" s="340"/>
      <c r="AD388" s="340"/>
      <c r="AE388" s="340"/>
      <c r="AF388" s="340"/>
      <c r="AG388" s="340"/>
      <c r="AH388" s="340"/>
      <c r="AI388" s="340"/>
      <c r="AJ388" s="340"/>
      <c r="AK388" s="340"/>
      <c r="AL388" s="340"/>
      <c r="AM388" s="340"/>
      <c r="AN388" s="340"/>
      <c r="AO388" s="340"/>
      <c r="AP388" s="340"/>
      <c r="AQ388" s="340"/>
      <c r="AR388" s="340"/>
      <c r="AS388" s="340"/>
      <c r="AT388" s="340"/>
      <c r="AU388" s="340"/>
      <c r="AV388" s="340"/>
      <c r="AW388" s="340"/>
      <c r="AX388" s="340"/>
      <c r="AY388" s="340"/>
      <c r="AZ388" s="340"/>
      <c r="BA388" s="340"/>
      <c r="BB388" s="340"/>
      <c r="BC388" s="340"/>
      <c r="BD388" s="340"/>
    </row>
    <row r="389" spans="3:56">
      <c r="C389" s="340"/>
      <c r="D389" s="340"/>
      <c r="E389" s="340"/>
      <c r="F389" s="340"/>
      <c r="G389" s="340"/>
      <c r="H389" s="340"/>
      <c r="I389" s="340"/>
      <c r="J389" s="340"/>
      <c r="K389" s="340"/>
      <c r="L389" s="340"/>
      <c r="M389" s="340"/>
      <c r="N389" s="340"/>
      <c r="O389" s="340"/>
      <c r="P389" s="340"/>
      <c r="Q389" s="340"/>
      <c r="R389" s="340"/>
      <c r="S389" s="340"/>
      <c r="T389" s="340"/>
      <c r="U389" s="340"/>
      <c r="V389" s="340"/>
      <c r="W389" s="340"/>
      <c r="X389" s="340"/>
      <c r="Y389" s="340"/>
      <c r="Z389" s="340"/>
      <c r="AA389" s="340"/>
      <c r="AB389" s="340"/>
      <c r="AC389" s="340"/>
      <c r="AD389" s="340"/>
      <c r="AE389" s="340"/>
      <c r="AF389" s="340"/>
      <c r="AG389" s="340"/>
      <c r="AH389" s="340"/>
      <c r="AI389" s="340"/>
      <c r="AJ389" s="340"/>
      <c r="AK389" s="340"/>
      <c r="AL389" s="340"/>
      <c r="AM389" s="340"/>
      <c r="AN389" s="340"/>
      <c r="AO389" s="340"/>
      <c r="AP389" s="340"/>
      <c r="AQ389" s="340"/>
      <c r="AR389" s="340"/>
      <c r="AS389" s="340"/>
      <c r="AT389" s="340"/>
      <c r="AU389" s="340"/>
      <c r="AV389" s="340"/>
      <c r="AW389" s="340"/>
      <c r="AX389" s="340"/>
      <c r="AY389" s="340"/>
      <c r="AZ389" s="340"/>
      <c r="BA389" s="340"/>
      <c r="BB389" s="340"/>
      <c r="BC389" s="340"/>
      <c r="BD389" s="340"/>
    </row>
    <row r="390" spans="3:56">
      <c r="C390" s="340"/>
      <c r="D390" s="340"/>
      <c r="E390" s="340"/>
      <c r="F390" s="340"/>
      <c r="G390" s="340"/>
      <c r="H390" s="340"/>
      <c r="I390" s="340"/>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c r="AP390" s="340"/>
      <c r="AQ390" s="340"/>
      <c r="AR390" s="340"/>
      <c r="AS390" s="340"/>
      <c r="AT390" s="340"/>
      <c r="AU390" s="340"/>
      <c r="AV390" s="340"/>
      <c r="AW390" s="340"/>
      <c r="AX390" s="340"/>
      <c r="AY390" s="340"/>
      <c r="AZ390" s="340"/>
      <c r="BA390" s="340"/>
      <c r="BB390" s="340"/>
      <c r="BC390" s="340"/>
      <c r="BD390" s="340"/>
    </row>
    <row r="391" spans="3:56">
      <c r="C391" s="340"/>
      <c r="D391" s="340"/>
      <c r="E391" s="340"/>
      <c r="F391" s="340"/>
      <c r="G391" s="340"/>
      <c r="H391" s="340"/>
      <c r="I391" s="340"/>
      <c r="J391" s="340"/>
      <c r="K391" s="340"/>
      <c r="L391" s="340"/>
      <c r="M391" s="340"/>
      <c r="N391" s="340"/>
      <c r="O391" s="340"/>
      <c r="P391" s="340"/>
      <c r="Q391" s="340"/>
      <c r="R391" s="340"/>
      <c r="S391" s="340"/>
      <c r="T391" s="340"/>
      <c r="U391" s="340"/>
      <c r="V391" s="340"/>
      <c r="W391" s="340"/>
      <c r="X391" s="340"/>
      <c r="Y391" s="340"/>
      <c r="Z391" s="340"/>
      <c r="AA391" s="340"/>
      <c r="AB391" s="340"/>
      <c r="AC391" s="340"/>
      <c r="AD391" s="340"/>
      <c r="AE391" s="340"/>
      <c r="AF391" s="340"/>
      <c r="AG391" s="340"/>
      <c r="AH391" s="340"/>
      <c r="AI391" s="340"/>
      <c r="AJ391" s="340"/>
      <c r="AK391" s="340"/>
      <c r="AL391" s="340"/>
      <c r="AM391" s="340"/>
      <c r="AN391" s="340"/>
      <c r="AO391" s="340"/>
      <c r="AP391" s="340"/>
      <c r="AQ391" s="340"/>
      <c r="AR391" s="340"/>
      <c r="AS391" s="340"/>
      <c r="AT391" s="340"/>
      <c r="AU391" s="340"/>
      <c r="AV391" s="340"/>
      <c r="AW391" s="340"/>
      <c r="AX391" s="340"/>
      <c r="AY391" s="340"/>
      <c r="AZ391" s="340"/>
      <c r="BA391" s="340"/>
      <c r="BB391" s="340"/>
      <c r="BC391" s="340"/>
      <c r="BD391" s="340"/>
    </row>
    <row r="392" spans="3:56">
      <c r="C392" s="340"/>
      <c r="D392" s="340"/>
      <c r="E392" s="340"/>
      <c r="F392" s="340"/>
      <c r="G392" s="340"/>
      <c r="H392" s="340"/>
      <c r="I392" s="340"/>
      <c r="J392" s="340"/>
      <c r="K392" s="340"/>
      <c r="L392" s="340"/>
      <c r="M392" s="340"/>
      <c r="N392" s="340"/>
      <c r="O392" s="340"/>
      <c r="P392" s="340"/>
      <c r="Q392" s="340"/>
      <c r="R392" s="340"/>
      <c r="S392" s="340"/>
      <c r="T392" s="340"/>
      <c r="U392" s="340"/>
      <c r="V392" s="340"/>
      <c r="W392" s="340"/>
      <c r="X392" s="340"/>
      <c r="Y392" s="340"/>
      <c r="Z392" s="340"/>
      <c r="AA392" s="340"/>
      <c r="AB392" s="340"/>
      <c r="AC392" s="340"/>
      <c r="AD392" s="340"/>
      <c r="AE392" s="340"/>
      <c r="AF392" s="340"/>
      <c r="AG392" s="340"/>
      <c r="AH392" s="340"/>
      <c r="AI392" s="340"/>
      <c r="AJ392" s="340"/>
      <c r="AK392" s="340"/>
      <c r="AL392" s="340"/>
      <c r="AM392" s="340"/>
      <c r="AN392" s="340"/>
      <c r="AO392" s="340"/>
      <c r="AP392" s="340"/>
      <c r="AQ392" s="340"/>
      <c r="AR392" s="340"/>
      <c r="AS392" s="340"/>
      <c r="AT392" s="340"/>
      <c r="AU392" s="340"/>
      <c r="AV392" s="340"/>
      <c r="AW392" s="340"/>
      <c r="AX392" s="340"/>
      <c r="AY392" s="340"/>
      <c r="AZ392" s="340"/>
      <c r="BA392" s="340"/>
      <c r="BB392" s="340"/>
      <c r="BC392" s="340"/>
      <c r="BD392" s="340"/>
    </row>
    <row r="393" spans="3:56">
      <c r="C393" s="340"/>
      <c r="D393" s="340"/>
      <c r="E393" s="340"/>
      <c r="F393" s="340"/>
      <c r="G393" s="340"/>
      <c r="H393" s="340"/>
      <c r="I393" s="340"/>
      <c r="J393" s="340"/>
      <c r="K393" s="340"/>
      <c r="L393" s="340"/>
      <c r="M393" s="340"/>
      <c r="N393" s="340"/>
      <c r="O393" s="340"/>
      <c r="P393" s="340"/>
      <c r="Q393" s="340"/>
      <c r="R393" s="340"/>
      <c r="S393" s="340"/>
      <c r="T393" s="340"/>
      <c r="U393" s="340"/>
      <c r="V393" s="340"/>
      <c r="W393" s="340"/>
      <c r="X393" s="340"/>
      <c r="Y393" s="340"/>
      <c r="Z393" s="340"/>
      <c r="AA393" s="340"/>
      <c r="AB393" s="340"/>
      <c r="AC393" s="340"/>
      <c r="AD393" s="340"/>
      <c r="AE393" s="340"/>
      <c r="AF393" s="340"/>
      <c r="AG393" s="340"/>
      <c r="AH393" s="340"/>
      <c r="AI393" s="340"/>
      <c r="AJ393" s="340"/>
      <c r="AK393" s="340"/>
      <c r="AL393" s="340"/>
      <c r="AM393" s="340"/>
      <c r="AN393" s="340"/>
      <c r="AO393" s="340"/>
      <c r="AP393" s="340"/>
      <c r="AQ393" s="340"/>
      <c r="AR393" s="340"/>
      <c r="AS393" s="340"/>
      <c r="AT393" s="340"/>
      <c r="AU393" s="340"/>
      <c r="AV393" s="340"/>
      <c r="AW393" s="340"/>
      <c r="AX393" s="340"/>
      <c r="AY393" s="340"/>
      <c r="AZ393" s="340"/>
      <c r="BA393" s="340"/>
      <c r="BB393" s="340"/>
      <c r="BC393" s="340"/>
      <c r="BD393" s="340"/>
    </row>
    <row r="394" spans="3:56">
      <c r="C394" s="340"/>
      <c r="D394" s="340"/>
      <c r="E394" s="340"/>
      <c r="F394" s="340"/>
      <c r="G394" s="340"/>
      <c r="H394" s="340"/>
      <c r="I394" s="340"/>
      <c r="J394" s="340"/>
      <c r="K394" s="340"/>
      <c r="L394" s="340"/>
      <c r="M394" s="340"/>
      <c r="N394" s="340"/>
      <c r="O394" s="340"/>
      <c r="P394" s="340"/>
      <c r="Q394" s="340"/>
      <c r="R394" s="340"/>
      <c r="S394" s="340"/>
      <c r="T394" s="340"/>
      <c r="U394" s="340"/>
      <c r="V394" s="340"/>
      <c r="W394" s="340"/>
      <c r="X394" s="340"/>
      <c r="Y394" s="340"/>
      <c r="Z394" s="340"/>
      <c r="AA394" s="340"/>
      <c r="AB394" s="340"/>
      <c r="AC394" s="340"/>
      <c r="AD394" s="340"/>
      <c r="AE394" s="340"/>
      <c r="AF394" s="340"/>
      <c r="AG394" s="340"/>
      <c r="AH394" s="340"/>
      <c r="AI394" s="340"/>
      <c r="AJ394" s="340"/>
      <c r="AK394" s="340"/>
      <c r="AL394" s="340"/>
      <c r="AM394" s="340"/>
      <c r="AN394" s="340"/>
      <c r="AO394" s="340"/>
      <c r="AP394" s="340"/>
      <c r="AQ394" s="340"/>
      <c r="AR394" s="340"/>
      <c r="AS394" s="340"/>
      <c r="AT394" s="340"/>
      <c r="AU394" s="340"/>
      <c r="AV394" s="340"/>
      <c r="AW394" s="340"/>
      <c r="AX394" s="340"/>
      <c r="AY394" s="340"/>
      <c r="AZ394" s="340"/>
      <c r="BA394" s="340"/>
      <c r="BB394" s="340"/>
      <c r="BC394" s="340"/>
      <c r="BD394" s="340"/>
    </row>
    <row r="395" spans="3:56">
      <c r="C395" s="340"/>
      <c r="D395" s="340"/>
      <c r="E395" s="340"/>
      <c r="F395" s="340"/>
      <c r="G395" s="340"/>
      <c r="H395" s="340"/>
      <c r="I395" s="340"/>
      <c r="J395" s="340"/>
      <c r="K395" s="340"/>
      <c r="L395" s="340"/>
      <c r="M395" s="340"/>
      <c r="N395" s="340"/>
      <c r="O395" s="340"/>
      <c r="P395" s="340"/>
      <c r="Q395" s="340"/>
      <c r="R395" s="340"/>
      <c r="S395" s="340"/>
      <c r="T395" s="340"/>
      <c r="U395" s="340"/>
      <c r="V395" s="340"/>
      <c r="W395" s="340"/>
      <c r="X395" s="340"/>
      <c r="Y395" s="340"/>
      <c r="Z395" s="340"/>
      <c r="AA395" s="340"/>
      <c r="AB395" s="340"/>
      <c r="AC395" s="340"/>
      <c r="AD395" s="340"/>
      <c r="AE395" s="340"/>
      <c r="AF395" s="340"/>
      <c r="AG395" s="340"/>
      <c r="AH395" s="340"/>
      <c r="AI395" s="340"/>
      <c r="AJ395" s="340"/>
      <c r="AK395" s="340"/>
      <c r="AL395" s="340"/>
      <c r="AM395" s="340"/>
      <c r="AN395" s="340"/>
      <c r="AO395" s="340"/>
      <c r="AP395" s="340"/>
      <c r="AQ395" s="340"/>
      <c r="AR395" s="340"/>
      <c r="AS395" s="340"/>
      <c r="AT395" s="340"/>
      <c r="AU395" s="340"/>
      <c r="AV395" s="340"/>
      <c r="AW395" s="340"/>
      <c r="AX395" s="340"/>
      <c r="AY395" s="340"/>
      <c r="AZ395" s="340"/>
      <c r="BA395" s="340"/>
      <c r="BB395" s="340"/>
      <c r="BC395" s="340"/>
      <c r="BD395" s="340"/>
    </row>
    <row r="396" spans="3:56">
      <c r="C396" s="340"/>
      <c r="D396" s="340"/>
      <c r="E396" s="340"/>
      <c r="F396" s="340"/>
      <c r="G396" s="340"/>
      <c r="H396" s="340"/>
      <c r="I396" s="340"/>
      <c r="J396" s="340"/>
      <c r="K396" s="340"/>
      <c r="L396" s="340"/>
      <c r="M396" s="340"/>
      <c r="N396" s="340"/>
      <c r="O396" s="340"/>
      <c r="P396" s="340"/>
      <c r="Q396" s="340"/>
      <c r="R396" s="340"/>
      <c r="S396" s="340"/>
      <c r="T396" s="340"/>
      <c r="U396" s="340"/>
      <c r="V396" s="340"/>
      <c r="W396" s="340"/>
      <c r="X396" s="340"/>
      <c r="Y396" s="340"/>
      <c r="Z396" s="340"/>
      <c r="AA396" s="340"/>
      <c r="AB396" s="340"/>
      <c r="AC396" s="340"/>
      <c r="AD396" s="340"/>
      <c r="AE396" s="340"/>
      <c r="AF396" s="340"/>
      <c r="AG396" s="340"/>
      <c r="AH396" s="340"/>
      <c r="AI396" s="340"/>
      <c r="AJ396" s="340"/>
      <c r="AK396" s="340"/>
      <c r="AL396" s="340"/>
      <c r="AM396" s="340"/>
      <c r="AN396" s="340"/>
      <c r="AO396" s="340"/>
      <c r="AP396" s="340"/>
      <c r="AQ396" s="340"/>
      <c r="AR396" s="340"/>
      <c r="AS396" s="340"/>
      <c r="AT396" s="340"/>
      <c r="AU396" s="340"/>
      <c r="AV396" s="340"/>
      <c r="AW396" s="340"/>
      <c r="AX396" s="340"/>
      <c r="AY396" s="340"/>
      <c r="AZ396" s="340"/>
      <c r="BA396" s="340"/>
      <c r="BB396" s="340"/>
      <c r="BC396" s="340"/>
      <c r="BD396" s="340"/>
    </row>
    <row r="397" spans="3:56">
      <c r="C397" s="340"/>
      <c r="D397" s="340"/>
      <c r="E397" s="340"/>
      <c r="F397" s="340"/>
      <c r="G397" s="340"/>
      <c r="H397" s="340"/>
      <c r="I397" s="340"/>
      <c r="J397" s="340"/>
      <c r="K397" s="340"/>
      <c r="L397" s="340"/>
      <c r="M397" s="340"/>
      <c r="N397" s="340"/>
      <c r="O397" s="340"/>
      <c r="P397" s="340"/>
      <c r="Q397" s="340"/>
      <c r="R397" s="340"/>
      <c r="S397" s="340"/>
      <c r="T397" s="340"/>
      <c r="U397" s="340"/>
      <c r="V397" s="340"/>
      <c r="W397" s="340"/>
      <c r="X397" s="340"/>
      <c r="Y397" s="340"/>
      <c r="Z397" s="340"/>
      <c r="AA397" s="340"/>
      <c r="AB397" s="340"/>
      <c r="AC397" s="340"/>
      <c r="AD397" s="340"/>
      <c r="AE397" s="340"/>
      <c r="AF397" s="340"/>
      <c r="AG397" s="340"/>
      <c r="AH397" s="340"/>
      <c r="AI397" s="340"/>
      <c r="AJ397" s="340"/>
      <c r="AK397" s="340"/>
      <c r="AL397" s="340"/>
      <c r="AM397" s="340"/>
      <c r="AN397" s="340"/>
      <c r="AO397" s="340"/>
      <c r="AP397" s="340"/>
      <c r="AQ397" s="340"/>
      <c r="AR397" s="340"/>
      <c r="AS397" s="340"/>
      <c r="AT397" s="340"/>
      <c r="AU397" s="340"/>
      <c r="AV397" s="340"/>
      <c r="AW397" s="340"/>
      <c r="AX397" s="340"/>
      <c r="AY397" s="340"/>
      <c r="AZ397" s="340"/>
      <c r="BA397" s="340"/>
      <c r="BB397" s="340"/>
      <c r="BC397" s="340"/>
      <c r="BD397" s="340"/>
    </row>
    <row r="398" spans="3:56">
      <c r="C398" s="340"/>
      <c r="D398" s="340"/>
      <c r="E398" s="340"/>
      <c r="F398" s="340"/>
      <c r="G398" s="340"/>
      <c r="H398" s="340"/>
      <c r="I398" s="340"/>
      <c r="J398" s="340"/>
      <c r="K398" s="340"/>
      <c r="L398" s="340"/>
      <c r="M398" s="340"/>
      <c r="N398" s="340"/>
      <c r="O398" s="340"/>
      <c r="P398" s="340"/>
      <c r="Q398" s="340"/>
      <c r="R398" s="340"/>
      <c r="S398" s="340"/>
      <c r="T398" s="340"/>
      <c r="U398" s="340"/>
      <c r="V398" s="340"/>
      <c r="W398" s="340"/>
      <c r="X398" s="340"/>
      <c r="Y398" s="340"/>
      <c r="Z398" s="340"/>
      <c r="AA398" s="340"/>
      <c r="AB398" s="340"/>
      <c r="AC398" s="340"/>
      <c r="AD398" s="340"/>
      <c r="AE398" s="340"/>
      <c r="AF398" s="340"/>
      <c r="AG398" s="340"/>
      <c r="AH398" s="340"/>
      <c r="AI398" s="340"/>
      <c r="AJ398" s="340"/>
      <c r="AK398" s="340"/>
      <c r="AL398" s="340"/>
      <c r="AM398" s="340"/>
      <c r="AN398" s="340"/>
      <c r="AO398" s="340"/>
      <c r="AP398" s="340"/>
      <c r="AQ398" s="340"/>
      <c r="AR398" s="340"/>
      <c r="AS398" s="340"/>
      <c r="AT398" s="340"/>
      <c r="AU398" s="340"/>
      <c r="AV398" s="340"/>
      <c r="AW398" s="340"/>
      <c r="AX398" s="340"/>
      <c r="AY398" s="340"/>
      <c r="AZ398" s="340"/>
      <c r="BA398" s="340"/>
      <c r="BB398" s="340"/>
      <c r="BC398" s="340"/>
      <c r="BD398" s="340"/>
    </row>
    <row r="399" spans="3:56">
      <c r="C399" s="340"/>
      <c r="D399" s="340"/>
      <c r="E399" s="340"/>
      <c r="F399" s="340"/>
      <c r="G399" s="340"/>
      <c r="H399" s="340"/>
      <c r="I399" s="340"/>
      <c r="J399" s="340"/>
      <c r="K399" s="340"/>
      <c r="L399" s="340"/>
      <c r="M399" s="340"/>
      <c r="N399" s="340"/>
      <c r="O399" s="340"/>
      <c r="P399" s="340"/>
      <c r="Q399" s="340"/>
      <c r="R399" s="340"/>
      <c r="S399" s="340"/>
      <c r="T399" s="340"/>
      <c r="U399" s="340"/>
      <c r="V399" s="340"/>
      <c r="W399" s="340"/>
      <c r="X399" s="340"/>
      <c r="Y399" s="340"/>
      <c r="Z399" s="340"/>
      <c r="AA399" s="340"/>
      <c r="AB399" s="340"/>
      <c r="AC399" s="340"/>
      <c r="AD399" s="340"/>
      <c r="AE399" s="340"/>
      <c r="AF399" s="340"/>
      <c r="AG399" s="340"/>
      <c r="AH399" s="340"/>
      <c r="AI399" s="340"/>
      <c r="AJ399" s="340"/>
      <c r="AK399" s="340"/>
      <c r="AL399" s="340"/>
      <c r="AM399" s="340"/>
      <c r="AN399" s="340"/>
      <c r="AO399" s="340"/>
      <c r="AP399" s="340"/>
      <c r="AQ399" s="340"/>
      <c r="AR399" s="340"/>
      <c r="AS399" s="340"/>
      <c r="AT399" s="340"/>
      <c r="AU399" s="340"/>
      <c r="AV399" s="340"/>
      <c r="AW399" s="340"/>
      <c r="AX399" s="340"/>
      <c r="AY399" s="340"/>
      <c r="AZ399" s="340"/>
      <c r="BA399" s="340"/>
      <c r="BB399" s="340"/>
      <c r="BC399" s="340"/>
      <c r="BD399" s="340"/>
    </row>
    <row r="400" spans="3:56">
      <c r="C400" s="340"/>
      <c r="D400" s="340"/>
      <c r="E400" s="340"/>
      <c r="F400" s="340"/>
      <c r="G400" s="340"/>
      <c r="H400" s="340"/>
      <c r="I400" s="340"/>
      <c r="J400" s="340"/>
      <c r="K400" s="340"/>
      <c r="L400" s="340"/>
      <c r="M400" s="340"/>
      <c r="N400" s="340"/>
      <c r="O400" s="340"/>
      <c r="P400" s="340"/>
      <c r="Q400" s="340"/>
      <c r="R400" s="340"/>
      <c r="S400" s="340"/>
      <c r="T400" s="340"/>
      <c r="U400" s="340"/>
      <c r="V400" s="340"/>
      <c r="W400" s="340"/>
      <c r="X400" s="340"/>
      <c r="Y400" s="340"/>
      <c r="Z400" s="340"/>
      <c r="AA400" s="340"/>
      <c r="AB400" s="340"/>
      <c r="AC400" s="340"/>
      <c r="AD400" s="340"/>
      <c r="AE400" s="340"/>
      <c r="AF400" s="340"/>
      <c r="AG400" s="340"/>
      <c r="AH400" s="340"/>
      <c r="AI400" s="340"/>
      <c r="AJ400" s="340"/>
      <c r="AK400" s="340"/>
      <c r="AL400" s="340"/>
      <c r="AM400" s="340"/>
      <c r="AN400" s="340"/>
      <c r="AO400" s="340"/>
      <c r="AP400" s="340"/>
      <c r="AQ400" s="340"/>
      <c r="AR400" s="340"/>
      <c r="AS400" s="340"/>
      <c r="AT400" s="340"/>
      <c r="AU400" s="340"/>
      <c r="AV400" s="340"/>
      <c r="AW400" s="340"/>
      <c r="AX400" s="340"/>
      <c r="AY400" s="340"/>
      <c r="AZ400" s="340"/>
      <c r="BA400" s="340"/>
      <c r="BB400" s="340"/>
      <c r="BC400" s="340"/>
      <c r="BD400" s="340"/>
    </row>
    <row r="401" spans="3:56">
      <c r="C401" s="340"/>
      <c r="D401" s="340"/>
      <c r="E401" s="340"/>
      <c r="F401" s="340"/>
      <c r="G401" s="340"/>
      <c r="H401" s="340"/>
      <c r="I401" s="340"/>
      <c r="J401" s="340"/>
      <c r="K401" s="340"/>
      <c r="L401" s="340"/>
      <c r="M401" s="340"/>
      <c r="N401" s="340"/>
      <c r="O401" s="340"/>
      <c r="P401" s="340"/>
      <c r="Q401" s="340"/>
      <c r="R401" s="340"/>
      <c r="S401" s="340"/>
      <c r="T401" s="340"/>
      <c r="U401" s="340"/>
      <c r="V401" s="340"/>
      <c r="W401" s="340"/>
      <c r="X401" s="340"/>
      <c r="Y401" s="340"/>
      <c r="Z401" s="340"/>
      <c r="AA401" s="340"/>
      <c r="AB401" s="340"/>
      <c r="AC401" s="340"/>
      <c r="AD401" s="340"/>
      <c r="AE401" s="340"/>
      <c r="AF401" s="340"/>
      <c r="AG401" s="340"/>
      <c r="AH401" s="340"/>
      <c r="AI401" s="340"/>
      <c r="AJ401" s="340"/>
      <c r="AK401" s="340"/>
      <c r="AL401" s="340"/>
      <c r="AM401" s="340"/>
      <c r="AN401" s="340"/>
      <c r="AO401" s="340"/>
      <c r="AP401" s="340"/>
      <c r="AQ401" s="340"/>
      <c r="AR401" s="340"/>
      <c r="AS401" s="340"/>
      <c r="AT401" s="340"/>
      <c r="AU401" s="340"/>
      <c r="AV401" s="340"/>
      <c r="AW401" s="340"/>
      <c r="AX401" s="340"/>
      <c r="AY401" s="340"/>
      <c r="AZ401" s="340"/>
      <c r="BA401" s="340"/>
      <c r="BB401" s="340"/>
      <c r="BC401" s="340"/>
      <c r="BD401" s="340"/>
    </row>
    <row r="402" spans="3:56">
      <c r="C402" s="340"/>
      <c r="D402" s="340"/>
      <c r="E402" s="340"/>
      <c r="F402" s="340"/>
      <c r="G402" s="340"/>
      <c r="H402" s="340"/>
      <c r="I402" s="340"/>
      <c r="J402" s="340"/>
      <c r="K402" s="340"/>
      <c r="L402" s="340"/>
      <c r="M402" s="340"/>
      <c r="N402" s="340"/>
      <c r="O402" s="340"/>
      <c r="P402" s="340"/>
      <c r="Q402" s="340"/>
      <c r="R402" s="340"/>
      <c r="S402" s="340"/>
      <c r="T402" s="340"/>
      <c r="U402" s="340"/>
      <c r="V402" s="340"/>
      <c r="W402" s="340"/>
      <c r="X402" s="340"/>
      <c r="Y402" s="340"/>
      <c r="Z402" s="340"/>
      <c r="AA402" s="340"/>
      <c r="AB402" s="340"/>
      <c r="AC402" s="340"/>
      <c r="AD402" s="340"/>
      <c r="AE402" s="340"/>
      <c r="AF402" s="340"/>
      <c r="AG402" s="340"/>
      <c r="AH402" s="340"/>
      <c r="AI402" s="340"/>
      <c r="AJ402" s="340"/>
      <c r="AK402" s="340"/>
      <c r="AL402" s="340"/>
      <c r="AM402" s="340"/>
      <c r="AN402" s="340"/>
      <c r="AO402" s="340"/>
      <c r="AP402" s="340"/>
      <c r="AQ402" s="340"/>
      <c r="AR402" s="340"/>
      <c r="AS402" s="340"/>
      <c r="AT402" s="340"/>
      <c r="AU402" s="340"/>
      <c r="AV402" s="340"/>
      <c r="AW402" s="340"/>
      <c r="AX402" s="340"/>
      <c r="AY402" s="340"/>
      <c r="AZ402" s="340"/>
      <c r="BA402" s="340"/>
      <c r="BB402" s="340"/>
      <c r="BC402" s="340"/>
      <c r="BD402" s="340"/>
    </row>
    <row r="403" spans="3:56">
      <c r="C403" s="340"/>
      <c r="D403" s="340"/>
      <c r="E403" s="340"/>
      <c r="F403" s="340"/>
      <c r="G403" s="340"/>
      <c r="H403" s="340"/>
      <c r="I403" s="340"/>
      <c r="J403" s="340"/>
      <c r="K403" s="340"/>
      <c r="L403" s="340"/>
      <c r="M403" s="340"/>
      <c r="N403" s="340"/>
      <c r="O403" s="340"/>
      <c r="P403" s="340"/>
      <c r="Q403" s="340"/>
      <c r="R403" s="340"/>
      <c r="S403" s="340"/>
      <c r="T403" s="340"/>
      <c r="U403" s="340"/>
      <c r="V403" s="340"/>
      <c r="W403" s="340"/>
      <c r="X403" s="340"/>
      <c r="Y403" s="340"/>
      <c r="Z403" s="340"/>
      <c r="AA403" s="340"/>
      <c r="AB403" s="340"/>
      <c r="AC403" s="340"/>
      <c r="AD403" s="340"/>
      <c r="AE403" s="340"/>
      <c r="AF403" s="340"/>
      <c r="AG403" s="340"/>
      <c r="AH403" s="340"/>
      <c r="AI403" s="340"/>
      <c r="AJ403" s="340"/>
      <c r="AK403" s="340"/>
      <c r="AL403" s="340"/>
      <c r="AM403" s="340"/>
      <c r="AN403" s="340"/>
      <c r="AO403" s="340"/>
      <c r="AP403" s="340"/>
      <c r="AQ403" s="340"/>
      <c r="AR403" s="340"/>
      <c r="AS403" s="340"/>
      <c r="AT403" s="340"/>
      <c r="AU403" s="340"/>
      <c r="AV403" s="340"/>
      <c r="AW403" s="340"/>
      <c r="AX403" s="340"/>
      <c r="AY403" s="340"/>
      <c r="AZ403" s="340"/>
      <c r="BA403" s="340"/>
      <c r="BB403" s="340"/>
      <c r="BC403" s="340"/>
      <c r="BD403" s="340"/>
    </row>
    <row r="404" spans="3:56">
      <c r="C404" s="340"/>
      <c r="D404" s="340"/>
      <c r="E404" s="340"/>
      <c r="F404" s="340"/>
      <c r="G404" s="340"/>
      <c r="H404" s="340"/>
      <c r="I404" s="340"/>
      <c r="J404" s="340"/>
      <c r="K404" s="340"/>
      <c r="L404" s="340"/>
      <c r="M404" s="340"/>
      <c r="N404" s="340"/>
      <c r="O404" s="340"/>
      <c r="P404" s="340"/>
      <c r="Q404" s="340"/>
      <c r="R404" s="340"/>
      <c r="S404" s="340"/>
      <c r="T404" s="340"/>
      <c r="U404" s="340"/>
      <c r="V404" s="340"/>
      <c r="W404" s="340"/>
      <c r="X404" s="340"/>
      <c r="Y404" s="340"/>
      <c r="Z404" s="340"/>
      <c r="AA404" s="340"/>
      <c r="AB404" s="340"/>
      <c r="AC404" s="340"/>
      <c r="AD404" s="340"/>
      <c r="AE404" s="340"/>
      <c r="AF404" s="340"/>
      <c r="AG404" s="340"/>
      <c r="AH404" s="340"/>
      <c r="AI404" s="340"/>
      <c r="AJ404" s="340"/>
      <c r="AK404" s="340"/>
      <c r="AL404" s="340"/>
      <c r="AM404" s="340"/>
      <c r="AN404" s="340"/>
      <c r="AO404" s="340"/>
      <c r="AP404" s="340"/>
      <c r="AQ404" s="340"/>
      <c r="AR404" s="340"/>
      <c r="AS404" s="340"/>
      <c r="AT404" s="340"/>
      <c r="AU404" s="340"/>
      <c r="AV404" s="340"/>
      <c r="AW404" s="340"/>
      <c r="AX404" s="340"/>
      <c r="AY404" s="340"/>
      <c r="AZ404" s="340"/>
      <c r="BA404" s="340"/>
      <c r="BB404" s="340"/>
      <c r="BC404" s="340"/>
      <c r="BD404" s="340"/>
    </row>
    <row r="405" spans="3:56">
      <c r="C405" s="340"/>
      <c r="D405" s="340"/>
      <c r="E405" s="340"/>
      <c r="F405" s="340"/>
      <c r="G405" s="340"/>
      <c r="H405" s="340"/>
      <c r="I405" s="340"/>
      <c r="J405" s="340"/>
      <c r="K405" s="340"/>
      <c r="L405" s="340"/>
      <c r="M405" s="340"/>
      <c r="N405" s="340"/>
      <c r="O405" s="340"/>
      <c r="P405" s="340"/>
      <c r="Q405" s="340"/>
      <c r="R405" s="340"/>
      <c r="S405" s="340"/>
      <c r="T405" s="340"/>
      <c r="U405" s="340"/>
      <c r="V405" s="340"/>
      <c r="W405" s="340"/>
      <c r="X405" s="340"/>
      <c r="Y405" s="340"/>
      <c r="Z405" s="340"/>
      <c r="AA405" s="340"/>
      <c r="AB405" s="340"/>
      <c r="AC405" s="340"/>
      <c r="AD405" s="340"/>
      <c r="AE405" s="340"/>
      <c r="AF405" s="340"/>
      <c r="AG405" s="340"/>
      <c r="AH405" s="340"/>
      <c r="AI405" s="340"/>
      <c r="AJ405" s="340"/>
      <c r="AK405" s="340"/>
      <c r="AL405" s="340"/>
      <c r="AM405" s="340"/>
      <c r="AN405" s="340"/>
      <c r="AO405" s="340"/>
      <c r="AP405" s="340"/>
      <c r="AQ405" s="340"/>
      <c r="AR405" s="340"/>
      <c r="AS405" s="340"/>
      <c r="AT405" s="340"/>
      <c r="AU405" s="340"/>
      <c r="AV405" s="340"/>
      <c r="AW405" s="340"/>
      <c r="AX405" s="340"/>
      <c r="AY405" s="340"/>
      <c r="AZ405" s="340"/>
      <c r="BA405" s="340"/>
      <c r="BB405" s="340"/>
      <c r="BC405" s="340"/>
      <c r="BD405" s="340"/>
    </row>
    <row r="406" spans="3:56">
      <c r="C406" s="340"/>
      <c r="D406" s="340"/>
      <c r="E406" s="340"/>
      <c r="F406" s="340"/>
      <c r="G406" s="340"/>
      <c r="H406" s="340"/>
      <c r="I406" s="340"/>
      <c r="J406" s="340"/>
      <c r="K406" s="340"/>
      <c r="L406" s="340"/>
      <c r="M406" s="340"/>
      <c r="N406" s="340"/>
      <c r="O406" s="340"/>
      <c r="P406" s="340"/>
      <c r="Q406" s="340"/>
      <c r="R406" s="340"/>
      <c r="S406" s="340"/>
      <c r="T406" s="340"/>
      <c r="U406" s="340"/>
      <c r="V406" s="340"/>
      <c r="W406" s="340"/>
      <c r="X406" s="340"/>
      <c r="Y406" s="340"/>
      <c r="Z406" s="340"/>
      <c r="AA406" s="340"/>
      <c r="AB406" s="340"/>
      <c r="AC406" s="340"/>
      <c r="AD406" s="340"/>
      <c r="AE406" s="340"/>
      <c r="AF406" s="340"/>
      <c r="AG406" s="340"/>
      <c r="AH406" s="340"/>
      <c r="AI406" s="340"/>
      <c r="AJ406" s="340"/>
      <c r="AK406" s="340"/>
      <c r="AL406" s="340"/>
      <c r="AM406" s="340"/>
      <c r="AN406" s="340"/>
      <c r="AO406" s="340"/>
      <c r="AP406" s="340"/>
      <c r="AQ406" s="340"/>
      <c r="AR406" s="340"/>
      <c r="AS406" s="340"/>
      <c r="AT406" s="340"/>
      <c r="AU406" s="340"/>
      <c r="AV406" s="340"/>
      <c r="AW406" s="340"/>
      <c r="AX406" s="340"/>
      <c r="AY406" s="340"/>
      <c r="AZ406" s="340"/>
      <c r="BA406" s="340"/>
      <c r="BB406" s="340"/>
      <c r="BC406" s="340"/>
      <c r="BD406" s="340"/>
    </row>
    <row r="407" spans="3:56">
      <c r="C407" s="340"/>
      <c r="D407" s="340"/>
      <c r="E407" s="340"/>
      <c r="F407" s="340"/>
      <c r="G407" s="340"/>
      <c r="H407" s="340"/>
      <c r="I407" s="340"/>
      <c r="J407" s="340"/>
      <c r="K407" s="340"/>
      <c r="L407" s="340"/>
      <c r="M407" s="340"/>
      <c r="N407" s="340"/>
      <c r="O407" s="340"/>
      <c r="P407" s="340"/>
      <c r="Q407" s="340"/>
      <c r="R407" s="340"/>
      <c r="S407" s="340"/>
      <c r="T407" s="340"/>
      <c r="U407" s="340"/>
      <c r="V407" s="340"/>
      <c r="W407" s="340"/>
      <c r="X407" s="340"/>
      <c r="Y407" s="340"/>
      <c r="Z407" s="340"/>
      <c r="AA407" s="340"/>
      <c r="AB407" s="340"/>
      <c r="AC407" s="340"/>
      <c r="AD407" s="340"/>
      <c r="AE407" s="340"/>
      <c r="AF407" s="340"/>
      <c r="AG407" s="340"/>
      <c r="AH407" s="340"/>
      <c r="AI407" s="340"/>
      <c r="AJ407" s="340"/>
      <c r="AK407" s="340"/>
      <c r="AL407" s="340"/>
      <c r="AM407" s="340"/>
      <c r="AN407" s="340"/>
      <c r="AO407" s="340"/>
      <c r="AP407" s="340"/>
      <c r="AQ407" s="340"/>
      <c r="AR407" s="340"/>
      <c r="AS407" s="340"/>
      <c r="AT407" s="340"/>
      <c r="AU407" s="340"/>
      <c r="AV407" s="340"/>
      <c r="AW407" s="340"/>
      <c r="AX407" s="340"/>
      <c r="AY407" s="340"/>
      <c r="AZ407" s="340"/>
      <c r="BA407" s="340"/>
      <c r="BB407" s="340"/>
      <c r="BC407" s="340"/>
      <c r="BD407" s="340"/>
    </row>
    <row r="408" spans="3:56">
      <c r="C408" s="340"/>
      <c r="D408" s="340"/>
      <c r="E408" s="340"/>
      <c r="F408" s="340"/>
      <c r="G408" s="340"/>
      <c r="H408" s="340"/>
      <c r="I408" s="340"/>
      <c r="J408" s="340"/>
      <c r="K408" s="340"/>
      <c r="L408" s="340"/>
      <c r="M408" s="340"/>
      <c r="N408" s="340"/>
      <c r="O408" s="340"/>
      <c r="P408" s="340"/>
      <c r="Q408" s="340"/>
      <c r="R408" s="340"/>
      <c r="S408" s="340"/>
      <c r="T408" s="340"/>
      <c r="U408" s="340"/>
      <c r="V408" s="340"/>
      <c r="W408" s="340"/>
      <c r="X408" s="340"/>
      <c r="Y408" s="340"/>
      <c r="Z408" s="340"/>
      <c r="AA408" s="340"/>
      <c r="AB408" s="340"/>
      <c r="AC408" s="340"/>
      <c r="AD408" s="340"/>
      <c r="AE408" s="340"/>
      <c r="AF408" s="340"/>
      <c r="AG408" s="340"/>
      <c r="AH408" s="340"/>
      <c r="AI408" s="340"/>
      <c r="AJ408" s="340"/>
      <c r="AK408" s="340"/>
      <c r="AL408" s="340"/>
      <c r="AM408" s="340"/>
      <c r="AN408" s="340"/>
      <c r="AO408" s="340"/>
      <c r="AP408" s="340"/>
      <c r="AQ408" s="340"/>
      <c r="AR408" s="340"/>
      <c r="AS408" s="340"/>
      <c r="AT408" s="340"/>
      <c r="AU408" s="340"/>
      <c r="AV408" s="340"/>
      <c r="AW408" s="340"/>
      <c r="AX408" s="340"/>
      <c r="AY408" s="340"/>
      <c r="AZ408" s="340"/>
      <c r="BA408" s="340"/>
      <c r="BB408" s="340"/>
      <c r="BC408" s="340"/>
      <c r="BD408" s="340"/>
    </row>
    <row r="409" spans="3:56">
      <c r="C409" s="340"/>
      <c r="D409" s="340"/>
      <c r="E409" s="340"/>
      <c r="F409" s="340"/>
      <c r="G409" s="340"/>
      <c r="H409" s="340"/>
      <c r="I409" s="340"/>
      <c r="J409" s="340"/>
      <c r="K409" s="340"/>
      <c r="L409" s="340"/>
      <c r="M409" s="340"/>
      <c r="N409" s="340"/>
      <c r="O409" s="340"/>
      <c r="P409" s="340"/>
      <c r="Q409" s="340"/>
      <c r="R409" s="340"/>
      <c r="S409" s="340"/>
      <c r="T409" s="340"/>
      <c r="U409" s="340"/>
      <c r="V409" s="340"/>
      <c r="W409" s="340"/>
      <c r="X409" s="340"/>
      <c r="Y409" s="340"/>
      <c r="Z409" s="340"/>
      <c r="AA409" s="340"/>
      <c r="AB409" s="340"/>
      <c r="AC409" s="340"/>
      <c r="AD409" s="340"/>
      <c r="AE409" s="340"/>
      <c r="AF409" s="340"/>
      <c r="AG409" s="340"/>
      <c r="AH409" s="340"/>
      <c r="AI409" s="340"/>
      <c r="AJ409" s="340"/>
      <c r="AK409" s="340"/>
      <c r="AL409" s="340"/>
      <c r="AM409" s="340"/>
      <c r="AN409" s="340"/>
      <c r="AO409" s="340"/>
      <c r="AP409" s="340"/>
      <c r="AQ409" s="340"/>
      <c r="AR409" s="340"/>
      <c r="AS409" s="340"/>
      <c r="AT409" s="340"/>
      <c r="AU409" s="340"/>
      <c r="AV409" s="340"/>
      <c r="AW409" s="340"/>
      <c r="AX409" s="340"/>
      <c r="AY409" s="340"/>
      <c r="AZ409" s="340"/>
      <c r="BA409" s="340"/>
      <c r="BB409" s="340"/>
      <c r="BC409" s="340"/>
      <c r="BD409" s="340"/>
    </row>
    <row r="410" spans="3:56">
      <c r="C410" s="340"/>
      <c r="D410" s="340"/>
      <c r="E410" s="340"/>
      <c r="F410" s="340"/>
      <c r="G410" s="340"/>
      <c r="H410" s="340"/>
      <c r="I410" s="340"/>
      <c r="J410" s="340"/>
      <c r="K410" s="340"/>
      <c r="L410" s="340"/>
      <c r="M410" s="340"/>
      <c r="N410" s="340"/>
      <c r="O410" s="340"/>
      <c r="P410" s="340"/>
      <c r="Q410" s="340"/>
      <c r="R410" s="340"/>
      <c r="S410" s="340"/>
      <c r="T410" s="340"/>
      <c r="U410" s="340"/>
      <c r="V410" s="340"/>
      <c r="W410" s="340"/>
      <c r="X410" s="340"/>
      <c r="Y410" s="340"/>
      <c r="Z410" s="340"/>
      <c r="AA410" s="340"/>
      <c r="AB410" s="340"/>
      <c r="AC410" s="340"/>
      <c r="AD410" s="340"/>
      <c r="AE410" s="340"/>
      <c r="AF410" s="340"/>
      <c r="AG410" s="340"/>
      <c r="AH410" s="340"/>
      <c r="AI410" s="340"/>
      <c r="AJ410" s="340"/>
      <c r="AK410" s="340"/>
      <c r="AL410" s="340"/>
      <c r="AM410" s="340"/>
      <c r="AN410" s="340"/>
      <c r="AO410" s="340"/>
      <c r="AP410" s="340"/>
      <c r="AQ410" s="340"/>
      <c r="AR410" s="340"/>
      <c r="AS410" s="340"/>
      <c r="AT410" s="340"/>
      <c r="AU410" s="340"/>
      <c r="AV410" s="340"/>
      <c r="AW410" s="340"/>
      <c r="AX410" s="340"/>
      <c r="AY410" s="340"/>
      <c r="AZ410" s="340"/>
      <c r="BA410" s="340"/>
      <c r="BB410" s="340"/>
      <c r="BC410" s="340"/>
      <c r="BD410" s="340"/>
    </row>
    <row r="411" spans="3:56">
      <c r="C411" s="340"/>
      <c r="D411" s="340"/>
      <c r="E411" s="340"/>
      <c r="F411" s="340"/>
      <c r="G411" s="340"/>
      <c r="H411" s="340"/>
      <c r="I411" s="340"/>
      <c r="J411" s="340"/>
      <c r="K411" s="340"/>
      <c r="L411" s="340"/>
      <c r="M411" s="340"/>
      <c r="N411" s="340"/>
      <c r="O411" s="340"/>
      <c r="P411" s="340"/>
      <c r="Q411" s="340"/>
      <c r="R411" s="340"/>
      <c r="S411" s="340"/>
      <c r="T411" s="340"/>
      <c r="U411" s="340"/>
      <c r="V411" s="340"/>
      <c r="W411" s="340"/>
      <c r="X411" s="340"/>
      <c r="Y411" s="340"/>
      <c r="Z411" s="340"/>
      <c r="AA411" s="340"/>
      <c r="AB411" s="340"/>
      <c r="AC411" s="340"/>
      <c r="AD411" s="340"/>
      <c r="AE411" s="340"/>
      <c r="AF411" s="340"/>
      <c r="AG411" s="340"/>
      <c r="AH411" s="340"/>
      <c r="AI411" s="340"/>
      <c r="AJ411" s="340"/>
      <c r="AK411" s="340"/>
      <c r="AL411" s="340"/>
      <c r="AM411" s="340"/>
      <c r="AN411" s="340"/>
      <c r="AO411" s="340"/>
      <c r="AP411" s="340"/>
      <c r="AQ411" s="340"/>
      <c r="AR411" s="340"/>
      <c r="AS411" s="340"/>
      <c r="AT411" s="340"/>
      <c r="AU411" s="340"/>
      <c r="AV411" s="340"/>
      <c r="AW411" s="340"/>
      <c r="AX411" s="340"/>
      <c r="AY411" s="340"/>
      <c r="AZ411" s="340"/>
      <c r="BA411" s="340"/>
      <c r="BB411" s="340"/>
      <c r="BC411" s="340"/>
      <c r="BD411" s="340"/>
    </row>
    <row r="412" spans="3:56">
      <c r="C412" s="340"/>
      <c r="D412" s="340"/>
      <c r="E412" s="340"/>
      <c r="F412" s="340"/>
      <c r="G412" s="340"/>
      <c r="H412" s="340"/>
      <c r="I412" s="340"/>
      <c r="J412" s="340"/>
      <c r="K412" s="340"/>
      <c r="L412" s="340"/>
      <c r="M412" s="340"/>
      <c r="N412" s="340"/>
      <c r="O412" s="340"/>
      <c r="P412" s="340"/>
      <c r="Q412" s="340"/>
      <c r="R412" s="340"/>
      <c r="S412" s="340"/>
      <c r="T412" s="340"/>
      <c r="U412" s="340"/>
      <c r="V412" s="340"/>
      <c r="W412" s="340"/>
      <c r="X412" s="340"/>
      <c r="Y412" s="340"/>
      <c r="Z412" s="340"/>
      <c r="AA412" s="340"/>
      <c r="AB412" s="340"/>
      <c r="AC412" s="340"/>
      <c r="AD412" s="340"/>
      <c r="AE412" s="340"/>
      <c r="AF412" s="340"/>
      <c r="AG412" s="340"/>
      <c r="AH412" s="340"/>
      <c r="AI412" s="340"/>
      <c r="AJ412" s="340"/>
      <c r="AK412" s="340"/>
      <c r="AL412" s="340"/>
      <c r="AM412" s="340"/>
      <c r="AN412" s="340"/>
      <c r="AO412" s="340"/>
      <c r="AP412" s="340"/>
      <c r="AQ412" s="340"/>
      <c r="AR412" s="340"/>
      <c r="AS412" s="340"/>
      <c r="AT412" s="340"/>
      <c r="AU412" s="340"/>
      <c r="AV412" s="340"/>
      <c r="AW412" s="340"/>
      <c r="AX412" s="340"/>
      <c r="AY412" s="340"/>
      <c r="AZ412" s="340"/>
      <c r="BA412" s="340"/>
      <c r="BB412" s="340"/>
      <c r="BC412" s="340"/>
      <c r="BD412" s="340"/>
    </row>
    <row r="413" spans="3:56">
      <c r="C413" s="340"/>
      <c r="D413" s="340"/>
      <c r="E413" s="340"/>
      <c r="F413" s="340"/>
      <c r="G413" s="340"/>
      <c r="H413" s="340"/>
      <c r="I413" s="340"/>
      <c r="J413" s="340"/>
      <c r="K413" s="340"/>
      <c r="L413" s="340"/>
      <c r="M413" s="340"/>
      <c r="N413" s="340"/>
      <c r="O413" s="340"/>
      <c r="P413" s="340"/>
      <c r="Q413" s="340"/>
      <c r="R413" s="340"/>
      <c r="S413" s="340"/>
      <c r="T413" s="340"/>
      <c r="U413" s="340"/>
      <c r="V413" s="340"/>
      <c r="W413" s="340"/>
      <c r="X413" s="340"/>
      <c r="Y413" s="340"/>
      <c r="Z413" s="340"/>
      <c r="AA413" s="340"/>
      <c r="AB413" s="340"/>
      <c r="AC413" s="340"/>
      <c r="AD413" s="340"/>
      <c r="AE413" s="340"/>
      <c r="AF413" s="340"/>
      <c r="AG413" s="340"/>
      <c r="AH413" s="340"/>
      <c r="AI413" s="340"/>
      <c r="AJ413" s="340"/>
      <c r="AK413" s="340"/>
      <c r="AL413" s="340"/>
      <c r="AM413" s="340"/>
      <c r="AN413" s="340"/>
      <c r="AO413" s="340"/>
      <c r="AP413" s="340"/>
      <c r="AQ413" s="340"/>
      <c r="AR413" s="340"/>
      <c r="AS413" s="340"/>
      <c r="AT413" s="340"/>
      <c r="AU413" s="340"/>
      <c r="AV413" s="340"/>
      <c r="AW413" s="340"/>
      <c r="AX413" s="340"/>
      <c r="AY413" s="340"/>
      <c r="AZ413" s="340"/>
      <c r="BA413" s="340"/>
      <c r="BB413" s="340"/>
      <c r="BC413" s="340"/>
      <c r="BD413" s="340"/>
    </row>
    <row r="414" spans="3:56">
      <c r="C414" s="340"/>
      <c r="D414" s="340"/>
      <c r="E414" s="340"/>
      <c r="F414" s="340"/>
      <c r="G414" s="340"/>
      <c r="H414" s="340"/>
      <c r="I414" s="340"/>
      <c r="J414" s="340"/>
      <c r="K414" s="340"/>
      <c r="L414" s="340"/>
      <c r="M414" s="340"/>
      <c r="N414" s="340"/>
      <c r="O414" s="340"/>
      <c r="P414" s="340"/>
      <c r="Q414" s="340"/>
      <c r="R414" s="340"/>
      <c r="S414" s="340"/>
      <c r="T414" s="340"/>
      <c r="U414" s="340"/>
      <c r="V414" s="340"/>
      <c r="W414" s="340"/>
      <c r="X414" s="340"/>
      <c r="Y414" s="340"/>
      <c r="Z414" s="340"/>
      <c r="AA414" s="340"/>
      <c r="AB414" s="340"/>
      <c r="AC414" s="340"/>
      <c r="AD414" s="340"/>
      <c r="AE414" s="340"/>
      <c r="AF414" s="340"/>
      <c r="AG414" s="340"/>
      <c r="AH414" s="340"/>
      <c r="AI414" s="340"/>
      <c r="AJ414" s="340"/>
      <c r="AK414" s="340"/>
      <c r="AL414" s="340"/>
      <c r="AM414" s="340"/>
      <c r="AN414" s="340"/>
      <c r="AO414" s="340"/>
      <c r="AP414" s="340"/>
      <c r="AQ414" s="340"/>
      <c r="AR414" s="340"/>
      <c r="AS414" s="340"/>
      <c r="AT414" s="340"/>
      <c r="AU414" s="340"/>
      <c r="AV414" s="340"/>
      <c r="AW414" s="340"/>
      <c r="AX414" s="340"/>
      <c r="AY414" s="340"/>
      <c r="AZ414" s="340"/>
      <c r="BA414" s="340"/>
      <c r="BB414" s="340"/>
      <c r="BC414" s="340"/>
      <c r="BD414" s="340"/>
    </row>
    <row r="415" spans="3:56">
      <c r="C415" s="340"/>
      <c r="D415" s="340"/>
      <c r="E415" s="340"/>
      <c r="F415" s="340"/>
      <c r="G415" s="340"/>
      <c r="H415" s="340"/>
      <c r="I415" s="340"/>
      <c r="J415" s="340"/>
      <c r="K415" s="340"/>
      <c r="L415" s="340"/>
      <c r="M415" s="340"/>
      <c r="N415" s="340"/>
      <c r="O415" s="340"/>
      <c r="P415" s="340"/>
      <c r="Q415" s="340"/>
      <c r="R415" s="340"/>
      <c r="S415" s="340"/>
      <c r="T415" s="340"/>
      <c r="U415" s="340"/>
      <c r="V415" s="340"/>
      <c r="W415" s="340"/>
      <c r="X415" s="340"/>
      <c r="Y415" s="340"/>
      <c r="Z415" s="340"/>
      <c r="AA415" s="340"/>
      <c r="AB415" s="340"/>
      <c r="AC415" s="340"/>
      <c r="AD415" s="340"/>
      <c r="AE415" s="340"/>
      <c r="AF415" s="340"/>
      <c r="AG415" s="340"/>
      <c r="AH415" s="340"/>
      <c r="AI415" s="340"/>
      <c r="AJ415" s="340"/>
      <c r="AK415" s="340"/>
      <c r="AL415" s="340"/>
      <c r="AM415" s="340"/>
      <c r="AN415" s="340"/>
      <c r="AO415" s="340"/>
      <c r="AP415" s="340"/>
      <c r="AQ415" s="340"/>
      <c r="AR415" s="340"/>
      <c r="AS415" s="340"/>
      <c r="AT415" s="340"/>
      <c r="AU415" s="340"/>
      <c r="AV415" s="340"/>
      <c r="AW415" s="340"/>
      <c r="AX415" s="340"/>
      <c r="AY415" s="340"/>
      <c r="AZ415" s="340"/>
      <c r="BA415" s="340"/>
      <c r="BB415" s="340"/>
      <c r="BC415" s="340"/>
      <c r="BD415" s="340"/>
    </row>
    <row r="416" spans="3:56">
      <c r="C416" s="340"/>
      <c r="D416" s="340"/>
      <c r="E416" s="340"/>
      <c r="F416" s="340"/>
      <c r="G416" s="340"/>
      <c r="H416" s="340"/>
      <c r="I416" s="340"/>
      <c r="J416" s="340"/>
      <c r="K416" s="340"/>
      <c r="L416" s="340"/>
      <c r="M416" s="340"/>
      <c r="N416" s="340"/>
      <c r="O416" s="340"/>
      <c r="P416" s="340"/>
      <c r="Q416" s="340"/>
      <c r="R416" s="340"/>
      <c r="S416" s="340"/>
      <c r="T416" s="340"/>
      <c r="U416" s="340"/>
      <c r="V416" s="340"/>
      <c r="W416" s="340"/>
      <c r="X416" s="340"/>
      <c r="Y416" s="340"/>
      <c r="Z416" s="340"/>
      <c r="AA416" s="340"/>
      <c r="AB416" s="340"/>
      <c r="AC416" s="340"/>
      <c r="AD416" s="340"/>
      <c r="AE416" s="340"/>
      <c r="AF416" s="340"/>
      <c r="AG416" s="340"/>
      <c r="AH416" s="340"/>
      <c r="AI416" s="340"/>
      <c r="AJ416" s="340"/>
      <c r="AK416" s="340"/>
      <c r="AL416" s="340"/>
      <c r="AM416" s="340"/>
      <c r="AN416" s="340"/>
      <c r="AO416" s="340"/>
      <c r="AP416" s="340"/>
      <c r="AQ416" s="340"/>
      <c r="AR416" s="340"/>
      <c r="AS416" s="340"/>
      <c r="AT416" s="340"/>
      <c r="AU416" s="340"/>
      <c r="AV416" s="340"/>
      <c r="AW416" s="340"/>
      <c r="AX416" s="340"/>
      <c r="AY416" s="340"/>
      <c r="AZ416" s="340"/>
      <c r="BA416" s="340"/>
      <c r="BB416" s="340"/>
      <c r="BC416" s="340"/>
      <c r="BD416" s="340"/>
    </row>
    <row r="417" spans="3:56">
      <c r="C417" s="340"/>
      <c r="D417" s="340"/>
      <c r="E417" s="340"/>
      <c r="F417" s="340"/>
      <c r="G417" s="340"/>
      <c r="H417" s="340"/>
      <c r="I417" s="340"/>
      <c r="J417" s="340"/>
      <c r="K417" s="340"/>
      <c r="L417" s="340"/>
      <c r="M417" s="340"/>
      <c r="N417" s="340"/>
      <c r="O417" s="340"/>
      <c r="P417" s="340"/>
      <c r="Q417" s="340"/>
      <c r="R417" s="340"/>
      <c r="S417" s="340"/>
      <c r="T417" s="340"/>
      <c r="U417" s="340"/>
      <c r="V417" s="340"/>
      <c r="W417" s="340"/>
      <c r="X417" s="340"/>
      <c r="Y417" s="340"/>
      <c r="Z417" s="340"/>
      <c r="AA417" s="340"/>
      <c r="AB417" s="340"/>
      <c r="AC417" s="340"/>
      <c r="AD417" s="340"/>
      <c r="AE417" s="340"/>
      <c r="AF417" s="340"/>
      <c r="AG417" s="340"/>
      <c r="AH417" s="340"/>
      <c r="AI417" s="340"/>
      <c r="AJ417" s="340"/>
      <c r="AK417" s="340"/>
      <c r="AL417" s="340"/>
      <c r="AM417" s="340"/>
      <c r="AN417" s="340"/>
      <c r="AO417" s="340"/>
      <c r="AP417" s="340"/>
      <c r="AQ417" s="340"/>
      <c r="AR417" s="340"/>
      <c r="AS417" s="340"/>
      <c r="AT417" s="340"/>
      <c r="AU417" s="340"/>
      <c r="AV417" s="340"/>
      <c r="AW417" s="340"/>
      <c r="AX417" s="340"/>
      <c r="AY417" s="340"/>
      <c r="AZ417" s="340"/>
      <c r="BA417" s="340"/>
      <c r="BB417" s="340"/>
      <c r="BC417" s="340"/>
      <c r="BD417" s="340"/>
    </row>
    <row r="418" spans="3:56">
      <c r="C418" s="340"/>
      <c r="D418" s="340"/>
      <c r="E418" s="340"/>
      <c r="F418" s="340"/>
      <c r="G418" s="340"/>
      <c r="H418" s="340"/>
      <c r="I418" s="340"/>
      <c r="J418" s="340"/>
      <c r="K418" s="340"/>
      <c r="L418" s="340"/>
      <c r="M418" s="340"/>
      <c r="N418" s="340"/>
      <c r="O418" s="340"/>
      <c r="P418" s="340"/>
      <c r="Q418" s="340"/>
      <c r="R418" s="340"/>
      <c r="S418" s="340"/>
      <c r="T418" s="340"/>
      <c r="U418" s="340"/>
      <c r="V418" s="340"/>
      <c r="W418" s="340"/>
      <c r="X418" s="340"/>
      <c r="Y418" s="340"/>
      <c r="Z418" s="340"/>
      <c r="AA418" s="340"/>
      <c r="AB418" s="340"/>
      <c r="AC418" s="340"/>
      <c r="AD418" s="340"/>
      <c r="AE418" s="340"/>
      <c r="AF418" s="340"/>
      <c r="AG418" s="340"/>
      <c r="AH418" s="340"/>
      <c r="AI418" s="340"/>
      <c r="AJ418" s="340"/>
      <c r="AK418" s="340"/>
      <c r="AL418" s="340"/>
      <c r="AM418" s="340"/>
      <c r="AN418" s="340"/>
      <c r="AO418" s="340"/>
      <c r="AP418" s="340"/>
      <c r="AQ418" s="340"/>
      <c r="AR418" s="340"/>
      <c r="AS418" s="340"/>
      <c r="AT418" s="340"/>
      <c r="AU418" s="340"/>
      <c r="AV418" s="340"/>
      <c r="AW418" s="340"/>
      <c r="AX418" s="340"/>
      <c r="AY418" s="340"/>
      <c r="AZ418" s="340"/>
      <c r="BA418" s="340"/>
      <c r="BB418" s="340"/>
      <c r="BC418" s="340"/>
      <c r="BD418" s="340"/>
    </row>
    <row r="419" spans="3:56">
      <c r="C419" s="340"/>
      <c r="D419" s="340"/>
      <c r="E419" s="340"/>
      <c r="F419" s="340"/>
      <c r="G419" s="340"/>
      <c r="H419" s="340"/>
      <c r="I419" s="340"/>
      <c r="J419" s="340"/>
      <c r="K419" s="340"/>
      <c r="L419" s="340"/>
      <c r="M419" s="340"/>
      <c r="N419" s="340"/>
      <c r="O419" s="340"/>
      <c r="P419" s="340"/>
      <c r="Q419" s="340"/>
      <c r="R419" s="340"/>
      <c r="S419" s="340"/>
      <c r="T419" s="340"/>
      <c r="U419" s="340"/>
      <c r="V419" s="340"/>
      <c r="W419" s="340"/>
      <c r="X419" s="340"/>
      <c r="Y419" s="340"/>
      <c r="Z419" s="340"/>
      <c r="AA419" s="340"/>
      <c r="AB419" s="340"/>
      <c r="AC419" s="340"/>
      <c r="AD419" s="340"/>
      <c r="AE419" s="340"/>
      <c r="AF419" s="340"/>
      <c r="AG419" s="340"/>
      <c r="AH419" s="340"/>
      <c r="AI419" s="340"/>
      <c r="AJ419" s="340"/>
      <c r="AK419" s="340"/>
      <c r="AL419" s="340"/>
      <c r="AM419" s="340"/>
      <c r="AN419" s="340"/>
      <c r="AO419" s="340"/>
      <c r="AP419" s="340"/>
      <c r="AQ419" s="340"/>
      <c r="AR419" s="340"/>
      <c r="AS419" s="340"/>
      <c r="AT419" s="340"/>
      <c r="AU419" s="340"/>
      <c r="AV419" s="340"/>
      <c r="AW419" s="340"/>
      <c r="AX419" s="340"/>
      <c r="AY419" s="340"/>
      <c r="AZ419" s="340"/>
      <c r="BA419" s="340"/>
      <c r="BB419" s="340"/>
      <c r="BC419" s="340"/>
      <c r="BD419" s="340"/>
    </row>
    <row r="420" spans="3:56">
      <c r="C420" s="340"/>
      <c r="D420" s="340"/>
      <c r="E420" s="340"/>
      <c r="F420" s="340"/>
      <c r="G420" s="340"/>
      <c r="H420" s="340"/>
      <c r="I420" s="340"/>
      <c r="J420" s="340"/>
      <c r="K420" s="340"/>
      <c r="L420" s="340"/>
      <c r="M420" s="340"/>
      <c r="N420" s="340"/>
      <c r="O420" s="340"/>
      <c r="P420" s="340"/>
      <c r="Q420" s="340"/>
      <c r="R420" s="340"/>
      <c r="S420" s="340"/>
      <c r="T420" s="340"/>
      <c r="U420" s="340"/>
      <c r="V420" s="340"/>
      <c r="W420" s="340"/>
      <c r="X420" s="340"/>
      <c r="Y420" s="340"/>
      <c r="Z420" s="340"/>
      <c r="AA420" s="340"/>
      <c r="AB420" s="340"/>
      <c r="AC420" s="340"/>
      <c r="AD420" s="340"/>
      <c r="AE420" s="340"/>
      <c r="AF420" s="340"/>
      <c r="AG420" s="340"/>
      <c r="AH420" s="340"/>
      <c r="AI420" s="340"/>
      <c r="AJ420" s="340"/>
      <c r="AK420" s="340"/>
      <c r="AL420" s="340"/>
      <c r="AM420" s="340"/>
      <c r="AN420" s="340"/>
      <c r="AO420" s="340"/>
      <c r="AP420" s="340"/>
      <c r="AQ420" s="340"/>
      <c r="AR420" s="340"/>
      <c r="AS420" s="340"/>
      <c r="AT420" s="340"/>
      <c r="AU420" s="340"/>
      <c r="AV420" s="340"/>
      <c r="AW420" s="340"/>
      <c r="AX420" s="340"/>
      <c r="AY420" s="340"/>
      <c r="AZ420" s="340"/>
      <c r="BA420" s="340"/>
      <c r="BB420" s="340"/>
      <c r="BC420" s="340"/>
      <c r="BD420" s="340"/>
    </row>
    <row r="421" spans="3:56">
      <c r="C421" s="340"/>
      <c r="D421" s="340"/>
      <c r="E421" s="340"/>
      <c r="F421" s="340"/>
      <c r="G421" s="340"/>
      <c r="H421" s="340"/>
      <c r="I421" s="340"/>
      <c r="J421" s="340"/>
      <c r="K421" s="340"/>
      <c r="L421" s="340"/>
      <c r="M421" s="340"/>
      <c r="N421" s="340"/>
      <c r="O421" s="340"/>
      <c r="P421" s="340"/>
      <c r="Q421" s="340"/>
      <c r="R421" s="340"/>
      <c r="S421" s="340"/>
      <c r="T421" s="340"/>
      <c r="U421" s="340"/>
      <c r="V421" s="340"/>
      <c r="W421" s="340"/>
      <c r="X421" s="340"/>
      <c r="Y421" s="340"/>
      <c r="Z421" s="340"/>
      <c r="AA421" s="340"/>
      <c r="AB421" s="340"/>
      <c r="AC421" s="340"/>
      <c r="AD421" s="340"/>
      <c r="AE421" s="340"/>
      <c r="AF421" s="340"/>
      <c r="AG421" s="340"/>
      <c r="AH421" s="340"/>
      <c r="AI421" s="340"/>
      <c r="AJ421" s="340"/>
      <c r="AK421" s="340"/>
      <c r="AL421" s="340"/>
      <c r="AM421" s="340"/>
      <c r="AN421" s="340"/>
      <c r="AO421" s="340"/>
      <c r="AP421" s="340"/>
      <c r="AQ421" s="340"/>
      <c r="AR421" s="340"/>
      <c r="AS421" s="340"/>
      <c r="AT421" s="340"/>
      <c r="AU421" s="340"/>
      <c r="AV421" s="340"/>
      <c r="AW421" s="340"/>
      <c r="AX421" s="340"/>
      <c r="AY421" s="340"/>
      <c r="AZ421" s="340"/>
      <c r="BA421" s="340"/>
      <c r="BB421" s="340"/>
      <c r="BC421" s="340"/>
      <c r="BD421" s="340"/>
    </row>
    <row r="422" spans="3:56">
      <c r="C422" s="340"/>
      <c r="D422" s="340"/>
      <c r="E422" s="340"/>
      <c r="F422" s="340"/>
      <c r="G422" s="340"/>
      <c r="H422" s="340"/>
      <c r="I422" s="340"/>
      <c r="J422" s="340"/>
      <c r="K422" s="340"/>
      <c r="L422" s="340"/>
      <c r="M422" s="340"/>
      <c r="N422" s="340"/>
      <c r="O422" s="340"/>
      <c r="P422" s="340"/>
      <c r="Q422" s="340"/>
      <c r="R422" s="340"/>
      <c r="S422" s="340"/>
      <c r="T422" s="340"/>
      <c r="U422" s="340"/>
      <c r="V422" s="340"/>
      <c r="W422" s="340"/>
      <c r="X422" s="340"/>
      <c r="Y422" s="340"/>
      <c r="Z422" s="340"/>
      <c r="AA422" s="340"/>
      <c r="AB422" s="340"/>
      <c r="AC422" s="340"/>
      <c r="AD422" s="340"/>
      <c r="AE422" s="340"/>
      <c r="AF422" s="340"/>
      <c r="AG422" s="340"/>
      <c r="AH422" s="340"/>
      <c r="AI422" s="340"/>
      <c r="AJ422" s="340"/>
      <c r="AK422" s="340"/>
      <c r="AL422" s="340"/>
      <c r="AM422" s="340"/>
      <c r="AN422" s="340"/>
      <c r="AO422" s="340"/>
      <c r="AP422" s="340"/>
      <c r="AQ422" s="340"/>
      <c r="AR422" s="340"/>
      <c r="AS422" s="340"/>
      <c r="AT422" s="340"/>
      <c r="AU422" s="340"/>
      <c r="AV422" s="340"/>
      <c r="AW422" s="340"/>
      <c r="AX422" s="340"/>
      <c r="AY422" s="340"/>
      <c r="AZ422" s="340"/>
      <c r="BA422" s="340"/>
      <c r="BB422" s="340"/>
      <c r="BC422" s="340"/>
      <c r="BD422" s="340"/>
    </row>
    <row r="423" spans="3:56">
      <c r="C423" s="340"/>
      <c r="D423" s="340"/>
      <c r="E423" s="340"/>
      <c r="F423" s="340"/>
      <c r="G423" s="340"/>
      <c r="H423" s="340"/>
      <c r="I423" s="340"/>
      <c r="J423" s="340"/>
      <c r="K423" s="340"/>
      <c r="L423" s="340"/>
      <c r="M423" s="340"/>
      <c r="N423" s="340"/>
      <c r="O423" s="340"/>
      <c r="P423" s="340"/>
      <c r="Q423" s="340"/>
      <c r="R423" s="340"/>
      <c r="S423" s="340"/>
      <c r="T423" s="340"/>
      <c r="U423" s="340"/>
      <c r="V423" s="340"/>
      <c r="W423" s="340"/>
      <c r="X423" s="340"/>
      <c r="Y423" s="340"/>
      <c r="Z423" s="340"/>
      <c r="AA423" s="340"/>
      <c r="AB423" s="340"/>
      <c r="AC423" s="340"/>
      <c r="AD423" s="340"/>
      <c r="AE423" s="340"/>
      <c r="AF423" s="340"/>
      <c r="AG423" s="340"/>
      <c r="AH423" s="340"/>
      <c r="AI423" s="340"/>
      <c r="AJ423" s="340"/>
      <c r="AK423" s="340"/>
      <c r="AL423" s="340"/>
      <c r="AM423" s="340"/>
      <c r="AN423" s="340"/>
      <c r="AO423" s="340"/>
      <c r="AP423" s="340"/>
      <c r="AQ423" s="340"/>
      <c r="AR423" s="340"/>
      <c r="AS423" s="340"/>
      <c r="AT423" s="340"/>
      <c r="AU423" s="340"/>
      <c r="AV423" s="340"/>
      <c r="AW423" s="340"/>
      <c r="AX423" s="340"/>
      <c r="AY423" s="340"/>
      <c r="AZ423" s="340"/>
      <c r="BA423" s="340"/>
      <c r="BB423" s="340"/>
      <c r="BC423" s="340"/>
      <c r="BD423" s="340"/>
    </row>
    <row r="424" spans="3:56">
      <c r="C424" s="340"/>
      <c r="D424" s="340"/>
      <c r="E424" s="340"/>
      <c r="F424" s="340"/>
      <c r="G424" s="340"/>
      <c r="H424" s="340"/>
      <c r="I424" s="340"/>
      <c r="J424" s="340"/>
      <c r="K424" s="340"/>
      <c r="L424" s="340"/>
      <c r="M424" s="340"/>
      <c r="N424" s="340"/>
      <c r="O424" s="340"/>
      <c r="P424" s="340"/>
      <c r="Q424" s="340"/>
      <c r="R424" s="340"/>
      <c r="S424" s="340"/>
      <c r="T424" s="340"/>
      <c r="U424" s="340"/>
      <c r="V424" s="340"/>
      <c r="W424" s="340"/>
      <c r="X424" s="340"/>
      <c r="Y424" s="340"/>
      <c r="Z424" s="340"/>
      <c r="AA424" s="340"/>
      <c r="AB424" s="340"/>
      <c r="AC424" s="340"/>
      <c r="AD424" s="340"/>
      <c r="AE424" s="340"/>
      <c r="AF424" s="340"/>
      <c r="AG424" s="340"/>
      <c r="AH424" s="340"/>
      <c r="AI424" s="340"/>
      <c r="AJ424" s="340"/>
      <c r="AK424" s="340"/>
      <c r="AL424" s="340"/>
      <c r="AM424" s="340"/>
      <c r="AN424" s="340"/>
      <c r="AO424" s="340"/>
      <c r="AP424" s="340"/>
      <c r="AQ424" s="340"/>
      <c r="AR424" s="340"/>
      <c r="AS424" s="340"/>
      <c r="AT424" s="340"/>
      <c r="AU424" s="340"/>
      <c r="AV424" s="340"/>
      <c r="AW424" s="340"/>
      <c r="AX424" s="340"/>
      <c r="AY424" s="340"/>
      <c r="AZ424" s="340"/>
      <c r="BA424" s="340"/>
      <c r="BB424" s="340"/>
      <c r="BC424" s="340"/>
      <c r="BD424" s="340"/>
    </row>
    <row r="425" spans="3:56">
      <c r="C425" s="340"/>
      <c r="D425" s="340"/>
      <c r="E425" s="340"/>
      <c r="F425" s="340"/>
      <c r="G425" s="340"/>
      <c r="H425" s="340"/>
      <c r="I425" s="340"/>
      <c r="J425" s="340"/>
      <c r="K425" s="340"/>
      <c r="L425" s="340"/>
      <c r="M425" s="340"/>
      <c r="N425" s="340"/>
      <c r="O425" s="340"/>
      <c r="P425" s="340"/>
      <c r="Q425" s="340"/>
      <c r="R425" s="340"/>
      <c r="S425" s="340"/>
      <c r="T425" s="340"/>
      <c r="U425" s="340"/>
      <c r="V425" s="340"/>
      <c r="W425" s="340"/>
      <c r="X425" s="340"/>
      <c r="Y425" s="340"/>
      <c r="Z425" s="340"/>
      <c r="AA425" s="340"/>
      <c r="AB425" s="340"/>
      <c r="AC425" s="340"/>
      <c r="AD425" s="340"/>
      <c r="AE425" s="340"/>
      <c r="AF425" s="340"/>
      <c r="AG425" s="340"/>
      <c r="AH425" s="340"/>
      <c r="AI425" s="340"/>
      <c r="AJ425" s="340"/>
      <c r="AK425" s="340"/>
      <c r="AL425" s="340"/>
      <c r="AM425" s="340"/>
      <c r="AN425" s="340"/>
      <c r="AO425" s="340"/>
      <c r="AP425" s="340"/>
      <c r="AQ425" s="340"/>
      <c r="AR425" s="340"/>
      <c r="AS425" s="340"/>
      <c r="AT425" s="340"/>
      <c r="AU425" s="340"/>
      <c r="AV425" s="340"/>
      <c r="AW425" s="340"/>
      <c r="AX425" s="340"/>
      <c r="AY425" s="340"/>
      <c r="AZ425" s="340"/>
      <c r="BA425" s="340"/>
      <c r="BB425" s="340"/>
      <c r="BC425" s="340"/>
      <c r="BD425" s="340"/>
    </row>
    <row r="426" spans="3:56">
      <c r="C426" s="340"/>
      <c r="D426" s="340"/>
      <c r="E426" s="340"/>
      <c r="F426" s="340"/>
      <c r="G426" s="340"/>
      <c r="H426" s="340"/>
      <c r="I426" s="340"/>
      <c r="J426" s="340"/>
      <c r="K426" s="340"/>
      <c r="L426" s="340"/>
      <c r="M426" s="340"/>
      <c r="N426" s="340"/>
      <c r="O426" s="340"/>
      <c r="P426" s="340"/>
      <c r="Q426" s="340"/>
      <c r="R426" s="340"/>
      <c r="S426" s="340"/>
      <c r="T426" s="340"/>
      <c r="U426" s="340"/>
      <c r="V426" s="340"/>
      <c r="W426" s="340"/>
      <c r="X426" s="340"/>
      <c r="Y426" s="340"/>
      <c r="Z426" s="340"/>
      <c r="AA426" s="340"/>
      <c r="AB426" s="340"/>
      <c r="AC426" s="340"/>
      <c r="AD426" s="340"/>
      <c r="AE426" s="340"/>
      <c r="AF426" s="340"/>
      <c r="AG426" s="340"/>
      <c r="AH426" s="340"/>
      <c r="AI426" s="340"/>
      <c r="AJ426" s="340"/>
      <c r="AK426" s="340"/>
      <c r="AL426" s="340"/>
      <c r="AM426" s="340"/>
      <c r="AN426" s="340"/>
      <c r="AO426" s="340"/>
      <c r="AP426" s="340"/>
      <c r="AQ426" s="340"/>
      <c r="AR426" s="340"/>
      <c r="AS426" s="340"/>
      <c r="AT426" s="340"/>
      <c r="AU426" s="340"/>
      <c r="AV426" s="340"/>
      <c r="AW426" s="340"/>
      <c r="AX426" s="340"/>
      <c r="AY426" s="340"/>
      <c r="AZ426" s="340"/>
      <c r="BA426" s="340"/>
      <c r="BB426" s="340"/>
      <c r="BC426" s="340"/>
      <c r="BD426" s="340"/>
    </row>
    <row r="427" spans="3:56">
      <c r="C427" s="340"/>
      <c r="D427" s="340"/>
      <c r="E427" s="340"/>
      <c r="F427" s="340"/>
      <c r="G427" s="340"/>
      <c r="H427" s="340"/>
      <c r="I427" s="340"/>
      <c r="J427" s="340"/>
      <c r="K427" s="340"/>
      <c r="L427" s="340"/>
      <c r="M427" s="340"/>
      <c r="N427" s="340"/>
      <c r="O427" s="340"/>
      <c r="P427" s="340"/>
      <c r="Q427" s="340"/>
      <c r="R427" s="340"/>
      <c r="S427" s="340"/>
      <c r="T427" s="340"/>
      <c r="U427" s="340"/>
      <c r="V427" s="340"/>
      <c r="W427" s="340"/>
      <c r="X427" s="340"/>
      <c r="Y427" s="340"/>
      <c r="Z427" s="340"/>
      <c r="AA427" s="340"/>
      <c r="AB427" s="340"/>
      <c r="AC427" s="340"/>
      <c r="AD427" s="340"/>
      <c r="AE427" s="340"/>
      <c r="AF427" s="340"/>
      <c r="AG427" s="340"/>
      <c r="AH427" s="340"/>
      <c r="AI427" s="340"/>
      <c r="AJ427" s="340"/>
      <c r="AK427" s="340"/>
      <c r="AL427" s="340"/>
      <c r="AM427" s="340"/>
      <c r="AN427" s="340"/>
      <c r="AO427" s="340"/>
      <c r="AP427" s="340"/>
      <c r="AQ427" s="340"/>
      <c r="AR427" s="340"/>
      <c r="AS427" s="340"/>
      <c r="AT427" s="340"/>
      <c r="AU427" s="340"/>
      <c r="AV427" s="340"/>
      <c r="AW427" s="340"/>
      <c r="AX427" s="340"/>
      <c r="AY427" s="340"/>
      <c r="AZ427" s="340"/>
      <c r="BA427" s="340"/>
      <c r="BB427" s="340"/>
      <c r="BC427" s="340"/>
      <c r="BD427" s="340"/>
    </row>
    <row r="428" spans="3:56">
      <c r="C428" s="340"/>
      <c r="D428" s="340"/>
      <c r="E428" s="340"/>
      <c r="F428" s="340"/>
      <c r="G428" s="340"/>
      <c r="H428" s="340"/>
      <c r="I428" s="340"/>
      <c r="J428" s="340"/>
      <c r="K428" s="340"/>
      <c r="L428" s="340"/>
      <c r="M428" s="340"/>
      <c r="N428" s="340"/>
      <c r="O428" s="340"/>
      <c r="P428" s="340"/>
      <c r="Q428" s="340"/>
      <c r="R428" s="340"/>
      <c r="S428" s="340"/>
      <c r="T428" s="340"/>
      <c r="U428" s="340"/>
      <c r="V428" s="340"/>
      <c r="W428" s="340"/>
      <c r="X428" s="340"/>
      <c r="Y428" s="340"/>
      <c r="Z428" s="340"/>
      <c r="AA428" s="340"/>
      <c r="AB428" s="340"/>
      <c r="AC428" s="340"/>
      <c r="AD428" s="340"/>
      <c r="AE428" s="340"/>
      <c r="AF428" s="340"/>
      <c r="AG428" s="340"/>
      <c r="AH428" s="340"/>
      <c r="AI428" s="340"/>
      <c r="AJ428" s="340"/>
      <c r="AK428" s="340"/>
      <c r="AL428" s="340"/>
      <c r="AM428" s="340"/>
      <c r="AN428" s="340"/>
      <c r="AO428" s="340"/>
      <c r="AP428" s="340"/>
      <c r="AQ428" s="340"/>
      <c r="AR428" s="340"/>
      <c r="AS428" s="340"/>
      <c r="AT428" s="340"/>
      <c r="AU428" s="340"/>
      <c r="AV428" s="340"/>
      <c r="AW428" s="340"/>
      <c r="AX428" s="340"/>
      <c r="AY428" s="340"/>
      <c r="AZ428" s="340"/>
      <c r="BA428" s="340"/>
      <c r="BB428" s="340"/>
      <c r="BC428" s="340"/>
      <c r="BD428" s="340"/>
    </row>
    <row r="429" spans="3:56">
      <c r="C429" s="340"/>
      <c r="D429" s="340"/>
      <c r="E429" s="340"/>
      <c r="F429" s="340"/>
      <c r="G429" s="340"/>
      <c r="H429" s="340"/>
      <c r="I429" s="340"/>
      <c r="J429" s="340"/>
      <c r="K429" s="340"/>
      <c r="L429" s="340"/>
      <c r="M429" s="340"/>
      <c r="N429" s="340"/>
      <c r="O429" s="340"/>
      <c r="P429" s="340"/>
      <c r="Q429" s="340"/>
      <c r="R429" s="340"/>
      <c r="S429" s="340"/>
      <c r="T429" s="340"/>
      <c r="U429" s="340"/>
      <c r="V429" s="340"/>
      <c r="W429" s="340"/>
      <c r="X429" s="340"/>
      <c r="Y429" s="340"/>
      <c r="Z429" s="340"/>
      <c r="AA429" s="340"/>
      <c r="AB429" s="340"/>
      <c r="AC429" s="340"/>
      <c r="AD429" s="340"/>
      <c r="AE429" s="340"/>
      <c r="AF429" s="340"/>
      <c r="AG429" s="340"/>
      <c r="AH429" s="340"/>
      <c r="AI429" s="340"/>
      <c r="AJ429" s="340"/>
      <c r="AK429" s="340"/>
      <c r="AL429" s="340"/>
      <c r="AM429" s="340"/>
      <c r="AN429" s="340"/>
      <c r="AO429" s="340"/>
      <c r="AP429" s="340"/>
      <c r="AQ429" s="340"/>
      <c r="AR429" s="340"/>
      <c r="AS429" s="340"/>
      <c r="AT429" s="340"/>
      <c r="AU429" s="340"/>
      <c r="AV429" s="340"/>
      <c r="AW429" s="340"/>
      <c r="AX429" s="340"/>
      <c r="AY429" s="340"/>
      <c r="AZ429" s="340"/>
      <c r="BA429" s="340"/>
      <c r="BB429" s="340"/>
      <c r="BC429" s="340"/>
      <c r="BD429" s="340"/>
    </row>
    <row r="430" spans="3:56">
      <c r="C430" s="340"/>
      <c r="D430" s="340"/>
      <c r="E430" s="340"/>
      <c r="F430" s="340"/>
      <c r="G430" s="340"/>
      <c r="H430" s="340"/>
      <c r="I430" s="340"/>
      <c r="J430" s="340"/>
      <c r="K430" s="340"/>
      <c r="L430" s="340"/>
      <c r="M430" s="340"/>
      <c r="N430" s="340"/>
      <c r="O430" s="340"/>
      <c r="P430" s="340"/>
      <c r="Q430" s="340"/>
      <c r="R430" s="340"/>
      <c r="S430" s="340"/>
      <c r="T430" s="340"/>
      <c r="U430" s="340"/>
      <c r="V430" s="340"/>
      <c r="W430" s="340"/>
      <c r="X430" s="340"/>
      <c r="Y430" s="340"/>
      <c r="Z430" s="340"/>
      <c r="AA430" s="340"/>
      <c r="AB430" s="340"/>
      <c r="AC430" s="340"/>
      <c r="AD430" s="340"/>
      <c r="AE430" s="340"/>
      <c r="AF430" s="340"/>
      <c r="AG430" s="340"/>
      <c r="AH430" s="340"/>
      <c r="AI430" s="340"/>
      <c r="AJ430" s="340"/>
      <c r="AK430" s="340"/>
      <c r="AL430" s="340"/>
      <c r="AM430" s="340"/>
      <c r="AN430" s="340"/>
      <c r="AO430" s="340"/>
      <c r="AP430" s="340"/>
      <c r="AQ430" s="340"/>
      <c r="AR430" s="340"/>
      <c r="AS430" s="340"/>
      <c r="AT430" s="340"/>
      <c r="AU430" s="340"/>
      <c r="AV430" s="340"/>
      <c r="AW430" s="340"/>
      <c r="AX430" s="340"/>
      <c r="AY430" s="340"/>
      <c r="AZ430" s="340"/>
      <c r="BA430" s="340"/>
      <c r="BB430" s="340"/>
      <c r="BC430" s="340"/>
      <c r="BD430" s="340"/>
    </row>
    <row r="431" spans="3:56">
      <c r="C431" s="340"/>
      <c r="D431" s="340"/>
      <c r="E431" s="340"/>
      <c r="F431" s="340"/>
      <c r="G431" s="340"/>
      <c r="H431" s="340"/>
      <c r="I431" s="340"/>
      <c r="J431" s="340"/>
      <c r="K431" s="340"/>
      <c r="L431" s="340"/>
      <c r="M431" s="340"/>
      <c r="N431" s="340"/>
      <c r="O431" s="340"/>
      <c r="P431" s="340"/>
      <c r="Q431" s="340"/>
      <c r="R431" s="340"/>
      <c r="S431" s="340"/>
      <c r="T431" s="340"/>
      <c r="U431" s="340"/>
      <c r="V431" s="340"/>
      <c r="W431" s="340"/>
      <c r="X431" s="340"/>
      <c r="Y431" s="340"/>
      <c r="Z431" s="340"/>
      <c r="AA431" s="340"/>
      <c r="AB431" s="340"/>
      <c r="AC431" s="340"/>
      <c r="AD431" s="340"/>
      <c r="AE431" s="340"/>
      <c r="AF431" s="340"/>
      <c r="AG431" s="340"/>
      <c r="AH431" s="340"/>
      <c r="AI431" s="340"/>
      <c r="AJ431" s="340"/>
      <c r="AK431" s="340"/>
      <c r="AL431" s="340"/>
      <c r="AM431" s="340"/>
      <c r="AN431" s="340"/>
      <c r="AO431" s="340"/>
      <c r="AP431" s="340"/>
      <c r="AQ431" s="340"/>
      <c r="AR431" s="340"/>
      <c r="AS431" s="340"/>
      <c r="AT431" s="340"/>
      <c r="AU431" s="340"/>
      <c r="AV431" s="340"/>
      <c r="AW431" s="340"/>
      <c r="AX431" s="340"/>
      <c r="AY431" s="340"/>
      <c r="AZ431" s="340"/>
      <c r="BA431" s="340"/>
      <c r="BB431" s="340"/>
      <c r="BC431" s="340"/>
      <c r="BD431" s="340"/>
    </row>
    <row r="432" spans="3:56">
      <c r="C432" s="340"/>
      <c r="D432" s="340"/>
      <c r="E432" s="340"/>
      <c r="F432" s="340"/>
      <c r="G432" s="340"/>
      <c r="H432" s="340"/>
      <c r="I432" s="340"/>
      <c r="J432" s="340"/>
      <c r="K432" s="340"/>
      <c r="L432" s="340"/>
      <c r="M432" s="340"/>
      <c r="N432" s="340"/>
      <c r="O432" s="340"/>
      <c r="P432" s="340"/>
      <c r="Q432" s="340"/>
      <c r="R432" s="340"/>
      <c r="S432" s="340"/>
      <c r="T432" s="340"/>
      <c r="U432" s="340"/>
      <c r="V432" s="340"/>
      <c r="W432" s="340"/>
      <c r="X432" s="340"/>
      <c r="Y432" s="340"/>
      <c r="Z432" s="340"/>
      <c r="AA432" s="340"/>
      <c r="AB432" s="340"/>
      <c r="AC432" s="340"/>
      <c r="AD432" s="340"/>
      <c r="AE432" s="340"/>
      <c r="AF432" s="340"/>
      <c r="AG432" s="340"/>
      <c r="AH432" s="340"/>
      <c r="AI432" s="340"/>
      <c r="AJ432" s="340"/>
      <c r="AK432" s="340"/>
      <c r="AL432" s="340"/>
      <c r="AM432" s="340"/>
      <c r="AN432" s="340"/>
      <c r="AO432" s="340"/>
      <c r="AP432" s="340"/>
      <c r="AQ432" s="340"/>
      <c r="AR432" s="340"/>
      <c r="AS432" s="340"/>
      <c r="AT432" s="340"/>
      <c r="AU432" s="340"/>
      <c r="AV432" s="340"/>
      <c r="AW432" s="340"/>
      <c r="AX432" s="340"/>
      <c r="AY432" s="340"/>
      <c r="AZ432" s="340"/>
      <c r="BA432" s="340"/>
      <c r="BB432" s="340"/>
      <c r="BC432" s="340"/>
      <c r="BD432" s="340"/>
    </row>
    <row r="433" spans="3:56">
      <c r="C433" s="340"/>
      <c r="D433" s="340"/>
      <c r="E433" s="340"/>
      <c r="F433" s="340"/>
      <c r="G433" s="340"/>
      <c r="H433" s="340"/>
      <c r="I433" s="340"/>
      <c r="J433" s="340"/>
      <c r="K433" s="340"/>
      <c r="L433" s="340"/>
      <c r="M433" s="340"/>
      <c r="N433" s="340"/>
      <c r="O433" s="340"/>
      <c r="P433" s="340"/>
      <c r="Q433" s="340"/>
      <c r="R433" s="340"/>
      <c r="S433" s="340"/>
      <c r="T433" s="340"/>
      <c r="U433" s="340"/>
      <c r="V433" s="340"/>
      <c r="W433" s="340"/>
      <c r="X433" s="340"/>
      <c r="Y433" s="340"/>
      <c r="Z433" s="340"/>
      <c r="AA433" s="340"/>
      <c r="AB433" s="340"/>
      <c r="AC433" s="340"/>
      <c r="AD433" s="340"/>
      <c r="AE433" s="340"/>
      <c r="AF433" s="340"/>
      <c r="AG433" s="340"/>
      <c r="AH433" s="340"/>
      <c r="AI433" s="340"/>
      <c r="AJ433" s="340"/>
      <c r="AK433" s="340"/>
      <c r="AL433" s="340"/>
      <c r="AM433" s="340"/>
      <c r="AN433" s="340"/>
      <c r="AO433" s="340"/>
      <c r="AP433" s="340"/>
      <c r="AQ433" s="340"/>
      <c r="AR433" s="340"/>
      <c r="AS433" s="340"/>
      <c r="AT433" s="340"/>
      <c r="AU433" s="340"/>
      <c r="AV433" s="340"/>
      <c r="AW433" s="340"/>
      <c r="AX433" s="340"/>
      <c r="AY433" s="340"/>
      <c r="AZ433" s="340"/>
      <c r="BA433" s="340"/>
      <c r="BB433" s="340"/>
      <c r="BC433" s="340"/>
      <c r="BD433" s="340"/>
    </row>
    <row r="434" spans="3:56">
      <c r="C434" s="340"/>
      <c r="D434" s="340"/>
      <c r="E434" s="340"/>
      <c r="F434" s="340"/>
      <c r="G434" s="340"/>
      <c r="H434" s="340"/>
      <c r="I434" s="340"/>
      <c r="J434" s="340"/>
      <c r="K434" s="340"/>
      <c r="L434" s="340"/>
      <c r="M434" s="340"/>
      <c r="N434" s="340"/>
      <c r="O434" s="340"/>
      <c r="P434" s="340"/>
      <c r="Q434" s="340"/>
      <c r="R434" s="340"/>
      <c r="S434" s="340"/>
      <c r="T434" s="340"/>
      <c r="U434" s="340"/>
      <c r="V434" s="340"/>
      <c r="W434" s="340"/>
      <c r="X434" s="340"/>
      <c r="Y434" s="340"/>
      <c r="Z434" s="340"/>
      <c r="AA434" s="340"/>
      <c r="AB434" s="340"/>
      <c r="AC434" s="340"/>
      <c r="AD434" s="340"/>
      <c r="AE434" s="340"/>
      <c r="AF434" s="340"/>
      <c r="AG434" s="340"/>
      <c r="AH434" s="340"/>
      <c r="AI434" s="340"/>
      <c r="AJ434" s="340"/>
      <c r="AK434" s="340"/>
      <c r="AL434" s="340"/>
      <c r="AM434" s="340"/>
      <c r="AN434" s="340"/>
      <c r="AO434" s="340"/>
      <c r="AP434" s="340"/>
      <c r="AQ434" s="340"/>
      <c r="AR434" s="340"/>
      <c r="AS434" s="340"/>
      <c r="AT434" s="340"/>
      <c r="AU434" s="340"/>
      <c r="AV434" s="340"/>
      <c r="AW434" s="340"/>
      <c r="AX434" s="340"/>
      <c r="AY434" s="340"/>
      <c r="AZ434" s="340"/>
      <c r="BA434" s="340"/>
      <c r="BB434" s="340"/>
      <c r="BC434" s="340"/>
      <c r="BD434" s="340"/>
    </row>
    <row r="435" spans="3:56">
      <c r="C435" s="340"/>
      <c r="D435" s="340"/>
      <c r="E435" s="340"/>
      <c r="F435" s="340"/>
      <c r="G435" s="340"/>
      <c r="H435" s="340"/>
      <c r="I435" s="340"/>
      <c r="J435" s="340"/>
      <c r="K435" s="340"/>
      <c r="L435" s="340"/>
      <c r="M435" s="340"/>
      <c r="N435" s="340"/>
      <c r="O435" s="340"/>
      <c r="P435" s="340"/>
      <c r="Q435" s="340"/>
      <c r="R435" s="340"/>
      <c r="S435" s="340"/>
      <c r="T435" s="340"/>
      <c r="U435" s="340"/>
      <c r="V435" s="340"/>
      <c r="W435" s="340"/>
      <c r="X435" s="340"/>
      <c r="Y435" s="340"/>
      <c r="Z435" s="340"/>
      <c r="AA435" s="340"/>
      <c r="AB435" s="340"/>
      <c r="AC435" s="340"/>
      <c r="AD435" s="340"/>
      <c r="AE435" s="340"/>
      <c r="AF435" s="340"/>
      <c r="AG435" s="340"/>
      <c r="AH435" s="340"/>
      <c r="AI435" s="340"/>
      <c r="AJ435" s="340"/>
      <c r="AK435" s="340"/>
      <c r="AL435" s="340"/>
      <c r="AM435" s="340"/>
      <c r="AN435" s="340"/>
      <c r="AO435" s="340"/>
      <c r="AP435" s="340"/>
      <c r="AQ435" s="340"/>
      <c r="AR435" s="340"/>
      <c r="AS435" s="340"/>
      <c r="AT435" s="340"/>
      <c r="AU435" s="340"/>
      <c r="AV435" s="340"/>
      <c r="AW435" s="340"/>
      <c r="AX435" s="340"/>
      <c r="AY435" s="340"/>
      <c r="AZ435" s="340"/>
      <c r="BA435" s="340"/>
      <c r="BB435" s="340"/>
      <c r="BC435" s="340"/>
      <c r="BD435" s="340"/>
    </row>
    <row r="436" spans="3:56">
      <c r="C436" s="340"/>
      <c r="D436" s="340"/>
      <c r="E436" s="340"/>
      <c r="F436" s="340"/>
      <c r="G436" s="340"/>
      <c r="H436" s="340"/>
      <c r="I436" s="340"/>
      <c r="J436" s="340"/>
      <c r="K436" s="340"/>
      <c r="L436" s="340"/>
      <c r="M436" s="340"/>
      <c r="N436" s="340"/>
      <c r="O436" s="340"/>
      <c r="P436" s="340"/>
      <c r="Q436" s="340"/>
      <c r="R436" s="340"/>
      <c r="S436" s="340"/>
      <c r="T436" s="340"/>
      <c r="U436" s="340"/>
      <c r="V436" s="340"/>
      <c r="W436" s="340"/>
      <c r="X436" s="340"/>
      <c r="Y436" s="340"/>
      <c r="Z436" s="340"/>
      <c r="AA436" s="340"/>
      <c r="AB436" s="340"/>
      <c r="AC436" s="340"/>
      <c r="AD436" s="340"/>
      <c r="AE436" s="340"/>
      <c r="AF436" s="340"/>
      <c r="AG436" s="340"/>
      <c r="AH436" s="340"/>
      <c r="AI436" s="340"/>
      <c r="AJ436" s="340"/>
      <c r="AK436" s="340"/>
      <c r="AL436" s="340"/>
      <c r="AM436" s="340"/>
      <c r="AN436" s="340"/>
      <c r="AO436" s="340"/>
      <c r="AP436" s="340"/>
      <c r="AQ436" s="340"/>
      <c r="AR436" s="340"/>
      <c r="AS436" s="340"/>
      <c r="AT436" s="340"/>
      <c r="AU436" s="340"/>
      <c r="AV436" s="340"/>
      <c r="AW436" s="340"/>
      <c r="AX436" s="340"/>
      <c r="AY436" s="340"/>
      <c r="AZ436" s="340"/>
      <c r="BA436" s="340"/>
      <c r="BB436" s="340"/>
      <c r="BC436" s="340"/>
      <c r="BD436" s="340"/>
    </row>
    <row r="437" spans="3:56">
      <c r="C437" s="340"/>
      <c r="D437" s="340"/>
      <c r="E437" s="340"/>
      <c r="F437" s="340"/>
      <c r="G437" s="340"/>
      <c r="H437" s="340"/>
      <c r="I437" s="340"/>
      <c r="J437" s="340"/>
      <c r="K437" s="340"/>
      <c r="L437" s="340"/>
      <c r="M437" s="340"/>
      <c r="N437" s="340"/>
      <c r="O437" s="340"/>
      <c r="P437" s="340"/>
      <c r="Q437" s="340"/>
      <c r="R437" s="340"/>
      <c r="S437" s="340"/>
      <c r="T437" s="340"/>
      <c r="U437" s="340"/>
      <c r="V437" s="340"/>
      <c r="W437" s="340"/>
      <c r="X437" s="340"/>
      <c r="Y437" s="340"/>
      <c r="Z437" s="340"/>
      <c r="AA437" s="340"/>
      <c r="AB437" s="340"/>
      <c r="AC437" s="340"/>
      <c r="AD437" s="340"/>
      <c r="AE437" s="340"/>
      <c r="AF437" s="340"/>
      <c r="AG437" s="340"/>
      <c r="AH437" s="340"/>
      <c r="AI437" s="340"/>
      <c r="AJ437" s="340"/>
      <c r="AK437" s="340"/>
      <c r="AL437" s="340"/>
      <c r="AM437" s="340"/>
      <c r="AN437" s="340"/>
      <c r="AO437" s="340"/>
      <c r="AP437" s="340"/>
      <c r="AQ437" s="340"/>
      <c r="AR437" s="340"/>
      <c r="AS437" s="340"/>
      <c r="AT437" s="340"/>
      <c r="AU437" s="340"/>
      <c r="AV437" s="340"/>
      <c r="AW437" s="340"/>
      <c r="AX437" s="340"/>
      <c r="AY437" s="340"/>
      <c r="AZ437" s="340"/>
      <c r="BA437" s="340"/>
      <c r="BB437" s="340"/>
      <c r="BC437" s="340"/>
      <c r="BD437" s="340"/>
    </row>
    <row r="438" spans="3:56">
      <c r="C438" s="340"/>
      <c r="D438" s="340"/>
      <c r="E438" s="340"/>
      <c r="F438" s="340"/>
      <c r="G438" s="340"/>
      <c r="H438" s="340"/>
      <c r="I438" s="340"/>
      <c r="J438" s="340"/>
      <c r="K438" s="340"/>
      <c r="L438" s="340"/>
      <c r="M438" s="340"/>
      <c r="N438" s="340"/>
      <c r="O438" s="340"/>
      <c r="P438" s="340"/>
      <c r="Q438" s="340"/>
      <c r="R438" s="340"/>
      <c r="S438" s="340"/>
      <c r="T438" s="340"/>
      <c r="U438" s="340"/>
      <c r="V438" s="340"/>
      <c r="W438" s="340"/>
      <c r="X438" s="340"/>
      <c r="Y438" s="340"/>
      <c r="Z438" s="340"/>
      <c r="AA438" s="340"/>
      <c r="AB438" s="340"/>
      <c r="AC438" s="340"/>
      <c r="AD438" s="340"/>
      <c r="AE438" s="340"/>
      <c r="AF438" s="340"/>
      <c r="AG438" s="340"/>
      <c r="AH438" s="340"/>
      <c r="AI438" s="340"/>
      <c r="AJ438" s="340"/>
      <c r="AK438" s="340"/>
      <c r="AL438" s="340"/>
      <c r="AM438" s="340"/>
      <c r="AN438" s="340"/>
      <c r="AO438" s="340"/>
      <c r="AP438" s="340"/>
      <c r="AQ438" s="340"/>
      <c r="AR438" s="340"/>
      <c r="AS438" s="340"/>
      <c r="AT438" s="340"/>
      <c r="AU438" s="340"/>
      <c r="AV438" s="340"/>
      <c r="AW438" s="340"/>
      <c r="AX438" s="340"/>
      <c r="AY438" s="340"/>
      <c r="AZ438" s="340"/>
      <c r="BA438" s="340"/>
      <c r="BB438" s="340"/>
      <c r="BC438" s="340"/>
      <c r="BD438" s="340"/>
    </row>
    <row r="439" spans="3:56">
      <c r="C439" s="340"/>
      <c r="D439" s="340"/>
      <c r="E439" s="340"/>
      <c r="F439" s="340"/>
      <c r="G439" s="340"/>
      <c r="H439" s="340"/>
      <c r="I439" s="340"/>
      <c r="J439" s="340"/>
      <c r="K439" s="340"/>
      <c r="L439" s="340"/>
      <c r="M439" s="340"/>
      <c r="N439" s="340"/>
      <c r="O439" s="340"/>
      <c r="P439" s="340"/>
      <c r="Q439" s="340"/>
      <c r="R439" s="340"/>
      <c r="S439" s="340"/>
      <c r="T439" s="340"/>
      <c r="U439" s="340"/>
      <c r="V439" s="340"/>
      <c r="W439" s="340"/>
      <c r="X439" s="340"/>
      <c r="Y439" s="340"/>
      <c r="Z439" s="340"/>
      <c r="AA439" s="340"/>
      <c r="AB439" s="340"/>
      <c r="AC439" s="340"/>
      <c r="AD439" s="340"/>
      <c r="AE439" s="340"/>
      <c r="AF439" s="340"/>
      <c r="AG439" s="340"/>
      <c r="AH439" s="340"/>
      <c r="AI439" s="340"/>
      <c r="AJ439" s="340"/>
      <c r="AK439" s="340"/>
      <c r="AL439" s="340"/>
      <c r="AM439" s="340"/>
      <c r="AN439" s="340"/>
      <c r="AO439" s="340"/>
      <c r="AP439" s="340"/>
      <c r="AQ439" s="340"/>
      <c r="AR439" s="340"/>
      <c r="AS439" s="340"/>
      <c r="AT439" s="340"/>
      <c r="AU439" s="340"/>
      <c r="AV439" s="340"/>
      <c r="AW439" s="340"/>
      <c r="AX439" s="340"/>
      <c r="AY439" s="340"/>
      <c r="AZ439" s="340"/>
      <c r="BA439" s="340"/>
      <c r="BB439" s="340"/>
      <c r="BC439" s="340"/>
      <c r="BD439" s="340"/>
    </row>
    <row r="440" spans="3:56">
      <c r="C440" s="340"/>
      <c r="D440" s="340"/>
      <c r="E440" s="340"/>
      <c r="F440" s="340"/>
      <c r="G440" s="340"/>
      <c r="H440" s="340"/>
      <c r="I440" s="340"/>
      <c r="J440" s="340"/>
      <c r="K440" s="340"/>
      <c r="L440" s="340"/>
      <c r="M440" s="340"/>
      <c r="N440" s="340"/>
      <c r="O440" s="340"/>
      <c r="P440" s="340"/>
      <c r="Q440" s="340"/>
      <c r="R440" s="340"/>
      <c r="S440" s="340"/>
      <c r="T440" s="340"/>
      <c r="U440" s="340"/>
      <c r="V440" s="340"/>
      <c r="W440" s="340"/>
      <c r="X440" s="340"/>
      <c r="Y440" s="340"/>
      <c r="Z440" s="340"/>
      <c r="AA440" s="340"/>
      <c r="AB440" s="340"/>
      <c r="AC440" s="340"/>
      <c r="AD440" s="340"/>
      <c r="AE440" s="340"/>
      <c r="AF440" s="340"/>
      <c r="AG440" s="340"/>
      <c r="AH440" s="340"/>
      <c r="AI440" s="340"/>
      <c r="AJ440" s="340"/>
      <c r="AK440" s="340"/>
      <c r="AL440" s="340"/>
      <c r="AM440" s="340"/>
      <c r="AN440" s="340"/>
      <c r="AO440" s="340"/>
      <c r="AP440" s="340"/>
      <c r="AQ440" s="340"/>
      <c r="AR440" s="340"/>
      <c r="AS440" s="340"/>
      <c r="AT440" s="340"/>
      <c r="AU440" s="340"/>
      <c r="AV440" s="340"/>
      <c r="AW440" s="340"/>
      <c r="AX440" s="340"/>
      <c r="AY440" s="340"/>
      <c r="AZ440" s="340"/>
      <c r="BA440" s="340"/>
      <c r="BB440" s="340"/>
      <c r="BC440" s="340"/>
      <c r="BD440" s="340"/>
    </row>
    <row r="441" spans="3:56">
      <c r="C441" s="340"/>
      <c r="D441" s="340"/>
      <c r="E441" s="340"/>
      <c r="F441" s="340"/>
      <c r="G441" s="340"/>
      <c r="H441" s="340"/>
      <c r="I441" s="340"/>
      <c r="J441" s="340"/>
      <c r="K441" s="340"/>
      <c r="L441" s="340"/>
      <c r="M441" s="340"/>
      <c r="N441" s="340"/>
      <c r="O441" s="340"/>
      <c r="P441" s="340"/>
      <c r="Q441" s="340"/>
      <c r="R441" s="340"/>
      <c r="S441" s="340"/>
      <c r="T441" s="340"/>
      <c r="U441" s="340"/>
      <c r="V441" s="340"/>
      <c r="W441" s="340"/>
      <c r="X441" s="340"/>
      <c r="Y441" s="340"/>
      <c r="Z441" s="340"/>
      <c r="AA441" s="340"/>
      <c r="AB441" s="340"/>
      <c r="AC441" s="340"/>
      <c r="AD441" s="340"/>
      <c r="AE441" s="340"/>
      <c r="AF441" s="340"/>
      <c r="AG441" s="340"/>
      <c r="AH441" s="340"/>
      <c r="AI441" s="340"/>
      <c r="AJ441" s="340"/>
      <c r="AK441" s="340"/>
      <c r="AL441" s="340"/>
      <c r="AM441" s="340"/>
      <c r="AN441" s="340"/>
      <c r="AO441" s="340"/>
      <c r="AP441" s="340"/>
      <c r="AQ441" s="340"/>
      <c r="AR441" s="340"/>
      <c r="AS441" s="340"/>
      <c r="AT441" s="340"/>
      <c r="AU441" s="340"/>
      <c r="AV441" s="340"/>
      <c r="AW441" s="340"/>
      <c r="AX441" s="340"/>
      <c r="AY441" s="340"/>
      <c r="AZ441" s="340"/>
      <c r="BA441" s="340"/>
      <c r="BB441" s="340"/>
      <c r="BC441" s="340"/>
      <c r="BD441" s="340"/>
    </row>
    <row r="442" spans="3:56">
      <c r="C442" s="340"/>
      <c r="D442" s="340"/>
      <c r="E442" s="340"/>
      <c r="F442" s="340"/>
      <c r="G442" s="340"/>
      <c r="H442" s="340"/>
      <c r="I442" s="340"/>
      <c r="J442" s="340"/>
      <c r="K442" s="340"/>
      <c r="L442" s="340"/>
      <c r="M442" s="340"/>
      <c r="N442" s="340"/>
      <c r="O442" s="340"/>
      <c r="P442" s="340"/>
      <c r="Q442" s="340"/>
      <c r="R442" s="340"/>
      <c r="S442" s="340"/>
      <c r="T442" s="340"/>
      <c r="U442" s="340"/>
      <c r="V442" s="340"/>
      <c r="W442" s="340"/>
      <c r="X442" s="340"/>
      <c r="Y442" s="340"/>
      <c r="Z442" s="340"/>
      <c r="AA442" s="340"/>
      <c r="AB442" s="340"/>
      <c r="AC442" s="340"/>
      <c r="AD442" s="340"/>
      <c r="AE442" s="340"/>
      <c r="AF442" s="340"/>
      <c r="AG442" s="340"/>
      <c r="AH442" s="340"/>
      <c r="AI442" s="340"/>
      <c r="AJ442" s="340"/>
      <c r="AK442" s="340"/>
      <c r="AL442" s="340"/>
      <c r="AM442" s="340"/>
      <c r="AN442" s="340"/>
      <c r="AO442" s="340"/>
      <c r="AP442" s="340"/>
      <c r="AQ442" s="340"/>
      <c r="AR442" s="340"/>
      <c r="AS442" s="340"/>
      <c r="AT442" s="340"/>
      <c r="AU442" s="340"/>
      <c r="AV442" s="340"/>
      <c r="AW442" s="340"/>
      <c r="AX442" s="340"/>
      <c r="AY442" s="340"/>
      <c r="AZ442" s="340"/>
      <c r="BA442" s="340"/>
      <c r="BB442" s="340"/>
      <c r="BC442" s="340"/>
      <c r="BD442" s="340"/>
    </row>
    <row r="443" spans="3:56">
      <c r="C443" s="340"/>
      <c r="D443" s="340"/>
      <c r="E443" s="340"/>
      <c r="F443" s="340"/>
      <c r="G443" s="340"/>
      <c r="H443" s="340"/>
      <c r="I443" s="340"/>
      <c r="J443" s="340"/>
      <c r="K443" s="340"/>
      <c r="L443" s="340"/>
      <c r="M443" s="340"/>
      <c r="N443" s="340"/>
      <c r="O443" s="340"/>
      <c r="P443" s="340"/>
      <c r="Q443" s="340"/>
      <c r="R443" s="340"/>
      <c r="S443" s="340"/>
      <c r="T443" s="340"/>
      <c r="U443" s="340"/>
      <c r="V443" s="340"/>
      <c r="W443" s="340"/>
      <c r="X443" s="340"/>
      <c r="Y443" s="340"/>
      <c r="Z443" s="340"/>
      <c r="AA443" s="340"/>
      <c r="AB443" s="340"/>
      <c r="AC443" s="340"/>
      <c r="AD443" s="340"/>
      <c r="AE443" s="340"/>
      <c r="AF443" s="340"/>
      <c r="AG443" s="340"/>
      <c r="AH443" s="340"/>
      <c r="AI443" s="340"/>
      <c r="AJ443" s="340"/>
      <c r="AK443" s="340"/>
      <c r="AL443" s="340"/>
      <c r="AM443" s="340"/>
      <c r="AN443" s="340"/>
      <c r="AO443" s="340"/>
      <c r="AP443" s="340"/>
      <c r="AQ443" s="340"/>
      <c r="AR443" s="340"/>
      <c r="AS443" s="340"/>
      <c r="AT443" s="340"/>
      <c r="AU443" s="340"/>
      <c r="AV443" s="340"/>
      <c r="AW443" s="340"/>
      <c r="AX443" s="340"/>
      <c r="AY443" s="340"/>
      <c r="AZ443" s="340"/>
      <c r="BA443" s="340"/>
      <c r="BB443" s="340"/>
      <c r="BC443" s="340"/>
      <c r="BD443" s="340"/>
    </row>
    <row r="444" spans="3:56">
      <c r="C444" s="340"/>
      <c r="D444" s="340"/>
      <c r="E444" s="340"/>
      <c r="F444" s="340"/>
      <c r="G444" s="340"/>
      <c r="H444" s="340"/>
      <c r="I444" s="340"/>
      <c r="J444" s="340"/>
      <c r="K444" s="340"/>
      <c r="L444" s="340"/>
      <c r="M444" s="340"/>
      <c r="N444" s="340"/>
      <c r="O444" s="340"/>
      <c r="P444" s="340"/>
      <c r="Q444" s="340"/>
      <c r="R444" s="340"/>
      <c r="S444" s="340"/>
      <c r="T444" s="340"/>
      <c r="U444" s="340"/>
      <c r="V444" s="340"/>
      <c r="W444" s="340"/>
      <c r="X444" s="340"/>
      <c r="Y444" s="340"/>
      <c r="Z444" s="340"/>
      <c r="AA444" s="340"/>
      <c r="AB444" s="340"/>
      <c r="AC444" s="340"/>
      <c r="AD444" s="340"/>
      <c r="AE444" s="340"/>
      <c r="AF444" s="340"/>
      <c r="AG444" s="340"/>
      <c r="AH444" s="340"/>
      <c r="AI444" s="340"/>
      <c r="AJ444" s="340"/>
      <c r="AK444" s="340"/>
      <c r="AL444" s="340"/>
      <c r="AM444" s="340"/>
      <c r="AN444" s="340"/>
      <c r="AO444" s="340"/>
      <c r="AP444" s="340"/>
      <c r="AQ444" s="340"/>
      <c r="AR444" s="340"/>
      <c r="AS444" s="340"/>
      <c r="AT444" s="340"/>
      <c r="AU444" s="340"/>
      <c r="AV444" s="340"/>
      <c r="AW444" s="340"/>
      <c r="AX444" s="340"/>
      <c r="AY444" s="340"/>
      <c r="AZ444" s="340"/>
      <c r="BA444" s="340"/>
      <c r="BB444" s="340"/>
      <c r="BC444" s="340"/>
      <c r="BD444" s="340"/>
    </row>
    <row r="445" spans="3:56">
      <c r="C445" s="340"/>
      <c r="D445" s="340"/>
      <c r="E445" s="340"/>
      <c r="F445" s="340"/>
      <c r="G445" s="340"/>
      <c r="H445" s="340"/>
      <c r="I445" s="340"/>
      <c r="J445" s="340"/>
      <c r="K445" s="340"/>
      <c r="L445" s="340"/>
      <c r="M445" s="340"/>
      <c r="N445" s="340"/>
      <c r="O445" s="340"/>
      <c r="P445" s="340"/>
      <c r="Q445" s="340"/>
      <c r="R445" s="340"/>
      <c r="S445" s="340"/>
      <c r="T445" s="340"/>
      <c r="U445" s="340"/>
      <c r="V445" s="340"/>
      <c r="W445" s="340"/>
      <c r="X445" s="340"/>
      <c r="Y445" s="340"/>
      <c r="Z445" s="340"/>
      <c r="AA445" s="340"/>
      <c r="AB445" s="340"/>
      <c r="AC445" s="340"/>
      <c r="AD445" s="340"/>
      <c r="AE445" s="340"/>
      <c r="AF445" s="340"/>
      <c r="AG445" s="340"/>
      <c r="AH445" s="340"/>
      <c r="AI445" s="340"/>
      <c r="AJ445" s="340"/>
      <c r="AK445" s="340"/>
      <c r="AL445" s="340"/>
      <c r="AM445" s="340"/>
      <c r="AN445" s="340"/>
      <c r="AO445" s="340"/>
      <c r="AP445" s="340"/>
      <c r="AQ445" s="340"/>
      <c r="AR445" s="340"/>
      <c r="AS445" s="340"/>
      <c r="AT445" s="340"/>
      <c r="AU445" s="340"/>
      <c r="AV445" s="340"/>
      <c r="AW445" s="340"/>
      <c r="AX445" s="340"/>
      <c r="AY445" s="340"/>
      <c r="AZ445" s="340"/>
      <c r="BA445" s="340"/>
      <c r="BB445" s="340"/>
      <c r="BC445" s="340"/>
      <c r="BD445" s="340"/>
    </row>
    <row r="446" spans="3:56">
      <c r="C446" s="340"/>
      <c r="D446" s="340"/>
      <c r="E446" s="340"/>
      <c r="F446" s="340"/>
      <c r="G446" s="340"/>
      <c r="H446" s="340"/>
      <c r="I446" s="340"/>
      <c r="J446" s="340"/>
      <c r="K446" s="340"/>
      <c r="L446" s="340"/>
      <c r="M446" s="340"/>
      <c r="N446" s="340"/>
      <c r="O446" s="340"/>
      <c r="P446" s="340"/>
      <c r="Q446" s="340"/>
      <c r="R446" s="340"/>
      <c r="S446" s="340"/>
      <c r="T446" s="340"/>
      <c r="U446" s="340"/>
      <c r="V446" s="340"/>
      <c r="W446" s="340"/>
      <c r="X446" s="340"/>
      <c r="Y446" s="340"/>
      <c r="Z446" s="340"/>
      <c r="AA446" s="340"/>
      <c r="AB446" s="340"/>
      <c r="AC446" s="340"/>
      <c r="AD446" s="340"/>
      <c r="AE446" s="340"/>
      <c r="AF446" s="340"/>
      <c r="AG446" s="340"/>
      <c r="AH446" s="340"/>
      <c r="AI446" s="340"/>
      <c r="AJ446" s="340"/>
      <c r="AK446" s="340"/>
      <c r="AL446" s="340"/>
      <c r="AM446" s="340"/>
      <c r="AN446" s="340"/>
      <c r="AO446" s="340"/>
      <c r="AP446" s="340"/>
      <c r="AQ446" s="340"/>
      <c r="AR446" s="340"/>
      <c r="AS446" s="340"/>
      <c r="AT446" s="340"/>
      <c r="AU446" s="340"/>
      <c r="AV446" s="340"/>
      <c r="AW446" s="340"/>
      <c r="AX446" s="340"/>
      <c r="AY446" s="340"/>
      <c r="AZ446" s="340"/>
      <c r="BA446" s="340"/>
      <c r="BB446" s="340"/>
      <c r="BC446" s="340"/>
      <c r="BD446" s="340"/>
    </row>
    <row r="447" spans="3:56">
      <c r="C447" s="340"/>
      <c r="D447" s="340"/>
      <c r="E447" s="340"/>
      <c r="F447" s="340"/>
      <c r="G447" s="340"/>
      <c r="H447" s="340"/>
      <c r="I447" s="340"/>
      <c r="J447" s="340"/>
      <c r="K447" s="340"/>
      <c r="L447" s="340"/>
      <c r="M447" s="340"/>
      <c r="N447" s="340"/>
      <c r="O447" s="340"/>
      <c r="P447" s="340"/>
      <c r="Q447" s="340"/>
      <c r="R447" s="340"/>
      <c r="S447" s="340"/>
      <c r="T447" s="340"/>
      <c r="U447" s="340"/>
      <c r="V447" s="340"/>
      <c r="W447" s="340"/>
      <c r="X447" s="340"/>
      <c r="Y447" s="340"/>
      <c r="Z447" s="340"/>
      <c r="AA447" s="340"/>
      <c r="AB447" s="340"/>
      <c r="AC447" s="340"/>
      <c r="AD447" s="340"/>
      <c r="AE447" s="340"/>
      <c r="AF447" s="340"/>
      <c r="AG447" s="340"/>
      <c r="AH447" s="340"/>
      <c r="AI447" s="340"/>
      <c r="AJ447" s="340"/>
      <c r="AK447" s="340"/>
      <c r="AL447" s="340"/>
      <c r="AM447" s="340"/>
      <c r="AN447" s="340"/>
      <c r="AO447" s="340"/>
      <c r="AP447" s="340"/>
      <c r="AQ447" s="340"/>
      <c r="AR447" s="340"/>
      <c r="AS447" s="340"/>
      <c r="AT447" s="340"/>
      <c r="AU447" s="340"/>
      <c r="AV447" s="340"/>
      <c r="AW447" s="340"/>
      <c r="AX447" s="340"/>
      <c r="AY447" s="340"/>
      <c r="AZ447" s="340"/>
      <c r="BA447" s="340"/>
      <c r="BB447" s="340"/>
      <c r="BC447" s="340"/>
      <c r="BD447" s="340"/>
    </row>
    <row r="448" spans="3:56">
      <c r="C448" s="340"/>
      <c r="D448" s="340"/>
      <c r="E448" s="340"/>
      <c r="F448" s="340"/>
      <c r="G448" s="340"/>
      <c r="H448" s="340"/>
      <c r="I448" s="340"/>
      <c r="J448" s="340"/>
      <c r="K448" s="340"/>
      <c r="L448" s="340"/>
      <c r="M448" s="340"/>
      <c r="N448" s="340"/>
      <c r="O448" s="340"/>
      <c r="P448" s="340"/>
      <c r="Q448" s="340"/>
      <c r="R448" s="340"/>
      <c r="S448" s="340"/>
      <c r="T448" s="340"/>
      <c r="U448" s="340"/>
      <c r="V448" s="340"/>
      <c r="W448" s="340"/>
      <c r="X448" s="340"/>
      <c r="Y448" s="340"/>
      <c r="Z448" s="340"/>
      <c r="AA448" s="340"/>
      <c r="AB448" s="340"/>
      <c r="AC448" s="340"/>
      <c r="AD448" s="340"/>
      <c r="AE448" s="340"/>
      <c r="AF448" s="340"/>
      <c r="AG448" s="340"/>
      <c r="AH448" s="340"/>
      <c r="AI448" s="340"/>
      <c r="AJ448" s="340"/>
      <c r="AK448" s="340"/>
      <c r="AL448" s="340"/>
      <c r="AM448" s="340"/>
      <c r="AN448" s="340"/>
      <c r="AO448" s="340"/>
      <c r="AP448" s="340"/>
      <c r="AQ448" s="340"/>
      <c r="AR448" s="340"/>
      <c r="AS448" s="340"/>
      <c r="AT448" s="340"/>
      <c r="AU448" s="340"/>
      <c r="AV448" s="340"/>
      <c r="AW448" s="340"/>
      <c r="AX448" s="340"/>
      <c r="AY448" s="340"/>
      <c r="AZ448" s="340"/>
      <c r="BA448" s="340"/>
      <c r="BB448" s="340"/>
      <c r="BC448" s="340"/>
      <c r="BD448" s="340"/>
    </row>
    <row r="449" spans="3:56">
      <c r="C449" s="340"/>
      <c r="D449" s="340"/>
      <c r="E449" s="340"/>
      <c r="F449" s="340"/>
      <c r="G449" s="340"/>
      <c r="H449" s="340"/>
      <c r="I449" s="340"/>
      <c r="J449" s="340"/>
      <c r="K449" s="340"/>
      <c r="L449" s="340"/>
      <c r="M449" s="340"/>
      <c r="N449" s="340"/>
      <c r="O449" s="340"/>
      <c r="P449" s="340"/>
      <c r="Q449" s="340"/>
      <c r="R449" s="340"/>
      <c r="S449" s="340"/>
      <c r="T449" s="340"/>
      <c r="U449" s="340"/>
      <c r="V449" s="340"/>
      <c r="W449" s="340"/>
      <c r="X449" s="340"/>
      <c r="Y449" s="340"/>
      <c r="Z449" s="340"/>
      <c r="AA449" s="340"/>
      <c r="AB449" s="340"/>
      <c r="AC449" s="340"/>
      <c r="AD449" s="340"/>
      <c r="AE449" s="340"/>
      <c r="AF449" s="340"/>
      <c r="AG449" s="340"/>
      <c r="AH449" s="340"/>
      <c r="AI449" s="340"/>
      <c r="AJ449" s="340"/>
      <c r="AK449" s="340"/>
      <c r="AL449" s="340"/>
      <c r="AM449" s="340"/>
      <c r="AN449" s="340"/>
      <c r="AO449" s="340"/>
      <c r="AP449" s="340"/>
      <c r="AQ449" s="340"/>
      <c r="AR449" s="340"/>
      <c r="AS449" s="340"/>
      <c r="AT449" s="340"/>
      <c r="AU449" s="340"/>
      <c r="AV449" s="340"/>
      <c r="AW449" s="340"/>
      <c r="AX449" s="340"/>
      <c r="AY449" s="340"/>
      <c r="AZ449" s="340"/>
      <c r="BA449" s="340"/>
      <c r="BB449" s="340"/>
      <c r="BC449" s="340"/>
      <c r="BD449" s="340"/>
    </row>
    <row r="450" spans="3:56">
      <c r="C450" s="340"/>
      <c r="D450" s="340"/>
      <c r="E450" s="340"/>
      <c r="F450" s="340"/>
      <c r="G450" s="340"/>
      <c r="H450" s="340"/>
      <c r="I450" s="340"/>
      <c r="J450" s="340"/>
      <c r="K450" s="340"/>
      <c r="L450" s="340"/>
      <c r="M450" s="340"/>
      <c r="N450" s="340"/>
      <c r="O450" s="340"/>
      <c r="P450" s="340"/>
      <c r="Q450" s="340"/>
      <c r="R450" s="340"/>
      <c r="S450" s="340"/>
      <c r="T450" s="340"/>
      <c r="U450" s="340"/>
      <c r="V450" s="340"/>
      <c r="W450" s="340"/>
      <c r="X450" s="340"/>
      <c r="Y450" s="340"/>
      <c r="Z450" s="340"/>
      <c r="AA450" s="340"/>
      <c r="AB450" s="340"/>
      <c r="AC450" s="340"/>
      <c r="AD450" s="340"/>
      <c r="AE450" s="340"/>
      <c r="AF450" s="340"/>
      <c r="AG450" s="340"/>
      <c r="AH450" s="340"/>
      <c r="AI450" s="340"/>
      <c r="AJ450" s="340"/>
      <c r="AK450" s="340"/>
      <c r="AL450" s="340"/>
      <c r="AM450" s="340"/>
      <c r="AN450" s="340"/>
      <c r="AO450" s="340"/>
      <c r="AP450" s="340"/>
      <c r="AQ450" s="340"/>
      <c r="AR450" s="340"/>
      <c r="AS450" s="340"/>
      <c r="AT450" s="340"/>
      <c r="AU450" s="340"/>
      <c r="AV450" s="340"/>
      <c r="AW450" s="340"/>
      <c r="AX450" s="340"/>
      <c r="AY450" s="340"/>
      <c r="AZ450" s="340"/>
      <c r="BA450" s="340"/>
      <c r="BB450" s="340"/>
      <c r="BC450" s="340"/>
      <c r="BD450" s="340"/>
    </row>
    <row r="451" spans="3:56">
      <c r="C451" s="340"/>
      <c r="D451" s="340"/>
      <c r="E451" s="340"/>
      <c r="F451" s="340"/>
      <c r="G451" s="340"/>
      <c r="H451" s="340"/>
      <c r="I451" s="340"/>
      <c r="J451" s="340"/>
      <c r="K451" s="340"/>
      <c r="L451" s="340"/>
      <c r="M451" s="340"/>
      <c r="N451" s="340"/>
      <c r="O451" s="340"/>
      <c r="P451" s="340"/>
      <c r="Q451" s="340"/>
      <c r="R451" s="340"/>
      <c r="S451" s="340"/>
      <c r="T451" s="340"/>
      <c r="U451" s="340"/>
      <c r="V451" s="340"/>
      <c r="W451" s="340"/>
      <c r="X451" s="340"/>
      <c r="Y451" s="340"/>
      <c r="Z451" s="340"/>
      <c r="AA451" s="340"/>
      <c r="AB451" s="340"/>
      <c r="AC451" s="340"/>
      <c r="AD451" s="340"/>
      <c r="AE451" s="340"/>
      <c r="AF451" s="340"/>
      <c r="AG451" s="340"/>
      <c r="AH451" s="340"/>
      <c r="AI451" s="340"/>
      <c r="AJ451" s="340"/>
      <c r="AK451" s="340"/>
      <c r="AL451" s="340"/>
      <c r="AM451" s="340"/>
      <c r="AN451" s="340"/>
      <c r="AO451" s="340"/>
      <c r="AP451" s="340"/>
      <c r="AQ451" s="340"/>
      <c r="AR451" s="340"/>
      <c r="AS451" s="340"/>
      <c r="AT451" s="340"/>
      <c r="AU451" s="340"/>
      <c r="AV451" s="340"/>
      <c r="AW451" s="340"/>
      <c r="AX451" s="340"/>
      <c r="AY451" s="340"/>
      <c r="AZ451" s="340"/>
      <c r="BA451" s="340"/>
      <c r="BB451" s="340"/>
      <c r="BC451" s="340"/>
      <c r="BD451" s="340"/>
    </row>
    <row r="452" spans="3:56">
      <c r="C452" s="340"/>
      <c r="D452" s="340"/>
      <c r="E452" s="340"/>
      <c r="F452" s="340"/>
      <c r="G452" s="340"/>
      <c r="H452" s="340"/>
      <c r="I452" s="340"/>
      <c r="J452" s="340"/>
      <c r="K452" s="340"/>
      <c r="L452" s="340"/>
      <c r="M452" s="340"/>
      <c r="N452" s="340"/>
      <c r="O452" s="340"/>
      <c r="P452" s="340"/>
      <c r="Q452" s="340"/>
      <c r="R452" s="340"/>
      <c r="S452" s="340"/>
      <c r="T452" s="340"/>
      <c r="U452" s="340"/>
      <c r="V452" s="340"/>
      <c r="W452" s="340"/>
      <c r="X452" s="340"/>
      <c r="Y452" s="340"/>
      <c r="Z452" s="340"/>
      <c r="AA452" s="340"/>
      <c r="AB452" s="340"/>
      <c r="AC452" s="340"/>
      <c r="AD452" s="340"/>
      <c r="AE452" s="340"/>
      <c r="AF452" s="340"/>
      <c r="AG452" s="340"/>
      <c r="AH452" s="340"/>
      <c r="AI452" s="340"/>
      <c r="AJ452" s="340"/>
      <c r="AK452" s="340"/>
      <c r="AL452" s="340"/>
      <c r="AM452" s="340"/>
      <c r="AN452" s="340"/>
      <c r="AO452" s="340"/>
      <c r="AP452" s="340"/>
      <c r="AQ452" s="340"/>
      <c r="AR452" s="340"/>
      <c r="AS452" s="340"/>
      <c r="AT452" s="340"/>
      <c r="AU452" s="340"/>
      <c r="AV452" s="340"/>
      <c r="AW452" s="340"/>
      <c r="AX452" s="340"/>
      <c r="AY452" s="340"/>
      <c r="AZ452" s="340"/>
      <c r="BA452" s="340"/>
      <c r="BB452" s="340"/>
      <c r="BC452" s="340"/>
      <c r="BD452" s="340"/>
    </row>
    <row r="453" spans="3:56">
      <c r="C453" s="340"/>
      <c r="D453" s="340"/>
      <c r="E453" s="340"/>
      <c r="F453" s="340"/>
      <c r="G453" s="340"/>
      <c r="H453" s="340"/>
      <c r="I453" s="340"/>
      <c r="J453" s="340"/>
      <c r="K453" s="340"/>
      <c r="L453" s="340"/>
      <c r="M453" s="340"/>
      <c r="N453" s="340"/>
      <c r="O453" s="340"/>
      <c r="P453" s="340"/>
      <c r="Q453" s="340"/>
      <c r="R453" s="340"/>
      <c r="S453" s="340"/>
      <c r="T453" s="340"/>
      <c r="U453" s="340"/>
      <c r="V453" s="340"/>
      <c r="W453" s="340"/>
      <c r="X453" s="340"/>
      <c r="Y453" s="340"/>
      <c r="Z453" s="340"/>
      <c r="AA453" s="340"/>
      <c r="AB453" s="340"/>
      <c r="AC453" s="340"/>
      <c r="AD453" s="340"/>
      <c r="AE453" s="340"/>
      <c r="AF453" s="340"/>
      <c r="AG453" s="340"/>
      <c r="AH453" s="340"/>
      <c r="AI453" s="340"/>
      <c r="AJ453" s="340"/>
      <c r="AK453" s="340"/>
      <c r="AL453" s="340"/>
      <c r="AM453" s="340"/>
      <c r="AN453" s="340"/>
      <c r="AO453" s="340"/>
      <c r="AP453" s="340"/>
      <c r="AQ453" s="340"/>
      <c r="AR453" s="340"/>
      <c r="AS453" s="340"/>
      <c r="AT453" s="340"/>
      <c r="AU453" s="340"/>
      <c r="AV453" s="340"/>
      <c r="AW453" s="340"/>
      <c r="AX453" s="340"/>
      <c r="AY453" s="340"/>
      <c r="AZ453" s="340"/>
      <c r="BA453" s="340"/>
      <c r="BB453" s="340"/>
      <c r="BC453" s="340"/>
      <c r="BD453" s="340"/>
    </row>
    <row r="454" spans="3:56">
      <c r="C454" s="340"/>
      <c r="D454" s="340"/>
      <c r="E454" s="340"/>
      <c r="F454" s="340"/>
      <c r="G454" s="340"/>
      <c r="H454" s="340"/>
      <c r="I454" s="340"/>
      <c r="J454" s="340"/>
      <c r="K454" s="340"/>
      <c r="L454" s="340"/>
      <c r="M454" s="340"/>
      <c r="N454" s="340"/>
      <c r="O454" s="340"/>
      <c r="P454" s="340"/>
      <c r="Q454" s="340"/>
      <c r="R454" s="340"/>
      <c r="S454" s="340"/>
      <c r="T454" s="340"/>
      <c r="U454" s="340"/>
      <c r="V454" s="340"/>
      <c r="W454" s="340"/>
      <c r="X454" s="340"/>
      <c r="Y454" s="340"/>
      <c r="Z454" s="340"/>
      <c r="AA454" s="340"/>
      <c r="AB454" s="340"/>
      <c r="AC454" s="340"/>
      <c r="AD454" s="340"/>
      <c r="AE454" s="340"/>
      <c r="AF454" s="340"/>
      <c r="AG454" s="340"/>
      <c r="AH454" s="340"/>
      <c r="AI454" s="340"/>
      <c r="AJ454" s="340"/>
      <c r="AK454" s="340"/>
      <c r="AL454" s="340"/>
      <c r="AM454" s="340"/>
      <c r="AN454" s="340"/>
      <c r="AO454" s="340"/>
      <c r="AP454" s="340"/>
      <c r="AQ454" s="340"/>
      <c r="AR454" s="340"/>
      <c r="AS454" s="340"/>
      <c r="AT454" s="340"/>
      <c r="AU454" s="340"/>
      <c r="AV454" s="340"/>
      <c r="AW454" s="340"/>
      <c r="AX454" s="340"/>
      <c r="AY454" s="340"/>
      <c r="AZ454" s="340"/>
      <c r="BA454" s="340"/>
      <c r="BB454" s="340"/>
      <c r="BC454" s="340"/>
      <c r="BD454" s="340"/>
    </row>
    <row r="455" spans="3:56">
      <c r="C455" s="340"/>
      <c r="D455" s="340"/>
      <c r="E455" s="340"/>
      <c r="F455" s="340"/>
      <c r="G455" s="340"/>
      <c r="H455" s="340"/>
      <c r="I455" s="340"/>
      <c r="J455" s="340"/>
      <c r="K455" s="340"/>
      <c r="L455" s="340"/>
      <c r="M455" s="340"/>
      <c r="N455" s="340"/>
      <c r="O455" s="340"/>
      <c r="P455" s="340"/>
      <c r="Q455" s="340"/>
      <c r="R455" s="340"/>
      <c r="S455" s="340"/>
      <c r="T455" s="340"/>
      <c r="U455" s="340"/>
      <c r="V455" s="340"/>
      <c r="W455" s="340"/>
      <c r="X455" s="340"/>
      <c r="Y455" s="340"/>
      <c r="Z455" s="340"/>
      <c r="AA455" s="340"/>
      <c r="AB455" s="340"/>
      <c r="AC455" s="340"/>
      <c r="AD455" s="340"/>
      <c r="AE455" s="340"/>
      <c r="AF455" s="340"/>
      <c r="AG455" s="340"/>
      <c r="AH455" s="340"/>
      <c r="AI455" s="340"/>
      <c r="AJ455" s="340"/>
      <c r="AK455" s="340"/>
      <c r="AL455" s="340"/>
      <c r="AM455" s="340"/>
      <c r="AN455" s="340"/>
      <c r="AO455" s="340"/>
      <c r="AP455" s="340"/>
      <c r="AQ455" s="340"/>
      <c r="AR455" s="340"/>
      <c r="AS455" s="340"/>
      <c r="AT455" s="340"/>
      <c r="AU455" s="340"/>
      <c r="AV455" s="340"/>
      <c r="AW455" s="340"/>
      <c r="AX455" s="340"/>
      <c r="AY455" s="340"/>
      <c r="AZ455" s="340"/>
      <c r="BA455" s="340"/>
      <c r="BB455" s="340"/>
      <c r="BC455" s="340"/>
      <c r="BD455" s="340"/>
    </row>
    <row r="456" spans="3:56">
      <c r="C456" s="340"/>
      <c r="D456" s="340"/>
      <c r="E456" s="340"/>
      <c r="F456" s="340"/>
      <c r="G456" s="340"/>
      <c r="H456" s="340"/>
      <c r="I456" s="340"/>
      <c r="J456" s="340"/>
      <c r="K456" s="340"/>
      <c r="L456" s="340"/>
      <c r="M456" s="340"/>
      <c r="N456" s="340"/>
      <c r="O456" s="340"/>
      <c r="P456" s="340"/>
      <c r="Q456" s="340"/>
      <c r="R456" s="340"/>
      <c r="S456" s="340"/>
      <c r="T456" s="340"/>
      <c r="U456" s="340"/>
      <c r="V456" s="340"/>
      <c r="W456" s="340"/>
      <c r="X456" s="340"/>
      <c r="Y456" s="340"/>
      <c r="Z456" s="340"/>
      <c r="AA456" s="340"/>
      <c r="AB456" s="340"/>
      <c r="AC456" s="340"/>
      <c r="AD456" s="340"/>
      <c r="AE456" s="340"/>
      <c r="AF456" s="340"/>
      <c r="AG456" s="340"/>
      <c r="AH456" s="340"/>
      <c r="AI456" s="340"/>
      <c r="AJ456" s="340"/>
      <c r="AK456" s="340"/>
      <c r="AL456" s="340"/>
      <c r="AM456" s="340"/>
      <c r="AN456" s="340"/>
      <c r="AO456" s="340"/>
      <c r="AP456" s="340"/>
      <c r="AQ456" s="340"/>
      <c r="AR456" s="340"/>
      <c r="AS456" s="340"/>
      <c r="AT456" s="340"/>
      <c r="AU456" s="340"/>
      <c r="AV456" s="340"/>
      <c r="AW456" s="340"/>
      <c r="AX456" s="340"/>
      <c r="AY456" s="340"/>
      <c r="AZ456" s="340"/>
      <c r="BA456" s="340"/>
      <c r="BB456" s="340"/>
      <c r="BC456" s="340"/>
      <c r="BD456" s="340"/>
    </row>
    <row r="457" spans="3:56">
      <c r="C457" s="340"/>
      <c r="D457" s="340"/>
      <c r="E457" s="340"/>
      <c r="F457" s="340"/>
      <c r="G457" s="340"/>
      <c r="H457" s="340"/>
      <c r="I457" s="340"/>
      <c r="J457" s="340"/>
      <c r="K457" s="340"/>
      <c r="L457" s="340"/>
      <c r="M457" s="340"/>
      <c r="N457" s="340"/>
      <c r="O457" s="340"/>
      <c r="P457" s="340"/>
      <c r="Q457" s="340"/>
      <c r="R457" s="340"/>
      <c r="S457" s="340"/>
      <c r="T457" s="340"/>
      <c r="U457" s="340"/>
      <c r="V457" s="340"/>
      <c r="W457" s="340"/>
      <c r="X457" s="340"/>
      <c r="Y457" s="340"/>
      <c r="Z457" s="340"/>
      <c r="AA457" s="340"/>
      <c r="AB457" s="340"/>
      <c r="AC457" s="340"/>
      <c r="AD457" s="340"/>
      <c r="AE457" s="340"/>
      <c r="AF457" s="340"/>
      <c r="AG457" s="340"/>
      <c r="AH457" s="340"/>
      <c r="AI457" s="340"/>
      <c r="AJ457" s="340"/>
      <c r="AK457" s="340"/>
      <c r="AL457" s="340"/>
      <c r="AM457" s="340"/>
      <c r="AN457" s="340"/>
      <c r="AO457" s="340"/>
      <c r="AP457" s="340"/>
      <c r="AQ457" s="340"/>
      <c r="AR457" s="340"/>
      <c r="AS457" s="340"/>
      <c r="AT457" s="340"/>
      <c r="AU457" s="340"/>
      <c r="AV457" s="340"/>
      <c r="AW457" s="340"/>
      <c r="AX457" s="340"/>
      <c r="AY457" s="340"/>
      <c r="AZ457" s="340"/>
      <c r="BA457" s="340"/>
      <c r="BB457" s="340"/>
      <c r="BC457" s="340"/>
      <c r="BD457" s="340"/>
    </row>
    <row r="458" spans="3:56">
      <c r="C458" s="340"/>
      <c r="D458" s="340"/>
      <c r="E458" s="340"/>
      <c r="F458" s="340"/>
      <c r="G458" s="340"/>
      <c r="H458" s="340"/>
      <c r="I458" s="340"/>
      <c r="J458" s="340"/>
      <c r="K458" s="340"/>
      <c r="L458" s="340"/>
      <c r="M458" s="340"/>
      <c r="N458" s="340"/>
      <c r="O458" s="340"/>
      <c r="P458" s="340"/>
      <c r="Q458" s="340"/>
      <c r="R458" s="340"/>
      <c r="S458" s="340"/>
      <c r="T458" s="340"/>
      <c r="U458" s="340"/>
      <c r="V458" s="340"/>
      <c r="W458" s="340"/>
      <c r="X458" s="340"/>
      <c r="Y458" s="340"/>
      <c r="Z458" s="340"/>
      <c r="AA458" s="340"/>
      <c r="AB458" s="340"/>
      <c r="AC458" s="340"/>
      <c r="AD458" s="340"/>
      <c r="AE458" s="340"/>
      <c r="AF458" s="340"/>
      <c r="AG458" s="340"/>
      <c r="AH458" s="340"/>
      <c r="AI458" s="340"/>
      <c r="AJ458" s="340"/>
      <c r="AK458" s="340"/>
      <c r="AL458" s="340"/>
      <c r="AM458" s="340"/>
      <c r="AN458" s="340"/>
      <c r="AO458" s="340"/>
      <c r="AP458" s="340"/>
      <c r="AQ458" s="340"/>
      <c r="AR458" s="340"/>
      <c r="AS458" s="340"/>
      <c r="AT458" s="340"/>
      <c r="AU458" s="340"/>
      <c r="AV458" s="340"/>
      <c r="AW458" s="340"/>
      <c r="AX458" s="340"/>
      <c r="AY458" s="340"/>
      <c r="AZ458" s="340"/>
      <c r="BA458" s="340"/>
      <c r="BB458" s="340"/>
      <c r="BC458" s="340"/>
      <c r="BD458" s="340"/>
    </row>
    <row r="459" spans="3:56">
      <c r="C459" s="340"/>
      <c r="D459" s="340"/>
      <c r="E459" s="340"/>
      <c r="F459" s="340"/>
      <c r="G459" s="340"/>
      <c r="H459" s="340"/>
      <c r="I459" s="340"/>
      <c r="J459" s="340"/>
      <c r="K459" s="340"/>
      <c r="L459" s="340"/>
      <c r="M459" s="340"/>
      <c r="N459" s="340"/>
      <c r="O459" s="340"/>
      <c r="P459" s="340"/>
      <c r="Q459" s="340"/>
      <c r="R459" s="340"/>
      <c r="S459" s="340"/>
      <c r="T459" s="340"/>
      <c r="U459" s="340"/>
      <c r="V459" s="340"/>
      <c r="W459" s="340"/>
      <c r="X459" s="340"/>
      <c r="Y459" s="340"/>
      <c r="Z459" s="340"/>
      <c r="AA459" s="340"/>
      <c r="AB459" s="340"/>
      <c r="AC459" s="340"/>
      <c r="AD459" s="340"/>
      <c r="AE459" s="340"/>
      <c r="AF459" s="340"/>
      <c r="AG459" s="340"/>
      <c r="AH459" s="340"/>
      <c r="AI459" s="340"/>
      <c r="AJ459" s="340"/>
      <c r="AK459" s="340"/>
      <c r="AL459" s="340"/>
      <c r="AM459" s="340"/>
      <c r="AN459" s="340"/>
      <c r="AO459" s="340"/>
      <c r="AP459" s="340"/>
      <c r="AQ459" s="340"/>
      <c r="AR459" s="340"/>
      <c r="AS459" s="340"/>
      <c r="AT459" s="340"/>
      <c r="AU459" s="340"/>
      <c r="AV459" s="340"/>
      <c r="AW459" s="340"/>
      <c r="AX459" s="340"/>
      <c r="AY459" s="340"/>
      <c r="AZ459" s="340"/>
      <c r="BA459" s="340"/>
      <c r="BB459" s="340"/>
      <c r="BC459" s="340"/>
      <c r="BD459" s="340"/>
    </row>
    <row r="460" spans="3:56">
      <c r="C460" s="340"/>
      <c r="D460" s="340"/>
      <c r="E460" s="340"/>
      <c r="F460" s="340"/>
      <c r="G460" s="340"/>
      <c r="H460" s="340"/>
      <c r="I460" s="340"/>
      <c r="J460" s="340"/>
      <c r="K460" s="340"/>
      <c r="L460" s="340"/>
      <c r="M460" s="340"/>
      <c r="N460" s="340"/>
      <c r="O460" s="340"/>
      <c r="P460" s="340"/>
      <c r="Q460" s="340"/>
      <c r="R460" s="340"/>
      <c r="S460" s="340"/>
      <c r="T460" s="340"/>
      <c r="U460" s="340"/>
      <c r="V460" s="340"/>
      <c r="W460" s="340"/>
      <c r="X460" s="340"/>
      <c r="Y460" s="340"/>
      <c r="Z460" s="340"/>
      <c r="AA460" s="340"/>
      <c r="AB460" s="340"/>
      <c r="AC460" s="340"/>
      <c r="AD460" s="340"/>
      <c r="AE460" s="340"/>
      <c r="AF460" s="340"/>
      <c r="AG460" s="340"/>
      <c r="AH460" s="340"/>
      <c r="AI460" s="340"/>
      <c r="AJ460" s="340"/>
      <c r="AK460" s="340"/>
      <c r="AL460" s="340"/>
      <c r="AM460" s="340"/>
      <c r="AN460" s="340"/>
      <c r="AO460" s="340"/>
      <c r="AP460" s="340"/>
      <c r="AQ460" s="340"/>
      <c r="AR460" s="340"/>
      <c r="AS460" s="340"/>
      <c r="AT460" s="340"/>
      <c r="AU460" s="340"/>
      <c r="AV460" s="340"/>
      <c r="AW460" s="340"/>
      <c r="AX460" s="340"/>
      <c r="AY460" s="340"/>
      <c r="AZ460" s="340"/>
      <c r="BA460" s="340"/>
      <c r="BB460" s="340"/>
      <c r="BC460" s="340"/>
      <c r="BD460" s="340"/>
    </row>
    <row r="461" spans="3:56">
      <c r="C461" s="340"/>
      <c r="D461" s="340"/>
      <c r="E461" s="340"/>
      <c r="F461" s="340"/>
      <c r="G461" s="340"/>
      <c r="H461" s="340"/>
      <c r="I461" s="340"/>
      <c r="J461" s="340"/>
      <c r="K461" s="340"/>
      <c r="L461" s="340"/>
      <c r="M461" s="340"/>
      <c r="N461" s="340"/>
      <c r="O461" s="340"/>
      <c r="P461" s="340"/>
      <c r="Q461" s="340"/>
      <c r="R461" s="340"/>
      <c r="S461" s="340"/>
      <c r="T461" s="340"/>
      <c r="U461" s="340"/>
      <c r="V461" s="340"/>
      <c r="W461" s="340"/>
      <c r="X461" s="340"/>
      <c r="Y461" s="340"/>
      <c r="Z461" s="340"/>
      <c r="AA461" s="340"/>
      <c r="AB461" s="340"/>
      <c r="AC461" s="340"/>
      <c r="AD461" s="340"/>
      <c r="AE461" s="340"/>
      <c r="AF461" s="340"/>
      <c r="AG461" s="340"/>
      <c r="AH461" s="340"/>
      <c r="AI461" s="340"/>
      <c r="AJ461" s="340"/>
      <c r="AK461" s="340"/>
      <c r="AL461" s="340"/>
      <c r="AM461" s="340"/>
      <c r="AN461" s="340"/>
      <c r="AO461" s="340"/>
      <c r="AP461" s="340"/>
      <c r="AQ461" s="340"/>
      <c r="AR461" s="340"/>
      <c r="AS461" s="340"/>
      <c r="AT461" s="340"/>
      <c r="AU461" s="340"/>
      <c r="AV461" s="340"/>
      <c r="AW461" s="340"/>
      <c r="AX461" s="340"/>
      <c r="AY461" s="340"/>
      <c r="AZ461" s="340"/>
      <c r="BA461" s="340"/>
      <c r="BB461" s="340"/>
      <c r="BC461" s="340"/>
      <c r="BD461" s="340"/>
    </row>
    <row r="462" spans="3:56">
      <c r="C462" s="340"/>
      <c r="D462" s="340"/>
      <c r="E462" s="340"/>
      <c r="F462" s="340"/>
      <c r="G462" s="340"/>
      <c r="H462" s="340"/>
      <c r="I462" s="340"/>
      <c r="J462" s="340"/>
      <c r="K462" s="340"/>
      <c r="L462" s="340"/>
      <c r="M462" s="340"/>
      <c r="N462" s="340"/>
      <c r="O462" s="340"/>
      <c r="P462" s="340"/>
      <c r="Q462" s="340"/>
      <c r="R462" s="340"/>
      <c r="S462" s="340"/>
      <c r="T462" s="340"/>
      <c r="U462" s="340"/>
      <c r="V462" s="340"/>
      <c r="W462" s="340"/>
      <c r="X462" s="340"/>
      <c r="Y462" s="340"/>
      <c r="Z462" s="340"/>
      <c r="AA462" s="340"/>
      <c r="AB462" s="340"/>
      <c r="AC462" s="340"/>
      <c r="AD462" s="340"/>
      <c r="AE462" s="340"/>
      <c r="AF462" s="340"/>
      <c r="AG462" s="340"/>
      <c r="AH462" s="340"/>
      <c r="AI462" s="340"/>
      <c r="AJ462" s="340"/>
      <c r="AK462" s="340"/>
      <c r="AL462" s="340"/>
      <c r="AM462" s="340"/>
      <c r="AN462" s="340"/>
      <c r="AO462" s="340"/>
      <c r="AP462" s="340"/>
      <c r="AQ462" s="340"/>
      <c r="AR462" s="340"/>
      <c r="AS462" s="340"/>
      <c r="AT462" s="340"/>
      <c r="AU462" s="340"/>
      <c r="AV462" s="340"/>
      <c r="AW462" s="340"/>
      <c r="AX462" s="340"/>
      <c r="AY462" s="340"/>
      <c r="AZ462" s="340"/>
      <c r="BA462" s="340"/>
      <c r="BB462" s="340"/>
      <c r="BC462" s="340"/>
      <c r="BD462" s="340"/>
    </row>
    <row r="463" spans="3:56">
      <c r="C463" s="340"/>
      <c r="D463" s="340"/>
      <c r="E463" s="340"/>
      <c r="F463" s="340"/>
      <c r="G463" s="340"/>
      <c r="H463" s="340"/>
      <c r="I463" s="340"/>
      <c r="J463" s="340"/>
      <c r="K463" s="340"/>
      <c r="L463" s="340"/>
      <c r="M463" s="340"/>
      <c r="N463" s="340"/>
      <c r="O463" s="340"/>
      <c r="P463" s="340"/>
      <c r="Q463" s="340"/>
      <c r="R463" s="340"/>
      <c r="S463" s="340"/>
      <c r="T463" s="340"/>
      <c r="U463" s="340"/>
      <c r="V463" s="340"/>
      <c r="W463" s="340"/>
      <c r="X463" s="340"/>
      <c r="Y463" s="340"/>
      <c r="Z463" s="340"/>
      <c r="AA463" s="340"/>
      <c r="AB463" s="340"/>
      <c r="AC463" s="340"/>
      <c r="AD463" s="340"/>
      <c r="AE463" s="340"/>
      <c r="AF463" s="340"/>
      <c r="AG463" s="340"/>
      <c r="AH463" s="340"/>
      <c r="AI463" s="340"/>
      <c r="AJ463" s="340"/>
      <c r="AK463" s="340"/>
      <c r="AL463" s="340"/>
      <c r="AM463" s="340"/>
      <c r="AN463" s="340"/>
      <c r="AO463" s="340"/>
      <c r="AP463" s="340"/>
      <c r="AQ463" s="340"/>
      <c r="AR463" s="340"/>
      <c r="AS463" s="340"/>
      <c r="AT463" s="340"/>
      <c r="AU463" s="340"/>
      <c r="AV463" s="340"/>
      <c r="AW463" s="340"/>
      <c r="AX463" s="340"/>
      <c r="AY463" s="340"/>
      <c r="AZ463" s="340"/>
      <c r="BA463" s="340"/>
      <c r="BB463" s="340"/>
      <c r="BC463" s="340"/>
      <c r="BD463" s="340"/>
    </row>
    <row r="464" spans="3:56">
      <c r="C464" s="340"/>
      <c r="D464" s="340"/>
      <c r="E464" s="340"/>
      <c r="F464" s="340"/>
      <c r="G464" s="340"/>
      <c r="H464" s="340"/>
      <c r="I464" s="340"/>
      <c r="J464" s="340"/>
      <c r="K464" s="340"/>
      <c r="L464" s="340"/>
      <c r="M464" s="340"/>
      <c r="N464" s="340"/>
      <c r="O464" s="340"/>
      <c r="P464" s="340"/>
      <c r="Q464" s="340"/>
      <c r="R464" s="340"/>
      <c r="S464" s="340"/>
      <c r="T464" s="340"/>
      <c r="U464" s="340"/>
      <c r="V464" s="340"/>
      <c r="W464" s="340"/>
      <c r="X464" s="340"/>
      <c r="Y464" s="340"/>
      <c r="Z464" s="340"/>
      <c r="AA464" s="340"/>
      <c r="AB464" s="340"/>
      <c r="AC464" s="340"/>
      <c r="AD464" s="340"/>
      <c r="AE464" s="340"/>
      <c r="AF464" s="340"/>
      <c r="AG464" s="340"/>
      <c r="AH464" s="340"/>
      <c r="AI464" s="340"/>
      <c r="AJ464" s="340"/>
      <c r="AK464" s="340"/>
      <c r="AL464" s="340"/>
      <c r="AM464" s="340"/>
      <c r="AN464" s="340"/>
      <c r="AO464" s="340"/>
      <c r="AP464" s="340"/>
      <c r="AQ464" s="340"/>
      <c r="AR464" s="340"/>
      <c r="AS464" s="340"/>
      <c r="AT464" s="340"/>
      <c r="AU464" s="340"/>
      <c r="AV464" s="340"/>
      <c r="AW464" s="340"/>
      <c r="AX464" s="340"/>
      <c r="AY464" s="340"/>
      <c r="AZ464" s="340"/>
      <c r="BA464" s="340"/>
      <c r="BB464" s="340"/>
      <c r="BC464" s="340"/>
      <c r="BD464" s="340"/>
    </row>
    <row r="465" spans="3:56">
      <c r="C465" s="340"/>
      <c r="D465" s="340"/>
      <c r="E465" s="340"/>
      <c r="F465" s="340"/>
      <c r="G465" s="340"/>
      <c r="H465" s="340"/>
      <c r="I465" s="340"/>
      <c r="J465" s="340"/>
      <c r="K465" s="340"/>
      <c r="L465" s="340"/>
      <c r="M465" s="340"/>
      <c r="N465" s="340"/>
      <c r="O465" s="340"/>
      <c r="P465" s="340"/>
      <c r="Q465" s="340"/>
      <c r="R465" s="340"/>
      <c r="S465" s="340"/>
      <c r="T465" s="340"/>
      <c r="U465" s="340"/>
      <c r="V465" s="340"/>
      <c r="W465" s="340"/>
      <c r="X465" s="340"/>
      <c r="Y465" s="340"/>
      <c r="Z465" s="340"/>
      <c r="AA465" s="340"/>
      <c r="AB465" s="340"/>
      <c r="AC465" s="340"/>
      <c r="AD465" s="340"/>
      <c r="AE465" s="340"/>
      <c r="AF465" s="340"/>
      <c r="AG465" s="340"/>
      <c r="AH465" s="340"/>
      <c r="AI465" s="340"/>
      <c r="AJ465" s="340"/>
      <c r="AK465" s="340"/>
      <c r="AL465" s="340"/>
      <c r="AM465" s="340"/>
      <c r="AN465" s="340"/>
      <c r="AO465" s="340"/>
      <c r="AP465" s="340"/>
      <c r="AQ465" s="340"/>
      <c r="AR465" s="340"/>
      <c r="AS465" s="340"/>
      <c r="AT465" s="340"/>
      <c r="AU465" s="340"/>
      <c r="AV465" s="340"/>
      <c r="AW465" s="340"/>
      <c r="AX465" s="340"/>
      <c r="AY465" s="340"/>
      <c r="AZ465" s="340"/>
      <c r="BA465" s="340"/>
      <c r="BB465" s="340"/>
      <c r="BC465" s="340"/>
      <c r="BD465" s="340"/>
    </row>
    <row r="466" spans="3:56">
      <c r="C466" s="340"/>
      <c r="D466" s="340"/>
      <c r="E466" s="340"/>
      <c r="F466" s="340"/>
      <c r="G466" s="340"/>
      <c r="H466" s="340"/>
      <c r="I466" s="340"/>
      <c r="J466" s="340"/>
      <c r="K466" s="340"/>
      <c r="L466" s="340"/>
      <c r="M466" s="340"/>
      <c r="N466" s="340"/>
      <c r="O466" s="340"/>
      <c r="P466" s="340"/>
      <c r="Q466" s="340"/>
      <c r="R466" s="340"/>
      <c r="S466" s="340"/>
      <c r="T466" s="340"/>
      <c r="U466" s="340"/>
      <c r="V466" s="340"/>
      <c r="W466" s="340"/>
      <c r="X466" s="340"/>
      <c r="Y466" s="340"/>
      <c r="Z466" s="340"/>
      <c r="AA466" s="340"/>
      <c r="AB466" s="340"/>
      <c r="AC466" s="340"/>
      <c r="AD466" s="340"/>
      <c r="AE466" s="340"/>
      <c r="AF466" s="340"/>
      <c r="AG466" s="340"/>
      <c r="AH466" s="340"/>
      <c r="AI466" s="340"/>
      <c r="AJ466" s="340"/>
      <c r="AK466" s="340"/>
      <c r="AL466" s="340"/>
      <c r="AM466" s="340"/>
      <c r="AN466" s="340"/>
      <c r="AO466" s="340"/>
      <c r="AP466" s="340"/>
      <c r="AQ466" s="340"/>
      <c r="AR466" s="340"/>
      <c r="AS466" s="340"/>
      <c r="AT466" s="340"/>
      <c r="AU466" s="340"/>
      <c r="AV466" s="340"/>
      <c r="AW466" s="340"/>
      <c r="AX466" s="340"/>
      <c r="AY466" s="340"/>
      <c r="AZ466" s="340"/>
      <c r="BA466" s="340"/>
      <c r="BB466" s="340"/>
      <c r="BC466" s="340"/>
      <c r="BD466" s="340"/>
    </row>
    <row r="467" spans="3:56">
      <c r="C467" s="340"/>
      <c r="D467" s="340"/>
      <c r="E467" s="340"/>
      <c r="F467" s="340"/>
      <c r="G467" s="340"/>
      <c r="H467" s="340"/>
      <c r="I467" s="340"/>
      <c r="J467" s="340"/>
      <c r="K467" s="340"/>
      <c r="L467" s="340"/>
      <c r="M467" s="340"/>
      <c r="N467" s="340"/>
      <c r="O467" s="340"/>
      <c r="P467" s="340"/>
      <c r="Q467" s="340"/>
      <c r="R467" s="340"/>
      <c r="S467" s="340"/>
      <c r="T467" s="340"/>
      <c r="U467" s="340"/>
      <c r="V467" s="340"/>
      <c r="W467" s="340"/>
      <c r="X467" s="340"/>
      <c r="Y467" s="340"/>
      <c r="Z467" s="340"/>
      <c r="AA467" s="340"/>
      <c r="AB467" s="340"/>
      <c r="AC467" s="340"/>
      <c r="AD467" s="340"/>
      <c r="AE467" s="340"/>
      <c r="AF467" s="340"/>
      <c r="AG467" s="340"/>
      <c r="AH467" s="340"/>
      <c r="AI467" s="340"/>
      <c r="AJ467" s="340"/>
      <c r="AK467" s="340"/>
      <c r="AL467" s="340"/>
      <c r="AM467" s="340"/>
      <c r="AN467" s="340"/>
      <c r="AO467" s="340"/>
      <c r="AP467" s="340"/>
      <c r="AQ467" s="340"/>
      <c r="AR467" s="340"/>
      <c r="AS467" s="340"/>
      <c r="AT467" s="340"/>
      <c r="AU467" s="340"/>
      <c r="AV467" s="340"/>
      <c r="AW467" s="340"/>
      <c r="AX467" s="340"/>
      <c r="AY467" s="340"/>
      <c r="AZ467" s="340"/>
      <c r="BA467" s="340"/>
      <c r="BB467" s="340"/>
      <c r="BC467" s="340"/>
      <c r="BD467" s="340"/>
    </row>
    <row r="468" spans="3:56">
      <c r="C468" s="340"/>
      <c r="D468" s="340"/>
      <c r="E468" s="340"/>
      <c r="F468" s="340"/>
      <c r="G468" s="340"/>
      <c r="H468" s="340"/>
      <c r="I468" s="340"/>
      <c r="J468" s="340"/>
      <c r="K468" s="340"/>
      <c r="L468" s="340"/>
      <c r="M468" s="340"/>
      <c r="N468" s="340"/>
      <c r="O468" s="340"/>
      <c r="P468" s="340"/>
      <c r="Q468" s="340"/>
      <c r="R468" s="340"/>
      <c r="S468" s="340"/>
      <c r="T468" s="340"/>
      <c r="U468" s="340"/>
      <c r="V468" s="340"/>
      <c r="W468" s="340"/>
      <c r="X468" s="340"/>
      <c r="Y468" s="340"/>
      <c r="Z468" s="340"/>
      <c r="AA468" s="340"/>
      <c r="AB468" s="340"/>
      <c r="AC468" s="340"/>
      <c r="AD468" s="340"/>
      <c r="AE468" s="340"/>
      <c r="AF468" s="340"/>
      <c r="AG468" s="340"/>
      <c r="AH468" s="340"/>
      <c r="AI468" s="340"/>
      <c r="AJ468" s="340"/>
      <c r="AK468" s="340"/>
      <c r="AL468" s="340"/>
      <c r="AM468" s="340"/>
      <c r="AN468" s="340"/>
      <c r="AO468" s="340"/>
      <c r="AP468" s="340"/>
      <c r="AQ468" s="340"/>
      <c r="AR468" s="340"/>
      <c r="AS468" s="340"/>
      <c r="AT468" s="340"/>
      <c r="AU468" s="340"/>
      <c r="AV468" s="340"/>
      <c r="AW468" s="340"/>
      <c r="AX468" s="340"/>
      <c r="AY468" s="340"/>
      <c r="AZ468" s="340"/>
      <c r="BA468" s="340"/>
      <c r="BB468" s="340"/>
      <c r="BC468" s="340"/>
      <c r="BD468" s="340"/>
    </row>
    <row r="469" spans="3:56">
      <c r="C469" s="340"/>
      <c r="D469" s="340"/>
      <c r="E469" s="340"/>
      <c r="F469" s="340"/>
      <c r="G469" s="340"/>
      <c r="H469" s="340"/>
      <c r="I469" s="340"/>
      <c r="J469" s="340"/>
      <c r="K469" s="340"/>
      <c r="L469" s="340"/>
      <c r="M469" s="340"/>
      <c r="N469" s="340"/>
      <c r="O469" s="340"/>
      <c r="P469" s="340"/>
      <c r="Q469" s="340"/>
      <c r="R469" s="340"/>
      <c r="S469" s="340"/>
      <c r="T469" s="340"/>
      <c r="U469" s="340"/>
      <c r="V469" s="340"/>
      <c r="W469" s="340"/>
      <c r="X469" s="340"/>
      <c r="Y469" s="340"/>
      <c r="Z469" s="340"/>
      <c r="AA469" s="340"/>
      <c r="AB469" s="340"/>
      <c r="AC469" s="340"/>
      <c r="AD469" s="340"/>
      <c r="AE469" s="340"/>
      <c r="AF469" s="340"/>
      <c r="AG469" s="340"/>
      <c r="AH469" s="340"/>
      <c r="AI469" s="340"/>
      <c r="AJ469" s="340"/>
      <c r="AK469" s="340"/>
      <c r="AL469" s="340"/>
      <c r="AM469" s="340"/>
      <c r="AN469" s="340"/>
      <c r="AO469" s="340"/>
      <c r="AP469" s="340"/>
      <c r="AQ469" s="340"/>
      <c r="AR469" s="340"/>
      <c r="AS469" s="340"/>
      <c r="AT469" s="340"/>
      <c r="AU469" s="340"/>
      <c r="AV469" s="340"/>
      <c r="AW469" s="340"/>
      <c r="AX469" s="340"/>
      <c r="AY469" s="340"/>
      <c r="AZ469" s="340"/>
      <c r="BA469" s="340"/>
      <c r="BB469" s="340"/>
      <c r="BC469" s="340"/>
      <c r="BD469" s="340"/>
    </row>
    <row r="470" spans="3:56">
      <c r="C470" s="340"/>
      <c r="D470" s="340"/>
      <c r="E470" s="340"/>
      <c r="F470" s="340"/>
      <c r="G470" s="340"/>
      <c r="H470" s="340"/>
      <c r="I470" s="340"/>
      <c r="J470" s="340"/>
      <c r="K470" s="340"/>
      <c r="L470" s="340"/>
      <c r="M470" s="340"/>
      <c r="N470" s="340"/>
      <c r="O470" s="340"/>
      <c r="P470" s="340"/>
      <c r="Q470" s="340"/>
      <c r="R470" s="340"/>
      <c r="S470" s="340"/>
      <c r="T470" s="340"/>
      <c r="U470" s="340"/>
      <c r="V470" s="340"/>
      <c r="W470" s="340"/>
      <c r="X470" s="340"/>
      <c r="Y470" s="340"/>
      <c r="Z470" s="340"/>
      <c r="AA470" s="340"/>
      <c r="AB470" s="340"/>
      <c r="AC470" s="340"/>
      <c r="AD470" s="340"/>
      <c r="AE470" s="340"/>
      <c r="AF470" s="340"/>
      <c r="AG470" s="340"/>
      <c r="AH470" s="340"/>
      <c r="AI470" s="340"/>
      <c r="AJ470" s="340"/>
      <c r="AK470" s="340"/>
      <c r="AL470" s="340"/>
      <c r="AM470" s="340"/>
      <c r="AN470" s="340"/>
      <c r="AO470" s="340"/>
      <c r="AP470" s="340"/>
      <c r="AQ470" s="340"/>
      <c r="AR470" s="340"/>
      <c r="AS470" s="340"/>
      <c r="AT470" s="340"/>
      <c r="AU470" s="340"/>
      <c r="AV470" s="340"/>
      <c r="AW470" s="340"/>
      <c r="AX470" s="340"/>
      <c r="AY470" s="340"/>
      <c r="AZ470" s="340"/>
      <c r="BA470" s="340"/>
      <c r="BB470" s="340"/>
      <c r="BC470" s="340"/>
      <c r="BD470" s="340"/>
    </row>
    <row r="471" spans="3:56">
      <c r="C471" s="340"/>
      <c r="D471" s="340"/>
      <c r="E471" s="340"/>
      <c r="F471" s="340"/>
      <c r="G471" s="340"/>
      <c r="H471" s="340"/>
      <c r="I471" s="340"/>
      <c r="J471" s="340"/>
      <c r="K471" s="340"/>
      <c r="L471" s="340"/>
      <c r="M471" s="340"/>
      <c r="N471" s="340"/>
      <c r="O471" s="340"/>
      <c r="P471" s="340"/>
      <c r="Q471" s="340"/>
      <c r="R471" s="340"/>
      <c r="S471" s="340"/>
      <c r="T471" s="340"/>
      <c r="U471" s="340"/>
      <c r="V471" s="340"/>
      <c r="W471" s="340"/>
      <c r="X471" s="340"/>
      <c r="Y471" s="340"/>
      <c r="Z471" s="340"/>
      <c r="AA471" s="340"/>
      <c r="AB471" s="340"/>
      <c r="AC471" s="340"/>
      <c r="AD471" s="340"/>
      <c r="AE471" s="340"/>
      <c r="AF471" s="340"/>
      <c r="AG471" s="340"/>
      <c r="AH471" s="340"/>
      <c r="AI471" s="340"/>
      <c r="AJ471" s="340"/>
      <c r="AK471" s="340"/>
      <c r="AL471" s="340"/>
      <c r="AM471" s="340"/>
      <c r="AN471" s="340"/>
      <c r="AO471" s="340"/>
      <c r="AP471" s="340"/>
      <c r="AQ471" s="340"/>
      <c r="AR471" s="340"/>
      <c r="AS471" s="340"/>
      <c r="AT471" s="340"/>
      <c r="AU471" s="340"/>
      <c r="AV471" s="340"/>
      <c r="AW471" s="340"/>
      <c r="AX471" s="340"/>
      <c r="AY471" s="340"/>
      <c r="AZ471" s="340"/>
      <c r="BA471" s="340"/>
      <c r="BB471" s="340"/>
      <c r="BC471" s="340"/>
      <c r="BD471" s="340"/>
    </row>
    <row r="472" spans="3:56">
      <c r="C472" s="340"/>
      <c r="D472" s="340"/>
      <c r="E472" s="340"/>
      <c r="F472" s="340"/>
      <c r="G472" s="340"/>
      <c r="H472" s="340"/>
      <c r="I472" s="340"/>
      <c r="J472" s="340"/>
      <c r="K472" s="340"/>
      <c r="L472" s="340"/>
      <c r="M472" s="340"/>
      <c r="N472" s="340"/>
      <c r="O472" s="340"/>
      <c r="P472" s="340"/>
      <c r="Q472" s="340"/>
      <c r="R472" s="340"/>
      <c r="S472" s="340"/>
      <c r="T472" s="340"/>
      <c r="U472" s="340"/>
      <c r="V472" s="340"/>
      <c r="W472" s="340"/>
      <c r="X472" s="340"/>
      <c r="Y472" s="340"/>
      <c r="Z472" s="340"/>
      <c r="AA472" s="340"/>
      <c r="AB472" s="340"/>
      <c r="AC472" s="340"/>
      <c r="AD472" s="340"/>
      <c r="AE472" s="340"/>
      <c r="AF472" s="340"/>
      <c r="AG472" s="340"/>
      <c r="AH472" s="340"/>
      <c r="AI472" s="340"/>
      <c r="AJ472" s="340"/>
      <c r="AK472" s="340"/>
      <c r="AL472" s="340"/>
      <c r="AM472" s="340"/>
      <c r="AN472" s="340"/>
      <c r="AO472" s="340"/>
      <c r="AP472" s="340"/>
      <c r="AQ472" s="340"/>
      <c r="AR472" s="340"/>
      <c r="AS472" s="340"/>
      <c r="AT472" s="340"/>
      <c r="AU472" s="340"/>
      <c r="AV472" s="340"/>
      <c r="AW472" s="340"/>
      <c r="AX472" s="340"/>
      <c r="AY472" s="340"/>
      <c r="AZ472" s="340"/>
      <c r="BA472" s="340"/>
      <c r="BB472" s="340"/>
      <c r="BC472" s="340"/>
      <c r="BD472" s="340"/>
    </row>
    <row r="473" spans="3:56">
      <c r="C473" s="340"/>
      <c r="D473" s="340"/>
      <c r="E473" s="340"/>
      <c r="F473" s="340"/>
      <c r="G473" s="340"/>
      <c r="H473" s="340"/>
      <c r="I473" s="340"/>
      <c r="J473" s="340"/>
      <c r="K473" s="340"/>
      <c r="L473" s="340"/>
      <c r="M473" s="340"/>
      <c r="N473" s="340"/>
      <c r="O473" s="340"/>
      <c r="P473" s="340"/>
      <c r="Q473" s="340"/>
      <c r="R473" s="340"/>
      <c r="S473" s="340"/>
      <c r="T473" s="340"/>
      <c r="U473" s="340"/>
      <c r="V473" s="340"/>
      <c r="W473" s="340"/>
      <c r="X473" s="340"/>
      <c r="Y473" s="340"/>
      <c r="Z473" s="340"/>
      <c r="AA473" s="340"/>
      <c r="AB473" s="340"/>
      <c r="AC473" s="340"/>
      <c r="AD473" s="340"/>
      <c r="AE473" s="340"/>
      <c r="AF473" s="340"/>
      <c r="AG473" s="340"/>
      <c r="AH473" s="340"/>
      <c r="AI473" s="340"/>
      <c r="AJ473" s="340"/>
      <c r="AK473" s="340"/>
      <c r="AL473" s="340"/>
      <c r="AM473" s="340"/>
      <c r="AN473" s="340"/>
      <c r="AO473" s="340"/>
      <c r="AP473" s="340"/>
      <c r="AQ473" s="340"/>
      <c r="AR473" s="340"/>
      <c r="AS473" s="340"/>
      <c r="AT473" s="340"/>
      <c r="AU473" s="340"/>
      <c r="AV473" s="340"/>
      <c r="AW473" s="340"/>
      <c r="AX473" s="340"/>
      <c r="AY473" s="340"/>
      <c r="AZ473" s="340"/>
      <c r="BA473" s="340"/>
      <c r="BB473" s="340"/>
      <c r="BC473" s="340"/>
      <c r="BD473" s="340"/>
    </row>
    <row r="474" spans="3:56">
      <c r="C474" s="340"/>
      <c r="D474" s="340"/>
      <c r="E474" s="340"/>
      <c r="F474" s="340"/>
      <c r="G474" s="340"/>
      <c r="H474" s="340"/>
      <c r="I474" s="340"/>
      <c r="J474" s="340"/>
      <c r="K474" s="340"/>
      <c r="L474" s="340"/>
      <c r="M474" s="340"/>
      <c r="N474" s="340"/>
      <c r="O474" s="340"/>
      <c r="P474" s="340"/>
      <c r="Q474" s="340"/>
      <c r="R474" s="340"/>
      <c r="S474" s="340"/>
      <c r="T474" s="340"/>
      <c r="U474" s="340"/>
      <c r="V474" s="340"/>
      <c r="W474" s="340"/>
      <c r="X474" s="340"/>
      <c r="Y474" s="340"/>
      <c r="Z474" s="340"/>
      <c r="AA474" s="340"/>
      <c r="AB474" s="340"/>
      <c r="AC474" s="340"/>
      <c r="AD474" s="340"/>
      <c r="AE474" s="340"/>
      <c r="AF474" s="340"/>
      <c r="AG474" s="340"/>
      <c r="AH474" s="340"/>
      <c r="AI474" s="340"/>
      <c r="AJ474" s="340"/>
      <c r="AK474" s="340"/>
      <c r="AL474" s="340"/>
      <c r="AM474" s="340"/>
      <c r="AN474" s="340"/>
      <c r="AO474" s="340"/>
      <c r="AP474" s="340"/>
      <c r="AQ474" s="340"/>
      <c r="AR474" s="340"/>
      <c r="AS474" s="340"/>
      <c r="AT474" s="340"/>
      <c r="AU474" s="340"/>
      <c r="AV474" s="340"/>
      <c r="AW474" s="340"/>
      <c r="AX474" s="340"/>
      <c r="AY474" s="340"/>
      <c r="AZ474" s="340"/>
      <c r="BA474" s="340"/>
      <c r="BB474" s="340"/>
      <c r="BC474" s="340"/>
      <c r="BD474" s="340"/>
    </row>
    <row r="475" spans="3:56">
      <c r="C475" s="340"/>
      <c r="D475" s="340"/>
      <c r="E475" s="340"/>
      <c r="F475" s="340"/>
      <c r="G475" s="340"/>
      <c r="H475" s="340"/>
      <c r="I475" s="340"/>
      <c r="J475" s="340"/>
      <c r="K475" s="340"/>
      <c r="L475" s="340"/>
      <c r="M475" s="340"/>
      <c r="N475" s="340"/>
      <c r="O475" s="340"/>
      <c r="P475" s="340"/>
      <c r="Q475" s="340"/>
      <c r="R475" s="340"/>
      <c r="S475" s="340"/>
      <c r="T475" s="340"/>
      <c r="U475" s="340"/>
      <c r="V475" s="340"/>
      <c r="W475" s="340"/>
      <c r="X475" s="340"/>
      <c r="Y475" s="340"/>
      <c r="Z475" s="340"/>
      <c r="AA475" s="340"/>
      <c r="AB475" s="340"/>
      <c r="AC475" s="340"/>
      <c r="AD475" s="340"/>
      <c r="AE475" s="340"/>
      <c r="AF475" s="340"/>
      <c r="AG475" s="340"/>
      <c r="AH475" s="340"/>
      <c r="AI475" s="340"/>
      <c r="AJ475" s="340"/>
      <c r="AK475" s="340"/>
      <c r="AL475" s="340"/>
      <c r="AM475" s="340"/>
      <c r="AN475" s="340"/>
      <c r="AO475" s="340"/>
      <c r="AP475" s="340"/>
      <c r="AQ475" s="340"/>
      <c r="AR475" s="340"/>
      <c r="AS475" s="340"/>
      <c r="AT475" s="340"/>
      <c r="AU475" s="340"/>
      <c r="AV475" s="340"/>
      <c r="AW475" s="340"/>
      <c r="AX475" s="340"/>
      <c r="AY475" s="340"/>
      <c r="AZ475" s="340"/>
      <c r="BA475" s="340"/>
      <c r="BB475" s="340"/>
      <c r="BC475" s="340"/>
      <c r="BD475" s="340"/>
    </row>
    <row r="476" spans="3:56">
      <c r="C476" s="340"/>
      <c r="D476" s="340"/>
      <c r="E476" s="340"/>
      <c r="F476" s="340"/>
      <c r="G476" s="340"/>
      <c r="H476" s="340"/>
      <c r="I476" s="340"/>
      <c r="J476" s="340"/>
      <c r="K476" s="340"/>
      <c r="L476" s="340"/>
      <c r="M476" s="340"/>
      <c r="N476" s="340"/>
      <c r="O476" s="340"/>
      <c r="P476" s="340"/>
      <c r="Q476" s="340"/>
      <c r="R476" s="340"/>
      <c r="S476" s="340"/>
      <c r="T476" s="340"/>
      <c r="U476" s="340"/>
      <c r="V476" s="340"/>
      <c r="W476" s="340"/>
      <c r="X476" s="340"/>
      <c r="Y476" s="340"/>
      <c r="Z476" s="340"/>
      <c r="AA476" s="340"/>
      <c r="AB476" s="340"/>
      <c r="AC476" s="340"/>
      <c r="AD476" s="340"/>
      <c r="AE476" s="340"/>
      <c r="AF476" s="340"/>
      <c r="AG476" s="340"/>
      <c r="AH476" s="340"/>
      <c r="AI476" s="340"/>
      <c r="AJ476" s="340"/>
      <c r="AK476" s="340"/>
      <c r="AL476" s="340"/>
      <c r="AM476" s="340"/>
      <c r="AN476" s="340"/>
      <c r="AO476" s="340"/>
      <c r="AP476" s="340"/>
      <c r="AQ476" s="340"/>
      <c r="AR476" s="340"/>
      <c r="AS476" s="340"/>
      <c r="AT476" s="340"/>
      <c r="AU476" s="340"/>
      <c r="AV476" s="340"/>
      <c r="AW476" s="340"/>
      <c r="AX476" s="340"/>
      <c r="AY476" s="340"/>
      <c r="AZ476" s="340"/>
      <c r="BA476" s="340"/>
      <c r="BB476" s="340"/>
      <c r="BC476" s="340"/>
      <c r="BD476" s="340"/>
    </row>
    <row r="477" spans="3:56">
      <c r="C477" s="340"/>
      <c r="D477" s="340"/>
      <c r="E477" s="340"/>
      <c r="F477" s="340"/>
      <c r="G477" s="340"/>
      <c r="H477" s="340"/>
      <c r="I477" s="340"/>
      <c r="J477" s="340"/>
      <c r="K477" s="340"/>
      <c r="L477" s="340"/>
      <c r="M477" s="340"/>
      <c r="N477" s="340"/>
      <c r="O477" s="340"/>
      <c r="P477" s="340"/>
      <c r="Q477" s="340"/>
      <c r="R477" s="340"/>
      <c r="S477" s="340"/>
      <c r="T477" s="340"/>
      <c r="U477" s="340"/>
      <c r="V477" s="340"/>
      <c r="W477" s="340"/>
      <c r="X477" s="340"/>
      <c r="Y477" s="340"/>
      <c r="Z477" s="340"/>
      <c r="AA477" s="340"/>
      <c r="AB477" s="340"/>
      <c r="AC477" s="340"/>
      <c r="AD477" s="340"/>
      <c r="AE477" s="340"/>
      <c r="AF477" s="340"/>
      <c r="AG477" s="340"/>
      <c r="AH477" s="340"/>
      <c r="AI477" s="340"/>
      <c r="AJ477" s="340"/>
      <c r="AK477" s="340"/>
      <c r="AL477" s="340"/>
      <c r="AM477" s="340"/>
      <c r="AN477" s="340"/>
      <c r="AO477" s="340"/>
      <c r="AP477" s="340"/>
      <c r="AQ477" s="340"/>
      <c r="AR477" s="340"/>
      <c r="AS477" s="340"/>
      <c r="AT477" s="340"/>
      <c r="AU477" s="340"/>
      <c r="AV477" s="340"/>
      <c r="AW477" s="340"/>
      <c r="AX477" s="340"/>
      <c r="AY477" s="340"/>
      <c r="AZ477" s="340"/>
      <c r="BA477" s="340"/>
      <c r="BB477" s="340"/>
      <c r="BC477" s="340"/>
      <c r="BD477" s="340"/>
    </row>
    <row r="478" spans="3:56">
      <c r="C478" s="340"/>
      <c r="D478" s="340"/>
      <c r="E478" s="340"/>
      <c r="F478" s="340"/>
      <c r="G478" s="340"/>
      <c r="H478" s="340"/>
      <c r="I478" s="340"/>
      <c r="J478" s="340"/>
      <c r="K478" s="340"/>
      <c r="L478" s="340"/>
      <c r="M478" s="340"/>
      <c r="N478" s="340"/>
      <c r="O478" s="340"/>
      <c r="P478" s="340"/>
      <c r="Q478" s="340"/>
      <c r="R478" s="340"/>
      <c r="S478" s="340"/>
      <c r="T478" s="340"/>
      <c r="U478" s="340"/>
      <c r="V478" s="340"/>
      <c r="W478" s="340"/>
      <c r="X478" s="340"/>
      <c r="Y478" s="340"/>
      <c r="Z478" s="340"/>
      <c r="AA478" s="340"/>
      <c r="AB478" s="340"/>
      <c r="AC478" s="340"/>
      <c r="AD478" s="340"/>
      <c r="AE478" s="340"/>
      <c r="AF478" s="340"/>
      <c r="AG478" s="340"/>
      <c r="AH478" s="340"/>
      <c r="AI478" s="340"/>
      <c r="AJ478" s="340"/>
      <c r="AK478" s="340"/>
      <c r="AL478" s="340"/>
      <c r="AM478" s="340"/>
      <c r="AN478" s="340"/>
      <c r="AO478" s="340"/>
      <c r="AP478" s="340"/>
      <c r="AQ478" s="340"/>
      <c r="AR478" s="340"/>
      <c r="AS478" s="340"/>
      <c r="AT478" s="340"/>
      <c r="AU478" s="340"/>
      <c r="AV478" s="340"/>
      <c r="AW478" s="340"/>
      <c r="AX478" s="340"/>
      <c r="AY478" s="340"/>
      <c r="AZ478" s="340"/>
      <c r="BA478" s="340"/>
      <c r="BB478" s="340"/>
      <c r="BC478" s="340"/>
      <c r="BD478" s="340"/>
    </row>
    <row r="479" spans="3:56">
      <c r="C479" s="340"/>
      <c r="D479" s="340"/>
      <c r="E479" s="340"/>
      <c r="F479" s="340"/>
      <c r="G479" s="340"/>
      <c r="H479" s="340"/>
      <c r="I479" s="340"/>
      <c r="J479" s="340"/>
      <c r="K479" s="340"/>
      <c r="L479" s="340"/>
      <c r="M479" s="340"/>
      <c r="N479" s="340"/>
      <c r="O479" s="340"/>
      <c r="P479" s="340"/>
      <c r="Q479" s="340"/>
      <c r="R479" s="340"/>
      <c r="S479" s="340"/>
      <c r="T479" s="340"/>
      <c r="U479" s="340"/>
      <c r="V479" s="340"/>
      <c r="W479" s="340"/>
      <c r="X479" s="340"/>
      <c r="Y479" s="340"/>
      <c r="Z479" s="340"/>
      <c r="AA479" s="340"/>
      <c r="AB479" s="340"/>
      <c r="AC479" s="340"/>
      <c r="AD479" s="340"/>
      <c r="AE479" s="340"/>
      <c r="AF479" s="340"/>
      <c r="AG479" s="340"/>
      <c r="AH479" s="340"/>
      <c r="AI479" s="340"/>
      <c r="AJ479" s="340"/>
      <c r="AK479" s="340"/>
      <c r="AL479" s="340"/>
      <c r="AM479" s="340"/>
      <c r="AN479" s="340"/>
      <c r="AO479" s="340"/>
      <c r="AP479" s="340"/>
      <c r="AQ479" s="340"/>
      <c r="AR479" s="340"/>
      <c r="AS479" s="340"/>
      <c r="AT479" s="340"/>
      <c r="AU479" s="340"/>
      <c r="AV479" s="340"/>
      <c r="AW479" s="340"/>
      <c r="AX479" s="340"/>
      <c r="AY479" s="340"/>
      <c r="AZ479" s="340"/>
      <c r="BA479" s="340"/>
      <c r="BB479" s="340"/>
      <c r="BC479" s="340"/>
      <c r="BD479" s="340"/>
    </row>
    <row r="480" spans="3:56">
      <c r="C480" s="340"/>
      <c r="D480" s="340"/>
      <c r="E480" s="340"/>
      <c r="F480" s="340"/>
      <c r="G480" s="340"/>
      <c r="H480" s="340"/>
      <c r="I480" s="340"/>
      <c r="J480" s="340"/>
      <c r="K480" s="340"/>
      <c r="L480" s="340"/>
      <c r="M480" s="340"/>
      <c r="N480" s="340"/>
      <c r="O480" s="340"/>
      <c r="P480" s="340"/>
      <c r="Q480" s="340"/>
      <c r="R480" s="340"/>
      <c r="S480" s="340"/>
      <c r="T480" s="340"/>
      <c r="U480" s="340"/>
      <c r="V480" s="340"/>
      <c r="W480" s="340"/>
      <c r="X480" s="340"/>
      <c r="Y480" s="340"/>
      <c r="Z480" s="340"/>
      <c r="AA480" s="340"/>
      <c r="AB480" s="340"/>
      <c r="AC480" s="340"/>
      <c r="AD480" s="340"/>
      <c r="AE480" s="340"/>
      <c r="AF480" s="340"/>
      <c r="AG480" s="340"/>
      <c r="AH480" s="340"/>
      <c r="AI480" s="340"/>
      <c r="AJ480" s="340"/>
      <c r="AK480" s="340"/>
      <c r="AL480" s="340"/>
      <c r="AM480" s="340"/>
      <c r="AN480" s="340"/>
      <c r="AO480" s="340"/>
      <c r="AP480" s="340"/>
      <c r="AQ480" s="340"/>
      <c r="AR480" s="340"/>
      <c r="AS480" s="340"/>
      <c r="AT480" s="340"/>
      <c r="AU480" s="340"/>
      <c r="AV480" s="340"/>
      <c r="AW480" s="340"/>
      <c r="AX480" s="340"/>
      <c r="AY480" s="340"/>
      <c r="AZ480" s="340"/>
      <c r="BA480" s="340"/>
      <c r="BB480" s="340"/>
      <c r="BC480" s="340"/>
      <c r="BD480" s="340"/>
    </row>
    <row r="481" spans="3:56">
      <c r="C481" s="340"/>
      <c r="D481" s="340"/>
      <c r="E481" s="340"/>
      <c r="F481" s="340"/>
      <c r="G481" s="340"/>
      <c r="H481" s="340"/>
      <c r="I481" s="340"/>
      <c r="J481" s="340"/>
      <c r="K481" s="340"/>
      <c r="L481" s="340"/>
      <c r="M481" s="340"/>
      <c r="N481" s="340"/>
      <c r="O481" s="340"/>
      <c r="P481" s="340"/>
      <c r="Q481" s="340"/>
      <c r="R481" s="340"/>
      <c r="S481" s="340"/>
      <c r="T481" s="340"/>
      <c r="U481" s="340"/>
      <c r="V481" s="340"/>
      <c r="W481" s="340"/>
      <c r="X481" s="340"/>
      <c r="Y481" s="340"/>
      <c r="Z481" s="340"/>
      <c r="AA481" s="340"/>
      <c r="AB481" s="340"/>
      <c r="AC481" s="340"/>
      <c r="AD481" s="340"/>
      <c r="AE481" s="340"/>
      <c r="AF481" s="340"/>
      <c r="AG481" s="340"/>
      <c r="AH481" s="340"/>
      <c r="AI481" s="340"/>
      <c r="AJ481" s="340"/>
      <c r="AK481" s="340"/>
      <c r="AL481" s="340"/>
      <c r="AM481" s="340"/>
      <c r="AN481" s="340"/>
      <c r="AO481" s="340"/>
      <c r="AP481" s="340"/>
      <c r="AQ481" s="340"/>
      <c r="AR481" s="340"/>
      <c r="AS481" s="340"/>
      <c r="AT481" s="340"/>
      <c r="AU481" s="340"/>
      <c r="AV481" s="340"/>
      <c r="AW481" s="340"/>
      <c r="AX481" s="340"/>
      <c r="AY481" s="340"/>
      <c r="AZ481" s="340"/>
      <c r="BA481" s="340"/>
      <c r="BB481" s="340"/>
      <c r="BC481" s="340"/>
      <c r="BD481" s="340"/>
    </row>
    <row r="482" spans="3:56">
      <c r="C482" s="340"/>
      <c r="D482" s="340"/>
      <c r="E482" s="340"/>
      <c r="F482" s="340"/>
      <c r="G482" s="340"/>
      <c r="H482" s="340"/>
      <c r="I482" s="340"/>
      <c r="J482" s="340"/>
      <c r="K482" s="340"/>
      <c r="L482" s="340"/>
      <c r="M482" s="340"/>
      <c r="N482" s="340"/>
      <c r="O482" s="340"/>
      <c r="P482" s="340"/>
      <c r="Q482" s="340"/>
      <c r="R482" s="340"/>
      <c r="S482" s="340"/>
      <c r="T482" s="340"/>
      <c r="U482" s="340"/>
      <c r="V482" s="340"/>
      <c r="W482" s="340"/>
      <c r="X482" s="340"/>
      <c r="Y482" s="340"/>
      <c r="Z482" s="340"/>
      <c r="AA482" s="340"/>
      <c r="AB482" s="340"/>
      <c r="AC482" s="340"/>
      <c r="AD482" s="340"/>
      <c r="AE482" s="340"/>
      <c r="AF482" s="340"/>
      <c r="AG482" s="340"/>
      <c r="AH482" s="340"/>
      <c r="AI482" s="340"/>
      <c r="AJ482" s="340"/>
      <c r="AK482" s="340"/>
      <c r="AL482" s="340"/>
      <c r="AM482" s="340"/>
      <c r="AN482" s="340"/>
      <c r="AO482" s="340"/>
      <c r="AP482" s="340"/>
      <c r="AQ482" s="340"/>
      <c r="AR482" s="340"/>
      <c r="AS482" s="340"/>
      <c r="AT482" s="340"/>
      <c r="AU482" s="340"/>
      <c r="AV482" s="340"/>
      <c r="AW482" s="340"/>
      <c r="AX482" s="340"/>
      <c r="AY482" s="340"/>
      <c r="AZ482" s="340"/>
      <c r="BA482" s="340"/>
      <c r="BB482" s="340"/>
      <c r="BC482" s="340"/>
      <c r="BD482" s="340"/>
    </row>
    <row r="483" spans="3:56">
      <c r="C483" s="340"/>
      <c r="D483" s="340"/>
      <c r="E483" s="340"/>
      <c r="F483" s="340"/>
      <c r="G483" s="340"/>
      <c r="H483" s="340"/>
      <c r="I483" s="340"/>
      <c r="J483" s="340"/>
      <c r="K483" s="340"/>
      <c r="L483" s="340"/>
      <c r="M483" s="340"/>
      <c r="N483" s="340"/>
      <c r="O483" s="340"/>
      <c r="P483" s="340"/>
      <c r="Q483" s="340"/>
      <c r="R483" s="340"/>
      <c r="S483" s="340"/>
      <c r="T483" s="340"/>
      <c r="U483" s="340"/>
      <c r="V483" s="340"/>
      <c r="W483" s="340"/>
      <c r="X483" s="340"/>
      <c r="Y483" s="340"/>
      <c r="Z483" s="340"/>
      <c r="AA483" s="340"/>
      <c r="AB483" s="340"/>
      <c r="AC483" s="340"/>
      <c r="AD483" s="340"/>
      <c r="AE483" s="340"/>
      <c r="AF483" s="340"/>
      <c r="AG483" s="340"/>
      <c r="AH483" s="340"/>
      <c r="AI483" s="340"/>
      <c r="AJ483" s="340"/>
      <c r="AK483" s="340"/>
      <c r="AL483" s="340"/>
      <c r="AM483" s="340"/>
      <c r="AN483" s="340"/>
      <c r="AO483" s="340"/>
      <c r="AP483" s="340"/>
      <c r="AQ483" s="340"/>
      <c r="AR483" s="340"/>
      <c r="AS483" s="340"/>
      <c r="AT483" s="340"/>
      <c r="AU483" s="340"/>
      <c r="AV483" s="340"/>
      <c r="AW483" s="340"/>
      <c r="AX483" s="340"/>
      <c r="AY483" s="340"/>
      <c r="AZ483" s="340"/>
      <c r="BA483" s="340"/>
      <c r="BB483" s="340"/>
      <c r="BC483" s="340"/>
      <c r="BD483" s="340"/>
    </row>
    <row r="484" spans="3:56">
      <c r="C484" s="340"/>
      <c r="D484" s="340"/>
      <c r="E484" s="340"/>
      <c r="F484" s="340"/>
      <c r="G484" s="340"/>
      <c r="H484" s="340"/>
      <c r="I484" s="340"/>
      <c r="J484" s="340"/>
      <c r="K484" s="340"/>
      <c r="L484" s="340"/>
      <c r="M484" s="340"/>
      <c r="N484" s="340"/>
      <c r="O484" s="340"/>
      <c r="P484" s="340"/>
      <c r="Q484" s="340"/>
      <c r="R484" s="340"/>
      <c r="S484" s="340"/>
      <c r="T484" s="340"/>
      <c r="U484" s="340"/>
      <c r="V484" s="340"/>
      <c r="W484" s="340"/>
      <c r="X484" s="340"/>
      <c r="Y484" s="340"/>
      <c r="Z484" s="340"/>
      <c r="AA484" s="340"/>
      <c r="AB484" s="340"/>
      <c r="AC484" s="340"/>
      <c r="AD484" s="340"/>
      <c r="AE484" s="340"/>
      <c r="AF484" s="340"/>
      <c r="AG484" s="340"/>
      <c r="AH484" s="340"/>
      <c r="AI484" s="340"/>
      <c r="AJ484" s="340"/>
      <c r="AK484" s="340"/>
      <c r="AL484" s="340"/>
      <c r="AM484" s="340"/>
      <c r="AN484" s="340"/>
      <c r="AO484" s="340"/>
      <c r="AP484" s="340"/>
      <c r="AQ484" s="340"/>
      <c r="AR484" s="340"/>
      <c r="AS484" s="340"/>
      <c r="AT484" s="340"/>
      <c r="AU484" s="340"/>
      <c r="AV484" s="340"/>
      <c r="AW484" s="340"/>
      <c r="AX484" s="340"/>
      <c r="AY484" s="340"/>
      <c r="AZ484" s="340"/>
      <c r="BA484" s="340"/>
      <c r="BB484" s="340"/>
      <c r="BC484" s="340"/>
      <c r="BD484" s="340"/>
    </row>
    <row r="485" spans="3:56">
      <c r="C485" s="340"/>
      <c r="D485" s="340"/>
      <c r="E485" s="340"/>
      <c r="F485" s="340"/>
      <c r="G485" s="340"/>
      <c r="H485" s="340"/>
      <c r="I485" s="340"/>
      <c r="J485" s="340"/>
      <c r="K485" s="340"/>
      <c r="L485" s="340"/>
      <c r="M485" s="340"/>
      <c r="N485" s="340"/>
      <c r="O485" s="340"/>
      <c r="P485" s="340"/>
      <c r="Q485" s="340"/>
      <c r="R485" s="340"/>
      <c r="S485" s="340"/>
      <c r="T485" s="340"/>
      <c r="U485" s="340"/>
      <c r="V485" s="340"/>
      <c r="W485" s="340"/>
      <c r="X485" s="340"/>
      <c r="Y485" s="340"/>
      <c r="Z485" s="340"/>
      <c r="AA485" s="340"/>
      <c r="AB485" s="340"/>
      <c r="AC485" s="340"/>
      <c r="AD485" s="340"/>
      <c r="AE485" s="340"/>
      <c r="AF485" s="340"/>
      <c r="AG485" s="340"/>
      <c r="AH485" s="340"/>
      <c r="AI485" s="340"/>
      <c r="AJ485" s="340"/>
      <c r="AK485" s="340"/>
      <c r="AL485" s="340"/>
      <c r="AM485" s="340"/>
      <c r="AN485" s="340"/>
      <c r="AO485" s="340"/>
      <c r="AP485" s="340"/>
      <c r="AQ485" s="340"/>
      <c r="AR485" s="340"/>
      <c r="AS485" s="340"/>
      <c r="AT485" s="340"/>
      <c r="AU485" s="340"/>
      <c r="AV485" s="340"/>
      <c r="AW485" s="340"/>
      <c r="AX485" s="340"/>
      <c r="AY485" s="340"/>
      <c r="AZ485" s="340"/>
      <c r="BA485" s="340"/>
      <c r="BB485" s="340"/>
      <c r="BC485" s="340"/>
      <c r="BD485" s="340"/>
    </row>
    <row r="486" spans="3:56">
      <c r="C486" s="340"/>
      <c r="D486" s="340"/>
      <c r="E486" s="340"/>
      <c r="F486" s="340"/>
      <c r="G486" s="340"/>
      <c r="H486" s="340"/>
      <c r="I486" s="340"/>
      <c r="J486" s="340"/>
      <c r="K486" s="340"/>
      <c r="L486" s="340"/>
      <c r="M486" s="340"/>
      <c r="N486" s="340"/>
      <c r="O486" s="340"/>
      <c r="P486" s="340"/>
      <c r="Q486" s="340"/>
      <c r="R486" s="340"/>
      <c r="S486" s="340"/>
      <c r="T486" s="340"/>
      <c r="U486" s="340"/>
      <c r="V486" s="340"/>
      <c r="W486" s="340"/>
      <c r="X486" s="340"/>
      <c r="Y486" s="340"/>
      <c r="Z486" s="340"/>
      <c r="AA486" s="340"/>
      <c r="AB486" s="340"/>
      <c r="AC486" s="340"/>
      <c r="AD486" s="340"/>
      <c r="AE486" s="340"/>
      <c r="AF486" s="340"/>
      <c r="AG486" s="340"/>
      <c r="AH486" s="340"/>
      <c r="AI486" s="340"/>
      <c r="AJ486" s="340"/>
      <c r="AK486" s="340"/>
      <c r="AL486" s="340"/>
      <c r="AM486" s="340"/>
      <c r="AN486" s="340"/>
      <c r="AO486" s="340"/>
      <c r="AP486" s="340"/>
      <c r="AQ486" s="340"/>
      <c r="AR486" s="340"/>
      <c r="AS486" s="340"/>
      <c r="AT486" s="340"/>
      <c r="AU486" s="340"/>
      <c r="AV486" s="340"/>
      <c r="AW486" s="340"/>
      <c r="AX486" s="340"/>
      <c r="AY486" s="340"/>
      <c r="AZ486" s="340"/>
      <c r="BA486" s="340"/>
      <c r="BB486" s="340"/>
      <c r="BC486" s="340"/>
      <c r="BD486" s="340"/>
    </row>
    <row r="487" spans="3:56">
      <c r="C487" s="340"/>
      <c r="D487" s="340"/>
      <c r="E487" s="340"/>
      <c r="F487" s="340"/>
      <c r="G487" s="340"/>
      <c r="H487" s="340"/>
      <c r="I487" s="340"/>
      <c r="J487" s="340"/>
      <c r="K487" s="340"/>
      <c r="L487" s="340"/>
      <c r="M487" s="340"/>
      <c r="N487" s="340"/>
      <c r="O487" s="340"/>
      <c r="P487" s="340"/>
      <c r="Q487" s="340"/>
      <c r="R487" s="340"/>
      <c r="S487" s="340"/>
      <c r="T487" s="340"/>
      <c r="U487" s="340"/>
      <c r="V487" s="340"/>
      <c r="W487" s="340"/>
      <c r="X487" s="340"/>
      <c r="Y487" s="340"/>
      <c r="Z487" s="340"/>
      <c r="AA487" s="340"/>
      <c r="AB487" s="340"/>
      <c r="AC487" s="340"/>
      <c r="AD487" s="340"/>
      <c r="AE487" s="340"/>
      <c r="AF487" s="340"/>
      <c r="AG487" s="340"/>
      <c r="AH487" s="340"/>
      <c r="AI487" s="340"/>
      <c r="AJ487" s="340"/>
      <c r="AK487" s="340"/>
      <c r="AL487" s="340"/>
      <c r="AM487" s="340"/>
      <c r="AN487" s="340"/>
      <c r="AO487" s="340"/>
      <c r="AP487" s="340"/>
      <c r="AQ487" s="340"/>
      <c r="AR487" s="340"/>
      <c r="AS487" s="340"/>
      <c r="AT487" s="340"/>
      <c r="AU487" s="340"/>
      <c r="AV487" s="340"/>
      <c r="AW487" s="340"/>
      <c r="AX487" s="340"/>
      <c r="AY487" s="340"/>
      <c r="AZ487" s="340"/>
      <c r="BA487" s="340"/>
      <c r="BB487" s="340"/>
      <c r="BC487" s="340"/>
      <c r="BD487" s="340"/>
    </row>
    <row r="488" spans="3:56">
      <c r="C488" s="340"/>
      <c r="D488" s="340"/>
      <c r="E488" s="340"/>
      <c r="F488" s="340"/>
      <c r="G488" s="340"/>
      <c r="H488" s="340"/>
      <c r="I488" s="340"/>
      <c r="J488" s="340"/>
      <c r="K488" s="340"/>
      <c r="L488" s="340"/>
      <c r="M488" s="340"/>
      <c r="N488" s="340"/>
      <c r="O488" s="340"/>
      <c r="P488" s="340"/>
      <c r="Q488" s="340"/>
      <c r="R488" s="340"/>
      <c r="S488" s="340"/>
      <c r="T488" s="340"/>
      <c r="U488" s="340"/>
      <c r="V488" s="340"/>
      <c r="W488" s="340"/>
      <c r="X488" s="340"/>
      <c r="Y488" s="340"/>
      <c r="Z488" s="340"/>
      <c r="AA488" s="340"/>
      <c r="AB488" s="340"/>
      <c r="AC488" s="340"/>
      <c r="AD488" s="340"/>
      <c r="AE488" s="340"/>
      <c r="AF488" s="340"/>
      <c r="AG488" s="340"/>
      <c r="AH488" s="340"/>
      <c r="AI488" s="340"/>
      <c r="AJ488" s="340"/>
      <c r="AK488" s="340"/>
      <c r="AL488" s="340"/>
      <c r="AM488" s="340"/>
      <c r="AN488" s="340"/>
      <c r="AO488" s="340"/>
      <c r="AP488" s="340"/>
      <c r="AQ488" s="340"/>
      <c r="AR488" s="340"/>
      <c r="AS488" s="340"/>
      <c r="AT488" s="340"/>
      <c r="AU488" s="340"/>
      <c r="AV488" s="340"/>
      <c r="AW488" s="340"/>
      <c r="AX488" s="340"/>
      <c r="AY488" s="340"/>
      <c r="AZ488" s="340"/>
      <c r="BA488" s="340"/>
      <c r="BB488" s="340"/>
      <c r="BC488" s="340"/>
      <c r="BD488" s="340"/>
    </row>
    <row r="489" spans="3:56">
      <c r="C489" s="340"/>
      <c r="D489" s="340"/>
      <c r="E489" s="340"/>
      <c r="F489" s="340"/>
      <c r="G489" s="340"/>
      <c r="H489" s="340"/>
      <c r="I489" s="340"/>
      <c r="J489" s="340"/>
      <c r="K489" s="340"/>
      <c r="L489" s="340"/>
      <c r="M489" s="340"/>
      <c r="N489" s="340"/>
      <c r="O489" s="340"/>
      <c r="P489" s="340"/>
      <c r="Q489" s="340"/>
      <c r="R489" s="340"/>
      <c r="S489" s="340"/>
      <c r="T489" s="340"/>
      <c r="U489" s="340"/>
      <c r="V489" s="340"/>
      <c r="W489" s="340"/>
      <c r="X489" s="340"/>
      <c r="Y489" s="340"/>
      <c r="Z489" s="340"/>
      <c r="AA489" s="340"/>
      <c r="AB489" s="340"/>
      <c r="AC489" s="340"/>
      <c r="AD489" s="340"/>
      <c r="AE489" s="340"/>
      <c r="AF489" s="340"/>
      <c r="AG489" s="340"/>
      <c r="AH489" s="340"/>
      <c r="AI489" s="340"/>
      <c r="AJ489" s="340"/>
      <c r="AK489" s="340"/>
      <c r="AL489" s="340"/>
      <c r="AM489" s="340"/>
      <c r="AN489" s="340"/>
      <c r="AO489" s="340"/>
      <c r="AP489" s="340"/>
      <c r="AQ489" s="340"/>
      <c r="AR489" s="340"/>
      <c r="AS489" s="340"/>
      <c r="AT489" s="340"/>
      <c r="AU489" s="340"/>
      <c r="AV489" s="340"/>
      <c r="AW489" s="340"/>
      <c r="AX489" s="340"/>
      <c r="AY489" s="340"/>
      <c r="AZ489" s="340"/>
      <c r="BA489" s="340"/>
      <c r="BB489" s="340"/>
      <c r="BC489" s="340"/>
      <c r="BD489" s="340"/>
    </row>
    <row r="490" spans="3:56">
      <c r="C490" s="340"/>
      <c r="D490" s="340"/>
      <c r="E490" s="340"/>
      <c r="F490" s="340"/>
      <c r="G490" s="340"/>
      <c r="H490" s="340"/>
      <c r="I490" s="340"/>
      <c r="J490" s="340"/>
      <c r="K490" s="340"/>
      <c r="L490" s="340"/>
      <c r="M490" s="340"/>
      <c r="N490" s="340"/>
      <c r="O490" s="340"/>
      <c r="P490" s="340"/>
      <c r="Q490" s="340"/>
      <c r="R490" s="340"/>
      <c r="S490" s="340"/>
      <c r="T490" s="340"/>
      <c r="U490" s="340"/>
      <c r="V490" s="340"/>
      <c r="W490" s="340"/>
      <c r="X490" s="340"/>
      <c r="Y490" s="340"/>
      <c r="Z490" s="340"/>
      <c r="AA490" s="340"/>
      <c r="AB490" s="340"/>
      <c r="AC490" s="340"/>
      <c r="AD490" s="340"/>
      <c r="AE490" s="340"/>
      <c r="AF490" s="340"/>
      <c r="AG490" s="340"/>
      <c r="AH490" s="340"/>
      <c r="AI490" s="340"/>
      <c r="AJ490" s="340"/>
      <c r="AK490" s="340"/>
      <c r="AL490" s="340"/>
      <c r="AM490" s="340"/>
      <c r="AN490" s="340"/>
      <c r="AO490" s="340"/>
      <c r="AP490" s="340"/>
      <c r="AQ490" s="340"/>
      <c r="AR490" s="340"/>
      <c r="AS490" s="340"/>
      <c r="AT490" s="340"/>
      <c r="AU490" s="340"/>
      <c r="AV490" s="340"/>
      <c r="AW490" s="340"/>
      <c r="AX490" s="340"/>
      <c r="AY490" s="340"/>
      <c r="AZ490" s="340"/>
      <c r="BA490" s="340"/>
      <c r="BB490" s="340"/>
      <c r="BC490" s="340"/>
      <c r="BD490" s="340"/>
    </row>
    <row r="491" spans="3:56">
      <c r="C491" s="340"/>
      <c r="D491" s="340"/>
      <c r="E491" s="340"/>
      <c r="F491" s="340"/>
      <c r="G491" s="340"/>
      <c r="H491" s="340"/>
      <c r="I491" s="340"/>
      <c r="J491" s="340"/>
      <c r="K491" s="340"/>
      <c r="L491" s="340"/>
      <c r="M491" s="340"/>
      <c r="N491" s="340"/>
      <c r="O491" s="340"/>
      <c r="P491" s="340"/>
      <c r="Q491" s="340"/>
      <c r="R491" s="340"/>
      <c r="S491" s="340"/>
      <c r="T491" s="340"/>
      <c r="U491" s="340"/>
      <c r="V491" s="340"/>
      <c r="W491" s="340"/>
      <c r="X491" s="340"/>
      <c r="Y491" s="340"/>
      <c r="Z491" s="340"/>
      <c r="AA491" s="340"/>
      <c r="AB491" s="340"/>
      <c r="AC491" s="340"/>
      <c r="AD491" s="340"/>
      <c r="AE491" s="340"/>
      <c r="AF491" s="340"/>
      <c r="AG491" s="340"/>
      <c r="AH491" s="340"/>
      <c r="AI491" s="340"/>
      <c r="AJ491" s="340"/>
      <c r="AK491" s="340"/>
      <c r="AL491" s="340"/>
      <c r="AM491" s="340"/>
      <c r="AN491" s="340"/>
      <c r="AO491" s="340"/>
      <c r="AP491" s="340"/>
      <c r="AQ491" s="340"/>
      <c r="AR491" s="340"/>
      <c r="AS491" s="340"/>
      <c r="AT491" s="340"/>
      <c r="AU491" s="340"/>
      <c r="AV491" s="340"/>
      <c r="AW491" s="340"/>
      <c r="AX491" s="340"/>
      <c r="AY491" s="340"/>
      <c r="AZ491" s="340"/>
      <c r="BA491" s="340"/>
      <c r="BB491" s="340"/>
      <c r="BC491" s="340"/>
      <c r="BD491" s="340"/>
    </row>
    <row r="492" spans="3:56">
      <c r="C492" s="340"/>
      <c r="D492" s="340"/>
      <c r="E492" s="340"/>
      <c r="F492" s="340"/>
      <c r="G492" s="340"/>
      <c r="H492" s="340"/>
      <c r="I492" s="340"/>
      <c r="J492" s="340"/>
      <c r="K492" s="340"/>
      <c r="L492" s="340"/>
      <c r="M492" s="340"/>
      <c r="N492" s="340"/>
      <c r="O492" s="340"/>
      <c r="P492" s="340"/>
      <c r="Q492" s="340"/>
      <c r="R492" s="340"/>
      <c r="S492" s="340"/>
      <c r="T492" s="340"/>
      <c r="U492" s="340"/>
      <c r="V492" s="340"/>
      <c r="W492" s="340"/>
      <c r="X492" s="340"/>
      <c r="Y492" s="340"/>
      <c r="Z492" s="340"/>
      <c r="AA492" s="340"/>
      <c r="AB492" s="340"/>
      <c r="AC492" s="340"/>
      <c r="AD492" s="340"/>
      <c r="AE492" s="340"/>
      <c r="AF492" s="340"/>
      <c r="AG492" s="340"/>
      <c r="AH492" s="340"/>
      <c r="AI492" s="340"/>
      <c r="AJ492" s="340"/>
      <c r="AK492" s="340"/>
      <c r="AL492" s="340"/>
      <c r="AM492" s="340"/>
      <c r="AN492" s="340"/>
      <c r="AO492" s="340"/>
      <c r="AP492" s="340"/>
      <c r="AQ492" s="340"/>
      <c r="AR492" s="340"/>
      <c r="AS492" s="340"/>
      <c r="AT492" s="340"/>
      <c r="AU492" s="340"/>
      <c r="AV492" s="340"/>
      <c r="AW492" s="340"/>
      <c r="AX492" s="340"/>
      <c r="AY492" s="340"/>
      <c r="AZ492" s="340"/>
      <c r="BA492" s="340"/>
      <c r="BB492" s="340"/>
      <c r="BC492" s="340"/>
      <c r="BD492" s="340"/>
    </row>
    <row r="493" spans="3:56">
      <c r="C493" s="340"/>
      <c r="D493" s="340"/>
      <c r="E493" s="340"/>
      <c r="F493" s="340"/>
      <c r="G493" s="340"/>
      <c r="H493" s="340"/>
      <c r="I493" s="340"/>
      <c r="J493" s="340"/>
      <c r="K493" s="340"/>
      <c r="L493" s="340"/>
      <c r="M493" s="340"/>
      <c r="N493" s="340"/>
      <c r="O493" s="340"/>
      <c r="P493" s="340"/>
      <c r="Q493" s="340"/>
      <c r="R493" s="340"/>
      <c r="S493" s="340"/>
      <c r="T493" s="340"/>
      <c r="U493" s="340"/>
      <c r="V493" s="340"/>
      <c r="W493" s="340"/>
      <c r="X493" s="340"/>
      <c r="Y493" s="340"/>
      <c r="Z493" s="340"/>
      <c r="AA493" s="340"/>
      <c r="AB493" s="340"/>
      <c r="AC493" s="340"/>
      <c r="AD493" s="340"/>
      <c r="AE493" s="340"/>
      <c r="AF493" s="340"/>
      <c r="AG493" s="340"/>
      <c r="AH493" s="340"/>
      <c r="AI493" s="340"/>
      <c r="AJ493" s="340"/>
      <c r="AK493" s="340"/>
      <c r="AL493" s="340"/>
      <c r="AM493" s="340"/>
      <c r="AN493" s="340"/>
      <c r="AO493" s="340"/>
      <c r="AP493" s="340"/>
      <c r="AQ493" s="340"/>
      <c r="AR493" s="340"/>
      <c r="AS493" s="340"/>
      <c r="AT493" s="340"/>
      <c r="AU493" s="340"/>
      <c r="AV493" s="340"/>
      <c r="AW493" s="340"/>
      <c r="AX493" s="340"/>
      <c r="AY493" s="340"/>
      <c r="AZ493" s="340"/>
      <c r="BA493" s="340"/>
      <c r="BB493" s="340"/>
      <c r="BC493" s="340"/>
      <c r="BD493" s="340"/>
    </row>
    <row r="494" spans="3:56">
      <c r="C494" s="340"/>
      <c r="D494" s="340"/>
      <c r="E494" s="340"/>
      <c r="F494" s="340"/>
      <c r="G494" s="340"/>
      <c r="H494" s="340"/>
      <c r="I494" s="340"/>
      <c r="J494" s="340"/>
      <c r="K494" s="340"/>
      <c r="L494" s="340"/>
      <c r="M494" s="340"/>
      <c r="N494" s="340"/>
      <c r="O494" s="340"/>
      <c r="P494" s="340"/>
      <c r="Q494" s="340"/>
      <c r="R494" s="340"/>
      <c r="S494" s="340"/>
      <c r="T494" s="340"/>
      <c r="U494" s="340"/>
      <c r="V494" s="340"/>
      <c r="W494" s="340"/>
      <c r="X494" s="340"/>
      <c r="Y494" s="340"/>
      <c r="Z494" s="340"/>
      <c r="AA494" s="340"/>
      <c r="AB494" s="340"/>
      <c r="AC494" s="340"/>
      <c r="AD494" s="340"/>
      <c r="AE494" s="340"/>
      <c r="AF494" s="340"/>
      <c r="AG494" s="340"/>
      <c r="AH494" s="340"/>
      <c r="AI494" s="340"/>
      <c r="AJ494" s="340"/>
      <c r="AK494" s="340"/>
      <c r="AL494" s="340"/>
      <c r="AM494" s="340"/>
      <c r="AN494" s="340"/>
      <c r="AO494" s="340"/>
      <c r="AP494" s="340"/>
      <c r="AQ494" s="340"/>
      <c r="AR494" s="340"/>
      <c r="AS494" s="340"/>
      <c r="AT494" s="340"/>
      <c r="AU494" s="340"/>
      <c r="AV494" s="340"/>
      <c r="AW494" s="340"/>
      <c r="AX494" s="340"/>
      <c r="AY494" s="340"/>
      <c r="AZ494" s="340"/>
      <c r="BA494" s="340"/>
      <c r="BB494" s="340"/>
      <c r="BC494" s="340"/>
      <c r="BD494" s="340"/>
    </row>
    <row r="495" spans="3:56">
      <c r="C495" s="340"/>
      <c r="D495" s="340"/>
      <c r="E495" s="340"/>
      <c r="F495" s="340"/>
      <c r="G495" s="340"/>
      <c r="H495" s="340"/>
      <c r="I495" s="340"/>
      <c r="J495" s="340"/>
      <c r="K495" s="340"/>
      <c r="L495" s="340"/>
      <c r="M495" s="340"/>
      <c r="N495" s="340"/>
      <c r="O495" s="340"/>
      <c r="P495" s="340"/>
      <c r="Q495" s="340"/>
      <c r="R495" s="340"/>
      <c r="S495" s="340"/>
      <c r="T495" s="340"/>
      <c r="U495" s="340"/>
      <c r="V495" s="340"/>
      <c r="W495" s="340"/>
      <c r="X495" s="340"/>
      <c r="Y495" s="340"/>
      <c r="Z495" s="340"/>
      <c r="AA495" s="340"/>
      <c r="AB495" s="340"/>
      <c r="AC495" s="340"/>
      <c r="AD495" s="340"/>
      <c r="AE495" s="340"/>
      <c r="AF495" s="340"/>
      <c r="AG495" s="340"/>
      <c r="AH495" s="340"/>
      <c r="AI495" s="340"/>
      <c r="AJ495" s="340"/>
      <c r="AK495" s="340"/>
      <c r="AL495" s="340"/>
      <c r="AM495" s="340"/>
      <c r="AN495" s="340"/>
      <c r="AO495" s="340"/>
      <c r="AP495" s="340"/>
      <c r="AQ495" s="340"/>
      <c r="AR495" s="340"/>
      <c r="AS495" s="340"/>
      <c r="AT495" s="340"/>
      <c r="AU495" s="340"/>
      <c r="AV495" s="340"/>
      <c r="AW495" s="340"/>
      <c r="AX495" s="340"/>
      <c r="AY495" s="340"/>
      <c r="AZ495" s="340"/>
      <c r="BA495" s="340"/>
      <c r="BB495" s="340"/>
      <c r="BC495" s="340"/>
      <c r="BD495" s="340"/>
    </row>
    <row r="496" spans="3:56">
      <c r="C496" s="340"/>
      <c r="D496" s="340"/>
      <c r="E496" s="340"/>
      <c r="F496" s="340"/>
      <c r="G496" s="340"/>
      <c r="H496" s="340"/>
      <c r="I496" s="340"/>
      <c r="J496" s="340"/>
      <c r="K496" s="340"/>
      <c r="L496" s="340"/>
      <c r="M496" s="340"/>
      <c r="N496" s="340"/>
      <c r="O496" s="340"/>
      <c r="P496" s="340"/>
      <c r="Q496" s="340"/>
      <c r="R496" s="340"/>
      <c r="S496" s="340"/>
      <c r="T496" s="340"/>
      <c r="U496" s="340"/>
      <c r="V496" s="340"/>
      <c r="W496" s="340"/>
      <c r="X496" s="340"/>
      <c r="Y496" s="340"/>
      <c r="Z496" s="340"/>
      <c r="AA496" s="340"/>
      <c r="AB496" s="340"/>
      <c r="AC496" s="340"/>
      <c r="AD496" s="340"/>
      <c r="AE496" s="340"/>
      <c r="AF496" s="340"/>
      <c r="AG496" s="340"/>
      <c r="AH496" s="340"/>
      <c r="AI496" s="340"/>
      <c r="AJ496" s="340"/>
      <c r="AK496" s="340"/>
      <c r="AL496" s="340"/>
      <c r="AM496" s="340"/>
      <c r="AN496" s="340"/>
      <c r="AO496" s="340"/>
      <c r="AP496" s="340"/>
      <c r="AQ496" s="340"/>
      <c r="AR496" s="340"/>
      <c r="AS496" s="340"/>
      <c r="AT496" s="340"/>
      <c r="AU496" s="340"/>
      <c r="AV496" s="340"/>
      <c r="AW496" s="340"/>
      <c r="AX496" s="340"/>
      <c r="AY496" s="340"/>
      <c r="AZ496" s="340"/>
      <c r="BA496" s="340"/>
      <c r="BB496" s="340"/>
      <c r="BC496" s="340"/>
      <c r="BD496" s="340"/>
    </row>
    <row r="497" spans="3:56">
      <c r="C497" s="340"/>
      <c r="D497" s="340"/>
      <c r="E497" s="340"/>
      <c r="F497" s="340"/>
      <c r="G497" s="340"/>
      <c r="H497" s="340"/>
      <c r="I497" s="340"/>
      <c r="J497" s="340"/>
      <c r="K497" s="340"/>
      <c r="L497" s="340"/>
      <c r="M497" s="340"/>
      <c r="N497" s="340"/>
      <c r="O497" s="340"/>
      <c r="P497" s="340"/>
      <c r="Q497" s="340"/>
      <c r="R497" s="340"/>
      <c r="S497" s="340"/>
      <c r="T497" s="340"/>
      <c r="U497" s="340"/>
      <c r="V497" s="340"/>
      <c r="W497" s="340"/>
      <c r="X497" s="340"/>
      <c r="Y497" s="340"/>
      <c r="Z497" s="340"/>
      <c r="AA497" s="340"/>
      <c r="AB497" s="340"/>
      <c r="AC497" s="340"/>
      <c r="AD497" s="340"/>
      <c r="AE497" s="340"/>
      <c r="AF497" s="340"/>
      <c r="AG497" s="340"/>
      <c r="AH497" s="340"/>
      <c r="AI497" s="340"/>
      <c r="AJ497" s="340"/>
      <c r="AK497" s="340"/>
      <c r="AL497" s="340"/>
      <c r="AM497" s="340"/>
      <c r="AN497" s="340"/>
      <c r="AO497" s="340"/>
      <c r="AP497" s="340"/>
      <c r="AQ497" s="340"/>
      <c r="AR497" s="340"/>
      <c r="AS497" s="340"/>
      <c r="AT497" s="340"/>
      <c r="AU497" s="340"/>
      <c r="AV497" s="340"/>
      <c r="AW497" s="340"/>
      <c r="AX497" s="340"/>
      <c r="AY497" s="340"/>
      <c r="AZ497" s="340"/>
      <c r="BA497" s="340"/>
      <c r="BB497" s="340"/>
      <c r="BC497" s="340"/>
      <c r="BD497" s="340"/>
    </row>
    <row r="498" spans="3:56">
      <c r="C498" s="340"/>
      <c r="D498" s="340"/>
      <c r="E498" s="340"/>
      <c r="F498" s="340"/>
      <c r="G498" s="340"/>
      <c r="H498" s="340"/>
      <c r="I498" s="340"/>
      <c r="J498" s="340"/>
      <c r="K498" s="340"/>
      <c r="L498" s="340"/>
      <c r="M498" s="340"/>
      <c r="N498" s="340"/>
      <c r="O498" s="340"/>
      <c r="P498" s="340"/>
      <c r="Q498" s="340"/>
      <c r="R498" s="340"/>
      <c r="S498" s="340"/>
      <c r="T498" s="340"/>
      <c r="U498" s="340"/>
      <c r="V498" s="340"/>
      <c r="W498" s="340"/>
      <c r="X498" s="340"/>
      <c r="Y498" s="340"/>
      <c r="Z498" s="340"/>
      <c r="AA498" s="340"/>
      <c r="AB498" s="340"/>
      <c r="AC498" s="340"/>
      <c r="AD498" s="340"/>
      <c r="AE498" s="340"/>
      <c r="AF498" s="340"/>
      <c r="AG498" s="340"/>
      <c r="AH498" s="340"/>
      <c r="AI498" s="340"/>
      <c r="AJ498" s="340"/>
      <c r="AK498" s="340"/>
      <c r="AL498" s="340"/>
      <c r="AM498" s="340"/>
      <c r="AN498" s="340"/>
      <c r="AO498" s="340"/>
      <c r="AP498" s="340"/>
      <c r="AQ498" s="340"/>
      <c r="AR498" s="340"/>
      <c r="AS498" s="340"/>
      <c r="AT498" s="340"/>
      <c r="AU498" s="340"/>
      <c r="AV498" s="340"/>
      <c r="AW498" s="340"/>
      <c r="AX498" s="340"/>
      <c r="AY498" s="340"/>
      <c r="AZ498" s="340"/>
      <c r="BA498" s="340"/>
      <c r="BB498" s="340"/>
      <c r="BC498" s="340"/>
      <c r="BD498" s="340"/>
    </row>
    <row r="499" spans="3:56">
      <c r="C499" s="340"/>
      <c r="D499" s="340"/>
      <c r="E499" s="340"/>
      <c r="F499" s="340"/>
      <c r="G499" s="340"/>
      <c r="H499" s="340"/>
      <c r="I499" s="340"/>
      <c r="J499" s="340"/>
      <c r="K499" s="340"/>
      <c r="L499" s="340"/>
      <c r="M499" s="340"/>
      <c r="N499" s="340"/>
      <c r="O499" s="340"/>
      <c r="P499" s="340"/>
      <c r="Q499" s="340"/>
      <c r="R499" s="340"/>
      <c r="S499" s="340"/>
      <c r="T499" s="340"/>
      <c r="U499" s="340"/>
      <c r="V499" s="340"/>
      <c r="W499" s="340"/>
      <c r="X499" s="340"/>
      <c r="Y499" s="340"/>
      <c r="Z499" s="340"/>
      <c r="AA499" s="340"/>
      <c r="AB499" s="340"/>
      <c r="AC499" s="340"/>
      <c r="AD499" s="340"/>
      <c r="AE499" s="340"/>
      <c r="AF499" s="340"/>
      <c r="AG499" s="340"/>
      <c r="AH499" s="340"/>
      <c r="AI499" s="340"/>
      <c r="AJ499" s="340"/>
      <c r="AK499" s="340"/>
      <c r="AL499" s="340"/>
      <c r="AM499" s="340"/>
      <c r="AN499" s="340"/>
      <c r="AO499" s="340"/>
      <c r="AP499" s="340"/>
      <c r="AQ499" s="340"/>
      <c r="AR499" s="340"/>
      <c r="AS499" s="340"/>
      <c r="AT499" s="340"/>
      <c r="AU499" s="340"/>
      <c r="AV499" s="340"/>
      <c r="AW499" s="340"/>
      <c r="AX499" s="340"/>
      <c r="AY499" s="340"/>
      <c r="AZ499" s="340"/>
      <c r="BA499" s="340"/>
      <c r="BB499" s="340"/>
      <c r="BC499" s="340"/>
      <c r="BD499" s="340"/>
    </row>
    <row r="500" spans="3:56">
      <c r="C500" s="340"/>
      <c r="D500" s="340"/>
      <c r="E500" s="340"/>
      <c r="F500" s="340"/>
      <c r="G500" s="340"/>
      <c r="H500" s="340"/>
      <c r="I500" s="340"/>
      <c r="J500" s="340"/>
      <c r="K500" s="340"/>
      <c r="L500" s="340"/>
      <c r="M500" s="340"/>
      <c r="N500" s="340"/>
      <c r="O500" s="340"/>
      <c r="P500" s="340"/>
      <c r="Q500" s="340"/>
      <c r="R500" s="340"/>
      <c r="S500" s="340"/>
      <c r="T500" s="340"/>
      <c r="U500" s="340"/>
      <c r="V500" s="340"/>
      <c r="W500" s="340"/>
      <c r="X500" s="340"/>
      <c r="Y500" s="340"/>
      <c r="Z500" s="340"/>
      <c r="AA500" s="340"/>
      <c r="AB500" s="340"/>
      <c r="AC500" s="340"/>
      <c r="AD500" s="340"/>
      <c r="AE500" s="340"/>
      <c r="AF500" s="340"/>
      <c r="AG500" s="340"/>
      <c r="AH500" s="340"/>
      <c r="AI500" s="340"/>
      <c r="AJ500" s="340"/>
      <c r="AK500" s="340"/>
      <c r="AL500" s="340"/>
      <c r="AM500" s="340"/>
      <c r="AN500" s="340"/>
      <c r="AO500" s="340"/>
      <c r="AP500" s="340"/>
      <c r="AQ500" s="340"/>
      <c r="AR500" s="340"/>
      <c r="AS500" s="340"/>
      <c r="AT500" s="340"/>
      <c r="AU500" s="340"/>
      <c r="AV500" s="340"/>
      <c r="AW500" s="340"/>
      <c r="AX500" s="340"/>
      <c r="AY500" s="340"/>
      <c r="AZ500" s="340"/>
      <c r="BA500" s="340"/>
      <c r="BB500" s="340"/>
      <c r="BC500" s="340"/>
      <c r="BD500" s="340"/>
    </row>
    <row r="501" spans="3:56">
      <c r="C501" s="340"/>
      <c r="D501" s="340"/>
      <c r="E501" s="340"/>
      <c r="F501" s="340"/>
      <c r="G501" s="340"/>
      <c r="H501" s="340"/>
      <c r="I501" s="340"/>
      <c r="J501" s="340"/>
      <c r="K501" s="340"/>
      <c r="L501" s="340"/>
      <c r="M501" s="340"/>
      <c r="N501" s="340"/>
      <c r="O501" s="340"/>
      <c r="P501" s="340"/>
      <c r="Q501" s="340"/>
      <c r="R501" s="340"/>
      <c r="S501" s="340"/>
      <c r="T501" s="340"/>
      <c r="U501" s="340"/>
      <c r="V501" s="340"/>
      <c r="W501" s="340"/>
      <c r="X501" s="340"/>
      <c r="Y501" s="340"/>
      <c r="Z501" s="340"/>
      <c r="AA501" s="340"/>
      <c r="AB501" s="340"/>
      <c r="AC501" s="340"/>
      <c r="AD501" s="340"/>
      <c r="AE501" s="340"/>
      <c r="AF501" s="340"/>
      <c r="AG501" s="340"/>
      <c r="AH501" s="340"/>
      <c r="AI501" s="340"/>
      <c r="AJ501" s="340"/>
      <c r="AK501" s="340"/>
      <c r="AL501" s="340"/>
      <c r="AM501" s="340"/>
      <c r="AN501" s="340"/>
      <c r="AO501" s="340"/>
      <c r="AP501" s="340"/>
      <c r="AQ501" s="340"/>
      <c r="AR501" s="340"/>
      <c r="AS501" s="340"/>
      <c r="AT501" s="340"/>
      <c r="AU501" s="340"/>
      <c r="AV501" s="340"/>
      <c r="AW501" s="340"/>
      <c r="AX501" s="340"/>
      <c r="AY501" s="340"/>
      <c r="AZ501" s="340"/>
      <c r="BA501" s="340"/>
      <c r="BB501" s="340"/>
      <c r="BC501" s="340"/>
      <c r="BD501" s="340"/>
    </row>
    <row r="502" spans="3:56">
      <c r="C502" s="340"/>
      <c r="D502" s="340"/>
      <c r="E502" s="340"/>
      <c r="F502" s="340"/>
      <c r="G502" s="340"/>
      <c r="H502" s="340"/>
      <c r="I502" s="340"/>
      <c r="J502" s="340"/>
      <c r="K502" s="340"/>
      <c r="L502" s="340"/>
      <c r="M502" s="340"/>
      <c r="N502" s="340"/>
      <c r="O502" s="340"/>
      <c r="P502" s="340"/>
      <c r="Q502" s="340"/>
      <c r="R502" s="340"/>
      <c r="S502" s="340"/>
      <c r="T502" s="340"/>
      <c r="U502" s="340"/>
      <c r="V502" s="340"/>
      <c r="W502" s="340"/>
      <c r="X502" s="340"/>
      <c r="Y502" s="340"/>
      <c r="Z502" s="340"/>
      <c r="AA502" s="340"/>
      <c r="AB502" s="340"/>
      <c r="AC502" s="340"/>
      <c r="AD502" s="340"/>
      <c r="AE502" s="340"/>
      <c r="AF502" s="340"/>
      <c r="AG502" s="340"/>
      <c r="AH502" s="340"/>
      <c r="AI502" s="340"/>
      <c r="AJ502" s="340"/>
      <c r="AK502" s="340"/>
      <c r="AL502" s="340"/>
      <c r="AM502" s="340"/>
      <c r="AN502" s="340"/>
      <c r="AO502" s="340"/>
      <c r="AP502" s="340"/>
      <c r="AQ502" s="340"/>
      <c r="AR502" s="340"/>
      <c r="AS502" s="340"/>
      <c r="AT502" s="340"/>
      <c r="AU502" s="340"/>
      <c r="AV502" s="340"/>
      <c r="AW502" s="340"/>
      <c r="AX502" s="340"/>
      <c r="AY502" s="340"/>
      <c r="AZ502" s="340"/>
      <c r="BA502" s="340"/>
      <c r="BB502" s="340"/>
      <c r="BC502" s="340"/>
      <c r="BD502" s="340"/>
    </row>
    <row r="503" spans="3:56">
      <c r="C503" s="340"/>
      <c r="D503" s="340"/>
      <c r="E503" s="340"/>
      <c r="F503" s="340"/>
      <c r="G503" s="340"/>
      <c r="H503" s="340"/>
      <c r="I503" s="340"/>
      <c r="J503" s="340"/>
      <c r="K503" s="340"/>
      <c r="L503" s="340"/>
      <c r="M503" s="340"/>
      <c r="N503" s="340"/>
      <c r="O503" s="340"/>
      <c r="P503" s="340"/>
      <c r="Q503" s="340"/>
      <c r="R503" s="340"/>
      <c r="S503" s="340"/>
      <c r="T503" s="340"/>
      <c r="U503" s="340"/>
      <c r="V503" s="340"/>
      <c r="W503" s="340"/>
      <c r="X503" s="340"/>
      <c r="Y503" s="340"/>
      <c r="Z503" s="340"/>
      <c r="AA503" s="340"/>
      <c r="AB503" s="340"/>
      <c r="AC503" s="340"/>
      <c r="AD503" s="340"/>
      <c r="AE503" s="340"/>
      <c r="AF503" s="340"/>
      <c r="AG503" s="340"/>
      <c r="AH503" s="340"/>
      <c r="AI503" s="340"/>
      <c r="AJ503" s="340"/>
      <c r="AK503" s="340"/>
      <c r="AL503" s="340"/>
      <c r="AM503" s="340"/>
      <c r="AN503" s="340"/>
      <c r="AO503" s="340"/>
      <c r="AP503" s="340"/>
      <c r="AQ503" s="340"/>
      <c r="AR503" s="340"/>
      <c r="AS503" s="340"/>
      <c r="AT503" s="340"/>
      <c r="AU503" s="340"/>
      <c r="AV503" s="340"/>
      <c r="AW503" s="340"/>
      <c r="AX503" s="340"/>
      <c r="AY503" s="340"/>
      <c r="AZ503" s="340"/>
      <c r="BA503" s="340"/>
      <c r="BB503" s="340"/>
      <c r="BC503" s="340"/>
      <c r="BD503" s="340"/>
    </row>
    <row r="504" spans="3:56">
      <c r="C504" s="340"/>
      <c r="D504" s="340"/>
      <c r="E504" s="340"/>
      <c r="F504" s="340"/>
      <c r="G504" s="340"/>
      <c r="H504" s="340"/>
      <c r="I504" s="340"/>
      <c r="J504" s="340"/>
      <c r="K504" s="340"/>
      <c r="L504" s="340"/>
      <c r="M504" s="340"/>
      <c r="N504" s="340"/>
      <c r="O504" s="340"/>
      <c r="P504" s="340"/>
      <c r="Q504" s="340"/>
      <c r="R504" s="340"/>
      <c r="S504" s="340"/>
      <c r="T504" s="340"/>
      <c r="U504" s="340"/>
      <c r="V504" s="340"/>
      <c r="W504" s="340"/>
      <c r="X504" s="340"/>
      <c r="Y504" s="340"/>
      <c r="Z504" s="340"/>
      <c r="AA504" s="340"/>
      <c r="AB504" s="340"/>
      <c r="AC504" s="340"/>
      <c r="AD504" s="340"/>
      <c r="AE504" s="340"/>
      <c r="AF504" s="340"/>
      <c r="AG504" s="340"/>
      <c r="AH504" s="340"/>
      <c r="AI504" s="340"/>
      <c r="AJ504" s="340"/>
      <c r="AK504" s="340"/>
      <c r="AL504" s="340"/>
      <c r="AM504" s="340"/>
      <c r="AN504" s="340"/>
      <c r="AO504" s="340"/>
      <c r="AP504" s="340"/>
      <c r="AQ504" s="340"/>
      <c r="AR504" s="340"/>
      <c r="AS504" s="340"/>
      <c r="AT504" s="340"/>
      <c r="AU504" s="340"/>
      <c r="AV504" s="340"/>
      <c r="AW504" s="340"/>
      <c r="AX504" s="340"/>
      <c r="AY504" s="340"/>
      <c r="AZ504" s="340"/>
      <c r="BA504" s="340"/>
      <c r="BB504" s="340"/>
      <c r="BC504" s="340"/>
      <c r="BD504" s="340"/>
    </row>
    <row r="505" spans="3:56">
      <c r="C505" s="340"/>
      <c r="D505" s="340"/>
      <c r="E505" s="340"/>
      <c r="F505" s="340"/>
      <c r="G505" s="340"/>
      <c r="H505" s="340"/>
      <c r="I505" s="340"/>
      <c r="J505" s="340"/>
      <c r="K505" s="340"/>
      <c r="L505" s="340"/>
      <c r="M505" s="340"/>
      <c r="N505" s="340"/>
      <c r="O505" s="340"/>
      <c r="P505" s="340"/>
      <c r="Q505" s="340"/>
      <c r="R505" s="340"/>
      <c r="S505" s="340"/>
      <c r="T505" s="340"/>
      <c r="U505" s="340"/>
      <c r="V505" s="340"/>
      <c r="W505" s="340"/>
      <c r="X505" s="340"/>
      <c r="Y505" s="340"/>
      <c r="Z505" s="340"/>
      <c r="AA505" s="340"/>
      <c r="AB505" s="340"/>
      <c r="AC505" s="340"/>
      <c r="AD505" s="340"/>
      <c r="AE505" s="340"/>
      <c r="AF505" s="340"/>
      <c r="AG505" s="340"/>
      <c r="AH505" s="340"/>
      <c r="AI505" s="340"/>
      <c r="AJ505" s="340"/>
      <c r="AK505" s="340"/>
      <c r="AL505" s="340"/>
      <c r="AM505" s="340"/>
      <c r="AN505" s="340"/>
      <c r="AO505" s="340"/>
      <c r="AP505" s="340"/>
      <c r="AQ505" s="340"/>
      <c r="AR505" s="340"/>
      <c r="AS505" s="340"/>
      <c r="AT505" s="340"/>
      <c r="AU505" s="340"/>
      <c r="AV505" s="340"/>
      <c r="AW505" s="340"/>
      <c r="AX505" s="340"/>
      <c r="AY505" s="340"/>
      <c r="AZ505" s="340"/>
      <c r="BA505" s="340"/>
      <c r="BB505" s="340"/>
      <c r="BC505" s="340"/>
      <c r="BD505" s="340"/>
    </row>
    <row r="506" spans="3:56">
      <c r="C506" s="340"/>
      <c r="D506" s="340"/>
      <c r="E506" s="340"/>
      <c r="F506" s="340"/>
      <c r="G506" s="340"/>
      <c r="H506" s="340"/>
      <c r="I506" s="340"/>
      <c r="J506" s="340"/>
      <c r="K506" s="340"/>
      <c r="L506" s="340"/>
      <c r="M506" s="340"/>
      <c r="N506" s="340"/>
      <c r="O506" s="340"/>
      <c r="P506" s="340"/>
      <c r="Q506" s="340"/>
      <c r="R506" s="340"/>
      <c r="S506" s="340"/>
      <c r="T506" s="340"/>
      <c r="U506" s="340"/>
      <c r="V506" s="340"/>
      <c r="W506" s="340"/>
      <c r="X506" s="340"/>
      <c r="Y506" s="340"/>
      <c r="Z506" s="340"/>
      <c r="AA506" s="340"/>
      <c r="AB506" s="340"/>
      <c r="AC506" s="340"/>
      <c r="AD506" s="340"/>
      <c r="AE506" s="340"/>
      <c r="AF506" s="340"/>
      <c r="AG506" s="340"/>
      <c r="AH506" s="340"/>
      <c r="AI506" s="340"/>
      <c r="AJ506" s="340"/>
      <c r="AK506" s="340"/>
      <c r="AL506" s="340"/>
      <c r="AM506" s="340"/>
      <c r="AN506" s="340"/>
      <c r="AO506" s="340"/>
      <c r="AP506" s="340"/>
      <c r="AQ506" s="340"/>
      <c r="AR506" s="340"/>
      <c r="AS506" s="340"/>
      <c r="AT506" s="340"/>
      <c r="AU506" s="340"/>
      <c r="AV506" s="340"/>
      <c r="AW506" s="340"/>
      <c r="AX506" s="340"/>
      <c r="AY506" s="340"/>
      <c r="AZ506" s="340"/>
      <c r="BA506" s="340"/>
      <c r="BB506" s="340"/>
      <c r="BC506" s="340"/>
      <c r="BD506" s="340"/>
    </row>
    <row r="507" spans="3:56">
      <c r="C507" s="340"/>
      <c r="D507" s="340"/>
      <c r="E507" s="340"/>
      <c r="F507" s="340"/>
      <c r="G507" s="340"/>
      <c r="H507" s="340"/>
      <c r="I507" s="340"/>
      <c r="J507" s="340"/>
      <c r="K507" s="340"/>
      <c r="L507" s="340"/>
      <c r="M507" s="340"/>
      <c r="N507" s="340"/>
      <c r="O507" s="340"/>
      <c r="P507" s="340"/>
      <c r="Q507" s="340"/>
      <c r="R507" s="340"/>
      <c r="S507" s="340"/>
      <c r="T507" s="340"/>
      <c r="U507" s="340"/>
      <c r="V507" s="340"/>
      <c r="W507" s="340"/>
      <c r="X507" s="340"/>
      <c r="Y507" s="340"/>
      <c r="Z507" s="340"/>
      <c r="AA507" s="340"/>
      <c r="AB507" s="340"/>
      <c r="AC507" s="340"/>
      <c r="AD507" s="340"/>
      <c r="AE507" s="340"/>
      <c r="AF507" s="340"/>
      <c r="AG507" s="340"/>
      <c r="AH507" s="340"/>
      <c r="AI507" s="340"/>
      <c r="AJ507" s="340"/>
      <c r="AK507" s="340"/>
      <c r="AL507" s="340"/>
      <c r="AM507" s="340"/>
      <c r="AN507" s="340"/>
      <c r="AO507" s="340"/>
      <c r="AP507" s="340"/>
      <c r="AQ507" s="340"/>
      <c r="AR507" s="340"/>
      <c r="AS507" s="340"/>
      <c r="AT507" s="340"/>
      <c r="AU507" s="340"/>
      <c r="AV507" s="340"/>
      <c r="AW507" s="340"/>
      <c r="AX507" s="340"/>
      <c r="AY507" s="340"/>
      <c r="AZ507" s="340"/>
      <c r="BA507" s="340"/>
      <c r="BB507" s="340"/>
      <c r="BC507" s="340"/>
      <c r="BD507" s="340"/>
    </row>
    <row r="508" spans="3:56">
      <c r="C508" s="340"/>
      <c r="D508" s="340"/>
      <c r="E508" s="340"/>
      <c r="F508" s="340"/>
      <c r="G508" s="340"/>
      <c r="H508" s="340"/>
      <c r="I508" s="340"/>
      <c r="J508" s="340"/>
      <c r="K508" s="340"/>
      <c r="L508" s="340"/>
      <c r="M508" s="340"/>
      <c r="N508" s="340"/>
      <c r="O508" s="340"/>
      <c r="P508" s="340"/>
      <c r="Q508" s="340"/>
      <c r="R508" s="340"/>
      <c r="S508" s="340"/>
      <c r="T508" s="340"/>
      <c r="U508" s="340"/>
      <c r="V508" s="340"/>
      <c r="W508" s="340"/>
      <c r="X508" s="340"/>
      <c r="Y508" s="340"/>
      <c r="Z508" s="340"/>
      <c r="AA508" s="340"/>
      <c r="AB508" s="340"/>
      <c r="AC508" s="340"/>
      <c r="AD508" s="340"/>
      <c r="AE508" s="340"/>
      <c r="AF508" s="340"/>
      <c r="AG508" s="340"/>
      <c r="AH508" s="340"/>
      <c r="AI508" s="340"/>
      <c r="AJ508" s="340"/>
      <c r="AK508" s="340"/>
      <c r="AL508" s="340"/>
      <c r="AM508" s="340"/>
      <c r="AN508" s="340"/>
      <c r="AO508" s="340"/>
      <c r="AP508" s="340"/>
      <c r="AQ508" s="340"/>
      <c r="AR508" s="340"/>
      <c r="AS508" s="340"/>
      <c r="AT508" s="340"/>
      <c r="AU508" s="340"/>
      <c r="AV508" s="340"/>
      <c r="AW508" s="340"/>
      <c r="AX508" s="340"/>
      <c r="AY508" s="340"/>
      <c r="AZ508" s="340"/>
      <c r="BA508" s="340"/>
      <c r="BB508" s="340"/>
      <c r="BC508" s="340"/>
      <c r="BD508" s="340"/>
    </row>
    <row r="509" spans="3:56">
      <c r="C509" s="340"/>
      <c r="D509" s="340"/>
      <c r="E509" s="340"/>
      <c r="F509" s="340"/>
      <c r="G509" s="340"/>
      <c r="H509" s="340"/>
      <c r="I509" s="340"/>
      <c r="J509" s="340"/>
      <c r="K509" s="340"/>
      <c r="L509" s="340"/>
      <c r="M509" s="340"/>
      <c r="N509" s="340"/>
      <c r="O509" s="340"/>
      <c r="P509" s="340"/>
      <c r="Q509" s="340"/>
      <c r="R509" s="340"/>
      <c r="S509" s="340"/>
      <c r="T509" s="340"/>
      <c r="U509" s="340"/>
      <c r="V509" s="340"/>
      <c r="W509" s="340"/>
      <c r="X509" s="340"/>
      <c r="Y509" s="340"/>
      <c r="Z509" s="340"/>
      <c r="AA509" s="340"/>
      <c r="AB509" s="340"/>
      <c r="AC509" s="340"/>
      <c r="AD509" s="340"/>
      <c r="AE509" s="340"/>
      <c r="AF509" s="340"/>
      <c r="AG509" s="340"/>
      <c r="AH509" s="340"/>
      <c r="AI509" s="340"/>
      <c r="AJ509" s="340"/>
      <c r="AK509" s="340"/>
      <c r="AL509" s="340"/>
      <c r="AM509" s="340"/>
      <c r="AN509" s="340"/>
      <c r="AO509" s="340"/>
      <c r="AP509" s="340"/>
      <c r="AQ509" s="340"/>
      <c r="AR509" s="340"/>
      <c r="AS509" s="340"/>
      <c r="AT509" s="340"/>
      <c r="AU509" s="340"/>
      <c r="AV509" s="340"/>
      <c r="AW509" s="340"/>
      <c r="AX509" s="340"/>
      <c r="AY509" s="340"/>
      <c r="AZ509" s="340"/>
      <c r="BA509" s="340"/>
      <c r="BB509" s="340"/>
      <c r="BC509" s="340"/>
      <c r="BD509" s="340"/>
    </row>
    <row r="510" spans="3:56">
      <c r="C510" s="340"/>
      <c r="D510" s="340"/>
      <c r="E510" s="340"/>
      <c r="F510" s="340"/>
      <c r="G510" s="340"/>
      <c r="H510" s="340"/>
      <c r="I510" s="340"/>
      <c r="J510" s="340"/>
      <c r="K510" s="340"/>
      <c r="L510" s="340"/>
      <c r="M510" s="340"/>
      <c r="N510" s="340"/>
      <c r="O510" s="340"/>
      <c r="P510" s="340"/>
      <c r="Q510" s="340"/>
      <c r="R510" s="340"/>
      <c r="S510" s="340"/>
      <c r="T510" s="340"/>
      <c r="U510" s="340"/>
      <c r="V510" s="340"/>
      <c r="W510" s="340"/>
      <c r="X510" s="340"/>
      <c r="Y510" s="340"/>
      <c r="Z510" s="340"/>
      <c r="AA510" s="340"/>
      <c r="AB510" s="340"/>
      <c r="AC510" s="340"/>
      <c r="AD510" s="340"/>
      <c r="AE510" s="340"/>
      <c r="AF510" s="340"/>
      <c r="AG510" s="340"/>
      <c r="AH510" s="340"/>
      <c r="AI510" s="340"/>
      <c r="AJ510" s="340"/>
      <c r="AK510" s="340"/>
      <c r="AL510" s="340"/>
      <c r="AM510" s="340"/>
      <c r="AN510" s="340"/>
      <c r="AO510" s="340"/>
      <c r="AP510" s="340"/>
      <c r="AQ510" s="340"/>
      <c r="AR510" s="340"/>
      <c r="AS510" s="340"/>
      <c r="AT510" s="340"/>
      <c r="AU510" s="340"/>
      <c r="AV510" s="340"/>
      <c r="AW510" s="340"/>
      <c r="AX510" s="340"/>
      <c r="AY510" s="340"/>
      <c r="AZ510" s="340"/>
      <c r="BA510" s="340"/>
      <c r="BB510" s="340"/>
      <c r="BC510" s="340"/>
      <c r="BD510" s="340"/>
    </row>
    <row r="511" spans="3:56">
      <c r="C511" s="340"/>
      <c r="D511" s="340"/>
      <c r="E511" s="340"/>
      <c r="F511" s="340"/>
      <c r="G511" s="340"/>
      <c r="H511" s="340"/>
      <c r="I511" s="340"/>
      <c r="J511" s="340"/>
      <c r="K511" s="340"/>
      <c r="L511" s="340"/>
      <c r="M511" s="340"/>
      <c r="N511" s="340"/>
      <c r="O511" s="340"/>
      <c r="P511" s="340"/>
      <c r="Q511" s="340"/>
      <c r="R511" s="340"/>
      <c r="S511" s="340"/>
      <c r="T511" s="340"/>
      <c r="U511" s="340"/>
      <c r="V511" s="340"/>
      <c r="W511" s="340"/>
      <c r="X511" s="340"/>
      <c r="Y511" s="340"/>
      <c r="Z511" s="340"/>
      <c r="AA511" s="340"/>
      <c r="AB511" s="340"/>
      <c r="AC511" s="340"/>
      <c r="AD511" s="340"/>
      <c r="AE511" s="340"/>
      <c r="AF511" s="340"/>
      <c r="AG511" s="340"/>
      <c r="AH511" s="340"/>
      <c r="AI511" s="340"/>
      <c r="AJ511" s="340"/>
      <c r="AK511" s="340"/>
      <c r="AL511" s="340"/>
      <c r="AM511" s="340"/>
      <c r="AN511" s="340"/>
      <c r="AO511" s="340"/>
      <c r="AP511" s="340"/>
      <c r="AQ511" s="340"/>
      <c r="AR511" s="340"/>
      <c r="AS511" s="340"/>
      <c r="AT511" s="340"/>
      <c r="AU511" s="340"/>
      <c r="AV511" s="340"/>
      <c r="AW511" s="340"/>
      <c r="AX511" s="340"/>
      <c r="AY511" s="340"/>
      <c r="AZ511" s="340"/>
      <c r="BA511" s="340"/>
      <c r="BB511" s="340"/>
      <c r="BC511" s="340"/>
      <c r="BD511" s="340"/>
    </row>
    <row r="512" spans="3:56">
      <c r="C512" s="340"/>
      <c r="D512" s="340"/>
      <c r="E512" s="340"/>
      <c r="F512" s="340"/>
      <c r="G512" s="340"/>
      <c r="H512" s="340"/>
      <c r="I512" s="340"/>
      <c r="J512" s="340"/>
      <c r="K512" s="340"/>
      <c r="L512" s="340"/>
      <c r="M512" s="340"/>
      <c r="N512" s="340"/>
      <c r="O512" s="340"/>
      <c r="P512" s="340"/>
      <c r="Q512" s="340"/>
      <c r="R512" s="340"/>
      <c r="S512" s="340"/>
      <c r="T512" s="340"/>
      <c r="U512" s="340"/>
      <c r="V512" s="340"/>
      <c r="W512" s="340"/>
      <c r="X512" s="340"/>
      <c r="Y512" s="340"/>
      <c r="Z512" s="340"/>
      <c r="AA512" s="340"/>
      <c r="AB512" s="340"/>
      <c r="AC512" s="340"/>
      <c r="AD512" s="340"/>
      <c r="AE512" s="340"/>
      <c r="AF512" s="340"/>
      <c r="AG512" s="340"/>
      <c r="AH512" s="340"/>
      <c r="AI512" s="340"/>
      <c r="AJ512" s="340"/>
      <c r="AK512" s="340"/>
      <c r="AL512" s="340"/>
      <c r="AM512" s="340"/>
      <c r="AN512" s="340"/>
      <c r="AO512" s="340"/>
      <c r="AP512" s="340"/>
      <c r="AQ512" s="340"/>
      <c r="AR512" s="340"/>
      <c r="AS512" s="340"/>
      <c r="AT512" s="340"/>
      <c r="AU512" s="340"/>
      <c r="AV512" s="340"/>
      <c r="AW512" s="340"/>
      <c r="AX512" s="340"/>
      <c r="AY512" s="340"/>
      <c r="AZ512" s="340"/>
      <c r="BA512" s="340"/>
      <c r="BB512" s="340"/>
      <c r="BC512" s="340"/>
      <c r="BD512" s="340"/>
    </row>
    <row r="513" spans="3:56">
      <c r="C513" s="340"/>
      <c r="D513" s="340"/>
      <c r="E513" s="340"/>
      <c r="F513" s="340"/>
      <c r="G513" s="340"/>
      <c r="H513" s="340"/>
      <c r="I513" s="340"/>
      <c r="J513" s="340"/>
      <c r="K513" s="340"/>
      <c r="L513" s="340"/>
      <c r="M513" s="340"/>
      <c r="N513" s="340"/>
      <c r="O513" s="340"/>
      <c r="P513" s="340"/>
      <c r="Q513" s="340"/>
      <c r="R513" s="340"/>
      <c r="S513" s="340"/>
      <c r="T513" s="340"/>
      <c r="U513" s="340"/>
      <c r="V513" s="340"/>
      <c r="W513" s="340"/>
      <c r="X513" s="340"/>
      <c r="Y513" s="340"/>
      <c r="Z513" s="340"/>
      <c r="AA513" s="340"/>
      <c r="AB513" s="340"/>
      <c r="AC513" s="340"/>
      <c r="AD513" s="340"/>
      <c r="AE513" s="340"/>
      <c r="AF513" s="340"/>
      <c r="AG513" s="340"/>
      <c r="AH513" s="340"/>
      <c r="AI513" s="340"/>
      <c r="AJ513" s="340"/>
      <c r="AK513" s="340"/>
      <c r="AL513" s="340"/>
      <c r="AM513" s="340"/>
      <c r="AN513" s="340"/>
      <c r="AO513" s="340"/>
      <c r="AP513" s="340"/>
      <c r="AQ513" s="340"/>
      <c r="AR513" s="340"/>
      <c r="AS513" s="340"/>
      <c r="AT513" s="340"/>
      <c r="AU513" s="340"/>
      <c r="AV513" s="340"/>
      <c r="AW513" s="340"/>
      <c r="AX513" s="340"/>
      <c r="AY513" s="340"/>
      <c r="AZ513" s="340"/>
      <c r="BA513" s="340"/>
      <c r="BB513" s="340"/>
      <c r="BC513" s="340"/>
      <c r="BD513" s="340"/>
    </row>
    <row r="514" spans="3:56">
      <c r="C514" s="340"/>
      <c r="D514" s="340"/>
      <c r="E514" s="340"/>
      <c r="F514" s="340"/>
      <c r="G514" s="340"/>
      <c r="H514" s="340"/>
      <c r="I514" s="340"/>
      <c r="J514" s="340"/>
      <c r="K514" s="340"/>
      <c r="L514" s="340"/>
      <c r="M514" s="340"/>
      <c r="N514" s="340"/>
      <c r="O514" s="340"/>
      <c r="P514" s="340"/>
      <c r="Q514" s="340"/>
      <c r="R514" s="340"/>
      <c r="S514" s="340"/>
      <c r="T514" s="340"/>
      <c r="U514" s="340"/>
      <c r="V514" s="340"/>
      <c r="W514" s="340"/>
      <c r="X514" s="340"/>
      <c r="Y514" s="340"/>
      <c r="Z514" s="340"/>
      <c r="AA514" s="340"/>
      <c r="AB514" s="340"/>
      <c r="AC514" s="340"/>
      <c r="AD514" s="340"/>
      <c r="AE514" s="340"/>
      <c r="AF514" s="340"/>
      <c r="AG514" s="340"/>
      <c r="AH514" s="340"/>
      <c r="AI514" s="340"/>
      <c r="AJ514" s="340"/>
      <c r="AK514" s="340"/>
      <c r="AL514" s="340"/>
      <c r="AM514" s="340"/>
      <c r="AN514" s="340"/>
      <c r="AO514" s="340"/>
      <c r="AP514" s="340"/>
      <c r="AQ514" s="340"/>
      <c r="AR514" s="340"/>
      <c r="AS514" s="340"/>
      <c r="AT514" s="340"/>
      <c r="AU514" s="340"/>
      <c r="AV514" s="340"/>
      <c r="AW514" s="340"/>
      <c r="AX514" s="340"/>
      <c r="AY514" s="340"/>
      <c r="AZ514" s="340"/>
      <c r="BA514" s="340"/>
      <c r="BB514" s="340"/>
      <c r="BC514" s="340"/>
      <c r="BD514" s="340"/>
    </row>
    <row r="515" spans="3:56">
      <c r="C515" s="340"/>
      <c r="D515" s="340"/>
      <c r="E515" s="340"/>
      <c r="F515" s="340"/>
      <c r="G515" s="340"/>
      <c r="H515" s="340"/>
      <c r="I515" s="340"/>
      <c r="J515" s="340"/>
      <c r="K515" s="340"/>
      <c r="L515" s="340"/>
      <c r="M515" s="340"/>
      <c r="N515" s="340"/>
      <c r="O515" s="340"/>
      <c r="P515" s="340"/>
      <c r="Q515" s="340"/>
      <c r="R515" s="340"/>
      <c r="S515" s="340"/>
      <c r="T515" s="340"/>
      <c r="U515" s="340"/>
      <c r="V515" s="340"/>
      <c r="W515" s="340"/>
      <c r="X515" s="340"/>
      <c r="Y515" s="340"/>
      <c r="Z515" s="340"/>
      <c r="AA515" s="340"/>
      <c r="AB515" s="340"/>
      <c r="AC515" s="340"/>
      <c r="AD515" s="340"/>
      <c r="AE515" s="340"/>
      <c r="AF515" s="340"/>
      <c r="AG515" s="340"/>
      <c r="AH515" s="340"/>
      <c r="AI515" s="340"/>
      <c r="AJ515" s="340"/>
      <c r="AK515" s="340"/>
      <c r="AL515" s="340"/>
      <c r="AM515" s="340"/>
      <c r="AN515" s="340"/>
      <c r="AO515" s="340"/>
      <c r="AP515" s="340"/>
      <c r="AQ515" s="340"/>
      <c r="AR515" s="340"/>
      <c r="AS515" s="340"/>
      <c r="AT515" s="340"/>
      <c r="AU515" s="340"/>
      <c r="AV515" s="340"/>
      <c r="AW515" s="340"/>
      <c r="AX515" s="340"/>
      <c r="AY515" s="340"/>
      <c r="AZ515" s="340"/>
      <c r="BA515" s="340"/>
      <c r="BB515" s="340"/>
      <c r="BC515" s="340"/>
      <c r="BD515" s="340"/>
    </row>
    <row r="516" spans="3:56">
      <c r="C516" s="340"/>
      <c r="D516" s="340"/>
      <c r="E516" s="340"/>
      <c r="F516" s="340"/>
      <c r="G516" s="340"/>
      <c r="H516" s="340"/>
      <c r="I516" s="340"/>
      <c r="J516" s="340"/>
      <c r="K516" s="340"/>
      <c r="L516" s="340"/>
      <c r="M516" s="340"/>
      <c r="N516" s="340"/>
      <c r="O516" s="340"/>
      <c r="P516" s="340"/>
      <c r="Q516" s="340"/>
      <c r="R516" s="340"/>
      <c r="S516" s="340"/>
      <c r="T516" s="340"/>
      <c r="U516" s="340"/>
      <c r="V516" s="340"/>
      <c r="W516" s="340"/>
      <c r="X516" s="340"/>
      <c r="Y516" s="340"/>
      <c r="Z516" s="340"/>
      <c r="AA516" s="340"/>
      <c r="AB516" s="340"/>
      <c r="AC516" s="340"/>
      <c r="AD516" s="340"/>
      <c r="AE516" s="340"/>
      <c r="AF516" s="340"/>
      <c r="AG516" s="340"/>
      <c r="AH516" s="340"/>
      <c r="AI516" s="340"/>
      <c r="AJ516" s="340"/>
      <c r="AK516" s="340"/>
      <c r="AL516" s="340"/>
      <c r="AM516" s="340"/>
      <c r="AN516" s="340"/>
      <c r="AO516" s="340"/>
      <c r="AP516" s="340"/>
      <c r="AQ516" s="340"/>
      <c r="AR516" s="340"/>
      <c r="AS516" s="340"/>
      <c r="AT516" s="340"/>
      <c r="AU516" s="340"/>
      <c r="AV516" s="340"/>
      <c r="AW516" s="340"/>
      <c r="AX516" s="340"/>
      <c r="AY516" s="340"/>
      <c r="AZ516" s="340"/>
      <c r="BA516" s="340"/>
      <c r="BB516" s="340"/>
      <c r="BC516" s="340"/>
      <c r="BD516" s="340"/>
    </row>
    <row r="517" spans="3:56">
      <c r="C517" s="340"/>
      <c r="D517" s="340"/>
      <c r="E517" s="340"/>
      <c r="F517" s="340"/>
      <c r="G517" s="340"/>
      <c r="H517" s="340"/>
      <c r="I517" s="340"/>
      <c r="J517" s="340"/>
      <c r="K517" s="340"/>
      <c r="L517" s="340"/>
      <c r="M517" s="340"/>
      <c r="N517" s="340"/>
      <c r="O517" s="340"/>
      <c r="P517" s="340"/>
      <c r="Q517" s="340"/>
      <c r="R517" s="340"/>
      <c r="S517" s="340"/>
      <c r="T517" s="340"/>
      <c r="U517" s="340"/>
      <c r="V517" s="340"/>
      <c r="W517" s="340"/>
      <c r="X517" s="340"/>
      <c r="Y517" s="340"/>
      <c r="Z517" s="340"/>
      <c r="AA517" s="340"/>
      <c r="AB517" s="340"/>
      <c r="AC517" s="340"/>
      <c r="AD517" s="340"/>
      <c r="AE517" s="340"/>
      <c r="AF517" s="340"/>
      <c r="AG517" s="340"/>
      <c r="AH517" s="340"/>
      <c r="AI517" s="340"/>
      <c r="AJ517" s="340"/>
      <c r="AK517" s="340"/>
      <c r="AL517" s="340"/>
      <c r="AM517" s="340"/>
      <c r="AN517" s="340"/>
      <c r="AO517" s="340"/>
      <c r="AP517" s="340"/>
      <c r="AQ517" s="340"/>
      <c r="AR517" s="340"/>
      <c r="AS517" s="340"/>
      <c r="AT517" s="340"/>
      <c r="AU517" s="340"/>
      <c r="AV517" s="340"/>
      <c r="AW517" s="340"/>
      <c r="AX517" s="340"/>
      <c r="AY517" s="340"/>
      <c r="AZ517" s="340"/>
      <c r="BA517" s="340"/>
      <c r="BB517" s="340"/>
      <c r="BC517" s="340"/>
      <c r="BD517" s="340"/>
    </row>
    <row r="518" spans="3:56">
      <c r="C518" s="340"/>
      <c r="D518" s="340"/>
      <c r="E518" s="340"/>
      <c r="F518" s="340"/>
      <c r="G518" s="340"/>
      <c r="H518" s="340"/>
      <c r="I518" s="340"/>
      <c r="J518" s="340"/>
      <c r="K518" s="340"/>
      <c r="L518" s="340"/>
      <c r="M518" s="340"/>
      <c r="N518" s="340"/>
      <c r="O518" s="340"/>
      <c r="P518" s="340"/>
      <c r="Q518" s="340"/>
      <c r="R518" s="340"/>
      <c r="S518" s="340"/>
      <c r="T518" s="340"/>
      <c r="U518" s="340"/>
      <c r="V518" s="340"/>
      <c r="W518" s="340"/>
      <c r="X518" s="340"/>
      <c r="Y518" s="340"/>
      <c r="Z518" s="340"/>
      <c r="AA518" s="340"/>
      <c r="AB518" s="340"/>
      <c r="AC518" s="340"/>
      <c r="AD518" s="340"/>
      <c r="AE518" s="340"/>
      <c r="AF518" s="340"/>
      <c r="AG518" s="340"/>
      <c r="AH518" s="340"/>
      <c r="AI518" s="340"/>
      <c r="AJ518" s="340"/>
      <c r="AK518" s="340"/>
      <c r="AL518" s="340"/>
      <c r="AM518" s="340"/>
      <c r="AN518" s="340"/>
      <c r="AO518" s="340"/>
      <c r="AP518" s="340"/>
      <c r="AQ518" s="340"/>
      <c r="AR518" s="340"/>
      <c r="AS518" s="340"/>
      <c r="AT518" s="340"/>
      <c r="AU518" s="340"/>
      <c r="AV518" s="340"/>
      <c r="AW518" s="340"/>
      <c r="AX518" s="340"/>
      <c r="AY518" s="340"/>
      <c r="AZ518" s="340"/>
      <c r="BA518" s="340"/>
      <c r="BB518" s="340"/>
      <c r="BC518" s="340"/>
      <c r="BD518" s="340"/>
    </row>
    <row r="519" spans="3:56">
      <c r="C519" s="340"/>
      <c r="D519" s="340"/>
      <c r="E519" s="340"/>
      <c r="F519" s="340"/>
      <c r="G519" s="340"/>
      <c r="H519" s="340"/>
      <c r="I519" s="340"/>
      <c r="J519" s="340"/>
      <c r="K519" s="340"/>
      <c r="L519" s="340"/>
      <c r="M519" s="340"/>
      <c r="N519" s="340"/>
      <c r="O519" s="340"/>
      <c r="P519" s="340"/>
      <c r="Q519" s="340"/>
      <c r="R519" s="340"/>
      <c r="S519" s="340"/>
      <c r="T519" s="340"/>
      <c r="U519" s="340"/>
      <c r="V519" s="340"/>
      <c r="W519" s="340"/>
      <c r="X519" s="340"/>
      <c r="Y519" s="340"/>
      <c r="Z519" s="340"/>
      <c r="AA519" s="340"/>
      <c r="AB519" s="340"/>
      <c r="AC519" s="340"/>
      <c r="AD519" s="340"/>
      <c r="AE519" s="340"/>
      <c r="AF519" s="340"/>
      <c r="AG519" s="340"/>
      <c r="AH519" s="340"/>
      <c r="AI519" s="340"/>
      <c r="AJ519" s="340"/>
      <c r="AK519" s="340"/>
      <c r="AL519" s="340"/>
      <c r="AM519" s="340"/>
      <c r="AN519" s="340"/>
      <c r="AO519" s="340"/>
      <c r="AP519" s="340"/>
      <c r="AQ519" s="340"/>
      <c r="AR519" s="340"/>
      <c r="AS519" s="340"/>
      <c r="AT519" s="340"/>
      <c r="AU519" s="340"/>
      <c r="AV519" s="340"/>
      <c r="AW519" s="340"/>
      <c r="AX519" s="340"/>
      <c r="AY519" s="340"/>
      <c r="AZ519" s="340"/>
      <c r="BA519" s="340"/>
      <c r="BB519" s="340"/>
      <c r="BC519" s="340"/>
      <c r="BD519" s="340"/>
    </row>
    <row r="520" spans="3:56">
      <c r="C520" s="340"/>
      <c r="D520" s="340"/>
      <c r="E520" s="340"/>
      <c r="F520" s="340"/>
      <c r="G520" s="340"/>
      <c r="H520" s="340"/>
      <c r="I520" s="340"/>
      <c r="J520" s="340"/>
      <c r="K520" s="340"/>
      <c r="L520" s="340"/>
      <c r="M520" s="340"/>
      <c r="N520" s="340"/>
      <c r="O520" s="340"/>
      <c r="P520" s="340"/>
      <c r="Q520" s="340"/>
      <c r="R520" s="340"/>
      <c r="S520" s="340"/>
      <c r="T520" s="340"/>
      <c r="U520" s="340"/>
      <c r="V520" s="340"/>
      <c r="W520" s="340"/>
      <c r="X520" s="340"/>
      <c r="Y520" s="340"/>
      <c r="Z520" s="340"/>
      <c r="AA520" s="340"/>
      <c r="AB520" s="340"/>
      <c r="AC520" s="340"/>
      <c r="AD520" s="340"/>
      <c r="AE520" s="340"/>
      <c r="AF520" s="340"/>
      <c r="AG520" s="340"/>
      <c r="AH520" s="340"/>
      <c r="AI520" s="340"/>
      <c r="AJ520" s="340"/>
      <c r="AK520" s="340"/>
      <c r="AL520" s="340"/>
      <c r="AM520" s="340"/>
      <c r="AN520" s="340"/>
      <c r="AO520" s="340"/>
      <c r="AP520" s="340"/>
      <c r="AQ520" s="340"/>
      <c r="AR520" s="340"/>
      <c r="AS520" s="340"/>
      <c r="AT520" s="340"/>
      <c r="AU520" s="340"/>
      <c r="AV520" s="340"/>
      <c r="AW520" s="340"/>
      <c r="AX520" s="340"/>
      <c r="AY520" s="340"/>
      <c r="AZ520" s="340"/>
      <c r="BA520" s="340"/>
      <c r="BB520" s="340"/>
      <c r="BC520" s="340"/>
      <c r="BD520" s="340"/>
    </row>
    <row r="521" spans="3:56">
      <c r="C521" s="340"/>
      <c r="D521" s="340"/>
      <c r="E521" s="340"/>
      <c r="F521" s="340"/>
      <c r="G521" s="340"/>
      <c r="H521" s="340"/>
      <c r="I521" s="340"/>
      <c r="J521" s="340"/>
      <c r="K521" s="340"/>
      <c r="L521" s="340"/>
      <c r="M521" s="340"/>
      <c r="N521" s="340"/>
      <c r="O521" s="340"/>
      <c r="P521" s="340"/>
      <c r="Q521" s="340"/>
      <c r="R521" s="340"/>
      <c r="S521" s="340"/>
      <c r="T521" s="340"/>
      <c r="U521" s="340"/>
      <c r="V521" s="340"/>
      <c r="W521" s="340"/>
      <c r="X521" s="340"/>
      <c r="Y521" s="340"/>
      <c r="Z521" s="340"/>
      <c r="AA521" s="340"/>
      <c r="AB521" s="340"/>
      <c r="AC521" s="340"/>
      <c r="AD521" s="340"/>
      <c r="AE521" s="340"/>
      <c r="AF521" s="340"/>
      <c r="AG521" s="340"/>
      <c r="AH521" s="340"/>
      <c r="AI521" s="340"/>
      <c r="AJ521" s="340"/>
      <c r="AK521" s="340"/>
      <c r="AL521" s="340"/>
      <c r="AM521" s="340"/>
      <c r="AN521" s="340"/>
      <c r="AO521" s="340"/>
      <c r="AP521" s="340"/>
      <c r="AQ521" s="340"/>
      <c r="AR521" s="340"/>
      <c r="AS521" s="340"/>
      <c r="AT521" s="340"/>
      <c r="AU521" s="340"/>
      <c r="AV521" s="340"/>
      <c r="AW521" s="340"/>
      <c r="AX521" s="340"/>
      <c r="AY521" s="340"/>
      <c r="AZ521" s="340"/>
      <c r="BA521" s="340"/>
      <c r="BB521" s="340"/>
      <c r="BC521" s="340"/>
      <c r="BD521" s="340"/>
    </row>
    <row r="522" spans="3:56">
      <c r="C522" s="340"/>
      <c r="D522" s="340"/>
      <c r="E522" s="340"/>
      <c r="F522" s="340"/>
      <c r="G522" s="340"/>
      <c r="H522" s="340"/>
      <c r="I522" s="340"/>
      <c r="J522" s="340"/>
      <c r="K522" s="340"/>
      <c r="L522" s="340"/>
      <c r="M522" s="340"/>
      <c r="N522" s="340"/>
      <c r="O522" s="340"/>
      <c r="P522" s="340"/>
      <c r="Q522" s="340"/>
      <c r="R522" s="340"/>
      <c r="S522" s="340"/>
      <c r="T522" s="340"/>
      <c r="U522" s="340"/>
      <c r="V522" s="340"/>
      <c r="W522" s="340"/>
      <c r="X522" s="340"/>
      <c r="Y522" s="340"/>
      <c r="Z522" s="340"/>
      <c r="AA522" s="340"/>
      <c r="AB522" s="340"/>
      <c r="AC522" s="340"/>
      <c r="AD522" s="340"/>
      <c r="AE522" s="340"/>
      <c r="AF522" s="340"/>
      <c r="AG522" s="340"/>
      <c r="AH522" s="340"/>
      <c r="AI522" s="340"/>
      <c r="AJ522" s="340"/>
      <c r="AK522" s="340"/>
      <c r="AL522" s="340"/>
      <c r="AM522" s="340"/>
      <c r="AN522" s="340"/>
      <c r="AO522" s="340"/>
      <c r="AP522" s="340"/>
      <c r="AQ522" s="340"/>
      <c r="AR522" s="340"/>
      <c r="AS522" s="340"/>
      <c r="AT522" s="340"/>
      <c r="AU522" s="340"/>
      <c r="AV522" s="340"/>
      <c r="AW522" s="340"/>
      <c r="AX522" s="340"/>
      <c r="AY522" s="340"/>
      <c r="AZ522" s="340"/>
      <c r="BA522" s="340"/>
      <c r="BB522" s="340"/>
      <c r="BC522" s="340"/>
      <c r="BD522" s="340"/>
    </row>
    <row r="523" spans="3:56">
      <c r="C523" s="340"/>
      <c r="D523" s="340"/>
      <c r="E523" s="340"/>
      <c r="F523" s="340"/>
      <c r="G523" s="340"/>
      <c r="H523" s="340"/>
      <c r="I523" s="340"/>
      <c r="J523" s="340"/>
      <c r="K523" s="340"/>
      <c r="L523" s="340"/>
      <c r="M523" s="340"/>
      <c r="N523" s="340"/>
      <c r="O523" s="340"/>
      <c r="P523" s="340"/>
      <c r="Q523" s="340"/>
      <c r="R523" s="340"/>
      <c r="S523" s="340"/>
      <c r="T523" s="340"/>
      <c r="U523" s="340"/>
      <c r="V523" s="340"/>
      <c r="W523" s="340"/>
      <c r="X523" s="340"/>
      <c r="Y523" s="340"/>
      <c r="Z523" s="340"/>
      <c r="AA523" s="340"/>
      <c r="AB523" s="340"/>
      <c r="AC523" s="340"/>
      <c r="AD523" s="340"/>
      <c r="AE523" s="340"/>
      <c r="AF523" s="340"/>
      <c r="AG523" s="340"/>
      <c r="AH523" s="340"/>
      <c r="AI523" s="340"/>
      <c r="AJ523" s="340"/>
      <c r="AK523" s="340"/>
      <c r="AL523" s="340"/>
      <c r="AM523" s="340"/>
      <c r="AN523" s="340"/>
      <c r="AO523" s="340"/>
      <c r="AP523" s="340"/>
      <c r="AQ523" s="340"/>
      <c r="AR523" s="340"/>
      <c r="AS523" s="340"/>
      <c r="AT523" s="340"/>
      <c r="AU523" s="340"/>
      <c r="AV523" s="340"/>
      <c r="AW523" s="340"/>
      <c r="AX523" s="340"/>
      <c r="AY523" s="340"/>
      <c r="AZ523" s="340"/>
      <c r="BA523" s="340"/>
      <c r="BB523" s="340"/>
      <c r="BC523" s="340"/>
      <c r="BD523" s="340"/>
    </row>
    <row r="524" spans="3:56">
      <c r="C524" s="340"/>
      <c r="D524" s="340"/>
      <c r="E524" s="340"/>
      <c r="F524" s="340"/>
      <c r="G524" s="340"/>
      <c r="H524" s="340"/>
      <c r="I524" s="340"/>
      <c r="J524" s="340"/>
      <c r="K524" s="340"/>
      <c r="L524" s="340"/>
      <c r="M524" s="340"/>
      <c r="N524" s="340"/>
      <c r="O524" s="340"/>
      <c r="P524" s="340"/>
      <c r="Q524" s="340"/>
      <c r="R524" s="340"/>
      <c r="S524" s="340"/>
      <c r="T524" s="340"/>
      <c r="U524" s="340"/>
      <c r="V524" s="340"/>
      <c r="W524" s="340"/>
      <c r="X524" s="340"/>
      <c r="Y524" s="340"/>
      <c r="Z524" s="340"/>
      <c r="AA524" s="340"/>
      <c r="AB524" s="340"/>
      <c r="AC524" s="340"/>
      <c r="AD524" s="340"/>
      <c r="AE524" s="340"/>
      <c r="AF524" s="340"/>
      <c r="AG524" s="340"/>
      <c r="AH524" s="340"/>
      <c r="AI524" s="340"/>
      <c r="AJ524" s="340"/>
      <c r="AK524" s="340"/>
      <c r="AL524" s="340"/>
      <c r="AM524" s="340"/>
      <c r="AN524" s="340"/>
      <c r="AO524" s="340"/>
      <c r="AP524" s="340"/>
      <c r="AQ524" s="340"/>
      <c r="AR524" s="340"/>
      <c r="AS524" s="340"/>
      <c r="AT524" s="340"/>
      <c r="AU524" s="340"/>
      <c r="AV524" s="340"/>
      <c r="AW524" s="340"/>
      <c r="AX524" s="340"/>
      <c r="AY524" s="340"/>
      <c r="AZ524" s="340"/>
      <c r="BA524" s="340"/>
      <c r="BB524" s="340"/>
      <c r="BC524" s="340"/>
      <c r="BD524" s="340"/>
    </row>
    <row r="525" spans="3:56">
      <c r="C525" s="340"/>
      <c r="D525" s="340"/>
      <c r="E525" s="340"/>
      <c r="F525" s="340"/>
      <c r="G525" s="340"/>
      <c r="H525" s="340"/>
      <c r="I525" s="340"/>
      <c r="J525" s="340"/>
      <c r="K525" s="340"/>
      <c r="L525" s="340"/>
      <c r="M525" s="340"/>
      <c r="N525" s="340"/>
      <c r="O525" s="340"/>
      <c r="P525" s="340"/>
      <c r="Q525" s="340"/>
      <c r="R525" s="340"/>
      <c r="S525" s="340"/>
      <c r="T525" s="340"/>
      <c r="U525" s="340"/>
      <c r="V525" s="340"/>
      <c r="W525" s="340"/>
      <c r="X525" s="340"/>
      <c r="Y525" s="340"/>
      <c r="Z525" s="340"/>
      <c r="AA525" s="340"/>
      <c r="AB525" s="340"/>
      <c r="AC525" s="340"/>
      <c r="AD525" s="340"/>
      <c r="AE525" s="340"/>
      <c r="AF525" s="340"/>
      <c r="AG525" s="340"/>
      <c r="AH525" s="340"/>
      <c r="AI525" s="340"/>
      <c r="AJ525" s="340"/>
      <c r="AK525" s="340"/>
      <c r="AL525" s="340"/>
      <c r="AM525" s="340"/>
      <c r="AN525" s="340"/>
      <c r="AO525" s="340"/>
      <c r="AP525" s="340"/>
      <c r="AQ525" s="340"/>
      <c r="AR525" s="340"/>
      <c r="AS525" s="340"/>
      <c r="AT525" s="340"/>
      <c r="AU525" s="340"/>
      <c r="AV525" s="340"/>
      <c r="AW525" s="340"/>
      <c r="AX525" s="340"/>
      <c r="AY525" s="340"/>
      <c r="AZ525" s="340"/>
      <c r="BA525" s="340"/>
      <c r="BB525" s="340"/>
      <c r="BC525" s="340"/>
      <c r="BD525" s="340"/>
    </row>
    <row r="526" spans="3:56">
      <c r="C526" s="340"/>
      <c r="D526" s="340"/>
      <c r="E526" s="340"/>
      <c r="F526" s="340"/>
      <c r="G526" s="340"/>
      <c r="H526" s="340"/>
      <c r="I526" s="340"/>
      <c r="J526" s="340"/>
      <c r="K526" s="340"/>
      <c r="L526" s="340"/>
      <c r="M526" s="340"/>
      <c r="N526" s="340"/>
      <c r="O526" s="340"/>
      <c r="P526" s="340"/>
      <c r="Q526" s="340"/>
      <c r="R526" s="340"/>
      <c r="S526" s="340"/>
      <c r="T526" s="340"/>
      <c r="U526" s="340"/>
      <c r="V526" s="340"/>
      <c r="W526" s="340"/>
      <c r="X526" s="340"/>
      <c r="Y526" s="340"/>
      <c r="Z526" s="340"/>
      <c r="AA526" s="340"/>
      <c r="AB526" s="340"/>
      <c r="AC526" s="340"/>
      <c r="AD526" s="340"/>
      <c r="AE526" s="340"/>
      <c r="AF526" s="340"/>
      <c r="AG526" s="340"/>
      <c r="AH526" s="340"/>
      <c r="AI526" s="340"/>
      <c r="AJ526" s="340"/>
      <c r="AK526" s="340"/>
      <c r="AL526" s="340"/>
      <c r="AM526" s="340"/>
      <c r="AN526" s="340"/>
      <c r="AO526" s="340"/>
      <c r="AP526" s="340"/>
      <c r="AQ526" s="340"/>
      <c r="AR526" s="340"/>
      <c r="AS526" s="340"/>
      <c r="AT526" s="340"/>
      <c r="AU526" s="340"/>
      <c r="AV526" s="340"/>
      <c r="AW526" s="340"/>
      <c r="AX526" s="340"/>
      <c r="AY526" s="340"/>
      <c r="AZ526" s="340"/>
      <c r="BA526" s="340"/>
      <c r="BB526" s="340"/>
      <c r="BC526" s="340"/>
      <c r="BD526" s="340"/>
    </row>
    <row r="527" spans="3:56">
      <c r="C527" s="340"/>
      <c r="D527" s="340"/>
      <c r="E527" s="340"/>
      <c r="F527" s="340"/>
      <c r="G527" s="340"/>
      <c r="H527" s="340"/>
      <c r="I527" s="340"/>
      <c r="J527" s="340"/>
      <c r="K527" s="340"/>
      <c r="L527" s="340"/>
      <c r="M527" s="340"/>
      <c r="N527" s="340"/>
      <c r="O527" s="340"/>
      <c r="P527" s="340"/>
      <c r="Q527" s="340"/>
      <c r="R527" s="340"/>
      <c r="S527" s="340"/>
      <c r="T527" s="340"/>
      <c r="U527" s="340"/>
      <c r="V527" s="340"/>
      <c r="W527" s="340"/>
      <c r="X527" s="340"/>
      <c r="Y527" s="340"/>
      <c r="Z527" s="340"/>
      <c r="AA527" s="340"/>
      <c r="AB527" s="340"/>
      <c r="AC527" s="340"/>
      <c r="AD527" s="340"/>
      <c r="AE527" s="340"/>
      <c r="AF527" s="340"/>
      <c r="AG527" s="340"/>
      <c r="AH527" s="340"/>
      <c r="AI527" s="340"/>
      <c r="AJ527" s="340"/>
      <c r="AK527" s="340"/>
      <c r="AL527" s="340"/>
      <c r="AM527" s="340"/>
      <c r="AN527" s="340"/>
      <c r="AO527" s="340"/>
      <c r="AP527" s="340"/>
      <c r="AQ527" s="340"/>
      <c r="AR527" s="340"/>
      <c r="AS527" s="340"/>
      <c r="AT527" s="340"/>
      <c r="AU527" s="340"/>
      <c r="AV527" s="340"/>
      <c r="AW527" s="340"/>
      <c r="AX527" s="340"/>
      <c r="AY527" s="340"/>
      <c r="AZ527" s="340"/>
      <c r="BA527" s="340"/>
      <c r="BB527" s="340"/>
      <c r="BC527" s="340"/>
      <c r="BD527" s="340"/>
    </row>
    <row r="528" spans="3:56">
      <c r="C528" s="340"/>
      <c r="D528" s="340"/>
      <c r="E528" s="340"/>
      <c r="F528" s="340"/>
      <c r="G528" s="340"/>
      <c r="H528" s="340"/>
      <c r="I528" s="340"/>
      <c r="J528" s="340"/>
      <c r="K528" s="340"/>
      <c r="L528" s="340"/>
      <c r="M528" s="340"/>
      <c r="N528" s="340"/>
      <c r="O528" s="340"/>
      <c r="P528" s="340"/>
      <c r="Q528" s="340"/>
      <c r="R528" s="340"/>
      <c r="S528" s="340"/>
      <c r="T528" s="340"/>
      <c r="U528" s="340"/>
      <c r="V528" s="340"/>
      <c r="W528" s="340"/>
      <c r="X528" s="340"/>
      <c r="Y528" s="340"/>
      <c r="Z528" s="340"/>
      <c r="AA528" s="340"/>
      <c r="AB528" s="340"/>
      <c r="AC528" s="340"/>
      <c r="AD528" s="340"/>
      <c r="AE528" s="340"/>
      <c r="AF528" s="340"/>
      <c r="AG528" s="340"/>
      <c r="AH528" s="340"/>
      <c r="AI528" s="340"/>
      <c r="AJ528" s="340"/>
      <c r="AK528" s="340"/>
      <c r="AL528" s="340"/>
      <c r="AM528" s="340"/>
      <c r="AN528" s="340"/>
      <c r="AO528" s="340"/>
      <c r="AP528" s="340"/>
      <c r="AQ528" s="340"/>
      <c r="AR528" s="340"/>
      <c r="AS528" s="340"/>
      <c r="AT528" s="340"/>
      <c r="AU528" s="340"/>
      <c r="AV528" s="340"/>
      <c r="AW528" s="340"/>
      <c r="AX528" s="340"/>
      <c r="AY528" s="340"/>
      <c r="AZ528" s="340"/>
      <c r="BA528" s="340"/>
      <c r="BB528" s="340"/>
      <c r="BC528" s="340"/>
      <c r="BD528" s="340"/>
    </row>
    <row r="529" spans="3:56">
      <c r="C529" s="340"/>
      <c r="D529" s="340"/>
      <c r="E529" s="340"/>
      <c r="F529" s="340"/>
      <c r="G529" s="340"/>
      <c r="H529" s="340"/>
      <c r="I529" s="340"/>
      <c r="J529" s="340"/>
      <c r="K529" s="340"/>
      <c r="L529" s="340"/>
      <c r="M529" s="340"/>
      <c r="N529" s="340"/>
      <c r="O529" s="340"/>
      <c r="P529" s="340"/>
      <c r="Q529" s="340"/>
      <c r="R529" s="340"/>
      <c r="S529" s="340"/>
      <c r="T529" s="340"/>
      <c r="U529" s="340"/>
      <c r="V529" s="340"/>
      <c r="W529" s="340"/>
      <c r="X529" s="340"/>
      <c r="Y529" s="340"/>
      <c r="Z529" s="340"/>
      <c r="AA529" s="340"/>
      <c r="AB529" s="340"/>
      <c r="AC529" s="340"/>
      <c r="AD529" s="340"/>
      <c r="AE529" s="340"/>
      <c r="AF529" s="340"/>
      <c r="AG529" s="340"/>
      <c r="AH529" s="340"/>
      <c r="AI529" s="340"/>
      <c r="AJ529" s="340"/>
      <c r="AK529" s="340"/>
      <c r="AL529" s="340"/>
      <c r="AM529" s="340"/>
      <c r="AN529" s="340"/>
      <c r="AO529" s="340"/>
      <c r="AP529" s="340"/>
      <c r="AQ529" s="340"/>
      <c r="AR529" s="340"/>
      <c r="AS529" s="340"/>
      <c r="AT529" s="340"/>
      <c r="AU529" s="340"/>
      <c r="AV529" s="340"/>
      <c r="AW529" s="340"/>
      <c r="AX529" s="340"/>
      <c r="AY529" s="340"/>
      <c r="AZ529" s="340"/>
      <c r="BA529" s="340"/>
      <c r="BB529" s="340"/>
      <c r="BC529" s="340"/>
      <c r="BD529" s="340"/>
    </row>
    <row r="530" spans="3:56">
      <c r="C530" s="340"/>
      <c r="D530" s="340"/>
      <c r="E530" s="340"/>
      <c r="F530" s="340"/>
      <c r="G530" s="340"/>
      <c r="H530" s="340"/>
      <c r="I530" s="340"/>
      <c r="J530" s="340"/>
      <c r="K530" s="340"/>
      <c r="L530" s="340"/>
      <c r="M530" s="340"/>
      <c r="N530" s="340"/>
      <c r="O530" s="340"/>
      <c r="P530" s="340"/>
      <c r="Q530" s="340"/>
      <c r="R530" s="340"/>
      <c r="S530" s="340"/>
      <c r="T530" s="340"/>
      <c r="U530" s="340"/>
      <c r="V530" s="340"/>
      <c r="W530" s="340"/>
      <c r="X530" s="340"/>
      <c r="Y530" s="340"/>
      <c r="Z530" s="340"/>
      <c r="AA530" s="340"/>
      <c r="AB530" s="340"/>
      <c r="AC530" s="340"/>
      <c r="AD530" s="340"/>
      <c r="AE530" s="340"/>
      <c r="AF530" s="340"/>
      <c r="AG530" s="340"/>
      <c r="AH530" s="340"/>
      <c r="AI530" s="340"/>
      <c r="AJ530" s="340"/>
      <c r="AK530" s="340"/>
      <c r="AL530" s="340"/>
      <c r="AM530" s="340"/>
      <c r="AN530" s="340"/>
      <c r="AO530" s="340"/>
      <c r="AP530" s="340"/>
      <c r="AQ530" s="340"/>
      <c r="AR530" s="340"/>
      <c r="AS530" s="340"/>
      <c r="AT530" s="340"/>
      <c r="AU530" s="340"/>
      <c r="AV530" s="340"/>
      <c r="AW530" s="340"/>
      <c r="AX530" s="340"/>
      <c r="AY530" s="340"/>
      <c r="AZ530" s="340"/>
      <c r="BA530" s="340"/>
      <c r="BB530" s="340"/>
      <c r="BC530" s="340"/>
      <c r="BD530" s="340"/>
    </row>
    <row r="531" spans="3:56">
      <c r="C531" s="340"/>
      <c r="D531" s="340"/>
      <c r="E531" s="340"/>
      <c r="F531" s="340"/>
      <c r="G531" s="340"/>
      <c r="H531" s="340"/>
      <c r="I531" s="340"/>
      <c r="J531" s="340"/>
      <c r="K531" s="340"/>
      <c r="L531" s="340"/>
      <c r="M531" s="340"/>
      <c r="N531" s="340"/>
      <c r="O531" s="340"/>
      <c r="P531" s="340"/>
      <c r="Q531" s="340"/>
      <c r="R531" s="340"/>
      <c r="S531" s="340"/>
      <c r="T531" s="340"/>
      <c r="U531" s="340"/>
      <c r="V531" s="340"/>
      <c r="W531" s="340"/>
      <c r="X531" s="340"/>
      <c r="Y531" s="340"/>
      <c r="Z531" s="340"/>
      <c r="AA531" s="340"/>
      <c r="AB531" s="340"/>
      <c r="AC531" s="340"/>
      <c r="AD531" s="340"/>
      <c r="AE531" s="340"/>
      <c r="AF531" s="340"/>
      <c r="AG531" s="340"/>
      <c r="AH531" s="340"/>
      <c r="AI531" s="340"/>
      <c r="AJ531" s="340"/>
      <c r="AK531" s="340"/>
      <c r="AL531" s="340"/>
      <c r="AM531" s="340"/>
      <c r="AN531" s="340"/>
      <c r="AO531" s="340"/>
      <c r="AP531" s="340"/>
      <c r="AQ531" s="340"/>
      <c r="AR531" s="340"/>
      <c r="AS531" s="340"/>
      <c r="AT531" s="340"/>
      <c r="AU531" s="340"/>
      <c r="AV531" s="340"/>
      <c r="AW531" s="340"/>
      <c r="AX531" s="340"/>
      <c r="AY531" s="340"/>
      <c r="AZ531" s="340"/>
      <c r="BA531" s="340"/>
      <c r="BB531" s="340"/>
      <c r="BC531" s="340"/>
      <c r="BD531" s="340"/>
    </row>
    <row r="532" spans="3:56">
      <c r="C532" s="340"/>
      <c r="D532" s="340"/>
      <c r="E532" s="340"/>
      <c r="F532" s="340"/>
      <c r="G532" s="340"/>
      <c r="H532" s="340"/>
      <c r="I532" s="340"/>
      <c r="J532" s="340"/>
      <c r="K532" s="340"/>
      <c r="L532" s="340"/>
      <c r="M532" s="340"/>
      <c r="N532" s="340"/>
      <c r="O532" s="340"/>
      <c r="P532" s="340"/>
      <c r="Q532" s="340"/>
      <c r="R532" s="340"/>
      <c r="S532" s="340"/>
      <c r="T532" s="340"/>
      <c r="U532" s="340"/>
      <c r="V532" s="340"/>
      <c r="W532" s="340"/>
      <c r="X532" s="340"/>
      <c r="Y532" s="340"/>
      <c r="Z532" s="340"/>
      <c r="AA532" s="340"/>
      <c r="AB532" s="340"/>
      <c r="AC532" s="340"/>
      <c r="AD532" s="340"/>
      <c r="AE532" s="340"/>
      <c r="AF532" s="340"/>
      <c r="AG532" s="340"/>
      <c r="AH532" s="340"/>
      <c r="AI532" s="340"/>
      <c r="AJ532" s="340"/>
      <c r="AK532" s="340"/>
      <c r="AL532" s="340"/>
      <c r="AM532" s="340"/>
      <c r="AN532" s="340"/>
      <c r="AO532" s="340"/>
      <c r="AP532" s="340"/>
      <c r="AQ532" s="340"/>
      <c r="AR532" s="340"/>
      <c r="AS532" s="340"/>
      <c r="AT532" s="340"/>
      <c r="AU532" s="340"/>
      <c r="AV532" s="340"/>
      <c r="AW532" s="340"/>
      <c r="AX532" s="340"/>
      <c r="AY532" s="340"/>
      <c r="AZ532" s="340"/>
      <c r="BA532" s="340"/>
      <c r="BB532" s="340"/>
      <c r="BC532" s="340"/>
      <c r="BD532" s="340"/>
    </row>
    <row r="533" spans="3:56">
      <c r="C533" s="340"/>
      <c r="D533" s="340"/>
      <c r="E533" s="340"/>
      <c r="F533" s="340"/>
      <c r="G533" s="340"/>
      <c r="H533" s="340"/>
      <c r="I533" s="340"/>
      <c r="J533" s="340"/>
      <c r="K533" s="340"/>
      <c r="L533" s="340"/>
      <c r="M533" s="340"/>
      <c r="N533" s="340"/>
      <c r="O533" s="340"/>
      <c r="P533" s="340"/>
      <c r="Q533" s="340"/>
      <c r="R533" s="340"/>
      <c r="S533" s="340"/>
      <c r="T533" s="340"/>
      <c r="U533" s="340"/>
      <c r="V533" s="340"/>
      <c r="W533" s="340"/>
      <c r="X533" s="340"/>
      <c r="Y533" s="340"/>
      <c r="Z533" s="340"/>
      <c r="AA533" s="340"/>
      <c r="AB533" s="340"/>
      <c r="AC533" s="340"/>
      <c r="AD533" s="340"/>
      <c r="AE533" s="340"/>
      <c r="AF533" s="340"/>
      <c r="AG533" s="340"/>
      <c r="AH533" s="340"/>
      <c r="AI533" s="340"/>
      <c r="AJ533" s="340"/>
      <c r="AK533" s="340"/>
      <c r="AL533" s="340"/>
      <c r="AM533" s="340"/>
      <c r="AN533" s="340"/>
      <c r="AO533" s="340"/>
      <c r="AP533" s="340"/>
      <c r="AQ533" s="340"/>
      <c r="AR533" s="340"/>
      <c r="AS533" s="340"/>
      <c r="AT533" s="340"/>
      <c r="AU533" s="340"/>
      <c r="AV533" s="340"/>
      <c r="AW533" s="340"/>
      <c r="AX533" s="340"/>
      <c r="AY533" s="340"/>
      <c r="AZ533" s="340"/>
      <c r="BA533" s="340"/>
      <c r="BB533" s="340"/>
      <c r="BC533" s="340"/>
      <c r="BD533" s="340"/>
    </row>
    <row r="534" spans="3:56">
      <c r="C534" s="340"/>
      <c r="D534" s="340"/>
      <c r="E534" s="340"/>
      <c r="F534" s="340"/>
      <c r="G534" s="340"/>
      <c r="H534" s="340"/>
      <c r="I534" s="340"/>
      <c r="J534" s="340"/>
      <c r="K534" s="340"/>
      <c r="L534" s="340"/>
      <c r="M534" s="340"/>
      <c r="N534" s="340"/>
      <c r="O534" s="340"/>
      <c r="P534" s="340"/>
      <c r="Q534" s="340"/>
      <c r="R534" s="340"/>
      <c r="S534" s="340"/>
      <c r="T534" s="340"/>
      <c r="U534" s="340"/>
      <c r="V534" s="340"/>
      <c r="W534" s="340"/>
      <c r="X534" s="340"/>
      <c r="Y534" s="340"/>
      <c r="Z534" s="340"/>
      <c r="AA534" s="340"/>
      <c r="AB534" s="340"/>
      <c r="AC534" s="340"/>
      <c r="AD534" s="340"/>
      <c r="AE534" s="340"/>
      <c r="AF534" s="340"/>
      <c r="AG534" s="340"/>
      <c r="AH534" s="340"/>
      <c r="AI534" s="340"/>
      <c r="AJ534" s="340"/>
      <c r="AK534" s="340"/>
      <c r="AL534" s="340"/>
      <c r="AM534" s="340"/>
      <c r="AN534" s="340"/>
      <c r="AO534" s="340"/>
      <c r="AP534" s="340"/>
      <c r="AQ534" s="340"/>
      <c r="AR534" s="340"/>
      <c r="AS534" s="340"/>
      <c r="AT534" s="340"/>
      <c r="AU534" s="340"/>
      <c r="AV534" s="340"/>
      <c r="AW534" s="340"/>
      <c r="AX534" s="340"/>
      <c r="AY534" s="340"/>
      <c r="AZ534" s="340"/>
      <c r="BA534" s="340"/>
      <c r="BB534" s="340"/>
      <c r="BC534" s="340"/>
      <c r="BD534" s="340"/>
    </row>
    <row r="535" spans="3:56">
      <c r="C535" s="340"/>
      <c r="D535" s="340"/>
      <c r="E535" s="340"/>
      <c r="F535" s="340"/>
      <c r="G535" s="340"/>
      <c r="H535" s="340"/>
      <c r="I535" s="340"/>
      <c r="J535" s="340"/>
      <c r="K535" s="340"/>
      <c r="L535" s="340"/>
      <c r="M535" s="340"/>
      <c r="N535" s="340"/>
      <c r="O535" s="340"/>
      <c r="P535" s="340"/>
      <c r="Q535" s="340"/>
      <c r="R535" s="340"/>
      <c r="S535" s="340"/>
      <c r="T535" s="340"/>
      <c r="U535" s="340"/>
      <c r="V535" s="340"/>
      <c r="W535" s="340"/>
      <c r="X535" s="340"/>
      <c r="Y535" s="340"/>
      <c r="Z535" s="340"/>
      <c r="AA535" s="340"/>
      <c r="AB535" s="340"/>
      <c r="AC535" s="340"/>
      <c r="AD535" s="340"/>
      <c r="AE535" s="340"/>
      <c r="AF535" s="340"/>
      <c r="AG535" s="340"/>
      <c r="AH535" s="340"/>
      <c r="AI535" s="340"/>
      <c r="AJ535" s="340"/>
      <c r="AK535" s="340"/>
      <c r="AL535" s="340"/>
      <c r="AM535" s="340"/>
      <c r="AN535" s="340"/>
      <c r="AO535" s="340"/>
      <c r="AP535" s="340"/>
      <c r="AQ535" s="340"/>
      <c r="AR535" s="340"/>
      <c r="AS535" s="340"/>
      <c r="AT535" s="340"/>
      <c r="AU535" s="340"/>
      <c r="AV535" s="340"/>
      <c r="AW535" s="340"/>
      <c r="AX535" s="340"/>
      <c r="AY535" s="340"/>
      <c r="AZ535" s="340"/>
      <c r="BA535" s="340"/>
      <c r="BB535" s="340"/>
      <c r="BC535" s="340"/>
      <c r="BD535" s="340"/>
    </row>
    <row r="536" spans="3:56">
      <c r="C536" s="340"/>
      <c r="D536" s="340"/>
      <c r="E536" s="340"/>
      <c r="F536" s="340"/>
      <c r="G536" s="340"/>
      <c r="H536" s="340"/>
      <c r="I536" s="340"/>
      <c r="J536" s="340"/>
      <c r="K536" s="340"/>
      <c r="L536" s="340"/>
      <c r="M536" s="340"/>
      <c r="N536" s="340"/>
      <c r="O536" s="340"/>
      <c r="P536" s="340"/>
      <c r="Q536" s="340"/>
      <c r="R536" s="340"/>
      <c r="S536" s="340"/>
      <c r="T536" s="340"/>
      <c r="U536" s="340"/>
      <c r="V536" s="340"/>
      <c r="W536" s="340"/>
      <c r="X536" s="340"/>
      <c r="Y536" s="340"/>
      <c r="Z536" s="340"/>
      <c r="AA536" s="340"/>
      <c r="AB536" s="340"/>
      <c r="AC536" s="340"/>
      <c r="AD536" s="340"/>
      <c r="AE536" s="340"/>
      <c r="AF536" s="340"/>
      <c r="AG536" s="340"/>
      <c r="AH536" s="340"/>
      <c r="AI536" s="340"/>
      <c r="AJ536" s="340"/>
      <c r="AK536" s="340"/>
      <c r="AL536" s="340"/>
      <c r="AM536" s="340"/>
      <c r="AN536" s="340"/>
      <c r="AO536" s="340"/>
      <c r="AP536" s="340"/>
      <c r="AQ536" s="340"/>
      <c r="AR536" s="340"/>
      <c r="AS536" s="340"/>
      <c r="AT536" s="340"/>
      <c r="AU536" s="340"/>
      <c r="AV536" s="340"/>
      <c r="AW536" s="340"/>
      <c r="AX536" s="340"/>
      <c r="AY536" s="340"/>
      <c r="AZ536" s="340"/>
      <c r="BA536" s="340"/>
      <c r="BB536" s="340"/>
      <c r="BC536" s="340"/>
      <c r="BD536" s="340"/>
    </row>
    <row r="537" spans="3:56">
      <c r="C537" s="340"/>
      <c r="D537" s="340"/>
      <c r="E537" s="340"/>
      <c r="F537" s="340"/>
      <c r="G537" s="340"/>
      <c r="H537" s="340"/>
      <c r="I537" s="340"/>
      <c r="J537" s="340"/>
      <c r="K537" s="340"/>
      <c r="L537" s="340"/>
      <c r="M537" s="340"/>
      <c r="N537" s="340"/>
      <c r="O537" s="340"/>
      <c r="P537" s="340"/>
      <c r="Q537" s="340"/>
      <c r="R537" s="340"/>
      <c r="S537" s="340"/>
      <c r="T537" s="340"/>
      <c r="U537" s="340"/>
      <c r="V537" s="340"/>
      <c r="W537" s="340"/>
      <c r="X537" s="340"/>
      <c r="Y537" s="340"/>
      <c r="Z537" s="340"/>
      <c r="AA537" s="340"/>
      <c r="AB537" s="340"/>
      <c r="AC537" s="340"/>
      <c r="AD537" s="340"/>
      <c r="AE537" s="340"/>
      <c r="AF537" s="340"/>
      <c r="AG537" s="340"/>
      <c r="AH537" s="340"/>
      <c r="AI537" s="340"/>
      <c r="AJ537" s="340"/>
      <c r="AK537" s="340"/>
      <c r="AL537" s="340"/>
      <c r="AM537" s="340"/>
      <c r="AN537" s="340"/>
      <c r="AO537" s="340"/>
      <c r="AP537" s="340"/>
      <c r="AQ537" s="340"/>
      <c r="AR537" s="340"/>
      <c r="AS537" s="340"/>
      <c r="AT537" s="340"/>
      <c r="AU537" s="340"/>
      <c r="AV537" s="340"/>
      <c r="AW537" s="340"/>
      <c r="AX537" s="340"/>
      <c r="AY537" s="340"/>
      <c r="AZ537" s="340"/>
      <c r="BA537" s="340"/>
      <c r="BB537" s="340"/>
      <c r="BC537" s="340"/>
      <c r="BD537" s="340"/>
    </row>
    <row r="538" spans="3:56">
      <c r="C538" s="340"/>
      <c r="D538" s="340"/>
      <c r="E538" s="340"/>
      <c r="F538" s="340"/>
      <c r="G538" s="340"/>
      <c r="H538" s="340"/>
      <c r="I538" s="340"/>
      <c r="J538" s="340"/>
      <c r="K538" s="340"/>
      <c r="L538" s="340"/>
      <c r="M538" s="340"/>
      <c r="N538" s="340"/>
      <c r="O538" s="340"/>
      <c r="P538" s="340"/>
      <c r="Q538" s="340"/>
      <c r="R538" s="340"/>
      <c r="S538" s="340"/>
      <c r="T538" s="340"/>
      <c r="U538" s="340"/>
      <c r="V538" s="340"/>
      <c r="W538" s="340"/>
      <c r="X538" s="340"/>
      <c r="Y538" s="340"/>
      <c r="Z538" s="340"/>
      <c r="AA538" s="340"/>
      <c r="AB538" s="340"/>
      <c r="AC538" s="340"/>
      <c r="AD538" s="340"/>
      <c r="AE538" s="340"/>
      <c r="AF538" s="340"/>
      <c r="AG538" s="340"/>
      <c r="AH538" s="340"/>
      <c r="AI538" s="340"/>
      <c r="AJ538" s="340"/>
      <c r="AK538" s="340"/>
      <c r="AL538" s="340"/>
      <c r="AM538" s="340"/>
      <c r="AN538" s="340"/>
      <c r="AO538" s="340"/>
      <c r="AP538" s="340"/>
      <c r="AQ538" s="340"/>
      <c r="AR538" s="340"/>
      <c r="AS538" s="340"/>
      <c r="AT538" s="340"/>
      <c r="AU538" s="340"/>
      <c r="AV538" s="340"/>
      <c r="AW538" s="340"/>
      <c r="AX538" s="340"/>
      <c r="AY538" s="340"/>
      <c r="AZ538" s="340"/>
      <c r="BA538" s="340"/>
      <c r="BB538" s="340"/>
      <c r="BC538" s="340"/>
      <c r="BD538" s="340"/>
    </row>
    <row r="539" spans="3:56">
      <c r="C539" s="340"/>
      <c r="D539" s="340"/>
      <c r="E539" s="340"/>
      <c r="F539" s="340"/>
      <c r="G539" s="340"/>
      <c r="H539" s="340"/>
      <c r="I539" s="340"/>
      <c r="J539" s="340"/>
      <c r="K539" s="340"/>
      <c r="L539" s="340"/>
      <c r="M539" s="340"/>
      <c r="N539" s="340"/>
      <c r="O539" s="340"/>
      <c r="P539" s="340"/>
      <c r="Q539" s="340"/>
      <c r="R539" s="340"/>
      <c r="S539" s="340"/>
      <c r="T539" s="340"/>
      <c r="U539" s="340"/>
      <c r="V539" s="340"/>
      <c r="W539" s="340"/>
      <c r="X539" s="340"/>
      <c r="Y539" s="340"/>
      <c r="Z539" s="340"/>
      <c r="AA539" s="340"/>
      <c r="AB539" s="340"/>
      <c r="AC539" s="340"/>
      <c r="AD539" s="340"/>
      <c r="AE539" s="340"/>
      <c r="AF539" s="340"/>
      <c r="AG539" s="340"/>
      <c r="AH539" s="340"/>
      <c r="AI539" s="340"/>
      <c r="AJ539" s="340"/>
      <c r="AK539" s="340"/>
      <c r="AL539" s="340"/>
      <c r="AM539" s="340"/>
      <c r="AN539" s="340"/>
      <c r="AO539" s="340"/>
      <c r="AP539" s="340"/>
      <c r="AQ539" s="340"/>
      <c r="AR539" s="340"/>
      <c r="AS539" s="340"/>
      <c r="AT539" s="340"/>
      <c r="AU539" s="340"/>
      <c r="AV539" s="340"/>
      <c r="AW539" s="340"/>
      <c r="AX539" s="340"/>
      <c r="AY539" s="340"/>
      <c r="AZ539" s="340"/>
      <c r="BA539" s="340"/>
      <c r="BB539" s="340"/>
      <c r="BC539" s="340"/>
      <c r="BD539" s="340"/>
    </row>
    <row r="540" spans="3:56">
      <c r="C540" s="340"/>
      <c r="D540" s="340"/>
      <c r="E540" s="340"/>
      <c r="F540" s="340"/>
      <c r="G540" s="340"/>
      <c r="H540" s="340"/>
      <c r="I540" s="340"/>
      <c r="J540" s="340"/>
      <c r="K540" s="340"/>
      <c r="L540" s="340"/>
      <c r="M540" s="340"/>
      <c r="N540" s="340"/>
      <c r="O540" s="340"/>
      <c r="P540" s="340"/>
      <c r="Q540" s="340"/>
      <c r="R540" s="340"/>
      <c r="S540" s="340"/>
      <c r="T540" s="340"/>
      <c r="U540" s="340"/>
      <c r="V540" s="340"/>
      <c r="W540" s="340"/>
      <c r="X540" s="340"/>
      <c r="Y540" s="340"/>
      <c r="Z540" s="340"/>
      <c r="AA540" s="340"/>
      <c r="AB540" s="340"/>
      <c r="AC540" s="340"/>
      <c r="AD540" s="340"/>
      <c r="AE540" s="340"/>
      <c r="AF540" s="340"/>
      <c r="AG540" s="340"/>
      <c r="AH540" s="340"/>
      <c r="AI540" s="340"/>
      <c r="AJ540" s="340"/>
      <c r="AK540" s="340"/>
      <c r="AL540" s="340"/>
      <c r="AM540" s="340"/>
      <c r="AN540" s="340"/>
      <c r="AO540" s="340"/>
      <c r="AP540" s="340"/>
      <c r="AQ540" s="340"/>
      <c r="AR540" s="340"/>
      <c r="AS540" s="340"/>
      <c r="AT540" s="340"/>
      <c r="AU540" s="340"/>
      <c r="AV540" s="340"/>
      <c r="AW540" s="340"/>
      <c r="AX540" s="340"/>
      <c r="AY540" s="340"/>
      <c r="AZ540" s="340"/>
      <c r="BA540" s="340"/>
      <c r="BB540" s="340"/>
      <c r="BC540" s="340"/>
      <c r="BD540" s="340"/>
    </row>
    <row r="541" spans="3:56">
      <c r="C541" s="340"/>
      <c r="D541" s="340"/>
      <c r="E541" s="340"/>
      <c r="F541" s="340"/>
      <c r="G541" s="340"/>
      <c r="H541" s="340"/>
      <c r="I541" s="340"/>
      <c r="J541" s="340"/>
      <c r="K541" s="340"/>
      <c r="L541" s="340"/>
      <c r="M541" s="340"/>
      <c r="N541" s="340"/>
      <c r="O541" s="340"/>
      <c r="P541" s="340"/>
      <c r="Q541" s="340"/>
      <c r="R541" s="340"/>
      <c r="S541" s="340"/>
      <c r="T541" s="340"/>
      <c r="U541" s="340"/>
      <c r="V541" s="340"/>
      <c r="W541" s="340"/>
      <c r="X541" s="340"/>
      <c r="Y541" s="340"/>
      <c r="Z541" s="340"/>
      <c r="AA541" s="340"/>
      <c r="AB541" s="340"/>
      <c r="AC541" s="340"/>
      <c r="AD541" s="340"/>
      <c r="AE541" s="340"/>
      <c r="AF541" s="340"/>
      <c r="AG541" s="340"/>
      <c r="AH541" s="340"/>
      <c r="AI541" s="340"/>
      <c r="AJ541" s="340"/>
      <c r="AK541" s="340"/>
      <c r="AL541" s="340"/>
      <c r="AM541" s="340"/>
      <c r="AN541" s="340"/>
      <c r="AO541" s="340"/>
      <c r="AP541" s="340"/>
      <c r="AQ541" s="340"/>
      <c r="AR541" s="340"/>
      <c r="AS541" s="340"/>
      <c r="AT541" s="340"/>
      <c r="AU541" s="340"/>
      <c r="AV541" s="340"/>
      <c r="AW541" s="340"/>
      <c r="AX541" s="340"/>
      <c r="AY541" s="340"/>
      <c r="AZ541" s="340"/>
      <c r="BA541" s="340"/>
      <c r="BB541" s="340"/>
      <c r="BC541" s="340"/>
      <c r="BD541" s="340"/>
    </row>
    <row r="542" spans="3:56">
      <c r="C542" s="340"/>
      <c r="D542" s="340"/>
      <c r="E542" s="340"/>
      <c r="F542" s="340"/>
      <c r="G542" s="340"/>
      <c r="H542" s="340"/>
      <c r="I542" s="340"/>
      <c r="J542" s="340"/>
      <c r="K542" s="340"/>
      <c r="L542" s="340"/>
      <c r="M542" s="340"/>
      <c r="N542" s="340"/>
      <c r="O542" s="340"/>
      <c r="P542" s="340"/>
      <c r="Q542" s="340"/>
      <c r="R542" s="340"/>
      <c r="S542" s="340"/>
      <c r="T542" s="340"/>
      <c r="U542" s="340"/>
      <c r="V542" s="340"/>
      <c r="W542" s="340"/>
      <c r="X542" s="340"/>
      <c r="Y542" s="340"/>
      <c r="Z542" s="340"/>
      <c r="AA542" s="340"/>
      <c r="AB542" s="340"/>
      <c r="AC542" s="340"/>
      <c r="AD542" s="340"/>
      <c r="AE542" s="340"/>
      <c r="AF542" s="340"/>
      <c r="AG542" s="340"/>
      <c r="AH542" s="340"/>
      <c r="AI542" s="340"/>
      <c r="AJ542" s="340"/>
      <c r="AK542" s="340"/>
      <c r="AL542" s="340"/>
      <c r="AM542" s="340"/>
      <c r="AN542" s="340"/>
      <c r="AO542" s="340"/>
      <c r="AP542" s="340"/>
      <c r="AQ542" s="340"/>
      <c r="AR542" s="340"/>
      <c r="AS542" s="340"/>
      <c r="AT542" s="340"/>
      <c r="AU542" s="340"/>
      <c r="AV542" s="340"/>
      <c r="AW542" s="340"/>
      <c r="AX542" s="340"/>
      <c r="AY542" s="340"/>
      <c r="AZ542" s="340"/>
      <c r="BA542" s="340"/>
      <c r="BB542" s="340"/>
      <c r="BC542" s="340"/>
      <c r="BD542" s="340"/>
    </row>
    <row r="543" spans="3:56">
      <c r="C543" s="340"/>
      <c r="D543" s="340"/>
      <c r="E543" s="340"/>
      <c r="F543" s="340"/>
      <c r="G543" s="340"/>
      <c r="H543" s="340"/>
      <c r="I543" s="340"/>
      <c r="J543" s="340"/>
      <c r="K543" s="340"/>
      <c r="L543" s="340"/>
      <c r="M543" s="340"/>
      <c r="N543" s="340"/>
      <c r="O543" s="340"/>
      <c r="P543" s="340"/>
      <c r="Q543" s="340"/>
      <c r="R543" s="340"/>
      <c r="S543" s="340"/>
      <c r="T543" s="340"/>
      <c r="U543" s="340"/>
      <c r="V543" s="340"/>
      <c r="W543" s="340"/>
      <c r="X543" s="340"/>
      <c r="Y543" s="340"/>
      <c r="Z543" s="340"/>
      <c r="AA543" s="340"/>
      <c r="AB543" s="340"/>
      <c r="AC543" s="340"/>
      <c r="AD543" s="340"/>
      <c r="AE543" s="340"/>
      <c r="AF543" s="340"/>
      <c r="AG543" s="340"/>
      <c r="AH543" s="340"/>
      <c r="AI543" s="340"/>
      <c r="AJ543" s="340"/>
      <c r="AK543" s="340"/>
      <c r="AL543" s="340"/>
      <c r="AM543" s="340"/>
      <c r="AN543" s="340"/>
      <c r="AO543" s="340"/>
      <c r="AP543" s="340"/>
      <c r="AQ543" s="340"/>
      <c r="AR543" s="340"/>
      <c r="AS543" s="340"/>
      <c r="AT543" s="340"/>
      <c r="AU543" s="340"/>
      <c r="AV543" s="340"/>
      <c r="AW543" s="340"/>
      <c r="AX543" s="340"/>
      <c r="AY543" s="340"/>
      <c r="AZ543" s="340"/>
      <c r="BA543" s="340"/>
      <c r="BB543" s="340"/>
      <c r="BC543" s="340"/>
      <c r="BD543" s="340"/>
    </row>
    <row r="544" spans="3:56">
      <c r="C544" s="340"/>
      <c r="D544" s="340"/>
      <c r="E544" s="340"/>
      <c r="F544" s="340"/>
      <c r="G544" s="340"/>
      <c r="H544" s="340"/>
      <c r="I544" s="340"/>
      <c r="J544" s="340"/>
      <c r="K544" s="340"/>
      <c r="L544" s="340"/>
      <c r="M544" s="340"/>
      <c r="N544" s="340"/>
      <c r="O544" s="340"/>
      <c r="P544" s="340"/>
      <c r="Q544" s="340"/>
      <c r="R544" s="340"/>
      <c r="S544" s="340"/>
      <c r="T544" s="340"/>
      <c r="U544" s="340"/>
      <c r="V544" s="340"/>
      <c r="W544" s="340"/>
      <c r="X544" s="340"/>
      <c r="Y544" s="340"/>
      <c r="Z544" s="340"/>
      <c r="AA544" s="340"/>
      <c r="AB544" s="340"/>
      <c r="AC544" s="340"/>
      <c r="AD544" s="340"/>
      <c r="AE544" s="340"/>
      <c r="AF544" s="340"/>
      <c r="AG544" s="340"/>
      <c r="AH544" s="340"/>
      <c r="AI544" s="340"/>
      <c r="AJ544" s="340"/>
      <c r="AK544" s="340"/>
      <c r="AL544" s="340"/>
      <c r="AM544" s="340"/>
      <c r="AN544" s="340"/>
      <c r="AO544" s="340"/>
      <c r="AP544" s="340"/>
      <c r="AQ544" s="340"/>
      <c r="AR544" s="340"/>
      <c r="AS544" s="340"/>
      <c r="AT544" s="340"/>
      <c r="AU544" s="340"/>
      <c r="AV544" s="340"/>
      <c r="AW544" s="340"/>
      <c r="AX544" s="340"/>
      <c r="AY544" s="340"/>
      <c r="AZ544" s="340"/>
      <c r="BA544" s="340"/>
      <c r="BB544" s="340"/>
      <c r="BC544" s="340"/>
      <c r="BD544" s="340"/>
    </row>
    <row r="545" spans="3:56">
      <c r="C545" s="340"/>
      <c r="D545" s="340"/>
      <c r="E545" s="340"/>
      <c r="F545" s="340"/>
      <c r="G545" s="340"/>
      <c r="H545" s="340"/>
      <c r="I545" s="340"/>
      <c r="J545" s="340"/>
      <c r="K545" s="340"/>
      <c r="L545" s="340"/>
      <c r="M545" s="340"/>
      <c r="N545" s="340"/>
      <c r="O545" s="340"/>
      <c r="P545" s="340"/>
      <c r="Q545" s="340"/>
      <c r="R545" s="340"/>
      <c r="S545" s="340"/>
      <c r="T545" s="340"/>
      <c r="U545" s="340"/>
      <c r="V545" s="340"/>
      <c r="W545" s="340"/>
      <c r="X545" s="340"/>
      <c r="Y545" s="340"/>
      <c r="Z545" s="340"/>
      <c r="AA545" s="340"/>
      <c r="AB545" s="340"/>
      <c r="AC545" s="340"/>
      <c r="AD545" s="340"/>
      <c r="AE545" s="340"/>
      <c r="AF545" s="340"/>
      <c r="AG545" s="340"/>
      <c r="AH545" s="340"/>
      <c r="AI545" s="340"/>
      <c r="AJ545" s="340"/>
      <c r="AK545" s="340"/>
      <c r="AL545" s="340"/>
      <c r="AM545" s="340"/>
      <c r="AN545" s="340"/>
      <c r="AO545" s="340"/>
      <c r="AP545" s="340"/>
      <c r="AQ545" s="340"/>
      <c r="AR545" s="340"/>
      <c r="AS545" s="340"/>
      <c r="AT545" s="340"/>
      <c r="AU545" s="340"/>
      <c r="AV545" s="340"/>
      <c r="AW545" s="340"/>
      <c r="AX545" s="340"/>
      <c r="AY545" s="340"/>
      <c r="AZ545" s="340"/>
      <c r="BA545" s="340"/>
      <c r="BB545" s="340"/>
      <c r="BC545" s="340"/>
      <c r="BD545" s="340"/>
    </row>
    <row r="546" spans="3:56">
      <c r="C546" s="340"/>
      <c r="D546" s="340"/>
      <c r="E546" s="340"/>
      <c r="F546" s="340"/>
      <c r="G546" s="340"/>
      <c r="H546" s="340"/>
      <c r="I546" s="340"/>
      <c r="J546" s="340"/>
      <c r="K546" s="340"/>
      <c r="L546" s="340"/>
      <c r="M546" s="340"/>
      <c r="N546" s="340"/>
      <c r="O546" s="340"/>
      <c r="P546" s="340"/>
      <c r="Q546" s="340"/>
      <c r="R546" s="340"/>
      <c r="S546" s="340"/>
      <c r="T546" s="340"/>
      <c r="U546" s="340"/>
      <c r="V546" s="340"/>
      <c r="W546" s="340"/>
      <c r="X546" s="340"/>
      <c r="Y546" s="340"/>
      <c r="Z546" s="340"/>
      <c r="AA546" s="340"/>
      <c r="AB546" s="340"/>
      <c r="AC546" s="340"/>
      <c r="AD546" s="340"/>
      <c r="AE546" s="340"/>
      <c r="AF546" s="340"/>
      <c r="AG546" s="340"/>
      <c r="AH546" s="340"/>
      <c r="AI546" s="340"/>
      <c r="AJ546" s="340"/>
      <c r="AK546" s="340"/>
      <c r="AL546" s="340"/>
      <c r="AM546" s="340"/>
      <c r="AN546" s="340"/>
      <c r="AO546" s="340"/>
      <c r="AP546" s="340"/>
      <c r="AQ546" s="340"/>
      <c r="AR546" s="340"/>
      <c r="AS546" s="340"/>
      <c r="AT546" s="340"/>
      <c r="AU546" s="340"/>
      <c r="AV546" s="340"/>
      <c r="AW546" s="340"/>
      <c r="AX546" s="340"/>
      <c r="AY546" s="340"/>
      <c r="AZ546" s="340"/>
      <c r="BA546" s="340"/>
      <c r="BB546" s="340"/>
      <c r="BC546" s="340"/>
      <c r="BD546" s="340"/>
    </row>
    <row r="547" spans="3:56">
      <c r="C547" s="340"/>
      <c r="D547" s="340"/>
      <c r="E547" s="340"/>
      <c r="F547" s="340"/>
      <c r="G547" s="340"/>
      <c r="H547" s="340"/>
      <c r="I547" s="340"/>
      <c r="J547" s="340"/>
      <c r="K547" s="340"/>
      <c r="L547" s="340"/>
      <c r="M547" s="340"/>
      <c r="N547" s="340"/>
      <c r="O547" s="340"/>
      <c r="P547" s="340"/>
      <c r="Q547" s="340"/>
      <c r="R547" s="340"/>
      <c r="S547" s="340"/>
      <c r="T547" s="340"/>
      <c r="U547" s="340"/>
      <c r="V547" s="340"/>
      <c r="W547" s="340"/>
      <c r="X547" s="340"/>
      <c r="Y547" s="340"/>
      <c r="Z547" s="340"/>
      <c r="AA547" s="340"/>
      <c r="AB547" s="340"/>
      <c r="AC547" s="340"/>
      <c r="AD547" s="340"/>
      <c r="AE547" s="340"/>
      <c r="AF547" s="340"/>
      <c r="AG547" s="340"/>
      <c r="AH547" s="340"/>
      <c r="AI547" s="340"/>
      <c r="AJ547" s="340"/>
      <c r="AK547" s="340"/>
      <c r="AL547" s="340"/>
      <c r="AM547" s="340"/>
      <c r="AN547" s="340"/>
      <c r="AO547" s="340"/>
      <c r="AP547" s="340"/>
      <c r="AQ547" s="340"/>
      <c r="AR547" s="340"/>
      <c r="AS547" s="340"/>
      <c r="AT547" s="340"/>
      <c r="AU547" s="340"/>
      <c r="AV547" s="340"/>
      <c r="AW547" s="340"/>
      <c r="AX547" s="340"/>
      <c r="AY547" s="340"/>
      <c r="AZ547" s="340"/>
      <c r="BA547" s="340"/>
      <c r="BB547" s="340"/>
      <c r="BC547" s="340"/>
      <c r="BD547" s="340"/>
    </row>
    <row r="548" spans="3:56">
      <c r="C548" s="340"/>
      <c r="D548" s="340"/>
      <c r="E548" s="340"/>
      <c r="F548" s="340"/>
      <c r="G548" s="340"/>
      <c r="H548" s="340"/>
      <c r="I548" s="340"/>
      <c r="J548" s="340"/>
      <c r="K548" s="340"/>
      <c r="L548" s="340"/>
      <c r="M548" s="340"/>
      <c r="N548" s="340"/>
      <c r="O548" s="340"/>
      <c r="P548" s="340"/>
      <c r="Q548" s="340"/>
      <c r="R548" s="340"/>
      <c r="S548" s="340"/>
      <c r="T548" s="340"/>
      <c r="U548" s="340"/>
      <c r="V548" s="340"/>
      <c r="W548" s="340"/>
      <c r="X548" s="340"/>
      <c r="Y548" s="340"/>
      <c r="Z548" s="340"/>
      <c r="AA548" s="340"/>
      <c r="AB548" s="340"/>
      <c r="AC548" s="340"/>
      <c r="AD548" s="340"/>
      <c r="AE548" s="340"/>
      <c r="AF548" s="340"/>
      <c r="AG548" s="340"/>
      <c r="AH548" s="340"/>
      <c r="AI548" s="340"/>
      <c r="AJ548" s="340"/>
      <c r="AK548" s="340"/>
      <c r="AL548" s="340"/>
      <c r="AM548" s="340"/>
      <c r="AN548" s="340"/>
      <c r="AO548" s="340"/>
      <c r="AP548" s="340"/>
      <c r="AQ548" s="340"/>
      <c r="AR548" s="340"/>
      <c r="AS548" s="340"/>
      <c r="AT548" s="340"/>
      <c r="AU548" s="340"/>
      <c r="AV548" s="340"/>
      <c r="AW548" s="340"/>
      <c r="AX548" s="340"/>
      <c r="AY548" s="340"/>
      <c r="AZ548" s="340"/>
      <c r="BA548" s="340"/>
      <c r="BB548" s="340"/>
      <c r="BC548" s="340"/>
      <c r="BD548" s="340"/>
    </row>
    <row r="549" spans="3:56">
      <c r="C549" s="340"/>
      <c r="D549" s="340"/>
      <c r="E549" s="340"/>
      <c r="F549" s="340"/>
      <c r="G549" s="340"/>
      <c r="H549" s="340"/>
      <c r="I549" s="340"/>
      <c r="J549" s="340"/>
      <c r="K549" s="340"/>
      <c r="L549" s="340"/>
      <c r="M549" s="340"/>
      <c r="N549" s="340"/>
      <c r="O549" s="340"/>
      <c r="P549" s="340"/>
      <c r="Q549" s="340"/>
      <c r="R549" s="340"/>
      <c r="S549" s="340"/>
      <c r="T549" s="340"/>
      <c r="U549" s="340"/>
      <c r="V549" s="340"/>
      <c r="W549" s="340"/>
      <c r="X549" s="340"/>
      <c r="Y549" s="340"/>
      <c r="Z549" s="340"/>
      <c r="AA549" s="340"/>
      <c r="AB549" s="340"/>
      <c r="AC549" s="340"/>
      <c r="AD549" s="340"/>
      <c r="AE549" s="340"/>
      <c r="AF549" s="340"/>
      <c r="AG549" s="340"/>
      <c r="AH549" s="340"/>
      <c r="AI549" s="340"/>
      <c r="AJ549" s="340"/>
      <c r="AK549" s="340"/>
      <c r="AL549" s="340"/>
      <c r="AM549" s="340"/>
      <c r="AN549" s="340"/>
      <c r="AO549" s="340"/>
      <c r="AP549" s="340"/>
      <c r="AQ549" s="340"/>
      <c r="AR549" s="340"/>
      <c r="AS549" s="340"/>
      <c r="AT549" s="340"/>
      <c r="AU549" s="340"/>
      <c r="AV549" s="340"/>
      <c r="AW549" s="340"/>
      <c r="AX549" s="340"/>
      <c r="AY549" s="340"/>
      <c r="AZ549" s="340"/>
      <c r="BA549" s="340"/>
      <c r="BB549" s="340"/>
      <c r="BC549" s="340"/>
      <c r="BD549" s="340"/>
    </row>
    <row r="550" spans="3:56">
      <c r="C550" s="340"/>
      <c r="D550" s="340"/>
      <c r="E550" s="340"/>
      <c r="F550" s="340"/>
      <c r="G550" s="340"/>
      <c r="H550" s="340"/>
      <c r="I550" s="340"/>
      <c r="J550" s="340"/>
      <c r="K550" s="340"/>
      <c r="L550" s="340"/>
      <c r="M550" s="340"/>
      <c r="N550" s="340"/>
      <c r="O550" s="340"/>
      <c r="P550" s="340"/>
      <c r="Q550" s="340"/>
      <c r="R550" s="340"/>
      <c r="S550" s="340"/>
      <c r="T550" s="340"/>
      <c r="U550" s="340"/>
      <c r="V550" s="340"/>
      <c r="W550" s="340"/>
      <c r="X550" s="340"/>
      <c r="Y550" s="340"/>
      <c r="Z550" s="340"/>
      <c r="AA550" s="340"/>
      <c r="AB550" s="340"/>
      <c r="AC550" s="340"/>
      <c r="AD550" s="340"/>
      <c r="AE550" s="340"/>
      <c r="AF550" s="340"/>
      <c r="AG550" s="340"/>
      <c r="AH550" s="340"/>
      <c r="AI550" s="340"/>
      <c r="AJ550" s="340"/>
      <c r="AK550" s="340"/>
      <c r="AL550" s="340"/>
      <c r="AM550" s="340"/>
      <c r="AN550" s="340"/>
      <c r="AO550" s="340"/>
      <c r="AP550" s="340"/>
      <c r="AQ550" s="340"/>
      <c r="AR550" s="340"/>
      <c r="AS550" s="340"/>
      <c r="AT550" s="340"/>
      <c r="AU550" s="340"/>
      <c r="AV550" s="340"/>
      <c r="AW550" s="340"/>
      <c r="AX550" s="340"/>
      <c r="AY550" s="340"/>
      <c r="AZ550" s="340"/>
      <c r="BA550" s="340"/>
      <c r="BB550" s="340"/>
      <c r="BC550" s="340"/>
      <c r="BD550" s="340"/>
    </row>
    <row r="551" spans="3:56">
      <c r="C551" s="340"/>
      <c r="D551" s="340"/>
      <c r="E551" s="340"/>
      <c r="F551" s="340"/>
      <c r="G551" s="340"/>
      <c r="H551" s="340"/>
      <c r="I551" s="340"/>
      <c r="J551" s="340"/>
      <c r="K551" s="340"/>
      <c r="L551" s="340"/>
      <c r="M551" s="340"/>
      <c r="N551" s="340"/>
      <c r="O551" s="340"/>
      <c r="P551" s="340"/>
      <c r="Q551" s="340"/>
      <c r="R551" s="340"/>
      <c r="S551" s="340"/>
      <c r="T551" s="340"/>
      <c r="U551" s="340"/>
      <c r="V551" s="340"/>
      <c r="W551" s="340"/>
      <c r="X551" s="340"/>
      <c r="Y551" s="340"/>
      <c r="Z551" s="340"/>
      <c r="AA551" s="340"/>
      <c r="AB551" s="340"/>
      <c r="AC551" s="340"/>
      <c r="AD551" s="340"/>
      <c r="AE551" s="340"/>
      <c r="AF551" s="340"/>
      <c r="AG551" s="340"/>
      <c r="AH551" s="340"/>
      <c r="AI551" s="340"/>
      <c r="AJ551" s="340"/>
      <c r="AK551" s="340"/>
      <c r="AL551" s="340"/>
      <c r="AM551" s="340"/>
      <c r="AN551" s="340"/>
      <c r="AO551" s="340"/>
      <c r="AP551" s="340"/>
      <c r="AQ551" s="340"/>
      <c r="AR551" s="340"/>
      <c r="AS551" s="340"/>
      <c r="AT551" s="340"/>
      <c r="AU551" s="340"/>
      <c r="AV551" s="340"/>
      <c r="AW551" s="340"/>
      <c r="AX551" s="340"/>
      <c r="AY551" s="340"/>
      <c r="AZ551" s="340"/>
      <c r="BA551" s="340"/>
      <c r="BB551" s="340"/>
      <c r="BC551" s="340"/>
      <c r="BD551" s="340"/>
    </row>
    <row r="552" spans="3:56">
      <c r="C552" s="340"/>
      <c r="D552" s="340"/>
      <c r="E552" s="340"/>
      <c r="F552" s="340"/>
      <c r="G552" s="340"/>
      <c r="H552" s="340"/>
      <c r="I552" s="340"/>
      <c r="J552" s="340"/>
      <c r="K552" s="340"/>
      <c r="L552" s="340"/>
      <c r="M552" s="340"/>
      <c r="N552" s="340"/>
      <c r="O552" s="340"/>
      <c r="P552" s="340"/>
      <c r="Q552" s="340"/>
      <c r="R552" s="340"/>
      <c r="S552" s="340"/>
      <c r="T552" s="340"/>
      <c r="U552" s="340"/>
      <c r="V552" s="340"/>
      <c r="W552" s="340"/>
      <c r="X552" s="340"/>
      <c r="Y552" s="340"/>
      <c r="Z552" s="340"/>
      <c r="AA552" s="340"/>
      <c r="AB552" s="340"/>
      <c r="AC552" s="340"/>
      <c r="AD552" s="340"/>
      <c r="AE552" s="340"/>
      <c r="AF552" s="340"/>
      <c r="AG552" s="340"/>
      <c r="AH552" s="340"/>
      <c r="AI552" s="340"/>
      <c r="AJ552" s="340"/>
      <c r="AK552" s="340"/>
      <c r="AL552" s="340"/>
      <c r="AM552" s="340"/>
      <c r="AN552" s="340"/>
      <c r="AO552" s="340"/>
      <c r="AP552" s="340"/>
      <c r="AQ552" s="340"/>
      <c r="AR552" s="340"/>
      <c r="AS552" s="340"/>
      <c r="AT552" s="340"/>
      <c r="AU552" s="340"/>
      <c r="AV552" s="340"/>
      <c r="AW552" s="340"/>
      <c r="AX552" s="340"/>
      <c r="AY552" s="340"/>
      <c r="AZ552" s="340"/>
      <c r="BA552" s="340"/>
      <c r="BB552" s="340"/>
      <c r="BC552" s="340"/>
      <c r="BD552" s="340"/>
    </row>
    <row r="553" spans="3:56">
      <c r="C553" s="340"/>
      <c r="D553" s="340"/>
      <c r="E553" s="340"/>
      <c r="F553" s="340"/>
      <c r="G553" s="340"/>
      <c r="H553" s="340"/>
      <c r="I553" s="340"/>
      <c r="J553" s="340"/>
      <c r="K553" s="340"/>
      <c r="L553" s="340"/>
      <c r="M553" s="340"/>
      <c r="N553" s="340"/>
      <c r="O553" s="340"/>
      <c r="P553" s="340"/>
      <c r="Q553" s="340"/>
      <c r="R553" s="340"/>
      <c r="S553" s="340"/>
      <c r="T553" s="340"/>
      <c r="U553" s="340"/>
      <c r="V553" s="340"/>
      <c r="W553" s="340"/>
      <c r="X553" s="340"/>
      <c r="Y553" s="340"/>
      <c r="Z553" s="340"/>
      <c r="AA553" s="340"/>
      <c r="AB553" s="340"/>
      <c r="AC553" s="340"/>
      <c r="AD553" s="340"/>
      <c r="AE553" s="340"/>
      <c r="AF553" s="340"/>
      <c r="AG553" s="340"/>
      <c r="AH553" s="340"/>
      <c r="AI553" s="340"/>
      <c r="AJ553" s="340"/>
      <c r="AK553" s="340"/>
      <c r="AL553" s="340"/>
      <c r="AM553" s="340"/>
      <c r="AN553" s="340"/>
      <c r="AO553" s="340"/>
      <c r="AP553" s="340"/>
      <c r="AQ553" s="340"/>
      <c r="AR553" s="340"/>
      <c r="AS553" s="340"/>
      <c r="AT553" s="340"/>
      <c r="AU553" s="340"/>
      <c r="AV553" s="340"/>
      <c r="AW553" s="340"/>
      <c r="AX553" s="340"/>
      <c r="AY553" s="340"/>
      <c r="AZ553" s="340"/>
      <c r="BA553" s="340"/>
      <c r="BB553" s="340"/>
      <c r="BC553" s="340"/>
      <c r="BD553" s="340"/>
    </row>
    <row r="554" spans="3:56">
      <c r="C554" s="340"/>
      <c r="D554" s="340"/>
      <c r="E554" s="340"/>
      <c r="F554" s="340"/>
      <c r="G554" s="340"/>
      <c r="H554" s="340"/>
      <c r="I554" s="340"/>
      <c r="J554" s="340"/>
      <c r="K554" s="340"/>
      <c r="L554" s="340"/>
      <c r="M554" s="340"/>
      <c r="N554" s="340"/>
      <c r="O554" s="340"/>
      <c r="P554" s="340"/>
      <c r="Q554" s="340"/>
      <c r="R554" s="340"/>
      <c r="S554" s="340"/>
      <c r="T554" s="340"/>
      <c r="U554" s="340"/>
      <c r="V554" s="340"/>
      <c r="W554" s="340"/>
      <c r="X554" s="340"/>
      <c r="Y554" s="340"/>
      <c r="Z554" s="340"/>
      <c r="AA554" s="340"/>
      <c r="AB554" s="340"/>
      <c r="AC554" s="340"/>
      <c r="AD554" s="340"/>
      <c r="AE554" s="340"/>
      <c r="AF554" s="340"/>
      <c r="AG554" s="340"/>
      <c r="AH554" s="340"/>
      <c r="AI554" s="340"/>
      <c r="AJ554" s="340"/>
      <c r="AK554" s="340"/>
      <c r="AL554" s="340"/>
      <c r="AM554" s="340"/>
      <c r="AN554" s="340"/>
      <c r="AO554" s="340"/>
      <c r="AP554" s="340"/>
      <c r="AQ554" s="340"/>
      <c r="AR554" s="340"/>
      <c r="AS554" s="340"/>
      <c r="AT554" s="340"/>
      <c r="AU554" s="340"/>
      <c r="AV554" s="340"/>
      <c r="AW554" s="340"/>
      <c r="AX554" s="340"/>
      <c r="AY554" s="340"/>
      <c r="AZ554" s="340"/>
      <c r="BA554" s="340"/>
      <c r="BB554" s="340"/>
      <c r="BC554" s="340"/>
      <c r="BD554" s="340"/>
    </row>
    <row r="555" spans="3:56">
      <c r="C555" s="340"/>
      <c r="D555" s="340"/>
      <c r="E555" s="340"/>
      <c r="F555" s="340"/>
      <c r="G555" s="340"/>
      <c r="H555" s="340"/>
      <c r="I555" s="340"/>
      <c r="J555" s="340"/>
      <c r="K555" s="340"/>
      <c r="L555" s="340"/>
      <c r="M555" s="340"/>
      <c r="N555" s="340"/>
      <c r="O555" s="340"/>
      <c r="P555" s="340"/>
      <c r="Q555" s="340"/>
      <c r="R555" s="340"/>
      <c r="S555" s="340"/>
      <c r="T555" s="340"/>
      <c r="U555" s="340"/>
      <c r="V555" s="340"/>
      <c r="W555" s="340"/>
      <c r="X555" s="340"/>
      <c r="Y555" s="340"/>
      <c r="Z555" s="340"/>
      <c r="AA555" s="340"/>
      <c r="AB555" s="340"/>
      <c r="AC555" s="340"/>
      <c r="AD555" s="340"/>
      <c r="AE555" s="340"/>
      <c r="AF555" s="340"/>
      <c r="AG555" s="340"/>
      <c r="AH555" s="340"/>
      <c r="AI555" s="340"/>
      <c r="AJ555" s="340"/>
      <c r="AK555" s="340"/>
      <c r="AL555" s="340"/>
      <c r="AM555" s="340"/>
      <c r="AN555" s="340"/>
      <c r="AO555" s="340"/>
      <c r="AP555" s="340"/>
      <c r="AQ555" s="340"/>
      <c r="AR555" s="340"/>
      <c r="AS555" s="340"/>
      <c r="AT555" s="340"/>
      <c r="AU555" s="340"/>
      <c r="AV555" s="340"/>
      <c r="AW555" s="340"/>
      <c r="AX555" s="340"/>
      <c r="AY555" s="340"/>
      <c r="AZ555" s="340"/>
      <c r="BA555" s="340"/>
      <c r="BB555" s="340"/>
      <c r="BC555" s="340"/>
      <c r="BD555" s="340"/>
    </row>
    <row r="556" spans="3:56">
      <c r="C556" s="340"/>
      <c r="D556" s="340"/>
      <c r="E556" s="340"/>
      <c r="F556" s="340"/>
      <c r="G556" s="340"/>
      <c r="H556" s="340"/>
      <c r="I556" s="340"/>
      <c r="J556" s="340"/>
      <c r="K556" s="340"/>
      <c r="L556" s="340"/>
      <c r="M556" s="340"/>
      <c r="N556" s="340"/>
      <c r="O556" s="340"/>
      <c r="P556" s="340"/>
      <c r="Q556" s="340"/>
      <c r="R556" s="340"/>
      <c r="S556" s="340"/>
      <c r="T556" s="340"/>
      <c r="U556" s="340"/>
      <c r="V556" s="340"/>
      <c r="W556" s="340"/>
      <c r="X556" s="340"/>
      <c r="Y556" s="340"/>
      <c r="Z556" s="340"/>
      <c r="AA556" s="340"/>
      <c r="AB556" s="340"/>
      <c r="AC556" s="340"/>
      <c r="AD556" s="340"/>
      <c r="AE556" s="340"/>
      <c r="AF556" s="340"/>
      <c r="AG556" s="340"/>
      <c r="AH556" s="340"/>
      <c r="AI556" s="340"/>
      <c r="AJ556" s="340"/>
      <c r="AK556" s="340"/>
      <c r="AL556" s="340"/>
      <c r="AM556" s="340"/>
      <c r="AN556" s="340"/>
      <c r="AO556" s="340"/>
      <c r="AP556" s="340"/>
      <c r="AQ556" s="340"/>
      <c r="AR556" s="340"/>
      <c r="AS556" s="340"/>
      <c r="AT556" s="340"/>
      <c r="AU556" s="340"/>
      <c r="AV556" s="340"/>
      <c r="AW556" s="340"/>
      <c r="AX556" s="340"/>
      <c r="AY556" s="340"/>
      <c r="AZ556" s="340"/>
      <c r="BA556" s="340"/>
      <c r="BB556" s="340"/>
      <c r="BC556" s="340"/>
      <c r="BD556" s="340"/>
    </row>
    <row r="557" spans="3:56">
      <c r="C557" s="340"/>
      <c r="D557" s="340"/>
      <c r="E557" s="340"/>
      <c r="F557" s="340"/>
      <c r="G557" s="340"/>
      <c r="H557" s="340"/>
      <c r="I557" s="340"/>
      <c r="J557" s="340"/>
      <c r="K557" s="340"/>
      <c r="L557" s="340"/>
      <c r="M557" s="340"/>
      <c r="N557" s="340"/>
      <c r="O557" s="340"/>
      <c r="P557" s="340"/>
      <c r="Q557" s="340"/>
      <c r="R557" s="340"/>
      <c r="S557" s="340"/>
      <c r="T557" s="340"/>
      <c r="U557" s="340"/>
      <c r="V557" s="340"/>
      <c r="W557" s="340"/>
      <c r="X557" s="340"/>
      <c r="Y557" s="340"/>
      <c r="Z557" s="340"/>
      <c r="AA557" s="340"/>
      <c r="AB557" s="340"/>
      <c r="AC557" s="340"/>
      <c r="AD557" s="340"/>
      <c r="AE557" s="340"/>
      <c r="AF557" s="340"/>
      <c r="AG557" s="340"/>
      <c r="AH557" s="340"/>
      <c r="AI557" s="340"/>
      <c r="AJ557" s="340"/>
      <c r="AK557" s="340"/>
      <c r="AL557" s="340"/>
      <c r="AM557" s="340"/>
      <c r="AN557" s="340"/>
      <c r="AO557" s="340"/>
      <c r="AP557" s="340"/>
      <c r="AQ557" s="340"/>
      <c r="AR557" s="340"/>
      <c r="AS557" s="340"/>
      <c r="AT557" s="340"/>
      <c r="AU557" s="340"/>
      <c r="AV557" s="340"/>
      <c r="AW557" s="340"/>
      <c r="AX557" s="340"/>
      <c r="AY557" s="340"/>
      <c r="AZ557" s="340"/>
      <c r="BA557" s="340"/>
      <c r="BB557" s="340"/>
      <c r="BC557" s="340"/>
      <c r="BD557" s="340"/>
    </row>
    <row r="558" spans="3:56">
      <c r="C558" s="340"/>
      <c r="D558" s="340"/>
      <c r="E558" s="340"/>
      <c r="F558" s="340"/>
      <c r="G558" s="340"/>
      <c r="H558" s="340"/>
      <c r="I558" s="340"/>
      <c r="J558" s="340"/>
      <c r="K558" s="340"/>
      <c r="L558" s="340"/>
      <c r="M558" s="340"/>
      <c r="N558" s="340"/>
      <c r="O558" s="340"/>
      <c r="P558" s="340"/>
      <c r="Q558" s="340"/>
      <c r="R558" s="340"/>
      <c r="S558" s="340"/>
      <c r="T558" s="340"/>
      <c r="U558" s="340"/>
      <c r="V558" s="340"/>
      <c r="W558" s="340"/>
      <c r="X558" s="340"/>
      <c r="Y558" s="340"/>
      <c r="Z558" s="340"/>
      <c r="AA558" s="340"/>
      <c r="AB558" s="340"/>
      <c r="AC558" s="340"/>
      <c r="AD558" s="340"/>
      <c r="AE558" s="340"/>
      <c r="AF558" s="340"/>
      <c r="AG558" s="340"/>
      <c r="AH558" s="340"/>
      <c r="AI558" s="340"/>
      <c r="AJ558" s="340"/>
      <c r="AK558" s="340"/>
      <c r="AL558" s="340"/>
      <c r="AM558" s="340"/>
      <c r="AN558" s="340"/>
      <c r="AO558" s="340"/>
      <c r="AP558" s="340"/>
      <c r="AQ558" s="340"/>
      <c r="AR558" s="340"/>
      <c r="AS558" s="340"/>
      <c r="AT558" s="340"/>
      <c r="AU558" s="340"/>
      <c r="AV558" s="340"/>
      <c r="AW558" s="340"/>
      <c r="AX558" s="340"/>
      <c r="AY558" s="340"/>
      <c r="AZ558" s="340"/>
      <c r="BA558" s="340"/>
      <c r="BB558" s="340"/>
      <c r="BC558" s="340"/>
      <c r="BD558" s="340"/>
    </row>
    <row r="559" spans="3:56">
      <c r="C559" s="340"/>
      <c r="D559" s="340"/>
      <c r="E559" s="340"/>
      <c r="F559" s="340"/>
      <c r="G559" s="340"/>
      <c r="H559" s="340"/>
      <c r="I559" s="340"/>
      <c r="J559" s="340"/>
      <c r="K559" s="340"/>
      <c r="L559" s="340"/>
      <c r="M559" s="340"/>
      <c r="N559" s="340"/>
      <c r="O559" s="340"/>
      <c r="P559" s="340"/>
      <c r="Q559" s="340"/>
      <c r="R559" s="340"/>
      <c r="S559" s="340"/>
      <c r="T559" s="340"/>
      <c r="U559" s="340"/>
      <c r="V559" s="340"/>
      <c r="W559" s="340"/>
      <c r="X559" s="340"/>
      <c r="Y559" s="340"/>
      <c r="Z559" s="340"/>
      <c r="AA559" s="340"/>
      <c r="AB559" s="340"/>
      <c r="AC559" s="340"/>
      <c r="AD559" s="340"/>
      <c r="AE559" s="340"/>
      <c r="AF559" s="340"/>
      <c r="AG559" s="340"/>
      <c r="AH559" s="340"/>
      <c r="AI559" s="340"/>
      <c r="AJ559" s="340"/>
      <c r="AK559" s="340"/>
      <c r="AL559" s="340"/>
      <c r="AM559" s="340"/>
      <c r="AN559" s="340"/>
      <c r="AO559" s="340"/>
      <c r="AP559" s="340"/>
      <c r="AQ559" s="340"/>
      <c r="AR559" s="340"/>
      <c r="AS559" s="340"/>
      <c r="AT559" s="340"/>
      <c r="AU559" s="340"/>
      <c r="AV559" s="340"/>
      <c r="AW559" s="340"/>
      <c r="AX559" s="340"/>
      <c r="AY559" s="340"/>
      <c r="AZ559" s="340"/>
      <c r="BA559" s="340"/>
      <c r="BB559" s="340"/>
      <c r="BC559" s="340"/>
      <c r="BD559" s="340"/>
    </row>
    <row r="560" spans="3:56">
      <c r="C560" s="340"/>
      <c r="D560" s="340"/>
      <c r="E560" s="340"/>
      <c r="F560" s="340"/>
      <c r="G560" s="340"/>
      <c r="H560" s="340"/>
      <c r="I560" s="340"/>
      <c r="J560" s="340"/>
      <c r="K560" s="340"/>
      <c r="L560" s="340"/>
      <c r="M560" s="340"/>
      <c r="N560" s="340"/>
      <c r="O560" s="340"/>
      <c r="P560" s="340"/>
      <c r="Q560" s="340"/>
      <c r="R560" s="340"/>
      <c r="S560" s="340"/>
      <c r="T560" s="340"/>
      <c r="U560" s="340"/>
      <c r="V560" s="340"/>
      <c r="W560" s="340"/>
      <c r="X560" s="340"/>
      <c r="Y560" s="340"/>
      <c r="Z560" s="340"/>
      <c r="AA560" s="340"/>
      <c r="AB560" s="340"/>
      <c r="AC560" s="340"/>
      <c r="AD560" s="340"/>
      <c r="AE560" s="340"/>
      <c r="AF560" s="340"/>
      <c r="AG560" s="340"/>
      <c r="AH560" s="340"/>
      <c r="AI560" s="340"/>
      <c r="AJ560" s="340"/>
      <c r="AK560" s="340"/>
      <c r="AL560" s="340"/>
      <c r="AM560" s="340"/>
      <c r="AN560" s="340"/>
      <c r="AO560" s="340"/>
      <c r="AP560" s="340"/>
      <c r="AQ560" s="340"/>
      <c r="AR560" s="340"/>
      <c r="AS560" s="340"/>
      <c r="AT560" s="340"/>
      <c r="AU560" s="340"/>
      <c r="AV560" s="340"/>
      <c r="AW560" s="340"/>
      <c r="AX560" s="340"/>
      <c r="AY560" s="340"/>
      <c r="AZ560" s="340"/>
      <c r="BA560" s="340"/>
      <c r="BB560" s="340"/>
      <c r="BC560" s="340"/>
      <c r="BD560" s="340"/>
    </row>
    <row r="561" spans="3:56">
      <c r="C561" s="340"/>
      <c r="D561" s="340"/>
      <c r="E561" s="340"/>
      <c r="F561" s="340"/>
      <c r="G561" s="340"/>
      <c r="H561" s="340"/>
      <c r="I561" s="340"/>
      <c r="J561" s="340"/>
      <c r="K561" s="340"/>
      <c r="L561" s="340"/>
      <c r="M561" s="340"/>
      <c r="N561" s="340"/>
      <c r="O561" s="340"/>
      <c r="P561" s="340"/>
      <c r="Q561" s="340"/>
      <c r="R561" s="340"/>
      <c r="S561" s="340"/>
      <c r="T561" s="340"/>
      <c r="U561" s="340"/>
      <c r="V561" s="340"/>
      <c r="W561" s="340"/>
      <c r="X561" s="340"/>
      <c r="Y561" s="340"/>
      <c r="Z561" s="340"/>
      <c r="AA561" s="340"/>
      <c r="AB561" s="340"/>
      <c r="AC561" s="340"/>
      <c r="AD561" s="340"/>
      <c r="AE561" s="340"/>
      <c r="AF561" s="340"/>
      <c r="AG561" s="340"/>
      <c r="AH561" s="340"/>
      <c r="AI561" s="340"/>
      <c r="AJ561" s="340"/>
      <c r="AK561" s="340"/>
      <c r="AL561" s="340"/>
      <c r="AM561" s="340"/>
      <c r="AN561" s="340"/>
      <c r="AO561" s="340"/>
      <c r="AP561" s="340"/>
      <c r="AQ561" s="340"/>
      <c r="AR561" s="340"/>
      <c r="AS561" s="340"/>
      <c r="AT561" s="340"/>
      <c r="AU561" s="340"/>
      <c r="AV561" s="340"/>
      <c r="AW561" s="340"/>
      <c r="AX561" s="340"/>
      <c r="AY561" s="340"/>
      <c r="AZ561" s="340"/>
      <c r="BA561" s="340"/>
      <c r="BB561" s="340"/>
      <c r="BC561" s="340"/>
      <c r="BD561" s="340"/>
    </row>
    <row r="562" spans="3:56">
      <c r="C562" s="340"/>
      <c r="D562" s="340"/>
      <c r="E562" s="340"/>
      <c r="F562" s="340"/>
      <c r="G562" s="340"/>
      <c r="H562" s="340"/>
      <c r="I562" s="340"/>
      <c r="J562" s="340"/>
      <c r="K562" s="340"/>
      <c r="L562" s="340"/>
      <c r="M562" s="340"/>
      <c r="N562" s="340"/>
      <c r="O562" s="340"/>
      <c r="P562" s="340"/>
      <c r="Q562" s="340"/>
      <c r="R562" s="340"/>
      <c r="S562" s="340"/>
      <c r="T562" s="340"/>
      <c r="U562" s="340"/>
      <c r="V562" s="340"/>
      <c r="W562" s="340"/>
      <c r="X562" s="340"/>
      <c r="Y562" s="340"/>
      <c r="Z562" s="340"/>
      <c r="AA562" s="340"/>
      <c r="AB562" s="340"/>
      <c r="AC562" s="340"/>
      <c r="AD562" s="340"/>
      <c r="AE562" s="340"/>
      <c r="AF562" s="340"/>
      <c r="AG562" s="340"/>
      <c r="AH562" s="340"/>
      <c r="AI562" s="340"/>
      <c r="AJ562" s="340"/>
      <c r="AK562" s="340"/>
      <c r="AL562" s="340"/>
      <c r="AM562" s="340"/>
      <c r="AN562" s="340"/>
      <c r="AO562" s="340"/>
      <c r="AP562" s="340"/>
      <c r="AQ562" s="340"/>
      <c r="AR562" s="340"/>
      <c r="AS562" s="340"/>
      <c r="AT562" s="340"/>
      <c r="AU562" s="340"/>
      <c r="AV562" s="340"/>
      <c r="AW562" s="340"/>
      <c r="AX562" s="340"/>
      <c r="AY562" s="340"/>
      <c r="AZ562" s="340"/>
      <c r="BA562" s="340"/>
      <c r="BB562" s="340"/>
      <c r="BC562" s="340"/>
      <c r="BD562" s="340"/>
    </row>
    <row r="563" spans="3:56">
      <c r="C563" s="340"/>
      <c r="D563" s="340"/>
      <c r="E563" s="340"/>
      <c r="F563" s="340"/>
      <c r="G563" s="340"/>
      <c r="H563" s="340"/>
      <c r="I563" s="340"/>
      <c r="J563" s="340"/>
      <c r="K563" s="340"/>
      <c r="L563" s="340"/>
      <c r="M563" s="340"/>
      <c r="N563" s="340"/>
      <c r="O563" s="340"/>
      <c r="P563" s="340"/>
      <c r="Q563" s="340"/>
      <c r="R563" s="340"/>
      <c r="S563" s="340"/>
      <c r="T563" s="340"/>
      <c r="U563" s="340"/>
      <c r="V563" s="340"/>
      <c r="W563" s="340"/>
      <c r="X563" s="340"/>
      <c r="Y563" s="340"/>
      <c r="Z563" s="340"/>
      <c r="AA563" s="340"/>
      <c r="AB563" s="340"/>
      <c r="AC563" s="340"/>
      <c r="AD563" s="340"/>
      <c r="AE563" s="340"/>
      <c r="AF563" s="340"/>
      <c r="AG563" s="340"/>
      <c r="AH563" s="340"/>
      <c r="AI563" s="340"/>
      <c r="AJ563" s="340"/>
      <c r="AK563" s="340"/>
      <c r="AL563" s="340"/>
      <c r="AM563" s="340"/>
      <c r="AN563" s="340"/>
      <c r="AO563" s="340"/>
      <c r="AP563" s="340"/>
      <c r="AQ563" s="340"/>
      <c r="AR563" s="340"/>
      <c r="AS563" s="340"/>
      <c r="AT563" s="340"/>
      <c r="AU563" s="340"/>
      <c r="AV563" s="340"/>
      <c r="AW563" s="340"/>
      <c r="AX563" s="340"/>
      <c r="AY563" s="340"/>
      <c r="AZ563" s="340"/>
      <c r="BA563" s="340"/>
      <c r="BB563" s="340"/>
      <c r="BC563" s="340"/>
      <c r="BD563" s="340"/>
    </row>
    <row r="564" spans="3:56">
      <c r="C564" s="340"/>
      <c r="D564" s="340"/>
      <c r="E564" s="340"/>
      <c r="F564" s="340"/>
      <c r="G564" s="340"/>
      <c r="H564" s="340"/>
      <c r="I564" s="340"/>
      <c r="J564" s="340"/>
      <c r="K564" s="340"/>
      <c r="L564" s="340"/>
      <c r="M564" s="340"/>
      <c r="N564" s="340"/>
      <c r="O564" s="340"/>
      <c r="P564" s="340"/>
      <c r="Q564" s="340"/>
      <c r="R564" s="340"/>
      <c r="S564" s="340"/>
      <c r="T564" s="340"/>
      <c r="U564" s="340"/>
      <c r="V564" s="340"/>
      <c r="W564" s="340"/>
      <c r="X564" s="340"/>
      <c r="Y564" s="340"/>
      <c r="Z564" s="340"/>
      <c r="AA564" s="340"/>
      <c r="AB564" s="340"/>
      <c r="AC564" s="340"/>
      <c r="AD564" s="340"/>
      <c r="AE564" s="340"/>
      <c r="AF564" s="340"/>
      <c r="AG564" s="340"/>
      <c r="AH564" s="340"/>
      <c r="AI564" s="340"/>
      <c r="AJ564" s="340"/>
      <c r="AK564" s="340"/>
      <c r="AL564" s="340"/>
      <c r="AM564" s="340"/>
      <c r="AN564" s="340"/>
      <c r="AO564" s="340"/>
      <c r="AP564" s="340"/>
      <c r="AQ564" s="340"/>
      <c r="AR564" s="340"/>
      <c r="AS564" s="340"/>
      <c r="AT564" s="340"/>
      <c r="AU564" s="340"/>
      <c r="AV564" s="340"/>
      <c r="AW564" s="340"/>
      <c r="AX564" s="340"/>
      <c r="AY564" s="340"/>
      <c r="AZ564" s="340"/>
      <c r="BA564" s="340"/>
      <c r="BB564" s="340"/>
      <c r="BC564" s="340"/>
      <c r="BD564" s="340"/>
    </row>
    <row r="565" spans="3:56">
      <c r="C565" s="340"/>
      <c r="D565" s="340"/>
      <c r="E565" s="340"/>
      <c r="F565" s="340"/>
      <c r="G565" s="340"/>
      <c r="H565" s="340"/>
      <c r="I565" s="340"/>
      <c r="J565" s="340"/>
      <c r="K565" s="340"/>
      <c r="L565" s="340"/>
      <c r="M565" s="340"/>
      <c r="N565" s="340"/>
      <c r="O565" s="340"/>
      <c r="P565" s="340"/>
      <c r="Q565" s="340"/>
      <c r="R565" s="340"/>
      <c r="S565" s="340"/>
      <c r="T565" s="340"/>
      <c r="U565" s="340"/>
      <c r="V565" s="340"/>
      <c r="W565" s="340"/>
      <c r="X565" s="340"/>
      <c r="Y565" s="340"/>
      <c r="Z565" s="340"/>
      <c r="AA565" s="340"/>
      <c r="AB565" s="340"/>
      <c r="AC565" s="340"/>
      <c r="AD565" s="340"/>
      <c r="AE565" s="340"/>
      <c r="AF565" s="340"/>
      <c r="AG565" s="340"/>
      <c r="AH565" s="340"/>
      <c r="AI565" s="340"/>
      <c r="AJ565" s="340"/>
      <c r="AK565" s="340"/>
      <c r="AL565" s="340"/>
      <c r="AM565" s="340"/>
      <c r="AN565" s="340"/>
      <c r="AO565" s="340"/>
      <c r="AP565" s="340"/>
      <c r="AQ565" s="340"/>
      <c r="AR565" s="340"/>
      <c r="AS565" s="340"/>
      <c r="AT565" s="340"/>
      <c r="AU565" s="340"/>
      <c r="AV565" s="340"/>
      <c r="AW565" s="340"/>
      <c r="AX565" s="340"/>
      <c r="AY565" s="340"/>
      <c r="AZ565" s="340"/>
      <c r="BA565" s="340"/>
      <c r="BB565" s="340"/>
      <c r="BC565" s="340"/>
      <c r="BD565" s="340"/>
    </row>
    <row r="566" spans="3:56">
      <c r="C566" s="340"/>
      <c r="D566" s="340"/>
      <c r="E566" s="340"/>
      <c r="F566" s="340"/>
      <c r="G566" s="340"/>
      <c r="H566" s="340"/>
      <c r="I566" s="340"/>
      <c r="J566" s="340"/>
      <c r="K566" s="340"/>
      <c r="L566" s="340"/>
      <c r="M566" s="340"/>
      <c r="N566" s="340"/>
      <c r="O566" s="340"/>
      <c r="P566" s="340"/>
      <c r="Q566" s="340"/>
      <c r="R566" s="340"/>
      <c r="S566" s="340"/>
      <c r="T566" s="340"/>
      <c r="U566" s="340"/>
      <c r="V566" s="340"/>
      <c r="W566" s="340"/>
      <c r="X566" s="340"/>
      <c r="Y566" s="340"/>
      <c r="Z566" s="340"/>
      <c r="AA566" s="340"/>
      <c r="AB566" s="340"/>
      <c r="AC566" s="340"/>
      <c r="AD566" s="340"/>
      <c r="AE566" s="340"/>
      <c r="AF566" s="340"/>
      <c r="AG566" s="340"/>
      <c r="AH566" s="340"/>
      <c r="AI566" s="340"/>
      <c r="AJ566" s="340"/>
      <c r="AK566" s="340"/>
      <c r="AL566" s="340"/>
      <c r="AM566" s="340"/>
      <c r="AN566" s="340"/>
      <c r="AO566" s="340"/>
      <c r="AP566" s="340"/>
      <c r="AQ566" s="340"/>
      <c r="AR566" s="340"/>
      <c r="AS566" s="340"/>
      <c r="AT566" s="340"/>
      <c r="AU566" s="340"/>
      <c r="AV566" s="340"/>
      <c r="AW566" s="340"/>
      <c r="AX566" s="340"/>
      <c r="AY566" s="340"/>
      <c r="AZ566" s="340"/>
      <c r="BA566" s="340"/>
      <c r="BB566" s="340"/>
      <c r="BC566" s="340"/>
      <c r="BD566" s="340"/>
    </row>
    <row r="567" spans="3:56">
      <c r="C567" s="340"/>
      <c r="D567" s="340"/>
      <c r="E567" s="340"/>
      <c r="F567" s="340"/>
      <c r="G567" s="340"/>
      <c r="H567" s="340"/>
      <c r="I567" s="340"/>
      <c r="J567" s="340"/>
      <c r="K567" s="340"/>
      <c r="L567" s="340"/>
      <c r="M567" s="340"/>
      <c r="N567" s="340"/>
      <c r="O567" s="340"/>
      <c r="P567" s="340"/>
      <c r="Q567" s="340"/>
      <c r="R567" s="340"/>
      <c r="S567" s="340"/>
      <c r="T567" s="340"/>
      <c r="U567" s="340"/>
      <c r="V567" s="340"/>
      <c r="W567" s="340"/>
      <c r="X567" s="340"/>
      <c r="Y567" s="340"/>
      <c r="Z567" s="340"/>
      <c r="AA567" s="340"/>
      <c r="AB567" s="340"/>
      <c r="AC567" s="340"/>
      <c r="AD567" s="340"/>
      <c r="AE567" s="340"/>
      <c r="AF567" s="340"/>
      <c r="AG567" s="340"/>
      <c r="AH567" s="340"/>
      <c r="AI567" s="340"/>
      <c r="AJ567" s="340"/>
      <c r="AK567" s="340"/>
      <c r="AL567" s="340"/>
      <c r="AM567" s="340"/>
      <c r="AN567" s="340"/>
      <c r="AO567" s="340"/>
      <c r="AP567" s="340"/>
      <c r="AQ567" s="340"/>
      <c r="AR567" s="340"/>
      <c r="AS567" s="340"/>
      <c r="AT567" s="340"/>
      <c r="AU567" s="340"/>
      <c r="AV567" s="340"/>
      <c r="AW567" s="340"/>
      <c r="AX567" s="340"/>
      <c r="AY567" s="340"/>
      <c r="AZ567" s="340"/>
      <c r="BA567" s="340"/>
      <c r="BB567" s="340"/>
      <c r="BC567" s="340"/>
      <c r="BD567" s="340"/>
    </row>
    <row r="568" spans="3:56">
      <c r="C568" s="340"/>
      <c r="D568" s="340"/>
      <c r="E568" s="340"/>
      <c r="F568" s="340"/>
      <c r="G568" s="340"/>
      <c r="H568" s="340"/>
      <c r="I568" s="340"/>
      <c r="J568" s="340"/>
      <c r="K568" s="340"/>
      <c r="L568" s="340"/>
      <c r="M568" s="340"/>
      <c r="N568" s="340"/>
      <c r="O568" s="340"/>
      <c r="P568" s="340"/>
      <c r="Q568" s="340"/>
      <c r="R568" s="340"/>
      <c r="S568" s="340"/>
      <c r="T568" s="340"/>
      <c r="U568" s="340"/>
      <c r="V568" s="340"/>
      <c r="W568" s="340"/>
      <c r="X568" s="340"/>
      <c r="Y568" s="340"/>
      <c r="Z568" s="340"/>
      <c r="AA568" s="340"/>
      <c r="AB568" s="340"/>
      <c r="AC568" s="340"/>
      <c r="AD568" s="340"/>
      <c r="AE568" s="340"/>
      <c r="AF568" s="340"/>
      <c r="AG568" s="340"/>
      <c r="AH568" s="340"/>
      <c r="AI568" s="340"/>
      <c r="AJ568" s="340"/>
      <c r="AK568" s="340"/>
      <c r="AL568" s="340"/>
      <c r="AM568" s="340"/>
      <c r="AN568" s="340"/>
      <c r="AO568" s="340"/>
      <c r="AP568" s="340"/>
      <c r="AQ568" s="340"/>
      <c r="AR568" s="340"/>
      <c r="AS568" s="340"/>
      <c r="AT568" s="340"/>
      <c r="AU568" s="340"/>
      <c r="AV568" s="340"/>
      <c r="AW568" s="340"/>
      <c r="AX568" s="340"/>
      <c r="AY568" s="340"/>
      <c r="AZ568" s="340"/>
      <c r="BA568" s="340"/>
      <c r="BB568" s="340"/>
      <c r="BC568" s="340"/>
      <c r="BD568" s="340"/>
    </row>
    <row r="569" spans="3:56">
      <c r="C569" s="340"/>
      <c r="D569" s="340"/>
      <c r="E569" s="340"/>
      <c r="F569" s="340"/>
      <c r="G569" s="340"/>
      <c r="H569" s="340"/>
      <c r="I569" s="340"/>
      <c r="J569" s="340"/>
      <c r="K569" s="340"/>
      <c r="L569" s="340"/>
      <c r="M569" s="340"/>
      <c r="N569" s="340"/>
      <c r="O569" s="340"/>
      <c r="P569" s="340"/>
      <c r="Q569" s="340"/>
      <c r="R569" s="340"/>
      <c r="S569" s="340"/>
      <c r="T569" s="340"/>
      <c r="U569" s="340"/>
      <c r="V569" s="340"/>
      <c r="W569" s="340"/>
      <c r="X569" s="340"/>
      <c r="Y569" s="340"/>
      <c r="Z569" s="340"/>
      <c r="AA569" s="340"/>
      <c r="AB569" s="340"/>
      <c r="AC569" s="340"/>
      <c r="AD569" s="340"/>
      <c r="AE569" s="340"/>
      <c r="AF569" s="340"/>
      <c r="AG569" s="340"/>
      <c r="AH569" s="340"/>
      <c r="AI569" s="340"/>
      <c r="AJ569" s="340"/>
      <c r="AK569" s="340"/>
      <c r="AL569" s="340"/>
      <c r="AM569" s="340"/>
      <c r="AN569" s="340"/>
      <c r="AO569" s="340"/>
      <c r="AP569" s="340"/>
      <c r="AQ569" s="340"/>
      <c r="AR569" s="340"/>
      <c r="AS569" s="340"/>
      <c r="AT569" s="340"/>
      <c r="AU569" s="340"/>
      <c r="AV569" s="340"/>
      <c r="AW569" s="340"/>
      <c r="AX569" s="340"/>
      <c r="AY569" s="340"/>
      <c r="AZ569" s="340"/>
      <c r="BA569" s="340"/>
      <c r="BB569" s="340"/>
      <c r="BC569" s="340"/>
      <c r="BD569" s="340"/>
    </row>
    <row r="570" spans="3:56">
      <c r="C570" s="340"/>
      <c r="D570" s="340"/>
      <c r="E570" s="340"/>
      <c r="F570" s="340"/>
      <c r="G570" s="340"/>
      <c r="H570" s="340"/>
      <c r="I570" s="340"/>
      <c r="J570" s="340"/>
      <c r="K570" s="340"/>
      <c r="L570" s="340"/>
      <c r="M570" s="340"/>
      <c r="N570" s="340"/>
      <c r="O570" s="340"/>
      <c r="P570" s="340"/>
      <c r="Q570" s="340"/>
      <c r="R570" s="340"/>
      <c r="S570" s="340"/>
      <c r="T570" s="340"/>
      <c r="U570" s="340"/>
      <c r="V570" s="340"/>
      <c r="W570" s="340"/>
      <c r="X570" s="340"/>
      <c r="Y570" s="340"/>
      <c r="Z570" s="340"/>
      <c r="AA570" s="340"/>
      <c r="AB570" s="340"/>
      <c r="AC570" s="340"/>
      <c r="AD570" s="340"/>
      <c r="AE570" s="340"/>
      <c r="AF570" s="340"/>
      <c r="AG570" s="340"/>
      <c r="AH570" s="340"/>
      <c r="AI570" s="340"/>
      <c r="AJ570" s="340"/>
      <c r="AK570" s="340"/>
      <c r="AL570" s="340"/>
      <c r="AM570" s="340"/>
      <c r="AN570" s="340"/>
      <c r="AO570" s="340"/>
      <c r="AP570" s="340"/>
      <c r="AQ570" s="340"/>
      <c r="AR570" s="340"/>
      <c r="AS570" s="340"/>
      <c r="AT570" s="340"/>
      <c r="AU570" s="340"/>
      <c r="AV570" s="340"/>
      <c r="AW570" s="340"/>
      <c r="AX570" s="340"/>
      <c r="AY570" s="340"/>
      <c r="AZ570" s="340"/>
      <c r="BA570" s="340"/>
      <c r="BB570" s="340"/>
      <c r="BC570" s="340"/>
      <c r="BD570" s="340"/>
    </row>
    <row r="571" spans="3:56">
      <c r="C571" s="340"/>
      <c r="D571" s="340"/>
      <c r="E571" s="340"/>
      <c r="F571" s="340"/>
      <c r="G571" s="340"/>
      <c r="H571" s="340"/>
      <c r="I571" s="340"/>
      <c r="J571" s="340"/>
      <c r="K571" s="340"/>
      <c r="L571" s="340"/>
      <c r="M571" s="340"/>
      <c r="N571" s="340"/>
      <c r="O571" s="340"/>
      <c r="P571" s="340"/>
      <c r="Q571" s="340"/>
      <c r="R571" s="340"/>
      <c r="S571" s="340"/>
      <c r="T571" s="340"/>
      <c r="U571" s="340"/>
      <c r="V571" s="340"/>
      <c r="W571" s="340"/>
      <c r="X571" s="340"/>
      <c r="Y571" s="340"/>
      <c r="Z571" s="340"/>
      <c r="AA571" s="340"/>
      <c r="AB571" s="340"/>
      <c r="AC571" s="340"/>
      <c r="AD571" s="340"/>
      <c r="AE571" s="340"/>
      <c r="AF571" s="340"/>
      <c r="AG571" s="340"/>
      <c r="AH571" s="340"/>
      <c r="AI571" s="340"/>
      <c r="AJ571" s="340"/>
      <c r="AK571" s="340"/>
      <c r="AL571" s="340"/>
      <c r="AM571" s="340"/>
      <c r="AN571" s="340"/>
      <c r="AO571" s="340"/>
      <c r="AP571" s="340"/>
      <c r="AQ571" s="340"/>
      <c r="AR571" s="340"/>
      <c r="AS571" s="340"/>
      <c r="AT571" s="340"/>
      <c r="AU571" s="340"/>
      <c r="AV571" s="340"/>
      <c r="AW571" s="340"/>
      <c r="AX571" s="340"/>
      <c r="AY571" s="340"/>
      <c r="AZ571" s="340"/>
      <c r="BA571" s="340"/>
      <c r="BB571" s="340"/>
      <c r="BC571" s="340"/>
      <c r="BD571" s="340"/>
    </row>
    <row r="572" spans="3:56">
      <c r="C572" s="340"/>
      <c r="D572" s="340"/>
      <c r="E572" s="340"/>
      <c r="F572" s="340"/>
      <c r="G572" s="340"/>
      <c r="H572" s="340"/>
      <c r="I572" s="340"/>
      <c r="J572" s="340"/>
      <c r="K572" s="340"/>
      <c r="L572" s="340"/>
      <c r="M572" s="340"/>
      <c r="N572" s="340"/>
      <c r="O572" s="340"/>
      <c r="P572" s="340"/>
      <c r="Q572" s="340"/>
      <c r="R572" s="340"/>
      <c r="S572" s="340"/>
      <c r="T572" s="340"/>
      <c r="U572" s="340"/>
      <c r="V572" s="340"/>
      <c r="W572" s="340"/>
      <c r="X572" s="340"/>
      <c r="Y572" s="340"/>
      <c r="Z572" s="340"/>
      <c r="AA572" s="340"/>
      <c r="AB572" s="340"/>
      <c r="AC572" s="340"/>
      <c r="AD572" s="340"/>
      <c r="AE572" s="340"/>
      <c r="AF572" s="340"/>
      <c r="AG572" s="340"/>
      <c r="AH572" s="340"/>
      <c r="AI572" s="340"/>
      <c r="AJ572" s="340"/>
      <c r="AK572" s="340"/>
      <c r="AL572" s="340"/>
      <c r="AM572" s="340"/>
      <c r="AN572" s="340"/>
      <c r="AO572" s="340"/>
      <c r="AP572" s="340"/>
      <c r="AQ572" s="340"/>
      <c r="AR572" s="340"/>
      <c r="AS572" s="340"/>
      <c r="AT572" s="340"/>
      <c r="AU572" s="340"/>
      <c r="AV572" s="340"/>
      <c r="AW572" s="340"/>
      <c r="AX572" s="340"/>
      <c r="AY572" s="340"/>
      <c r="AZ572" s="340"/>
      <c r="BA572" s="340"/>
      <c r="BB572" s="340"/>
      <c r="BC572" s="340"/>
      <c r="BD572" s="340"/>
    </row>
    <row r="573" spans="3:56">
      <c r="C573" s="340"/>
      <c r="D573" s="340"/>
      <c r="E573" s="340"/>
      <c r="F573" s="340"/>
      <c r="G573" s="340"/>
      <c r="H573" s="340"/>
      <c r="I573" s="340"/>
      <c r="J573" s="340"/>
      <c r="K573" s="340"/>
      <c r="L573" s="340"/>
      <c r="M573" s="340"/>
      <c r="N573" s="340"/>
      <c r="O573" s="340"/>
      <c r="P573" s="340"/>
      <c r="Q573" s="340"/>
      <c r="R573" s="340"/>
      <c r="S573" s="340"/>
      <c r="T573" s="340"/>
      <c r="U573" s="340"/>
      <c r="V573" s="340"/>
      <c r="W573" s="340"/>
      <c r="X573" s="340"/>
      <c r="Y573" s="340"/>
      <c r="Z573" s="340"/>
      <c r="AA573" s="340"/>
      <c r="AB573" s="340"/>
      <c r="AC573" s="340"/>
      <c r="AD573" s="340"/>
      <c r="AE573" s="340"/>
      <c r="AF573" s="340"/>
      <c r="AG573" s="340"/>
      <c r="AH573" s="340"/>
      <c r="AI573" s="340"/>
      <c r="AJ573" s="340"/>
      <c r="AK573" s="340"/>
      <c r="AL573" s="340"/>
      <c r="AM573" s="340"/>
      <c r="AN573" s="340"/>
      <c r="AO573" s="340"/>
      <c r="AP573" s="340"/>
      <c r="AQ573" s="340"/>
      <c r="AR573" s="340"/>
      <c r="AS573" s="340"/>
      <c r="AT573" s="340"/>
      <c r="AU573" s="340"/>
      <c r="AV573" s="340"/>
      <c r="AW573" s="340"/>
      <c r="AX573" s="340"/>
      <c r="AY573" s="340"/>
      <c r="AZ573" s="340"/>
      <c r="BA573" s="340"/>
      <c r="BB573" s="340"/>
      <c r="BC573" s="340"/>
      <c r="BD573" s="340"/>
    </row>
    <row r="574" spans="3:56">
      <c r="C574" s="340"/>
      <c r="D574" s="340"/>
      <c r="E574" s="340"/>
      <c r="F574" s="340"/>
      <c r="G574" s="340"/>
      <c r="H574" s="340"/>
      <c r="I574" s="340"/>
      <c r="J574" s="340"/>
      <c r="K574" s="340"/>
      <c r="L574" s="340"/>
      <c r="M574" s="340"/>
      <c r="N574" s="340"/>
      <c r="O574" s="340"/>
      <c r="P574" s="340"/>
      <c r="Q574" s="340"/>
      <c r="R574" s="340"/>
      <c r="S574" s="340"/>
      <c r="T574" s="340"/>
      <c r="U574" s="340"/>
      <c r="V574" s="340"/>
      <c r="W574" s="340"/>
      <c r="X574" s="340"/>
      <c r="Y574" s="340"/>
      <c r="Z574" s="340"/>
      <c r="AA574" s="340"/>
      <c r="AB574" s="340"/>
      <c r="AC574" s="340"/>
      <c r="AD574" s="340"/>
      <c r="AE574" s="340"/>
      <c r="AF574" s="340"/>
      <c r="AG574" s="340"/>
      <c r="AH574" s="340"/>
      <c r="AI574" s="340"/>
      <c r="AJ574" s="340"/>
      <c r="AK574" s="340"/>
      <c r="AL574" s="340"/>
      <c r="AM574" s="340"/>
      <c r="AN574" s="340"/>
      <c r="AO574" s="340"/>
      <c r="AP574" s="340"/>
      <c r="AQ574" s="340"/>
      <c r="AR574" s="340"/>
      <c r="AS574" s="340"/>
      <c r="AT574" s="340"/>
      <c r="AU574" s="340"/>
      <c r="AV574" s="340"/>
      <c r="AW574" s="340"/>
      <c r="AX574" s="340"/>
      <c r="AY574" s="340"/>
      <c r="AZ574" s="340"/>
      <c r="BA574" s="340"/>
      <c r="BB574" s="340"/>
      <c r="BC574" s="340"/>
      <c r="BD574" s="340"/>
    </row>
    <row r="575" spans="3:56">
      <c r="C575" s="340"/>
      <c r="D575" s="340"/>
      <c r="E575" s="340"/>
      <c r="F575" s="340"/>
      <c r="G575" s="340"/>
      <c r="H575" s="340"/>
      <c r="I575" s="340"/>
      <c r="J575" s="340"/>
      <c r="K575" s="340"/>
      <c r="L575" s="340"/>
      <c r="M575" s="340"/>
      <c r="N575" s="340"/>
      <c r="O575" s="340"/>
      <c r="P575" s="340"/>
      <c r="Q575" s="340"/>
      <c r="R575" s="340"/>
      <c r="S575" s="340"/>
      <c r="T575" s="340"/>
      <c r="U575" s="340"/>
      <c r="V575" s="340"/>
      <c r="W575" s="340"/>
      <c r="X575" s="340"/>
      <c r="Y575" s="340"/>
      <c r="Z575" s="340"/>
      <c r="AA575" s="340"/>
      <c r="AB575" s="340"/>
      <c r="AC575" s="340"/>
      <c r="AD575" s="340"/>
      <c r="AE575" s="340"/>
      <c r="AF575" s="340"/>
      <c r="AG575" s="340"/>
      <c r="AH575" s="340"/>
      <c r="AI575" s="340"/>
      <c r="AJ575" s="340"/>
      <c r="AK575" s="340"/>
      <c r="AL575" s="340"/>
      <c r="AM575" s="340"/>
      <c r="AN575" s="340"/>
      <c r="AO575" s="340"/>
      <c r="AP575" s="340"/>
      <c r="AQ575" s="340"/>
      <c r="AR575" s="340"/>
      <c r="AS575" s="340"/>
      <c r="AT575" s="340"/>
      <c r="AU575" s="340"/>
      <c r="AV575" s="340"/>
      <c r="AW575" s="340"/>
      <c r="AX575" s="340"/>
      <c r="AY575" s="340"/>
      <c r="AZ575" s="340"/>
      <c r="BA575" s="340"/>
      <c r="BB575" s="340"/>
      <c r="BC575" s="340"/>
      <c r="BD575" s="340"/>
    </row>
    <row r="576" spans="3:56">
      <c r="C576" s="340"/>
      <c r="D576" s="340"/>
      <c r="E576" s="340"/>
      <c r="F576" s="340"/>
      <c r="G576" s="340"/>
      <c r="H576" s="340"/>
      <c r="I576" s="340"/>
      <c r="J576" s="340"/>
      <c r="K576" s="340"/>
      <c r="L576" s="340"/>
      <c r="M576" s="340"/>
      <c r="N576" s="340"/>
      <c r="O576" s="340"/>
      <c r="P576" s="340"/>
      <c r="Q576" s="340"/>
      <c r="R576" s="340"/>
      <c r="S576" s="340"/>
      <c r="T576" s="340"/>
      <c r="U576" s="340"/>
      <c r="V576" s="340"/>
      <c r="W576" s="340"/>
      <c r="X576" s="340"/>
      <c r="Y576" s="340"/>
      <c r="Z576" s="340"/>
      <c r="AA576" s="340"/>
      <c r="AB576" s="340"/>
      <c r="AC576" s="340"/>
      <c r="AD576" s="340"/>
      <c r="AE576" s="340"/>
      <c r="AF576" s="340"/>
      <c r="AG576" s="340"/>
      <c r="AH576" s="340"/>
      <c r="AI576" s="340"/>
      <c r="AJ576" s="340"/>
      <c r="AK576" s="340"/>
      <c r="AL576" s="340"/>
      <c r="AM576" s="340"/>
      <c r="AN576" s="340"/>
      <c r="AO576" s="340"/>
      <c r="AP576" s="340"/>
      <c r="AQ576" s="340"/>
      <c r="AR576" s="340"/>
      <c r="AS576" s="340"/>
      <c r="AT576" s="340"/>
      <c r="AU576" s="340"/>
      <c r="AV576" s="340"/>
      <c r="AW576" s="340"/>
      <c r="AX576" s="340"/>
      <c r="AY576" s="340"/>
      <c r="AZ576" s="340"/>
      <c r="BA576" s="340"/>
      <c r="BB576" s="340"/>
      <c r="BC576" s="340"/>
      <c r="BD576" s="340"/>
    </row>
    <row r="577" spans="3:56">
      <c r="C577" s="340"/>
      <c r="D577" s="340"/>
      <c r="E577" s="340"/>
      <c r="F577" s="340"/>
      <c r="G577" s="340"/>
      <c r="H577" s="340"/>
      <c r="I577" s="340"/>
      <c r="J577" s="340"/>
      <c r="K577" s="340"/>
      <c r="L577" s="340"/>
      <c r="M577" s="340"/>
      <c r="N577" s="340"/>
      <c r="O577" s="340"/>
      <c r="P577" s="340"/>
      <c r="Q577" s="340"/>
      <c r="R577" s="340"/>
      <c r="S577" s="340"/>
      <c r="T577" s="340"/>
      <c r="U577" s="340"/>
      <c r="V577" s="340"/>
      <c r="W577" s="340"/>
      <c r="X577" s="340"/>
      <c r="Y577" s="340"/>
      <c r="Z577" s="340"/>
      <c r="AA577" s="340"/>
      <c r="AB577" s="340"/>
      <c r="AC577" s="340"/>
      <c r="AD577" s="340"/>
      <c r="AE577" s="340"/>
      <c r="AF577" s="340"/>
      <c r="AG577" s="340"/>
      <c r="AH577" s="340"/>
      <c r="AI577" s="340"/>
      <c r="AJ577" s="340"/>
      <c r="AK577" s="340"/>
      <c r="AL577" s="340"/>
      <c r="AM577" s="340"/>
      <c r="AN577" s="340"/>
      <c r="AO577" s="340"/>
      <c r="AP577" s="340"/>
      <c r="AQ577" s="340"/>
      <c r="AR577" s="340"/>
      <c r="AS577" s="340"/>
      <c r="AT577" s="340"/>
      <c r="AU577" s="340"/>
      <c r="AV577" s="340"/>
      <c r="AW577" s="340"/>
      <c r="AX577" s="340"/>
      <c r="AY577" s="340"/>
      <c r="AZ577" s="340"/>
      <c r="BA577" s="340"/>
      <c r="BB577" s="340"/>
      <c r="BC577" s="340"/>
      <c r="BD577" s="340"/>
    </row>
    <row r="578" spans="3:56">
      <c r="C578" s="340"/>
      <c r="D578" s="340"/>
      <c r="E578" s="340"/>
      <c r="F578" s="340"/>
      <c r="G578" s="340"/>
      <c r="H578" s="340"/>
      <c r="I578" s="340"/>
      <c r="J578" s="340"/>
      <c r="K578" s="340"/>
      <c r="L578" s="340"/>
      <c r="M578" s="340"/>
      <c r="N578" s="340"/>
      <c r="O578" s="340"/>
      <c r="P578" s="340"/>
      <c r="Q578" s="340"/>
      <c r="R578" s="340"/>
      <c r="S578" s="340"/>
      <c r="T578" s="340"/>
      <c r="U578" s="340"/>
      <c r="V578" s="340"/>
      <c r="W578" s="340"/>
      <c r="X578" s="340"/>
      <c r="Y578" s="340"/>
      <c r="Z578" s="340"/>
      <c r="AA578" s="340"/>
      <c r="AB578" s="340"/>
      <c r="AC578" s="340"/>
      <c r="AD578" s="340"/>
      <c r="AE578" s="340"/>
      <c r="AF578" s="340"/>
      <c r="AG578" s="340"/>
      <c r="AH578" s="340"/>
      <c r="AI578" s="340"/>
      <c r="AJ578" s="340"/>
      <c r="AK578" s="340"/>
      <c r="AL578" s="340"/>
      <c r="AM578" s="340"/>
      <c r="AN578" s="340"/>
      <c r="AO578" s="340"/>
      <c r="AP578" s="340"/>
      <c r="AQ578" s="340"/>
      <c r="AR578" s="340"/>
      <c r="AS578" s="340"/>
      <c r="AT578" s="340"/>
      <c r="AU578" s="340"/>
      <c r="AV578" s="340"/>
      <c r="AW578" s="340"/>
      <c r="AX578" s="340"/>
      <c r="AY578" s="340"/>
      <c r="AZ578" s="340"/>
      <c r="BA578" s="340"/>
      <c r="BB578" s="340"/>
      <c r="BC578" s="340"/>
      <c r="BD578" s="340"/>
    </row>
    <row r="579" spans="3:56">
      <c r="C579" s="340"/>
      <c r="D579" s="340"/>
      <c r="E579" s="340"/>
      <c r="F579" s="340"/>
      <c r="G579" s="340"/>
      <c r="H579" s="340"/>
      <c r="I579" s="340"/>
      <c r="J579" s="340"/>
      <c r="K579" s="340"/>
      <c r="L579" s="340"/>
      <c r="M579" s="340"/>
      <c r="N579" s="340"/>
      <c r="O579" s="340"/>
      <c r="P579" s="340"/>
      <c r="Q579" s="340"/>
      <c r="R579" s="340"/>
      <c r="S579" s="340"/>
      <c r="T579" s="340"/>
      <c r="U579" s="340"/>
      <c r="V579" s="340"/>
      <c r="W579" s="340"/>
      <c r="X579" s="340"/>
      <c r="Y579" s="340"/>
      <c r="Z579" s="340"/>
      <c r="AA579" s="340"/>
      <c r="AB579" s="340"/>
      <c r="AC579" s="340"/>
      <c r="AD579" s="340"/>
      <c r="AE579" s="340"/>
      <c r="AF579" s="340"/>
      <c r="AG579" s="340"/>
      <c r="AH579" s="340"/>
      <c r="AI579" s="340"/>
      <c r="AJ579" s="340"/>
      <c r="AK579" s="340"/>
      <c r="AL579" s="340"/>
      <c r="AM579" s="340"/>
      <c r="AN579" s="340"/>
      <c r="AO579" s="340"/>
      <c r="AP579" s="340"/>
      <c r="AQ579" s="340"/>
      <c r="AR579" s="340"/>
      <c r="AS579" s="340"/>
      <c r="AT579" s="340"/>
      <c r="AU579" s="340"/>
      <c r="AV579" s="340"/>
      <c r="AW579" s="340"/>
      <c r="AX579" s="340"/>
      <c r="AY579" s="340"/>
      <c r="AZ579" s="340"/>
      <c r="BA579" s="340"/>
      <c r="BB579" s="340"/>
      <c r="BC579" s="340"/>
      <c r="BD579" s="340"/>
    </row>
    <row r="580" spans="3:56">
      <c r="C580" s="340"/>
      <c r="D580" s="340"/>
      <c r="E580" s="340"/>
      <c r="F580" s="340"/>
      <c r="G580" s="340"/>
      <c r="H580" s="340"/>
      <c r="I580" s="340"/>
      <c r="J580" s="340"/>
      <c r="K580" s="340"/>
      <c r="L580" s="340"/>
      <c r="M580" s="340"/>
      <c r="N580" s="340"/>
      <c r="O580" s="340"/>
      <c r="P580" s="340"/>
      <c r="Q580" s="340"/>
      <c r="R580" s="340"/>
      <c r="S580" s="340"/>
      <c r="T580" s="340"/>
      <c r="U580" s="340"/>
      <c r="V580" s="340"/>
      <c r="W580" s="340"/>
      <c r="X580" s="340"/>
      <c r="Y580" s="340"/>
      <c r="Z580" s="340"/>
      <c r="AA580" s="340"/>
      <c r="AB580" s="340"/>
      <c r="AC580" s="340"/>
      <c r="AD580" s="340"/>
      <c r="AE580" s="340"/>
      <c r="AF580" s="340"/>
      <c r="AG580" s="340"/>
      <c r="AH580" s="340"/>
      <c r="AI580" s="340"/>
      <c r="AJ580" s="340"/>
      <c r="AK580" s="340"/>
      <c r="AL580" s="340"/>
      <c r="AM580" s="340"/>
      <c r="AN580" s="340"/>
      <c r="AO580" s="340"/>
      <c r="AP580" s="340"/>
      <c r="AQ580" s="340"/>
      <c r="AR580" s="340"/>
      <c r="AS580" s="340"/>
      <c r="AT580" s="340"/>
      <c r="AU580" s="340"/>
      <c r="AV580" s="340"/>
      <c r="AW580" s="340"/>
      <c r="AX580" s="340"/>
      <c r="AY580" s="340"/>
      <c r="AZ580" s="340"/>
      <c r="BA580" s="340"/>
      <c r="BB580" s="340"/>
      <c r="BC580" s="340"/>
      <c r="BD580" s="340"/>
    </row>
    <row r="581" spans="3:56">
      <c r="C581" s="340"/>
      <c r="D581" s="340"/>
      <c r="E581" s="340"/>
      <c r="F581" s="340"/>
      <c r="G581" s="340"/>
      <c r="H581" s="340"/>
      <c r="I581" s="340"/>
      <c r="J581" s="340"/>
      <c r="K581" s="340"/>
      <c r="L581" s="340"/>
      <c r="M581" s="340"/>
      <c r="N581" s="340"/>
      <c r="O581" s="340"/>
      <c r="P581" s="340"/>
      <c r="Q581" s="340"/>
      <c r="R581" s="340"/>
      <c r="S581" s="340"/>
      <c r="T581" s="340"/>
      <c r="U581" s="340"/>
      <c r="V581" s="340"/>
      <c r="W581" s="340"/>
      <c r="X581" s="340"/>
      <c r="Y581" s="340"/>
      <c r="Z581" s="340"/>
      <c r="AA581" s="340"/>
      <c r="AB581" s="340"/>
      <c r="AC581" s="340"/>
      <c r="AD581" s="340"/>
      <c r="AE581" s="340"/>
      <c r="AF581" s="340"/>
      <c r="AG581" s="340"/>
      <c r="AH581" s="340"/>
      <c r="AI581" s="340"/>
      <c r="AJ581" s="340"/>
      <c r="AK581" s="340"/>
      <c r="AL581" s="340"/>
      <c r="AM581" s="340"/>
      <c r="AN581" s="340"/>
      <c r="AO581" s="340"/>
      <c r="AP581" s="340"/>
      <c r="AQ581" s="340"/>
      <c r="AR581" s="340"/>
      <c r="AS581" s="340"/>
      <c r="AT581" s="340"/>
      <c r="AU581" s="340"/>
      <c r="AV581" s="340"/>
      <c r="AW581" s="340"/>
      <c r="AX581" s="340"/>
      <c r="AY581" s="340"/>
      <c r="AZ581" s="340"/>
      <c r="BA581" s="340"/>
      <c r="BB581" s="340"/>
      <c r="BC581" s="340"/>
      <c r="BD581" s="340"/>
    </row>
    <row r="582" spans="3:56">
      <c r="C582" s="340"/>
      <c r="D582" s="340"/>
      <c r="E582" s="340"/>
      <c r="F582" s="340"/>
      <c r="G582" s="340"/>
      <c r="H582" s="340"/>
      <c r="I582" s="340"/>
      <c r="J582" s="340"/>
      <c r="K582" s="340"/>
      <c r="L582" s="340"/>
      <c r="M582" s="340"/>
      <c r="N582" s="340"/>
      <c r="O582" s="340"/>
      <c r="P582" s="340"/>
      <c r="Q582" s="340"/>
      <c r="R582" s="340"/>
      <c r="S582" s="340"/>
      <c r="T582" s="340"/>
      <c r="U582" s="340"/>
      <c r="V582" s="340"/>
      <c r="W582" s="340"/>
      <c r="X582" s="340"/>
      <c r="Y582" s="340"/>
      <c r="Z582" s="340"/>
      <c r="AA582" s="340"/>
      <c r="AB582" s="340"/>
      <c r="AC582" s="340"/>
      <c r="AD582" s="340"/>
      <c r="AE582" s="340"/>
      <c r="AF582" s="340"/>
      <c r="AG582" s="340"/>
      <c r="AH582" s="340"/>
      <c r="AI582" s="340"/>
      <c r="AJ582" s="340"/>
      <c r="AK582" s="340"/>
      <c r="AL582" s="340"/>
      <c r="AM582" s="340"/>
      <c r="AN582" s="340"/>
      <c r="AO582" s="340"/>
      <c r="AP582" s="340"/>
      <c r="AQ582" s="340"/>
      <c r="AR582" s="340"/>
      <c r="AS582" s="340"/>
      <c r="AT582" s="340"/>
      <c r="AU582" s="340"/>
      <c r="AV582" s="340"/>
      <c r="AW582" s="340"/>
      <c r="AX582" s="340"/>
      <c r="AY582" s="340"/>
      <c r="AZ582" s="340"/>
      <c r="BA582" s="340"/>
      <c r="BB582" s="340"/>
      <c r="BC582" s="340"/>
      <c r="BD582" s="340"/>
    </row>
    <row r="583" spans="3:56">
      <c r="C583" s="340"/>
      <c r="D583" s="340"/>
      <c r="E583" s="340"/>
      <c r="F583" s="340"/>
      <c r="G583" s="340"/>
      <c r="H583" s="340"/>
      <c r="I583" s="340"/>
      <c r="J583" s="340"/>
      <c r="K583" s="340"/>
      <c r="L583" s="340"/>
      <c r="M583" s="340"/>
      <c r="N583" s="340"/>
      <c r="O583" s="340"/>
      <c r="P583" s="340"/>
      <c r="Q583" s="340"/>
      <c r="R583" s="340"/>
      <c r="S583" s="340"/>
      <c r="T583" s="340"/>
      <c r="U583" s="340"/>
      <c r="V583" s="340"/>
      <c r="W583" s="340"/>
      <c r="X583" s="340"/>
      <c r="Y583" s="340"/>
      <c r="Z583" s="340"/>
      <c r="AA583" s="340"/>
      <c r="AB583" s="340"/>
      <c r="AC583" s="340"/>
      <c r="AD583" s="340"/>
      <c r="AE583" s="340"/>
      <c r="AF583" s="340"/>
      <c r="AG583" s="340"/>
      <c r="AH583" s="340"/>
      <c r="AI583" s="340"/>
      <c r="AJ583" s="340"/>
      <c r="AK583" s="340"/>
      <c r="AL583" s="340"/>
      <c r="AM583" s="340"/>
      <c r="AN583" s="340"/>
      <c r="AO583" s="340"/>
      <c r="AP583" s="340"/>
      <c r="AQ583" s="340"/>
      <c r="AR583" s="340"/>
      <c r="AS583" s="340"/>
      <c r="AT583" s="340"/>
      <c r="AU583" s="340"/>
      <c r="AV583" s="340"/>
      <c r="AW583" s="340"/>
      <c r="AX583" s="340"/>
      <c r="AY583" s="340"/>
      <c r="AZ583" s="340"/>
      <c r="BA583" s="340"/>
      <c r="BB583" s="340"/>
      <c r="BC583" s="340"/>
      <c r="BD583" s="340"/>
    </row>
    <row r="584" spans="3:56">
      <c r="C584" s="340"/>
      <c r="D584" s="340"/>
      <c r="E584" s="340"/>
      <c r="F584" s="340"/>
      <c r="G584" s="340"/>
      <c r="H584" s="340"/>
      <c r="I584" s="340"/>
      <c r="J584" s="340"/>
      <c r="K584" s="340"/>
      <c r="L584" s="340"/>
      <c r="M584" s="340"/>
      <c r="N584" s="340"/>
      <c r="O584" s="340"/>
      <c r="P584" s="340"/>
      <c r="Q584" s="340"/>
      <c r="R584" s="340"/>
      <c r="S584" s="340"/>
      <c r="T584" s="340"/>
      <c r="U584" s="340"/>
      <c r="V584" s="340"/>
      <c r="W584" s="340"/>
      <c r="X584" s="340"/>
      <c r="Y584" s="340"/>
      <c r="Z584" s="340"/>
      <c r="AA584" s="340"/>
      <c r="AB584" s="340"/>
      <c r="AC584" s="340"/>
      <c r="AD584" s="340"/>
      <c r="AE584" s="340"/>
      <c r="AF584" s="340"/>
      <c r="AG584" s="340"/>
      <c r="AH584" s="340"/>
      <c r="AI584" s="340"/>
      <c r="AJ584" s="340"/>
      <c r="AK584" s="340"/>
      <c r="AL584" s="340"/>
      <c r="AM584" s="340"/>
      <c r="AN584" s="340"/>
      <c r="AO584" s="340"/>
      <c r="AP584" s="340"/>
      <c r="AQ584" s="340"/>
      <c r="AR584" s="340"/>
      <c r="AS584" s="340"/>
      <c r="AT584" s="340"/>
      <c r="AU584" s="340"/>
      <c r="AV584" s="340"/>
      <c r="AW584" s="340"/>
      <c r="AX584" s="340"/>
      <c r="AY584" s="340"/>
      <c r="AZ584" s="340"/>
      <c r="BA584" s="340"/>
      <c r="BB584" s="340"/>
      <c r="BC584" s="340"/>
      <c r="BD584" s="340"/>
    </row>
    <row r="585" spans="3:56">
      <c r="C585" s="340"/>
      <c r="D585" s="340"/>
      <c r="E585" s="340"/>
      <c r="F585" s="340"/>
      <c r="G585" s="340"/>
      <c r="H585" s="340"/>
      <c r="I585" s="340"/>
      <c r="J585" s="340"/>
      <c r="K585" s="340"/>
      <c r="L585" s="340"/>
      <c r="M585" s="340"/>
      <c r="N585" s="340"/>
      <c r="O585" s="340"/>
      <c r="P585" s="340"/>
      <c r="Q585" s="340"/>
      <c r="R585" s="340"/>
      <c r="S585" s="340"/>
      <c r="T585" s="340"/>
      <c r="U585" s="340"/>
      <c r="V585" s="340"/>
      <c r="W585" s="340"/>
      <c r="X585" s="340"/>
      <c r="Y585" s="340"/>
      <c r="Z585" s="340"/>
      <c r="AA585" s="340"/>
      <c r="AB585" s="340"/>
      <c r="AC585" s="340"/>
      <c r="AD585" s="340"/>
      <c r="AE585" s="340"/>
      <c r="AF585" s="340"/>
      <c r="AG585" s="340"/>
      <c r="AH585" s="340"/>
      <c r="AI585" s="340"/>
      <c r="AJ585" s="340"/>
      <c r="AK585" s="340"/>
      <c r="AL585" s="340"/>
      <c r="AM585" s="340"/>
      <c r="AN585" s="340"/>
      <c r="AO585" s="340"/>
      <c r="AP585" s="340"/>
      <c r="AQ585" s="340"/>
      <c r="AR585" s="340"/>
      <c r="AS585" s="340"/>
      <c r="AT585" s="340"/>
      <c r="AU585" s="340"/>
      <c r="AV585" s="340"/>
      <c r="AW585" s="340"/>
      <c r="AX585" s="340"/>
      <c r="AY585" s="340"/>
      <c r="AZ585" s="340"/>
      <c r="BA585" s="340"/>
      <c r="BB585" s="340"/>
      <c r="BC585" s="340"/>
      <c r="BD585" s="340"/>
    </row>
    <row r="586" spans="3:56">
      <c r="C586" s="340"/>
      <c r="D586" s="340"/>
      <c r="E586" s="340"/>
      <c r="F586" s="340"/>
      <c r="G586" s="340"/>
      <c r="H586" s="340"/>
      <c r="I586" s="340"/>
      <c r="J586" s="340"/>
      <c r="K586" s="340"/>
      <c r="L586" s="340"/>
      <c r="M586" s="340"/>
      <c r="N586" s="340"/>
      <c r="O586" s="340"/>
      <c r="P586" s="340"/>
      <c r="Q586" s="340"/>
      <c r="R586" s="340"/>
      <c r="S586" s="340"/>
      <c r="T586" s="340"/>
      <c r="U586" s="340"/>
      <c r="V586" s="340"/>
      <c r="W586" s="340"/>
      <c r="X586" s="340"/>
      <c r="Y586" s="340"/>
      <c r="Z586" s="340"/>
      <c r="AA586" s="340"/>
      <c r="AB586" s="340"/>
      <c r="AC586" s="340"/>
      <c r="AD586" s="340"/>
      <c r="AE586" s="340"/>
      <c r="AF586" s="340"/>
      <c r="AG586" s="340"/>
      <c r="AH586" s="340"/>
      <c r="AI586" s="340"/>
      <c r="AJ586" s="340"/>
      <c r="AK586" s="340"/>
      <c r="AL586" s="340"/>
      <c r="AM586" s="340"/>
      <c r="AN586" s="340"/>
      <c r="AO586" s="340"/>
      <c r="AP586" s="340"/>
      <c r="AQ586" s="340"/>
      <c r="AR586" s="340"/>
      <c r="AS586" s="340"/>
      <c r="AT586" s="340"/>
      <c r="AU586" s="340"/>
      <c r="AV586" s="340"/>
      <c r="AW586" s="340"/>
      <c r="AX586" s="340"/>
      <c r="AY586" s="340"/>
      <c r="AZ586" s="340"/>
      <c r="BA586" s="340"/>
      <c r="BB586" s="340"/>
      <c r="BC586" s="340"/>
      <c r="BD586" s="340"/>
    </row>
    <row r="587" spans="3:56">
      <c r="C587" s="340"/>
      <c r="D587" s="340"/>
      <c r="E587" s="340"/>
      <c r="F587" s="340"/>
      <c r="G587" s="340"/>
      <c r="H587" s="340"/>
      <c r="I587" s="340"/>
      <c r="J587" s="340"/>
      <c r="K587" s="340"/>
      <c r="L587" s="340"/>
      <c r="M587" s="340"/>
      <c r="N587" s="340"/>
      <c r="O587" s="340"/>
      <c r="P587" s="340"/>
      <c r="Q587" s="340"/>
      <c r="R587" s="340"/>
      <c r="S587" s="340"/>
      <c r="T587" s="340"/>
      <c r="U587" s="340"/>
      <c r="V587" s="340"/>
      <c r="W587" s="340"/>
      <c r="X587" s="340"/>
      <c r="Y587" s="340"/>
      <c r="Z587" s="340"/>
      <c r="AA587" s="340"/>
      <c r="AB587" s="340"/>
      <c r="AC587" s="340"/>
      <c r="AD587" s="340"/>
      <c r="AE587" s="340"/>
      <c r="AF587" s="340"/>
      <c r="AG587" s="340"/>
      <c r="AH587" s="340"/>
      <c r="AI587" s="340"/>
      <c r="AJ587" s="340"/>
      <c r="AK587" s="340"/>
      <c r="AL587" s="340"/>
      <c r="AM587" s="340"/>
      <c r="AN587" s="340"/>
      <c r="AO587" s="340"/>
      <c r="AP587" s="340"/>
      <c r="AQ587" s="340"/>
      <c r="AR587" s="340"/>
      <c r="AS587" s="340"/>
      <c r="AT587" s="340"/>
      <c r="AU587" s="340"/>
      <c r="AV587" s="340"/>
      <c r="AW587" s="340"/>
      <c r="AX587" s="340"/>
      <c r="AY587" s="340"/>
      <c r="AZ587" s="340"/>
      <c r="BA587" s="340"/>
      <c r="BB587" s="340"/>
      <c r="BC587" s="340"/>
      <c r="BD587" s="340"/>
    </row>
    <row r="588" spans="3:56">
      <c r="C588" s="340"/>
      <c r="D588" s="340"/>
      <c r="E588" s="340"/>
      <c r="F588" s="340"/>
      <c r="G588" s="340"/>
      <c r="H588" s="340"/>
      <c r="I588" s="340"/>
      <c r="J588" s="340"/>
      <c r="K588" s="340"/>
      <c r="L588" s="340"/>
      <c r="M588" s="340"/>
      <c r="N588" s="340"/>
      <c r="O588" s="340"/>
      <c r="P588" s="340"/>
      <c r="Q588" s="340"/>
      <c r="R588" s="340"/>
      <c r="S588" s="340"/>
      <c r="T588" s="340"/>
      <c r="U588" s="340"/>
      <c r="V588" s="340"/>
      <c r="W588" s="340"/>
      <c r="X588" s="340"/>
      <c r="Y588" s="340"/>
      <c r="Z588" s="340"/>
      <c r="AA588" s="340"/>
      <c r="AB588" s="340"/>
      <c r="AC588" s="340"/>
      <c r="AD588" s="340"/>
      <c r="AE588" s="340"/>
      <c r="AF588" s="340"/>
      <c r="AG588" s="340"/>
      <c r="AH588" s="340"/>
      <c r="AI588" s="340"/>
      <c r="AJ588" s="340"/>
      <c r="AK588" s="340"/>
      <c r="AL588" s="340"/>
      <c r="AM588" s="340"/>
      <c r="AN588" s="340"/>
      <c r="AO588" s="340"/>
      <c r="AP588" s="340"/>
      <c r="AQ588" s="340"/>
      <c r="AR588" s="340"/>
      <c r="AS588" s="340"/>
      <c r="AT588" s="340"/>
      <c r="AU588" s="340"/>
      <c r="AV588" s="340"/>
      <c r="AW588" s="340"/>
      <c r="AX588" s="340"/>
      <c r="AY588" s="340"/>
      <c r="AZ588" s="340"/>
      <c r="BA588" s="340"/>
      <c r="BB588" s="340"/>
      <c r="BC588" s="340"/>
      <c r="BD588" s="340"/>
    </row>
    <row r="589" spans="3:56">
      <c r="C589" s="340"/>
      <c r="D589" s="340"/>
      <c r="E589" s="340"/>
      <c r="F589" s="340"/>
      <c r="G589" s="340"/>
      <c r="H589" s="340"/>
      <c r="I589" s="340"/>
      <c r="J589" s="340"/>
      <c r="K589" s="340"/>
      <c r="L589" s="340"/>
      <c r="M589" s="340"/>
      <c r="N589" s="340"/>
      <c r="O589" s="340"/>
      <c r="P589" s="340"/>
      <c r="Q589" s="340"/>
      <c r="R589" s="340"/>
      <c r="S589" s="340"/>
      <c r="T589" s="340"/>
      <c r="U589" s="340"/>
      <c r="V589" s="340"/>
      <c r="W589" s="340"/>
      <c r="X589" s="340"/>
      <c r="Y589" s="340"/>
      <c r="Z589" s="340"/>
      <c r="AA589" s="340"/>
      <c r="AB589" s="340"/>
      <c r="AC589" s="340"/>
      <c r="AD589" s="340"/>
      <c r="AE589" s="340"/>
      <c r="AF589" s="340"/>
      <c r="AG589" s="340"/>
      <c r="AH589" s="340"/>
      <c r="AI589" s="340"/>
      <c r="AJ589" s="340"/>
      <c r="AK589" s="340"/>
      <c r="AL589" s="340"/>
      <c r="AM589" s="340"/>
      <c r="AN589" s="340"/>
      <c r="AO589" s="340"/>
      <c r="AP589" s="340"/>
      <c r="AQ589" s="340"/>
      <c r="AR589" s="340"/>
      <c r="AS589" s="340"/>
      <c r="AT589" s="340"/>
      <c r="AU589" s="340"/>
      <c r="AV589" s="340"/>
      <c r="AW589" s="340"/>
      <c r="AX589" s="340"/>
      <c r="AY589" s="340"/>
      <c r="AZ589" s="340"/>
      <c r="BA589" s="340"/>
      <c r="BB589" s="340"/>
      <c r="BC589" s="340"/>
      <c r="BD589" s="340"/>
    </row>
    <row r="590" spans="3:56">
      <c r="C590" s="340"/>
      <c r="D590" s="340"/>
      <c r="E590" s="340"/>
      <c r="F590" s="340"/>
      <c r="G590" s="340"/>
      <c r="H590" s="340"/>
      <c r="I590" s="340"/>
      <c r="J590" s="340"/>
      <c r="K590" s="340"/>
      <c r="L590" s="340"/>
      <c r="M590" s="340"/>
      <c r="N590" s="340"/>
      <c r="O590" s="340"/>
      <c r="P590" s="340"/>
      <c r="Q590" s="340"/>
      <c r="R590" s="340"/>
      <c r="S590" s="340"/>
      <c r="T590" s="340"/>
      <c r="U590" s="340"/>
      <c r="V590" s="340"/>
      <c r="W590" s="340"/>
      <c r="X590" s="340"/>
      <c r="Y590" s="340"/>
      <c r="Z590" s="340"/>
      <c r="AA590" s="340"/>
      <c r="AB590" s="340"/>
      <c r="AC590" s="340"/>
      <c r="AD590" s="340"/>
      <c r="AE590" s="340"/>
      <c r="AF590" s="340"/>
      <c r="AG590" s="340"/>
      <c r="AH590" s="340"/>
      <c r="AI590" s="340"/>
      <c r="AJ590" s="340"/>
      <c r="AK590" s="340"/>
      <c r="AL590" s="340"/>
      <c r="AM590" s="340"/>
      <c r="AN590" s="340"/>
      <c r="AO590" s="340"/>
      <c r="AP590" s="340"/>
      <c r="AQ590" s="340"/>
      <c r="AR590" s="340"/>
      <c r="AS590" s="340"/>
      <c r="AT590" s="340"/>
      <c r="AU590" s="340"/>
      <c r="AV590" s="340"/>
      <c r="AW590" s="340"/>
      <c r="AX590" s="340"/>
      <c r="AY590" s="340"/>
      <c r="AZ590" s="340"/>
      <c r="BA590" s="340"/>
      <c r="BB590" s="340"/>
      <c r="BC590" s="340"/>
      <c r="BD590" s="340"/>
    </row>
    <row r="591" spans="3:56">
      <c r="C591" s="340"/>
      <c r="D591" s="340"/>
      <c r="E591" s="340"/>
      <c r="F591" s="340"/>
      <c r="G591" s="340"/>
      <c r="H591" s="340"/>
      <c r="I591" s="340"/>
      <c r="J591" s="340"/>
      <c r="K591" s="340"/>
      <c r="L591" s="340"/>
      <c r="M591" s="340"/>
      <c r="N591" s="340"/>
      <c r="O591" s="340"/>
      <c r="P591" s="340"/>
      <c r="Q591" s="340"/>
      <c r="R591" s="340"/>
      <c r="S591" s="340"/>
      <c r="T591" s="340"/>
      <c r="U591" s="340"/>
      <c r="V591" s="340"/>
      <c r="W591" s="340"/>
      <c r="X591" s="340"/>
      <c r="Y591" s="340"/>
      <c r="Z591" s="340"/>
      <c r="AA591" s="340"/>
      <c r="AB591" s="340"/>
      <c r="AC591" s="340"/>
      <c r="AD591" s="340"/>
      <c r="AE591" s="340"/>
      <c r="AF591" s="340"/>
      <c r="AG591" s="340"/>
      <c r="AH591" s="340"/>
      <c r="AI591" s="340"/>
      <c r="AJ591" s="340"/>
      <c r="AK591" s="340"/>
      <c r="AL591" s="340"/>
      <c r="AM591" s="340"/>
      <c r="AN591" s="340"/>
      <c r="AO591" s="340"/>
      <c r="AP591" s="340"/>
      <c r="AQ591" s="340"/>
      <c r="AR591" s="340"/>
      <c r="AS591" s="340"/>
      <c r="AT591" s="340"/>
      <c r="AU591" s="340"/>
      <c r="AV591" s="340"/>
      <c r="AW591" s="340"/>
      <c r="AX591" s="340"/>
      <c r="AY591" s="340"/>
      <c r="AZ591" s="340"/>
      <c r="BA591" s="340"/>
      <c r="BB591" s="340"/>
      <c r="BC591" s="340"/>
      <c r="BD591" s="340"/>
    </row>
    <row r="592" spans="3:56">
      <c r="C592" s="340"/>
      <c r="D592" s="340"/>
      <c r="E592" s="340"/>
      <c r="F592" s="340"/>
      <c r="G592" s="340"/>
      <c r="H592" s="340"/>
      <c r="I592" s="340"/>
      <c r="J592" s="340"/>
      <c r="K592" s="340"/>
      <c r="L592" s="340"/>
      <c r="M592" s="340"/>
      <c r="N592" s="340"/>
      <c r="O592" s="340"/>
      <c r="P592" s="340"/>
      <c r="Q592" s="340"/>
      <c r="R592" s="340"/>
      <c r="S592" s="340"/>
      <c r="T592" s="340"/>
      <c r="U592" s="340"/>
      <c r="V592" s="340"/>
      <c r="W592" s="340"/>
      <c r="X592" s="340"/>
      <c r="Y592" s="340"/>
      <c r="Z592" s="340"/>
      <c r="AA592" s="340"/>
      <c r="AB592" s="340"/>
      <c r="AC592" s="340"/>
      <c r="AD592" s="340"/>
      <c r="AE592" s="340"/>
      <c r="AF592" s="340"/>
      <c r="AG592" s="340"/>
      <c r="AH592" s="340"/>
      <c r="AI592" s="340"/>
      <c r="AJ592" s="340"/>
      <c r="AK592" s="340"/>
      <c r="AL592" s="340"/>
      <c r="AM592" s="340"/>
      <c r="AN592" s="340"/>
      <c r="AO592" s="340"/>
      <c r="AP592" s="340"/>
      <c r="AQ592" s="340"/>
      <c r="AR592" s="340"/>
      <c r="AS592" s="340"/>
      <c r="AT592" s="340"/>
      <c r="AU592" s="340"/>
      <c r="AV592" s="340"/>
      <c r="AW592" s="340"/>
      <c r="AX592" s="340"/>
      <c r="AY592" s="340"/>
      <c r="AZ592" s="340"/>
      <c r="BA592" s="340"/>
      <c r="BB592" s="340"/>
      <c r="BC592" s="340"/>
      <c r="BD592" s="340"/>
    </row>
    <row r="593" spans="3:56">
      <c r="C593" s="340"/>
      <c r="D593" s="340"/>
      <c r="E593" s="340"/>
      <c r="F593" s="340"/>
      <c r="G593" s="340"/>
      <c r="H593" s="340"/>
      <c r="I593" s="340"/>
      <c r="J593" s="340"/>
      <c r="K593" s="340"/>
      <c r="L593" s="340"/>
      <c r="M593" s="340"/>
      <c r="N593" s="340"/>
      <c r="O593" s="340"/>
      <c r="P593" s="340"/>
      <c r="Q593" s="340"/>
      <c r="R593" s="340"/>
      <c r="S593" s="340"/>
      <c r="T593" s="340"/>
      <c r="U593" s="340"/>
      <c r="V593" s="340"/>
      <c r="W593" s="340"/>
      <c r="X593" s="340"/>
      <c r="Y593" s="340"/>
      <c r="Z593" s="340"/>
      <c r="AA593" s="340"/>
      <c r="AB593" s="340"/>
      <c r="AC593" s="340"/>
      <c r="AD593" s="340"/>
      <c r="AE593" s="340"/>
      <c r="AF593" s="340"/>
      <c r="AG593" s="340"/>
      <c r="AH593" s="340"/>
      <c r="AI593" s="340"/>
      <c r="AJ593" s="340"/>
      <c r="AK593" s="340"/>
      <c r="AL593" s="340"/>
      <c r="AM593" s="340"/>
      <c r="AN593" s="340"/>
      <c r="AO593" s="340"/>
      <c r="AP593" s="340"/>
      <c r="AQ593" s="340"/>
      <c r="AR593" s="340"/>
      <c r="AS593" s="340"/>
      <c r="AT593" s="340"/>
      <c r="AU593" s="340"/>
      <c r="AV593" s="340"/>
      <c r="AW593" s="340"/>
      <c r="AX593" s="340"/>
      <c r="AY593" s="340"/>
      <c r="AZ593" s="340"/>
      <c r="BA593" s="340"/>
      <c r="BB593" s="340"/>
      <c r="BC593" s="340"/>
      <c r="BD593" s="340"/>
    </row>
    <row r="594" spans="3:56">
      <c r="C594" s="340"/>
      <c r="D594" s="340"/>
      <c r="E594" s="340"/>
      <c r="F594" s="340"/>
      <c r="G594" s="340"/>
      <c r="H594" s="340"/>
      <c r="I594" s="340"/>
      <c r="J594" s="340"/>
      <c r="K594" s="340"/>
      <c r="L594" s="340"/>
      <c r="M594" s="340"/>
      <c r="N594" s="340"/>
      <c r="O594" s="340"/>
      <c r="P594" s="340"/>
      <c r="Q594" s="340"/>
      <c r="R594" s="340"/>
      <c r="S594" s="340"/>
      <c r="T594" s="340"/>
      <c r="U594" s="340"/>
      <c r="V594" s="340"/>
      <c r="W594" s="340"/>
      <c r="X594" s="340"/>
      <c r="Y594" s="340"/>
      <c r="Z594" s="340"/>
      <c r="AA594" s="340"/>
      <c r="AB594" s="340"/>
      <c r="AC594" s="340"/>
      <c r="AD594" s="340"/>
      <c r="AE594" s="340"/>
      <c r="AF594" s="340"/>
      <c r="AG594" s="340"/>
      <c r="AH594" s="340"/>
      <c r="AI594" s="340"/>
      <c r="AJ594" s="340"/>
      <c r="AK594" s="340"/>
      <c r="AL594" s="340"/>
      <c r="AM594" s="340"/>
      <c r="AN594" s="340"/>
      <c r="AO594" s="340"/>
      <c r="AP594" s="340"/>
      <c r="AQ594" s="340"/>
      <c r="AR594" s="340"/>
      <c r="AS594" s="340"/>
      <c r="AT594" s="340"/>
      <c r="AU594" s="340"/>
      <c r="AV594" s="340"/>
      <c r="AW594" s="340"/>
      <c r="AX594" s="340"/>
      <c r="AY594" s="340"/>
      <c r="AZ594" s="340"/>
      <c r="BA594" s="340"/>
      <c r="BB594" s="340"/>
      <c r="BC594" s="340"/>
      <c r="BD594" s="340"/>
    </row>
    <row r="595" spans="3:56">
      <c r="C595" s="340"/>
      <c r="D595" s="340"/>
      <c r="E595" s="340"/>
      <c r="F595" s="340"/>
      <c r="G595" s="340"/>
      <c r="H595" s="340"/>
      <c r="I595" s="340"/>
      <c r="J595" s="340"/>
      <c r="K595" s="340"/>
      <c r="L595" s="340"/>
      <c r="M595" s="340"/>
      <c r="N595" s="340"/>
      <c r="O595" s="340"/>
      <c r="P595" s="340"/>
      <c r="Q595" s="340"/>
      <c r="R595" s="340"/>
      <c r="S595" s="340"/>
      <c r="T595" s="340"/>
      <c r="U595" s="340"/>
      <c r="V595" s="340"/>
      <c r="W595" s="340"/>
      <c r="X595" s="340"/>
      <c r="Y595" s="340"/>
      <c r="Z595" s="340"/>
      <c r="AA595" s="340"/>
      <c r="AB595" s="340"/>
      <c r="AC595" s="340"/>
      <c r="AD595" s="340"/>
      <c r="AE595" s="340"/>
      <c r="AF595" s="340"/>
      <c r="AG595" s="340"/>
      <c r="AH595" s="340"/>
      <c r="AI595" s="340"/>
      <c r="AJ595" s="340"/>
      <c r="AK595" s="340"/>
      <c r="AL595" s="340"/>
      <c r="AM595" s="340"/>
      <c r="AN595" s="340"/>
      <c r="AO595" s="340"/>
      <c r="AP595" s="340"/>
      <c r="AQ595" s="340"/>
      <c r="AR595" s="340"/>
      <c r="AS595" s="340"/>
      <c r="AT595" s="340"/>
      <c r="AU595" s="340"/>
      <c r="AV595" s="340"/>
      <c r="AW595" s="340"/>
      <c r="AX595" s="340"/>
      <c r="AY595" s="340"/>
      <c r="AZ595" s="340"/>
      <c r="BA595" s="340"/>
      <c r="BB595" s="340"/>
      <c r="BC595" s="340"/>
      <c r="BD595" s="340"/>
    </row>
    <row r="596" spans="3:56">
      <c r="C596" s="340"/>
      <c r="D596" s="340"/>
      <c r="E596" s="340"/>
      <c r="F596" s="340"/>
      <c r="G596" s="340"/>
      <c r="H596" s="340"/>
      <c r="I596" s="340"/>
      <c r="J596" s="340"/>
      <c r="K596" s="340"/>
      <c r="L596" s="340"/>
      <c r="M596" s="340"/>
      <c r="N596" s="340"/>
      <c r="O596" s="340"/>
      <c r="P596" s="340"/>
      <c r="Q596" s="340"/>
      <c r="R596" s="340"/>
      <c r="S596" s="340"/>
      <c r="T596" s="340"/>
      <c r="U596" s="340"/>
      <c r="V596" s="340"/>
      <c r="W596" s="340"/>
      <c r="X596" s="340"/>
      <c r="Y596" s="340"/>
      <c r="Z596" s="340"/>
      <c r="AA596" s="340"/>
      <c r="AB596" s="340"/>
      <c r="AC596" s="340"/>
      <c r="AD596" s="340"/>
      <c r="AE596" s="340"/>
      <c r="AF596" s="340"/>
      <c r="AG596" s="340"/>
      <c r="AH596" s="340"/>
      <c r="AI596" s="340"/>
      <c r="AJ596" s="340"/>
      <c r="AK596" s="340"/>
      <c r="AL596" s="340"/>
      <c r="AM596" s="340"/>
      <c r="AN596" s="340"/>
      <c r="AO596" s="340"/>
      <c r="AP596" s="340"/>
      <c r="AQ596" s="340"/>
      <c r="AR596" s="340"/>
      <c r="AS596" s="340"/>
      <c r="AT596" s="340"/>
      <c r="AU596" s="340"/>
      <c r="AV596" s="340"/>
      <c r="AW596" s="340"/>
      <c r="AX596" s="340"/>
      <c r="AY596" s="340"/>
      <c r="AZ596" s="340"/>
      <c r="BA596" s="340"/>
      <c r="BB596" s="340"/>
      <c r="BC596" s="340"/>
      <c r="BD596" s="340"/>
    </row>
    <row r="597" spans="3:56">
      <c r="C597" s="340"/>
      <c r="D597" s="340"/>
      <c r="E597" s="340"/>
      <c r="F597" s="340"/>
      <c r="G597" s="340"/>
      <c r="H597" s="340"/>
      <c r="I597" s="340"/>
      <c r="J597" s="340"/>
      <c r="K597" s="340"/>
      <c r="L597" s="340"/>
      <c r="M597" s="340"/>
      <c r="N597" s="340"/>
      <c r="O597" s="340"/>
      <c r="P597" s="340"/>
      <c r="Q597" s="340"/>
      <c r="R597" s="340"/>
      <c r="S597" s="340"/>
      <c r="T597" s="340"/>
      <c r="U597" s="340"/>
      <c r="V597" s="340"/>
      <c r="W597" s="340"/>
      <c r="X597" s="340"/>
      <c r="Y597" s="340"/>
      <c r="Z597" s="340"/>
      <c r="AA597" s="340"/>
      <c r="AB597" s="340"/>
      <c r="AC597" s="340"/>
      <c r="AD597" s="340"/>
      <c r="AE597" s="340"/>
      <c r="AF597" s="340"/>
      <c r="AG597" s="340"/>
      <c r="AH597" s="340"/>
      <c r="AI597" s="340"/>
      <c r="AJ597" s="340"/>
      <c r="AK597" s="340"/>
      <c r="AL597" s="340"/>
      <c r="AM597" s="340"/>
      <c r="AN597" s="340"/>
      <c r="AO597" s="340"/>
      <c r="AP597" s="340"/>
      <c r="AQ597" s="340"/>
      <c r="AR597" s="340"/>
      <c r="AS597" s="340"/>
      <c r="AT597" s="340"/>
      <c r="AU597" s="340"/>
      <c r="AV597" s="340"/>
      <c r="AW597" s="340"/>
      <c r="AX597" s="340"/>
      <c r="AY597" s="340"/>
      <c r="AZ597" s="340"/>
      <c r="BA597" s="340"/>
      <c r="BB597" s="340"/>
      <c r="BC597" s="340"/>
      <c r="BD597" s="340"/>
    </row>
    <row r="598" spans="3:56">
      <c r="C598" s="340"/>
      <c r="D598" s="340"/>
      <c r="E598" s="340"/>
      <c r="F598" s="340"/>
      <c r="G598" s="340"/>
      <c r="H598" s="340"/>
      <c r="I598" s="340"/>
      <c r="J598" s="340"/>
      <c r="K598" s="340"/>
      <c r="L598" s="340"/>
      <c r="M598" s="340"/>
      <c r="N598" s="340"/>
      <c r="O598" s="340"/>
      <c r="P598" s="340"/>
      <c r="Q598" s="340"/>
      <c r="R598" s="340"/>
      <c r="S598" s="340"/>
      <c r="T598" s="340"/>
      <c r="U598" s="340"/>
      <c r="V598" s="340"/>
      <c r="W598" s="340"/>
      <c r="X598" s="340"/>
      <c r="Y598" s="340"/>
      <c r="Z598" s="340"/>
      <c r="AA598" s="340"/>
      <c r="AB598" s="340"/>
      <c r="AC598" s="340"/>
      <c r="AD598" s="340"/>
      <c r="AE598" s="340"/>
      <c r="AF598" s="340"/>
      <c r="AG598" s="340"/>
      <c r="AH598" s="340"/>
      <c r="AI598" s="340"/>
      <c r="AJ598" s="340"/>
      <c r="AK598" s="340"/>
      <c r="AL598" s="340"/>
      <c r="AM598" s="340"/>
      <c r="AN598" s="340"/>
      <c r="AO598" s="340"/>
      <c r="AP598" s="340"/>
      <c r="AQ598" s="340"/>
      <c r="AR598" s="340"/>
      <c r="AS598" s="340"/>
      <c r="AT598" s="340"/>
      <c r="AU598" s="340"/>
      <c r="AV598" s="340"/>
      <c r="AW598" s="340"/>
      <c r="AX598" s="340"/>
      <c r="AY598" s="340"/>
      <c r="AZ598" s="340"/>
      <c r="BA598" s="340"/>
      <c r="BB598" s="340"/>
      <c r="BC598" s="340"/>
      <c r="BD598" s="340"/>
    </row>
    <row r="599" spans="3:56">
      <c r="C599" s="340"/>
      <c r="D599" s="340"/>
      <c r="E599" s="340"/>
      <c r="F599" s="340"/>
      <c r="G599" s="340"/>
      <c r="H599" s="340"/>
      <c r="I599" s="340"/>
      <c r="J599" s="340"/>
      <c r="K599" s="340"/>
      <c r="L599" s="340"/>
      <c r="M599" s="340"/>
      <c r="N599" s="340"/>
      <c r="O599" s="340"/>
      <c r="P599" s="340"/>
      <c r="Q599" s="340"/>
      <c r="R599" s="340"/>
      <c r="S599" s="340"/>
      <c r="T599" s="340"/>
      <c r="U599" s="340"/>
      <c r="V599" s="340"/>
      <c r="W599" s="340"/>
      <c r="X599" s="340"/>
      <c r="Y599" s="340"/>
      <c r="Z599" s="340"/>
      <c r="AA599" s="340"/>
      <c r="AB599" s="340"/>
      <c r="AC599" s="340"/>
      <c r="AD599" s="340"/>
      <c r="AE599" s="340"/>
      <c r="AF599" s="340"/>
      <c r="AG599" s="340"/>
      <c r="AH599" s="340"/>
      <c r="AI599" s="340"/>
      <c r="AJ599" s="340"/>
      <c r="AK599" s="340"/>
      <c r="AL599" s="340"/>
      <c r="AM599" s="340"/>
      <c r="AN599" s="340"/>
      <c r="AO599" s="340"/>
      <c r="AP599" s="340"/>
      <c r="AQ599" s="340"/>
      <c r="AR599" s="340"/>
      <c r="AS599" s="340"/>
      <c r="AT599" s="340"/>
      <c r="AU599" s="340"/>
      <c r="AV599" s="340"/>
      <c r="AW599" s="340"/>
      <c r="AX599" s="340"/>
      <c r="AY599" s="340"/>
      <c r="AZ599" s="340"/>
      <c r="BA599" s="340"/>
      <c r="BB599" s="340"/>
      <c r="BC599" s="340"/>
      <c r="BD599" s="340"/>
    </row>
    <row r="600" spans="3:56">
      <c r="C600" s="340"/>
      <c r="D600" s="340"/>
      <c r="E600" s="340"/>
      <c r="F600" s="340"/>
      <c r="G600" s="340"/>
      <c r="H600" s="340"/>
      <c r="I600" s="340"/>
      <c r="J600" s="340"/>
      <c r="K600" s="340"/>
      <c r="L600" s="340"/>
      <c r="M600" s="340"/>
      <c r="N600" s="340"/>
      <c r="O600" s="340"/>
      <c r="P600" s="340"/>
      <c r="Q600" s="340"/>
      <c r="R600" s="340"/>
      <c r="S600" s="340"/>
      <c r="T600" s="340"/>
      <c r="U600" s="340"/>
      <c r="V600" s="340"/>
      <c r="W600" s="340"/>
      <c r="X600" s="340"/>
      <c r="Y600" s="340"/>
      <c r="Z600" s="340"/>
      <c r="AA600" s="340"/>
      <c r="AB600" s="340"/>
      <c r="AC600" s="340"/>
      <c r="AD600" s="340"/>
      <c r="AE600" s="340"/>
      <c r="AF600" s="340"/>
      <c r="AG600" s="340"/>
      <c r="AH600" s="340"/>
      <c r="AI600" s="340"/>
      <c r="AJ600" s="340"/>
      <c r="AK600" s="340"/>
      <c r="AL600" s="340"/>
      <c r="AM600" s="340"/>
      <c r="AN600" s="340"/>
      <c r="AO600" s="340"/>
      <c r="AP600" s="340"/>
      <c r="AQ600" s="340"/>
      <c r="AR600" s="340"/>
      <c r="AS600" s="340"/>
      <c r="AT600" s="340"/>
      <c r="AU600" s="340"/>
      <c r="AV600" s="340"/>
      <c r="AW600" s="340"/>
      <c r="AX600" s="340"/>
      <c r="AY600" s="340"/>
      <c r="AZ600" s="340"/>
      <c r="BA600" s="340"/>
      <c r="BB600" s="340"/>
      <c r="BC600" s="340"/>
      <c r="BD600" s="340"/>
    </row>
    <row r="601" spans="3:56">
      <c r="C601" s="340"/>
      <c r="D601" s="340"/>
      <c r="E601" s="340"/>
      <c r="F601" s="340"/>
      <c r="G601" s="340"/>
      <c r="H601" s="340"/>
      <c r="I601" s="340"/>
      <c r="J601" s="340"/>
      <c r="K601" s="340"/>
      <c r="L601" s="340"/>
      <c r="M601" s="340"/>
      <c r="N601" s="340"/>
      <c r="O601" s="340"/>
      <c r="P601" s="340"/>
      <c r="Q601" s="340"/>
      <c r="R601" s="340"/>
      <c r="S601" s="340"/>
      <c r="T601" s="340"/>
      <c r="U601" s="340"/>
      <c r="V601" s="340"/>
      <c r="W601" s="340"/>
      <c r="X601" s="340"/>
      <c r="Y601" s="340"/>
      <c r="Z601" s="340"/>
      <c r="AA601" s="340"/>
      <c r="AB601" s="340"/>
      <c r="AC601" s="340"/>
      <c r="AD601" s="340"/>
      <c r="AE601" s="340"/>
      <c r="AF601" s="340"/>
      <c r="AG601" s="340"/>
      <c r="AH601" s="340"/>
      <c r="AI601" s="340"/>
      <c r="AJ601" s="340"/>
      <c r="AK601" s="340"/>
      <c r="AL601" s="340"/>
      <c r="AM601" s="340"/>
      <c r="AN601" s="340"/>
      <c r="AO601" s="340"/>
      <c r="AP601" s="340"/>
      <c r="AQ601" s="340"/>
      <c r="AR601" s="340"/>
      <c r="AS601" s="340"/>
      <c r="AT601" s="340"/>
      <c r="AU601" s="340"/>
      <c r="AV601" s="340"/>
      <c r="AW601" s="340"/>
      <c r="AX601" s="340"/>
      <c r="AY601" s="340"/>
      <c r="AZ601" s="340"/>
      <c r="BA601" s="340"/>
      <c r="BB601" s="340"/>
      <c r="BC601" s="340"/>
      <c r="BD601" s="340"/>
    </row>
    <row r="602" spans="3:56">
      <c r="C602" s="340"/>
      <c r="D602" s="340"/>
      <c r="E602" s="340"/>
      <c r="F602" s="340"/>
      <c r="G602" s="340"/>
      <c r="H602" s="340"/>
      <c r="I602" s="340"/>
      <c r="J602" s="340"/>
      <c r="K602" s="340"/>
      <c r="L602" s="340"/>
      <c r="M602" s="340"/>
      <c r="N602" s="340"/>
      <c r="O602" s="340"/>
      <c r="P602" s="340"/>
      <c r="Q602" s="340"/>
      <c r="R602" s="340"/>
      <c r="S602" s="340"/>
      <c r="T602" s="340"/>
      <c r="U602" s="340"/>
      <c r="V602" s="340"/>
      <c r="W602" s="340"/>
      <c r="X602" s="340"/>
      <c r="Y602" s="340"/>
      <c r="Z602" s="340"/>
      <c r="AA602" s="340"/>
      <c r="AB602" s="340"/>
      <c r="AC602" s="340"/>
      <c r="AD602" s="340"/>
      <c r="AE602" s="340"/>
      <c r="AF602" s="340"/>
      <c r="AG602" s="340"/>
      <c r="AH602" s="340"/>
      <c r="AI602" s="340"/>
      <c r="AJ602" s="340"/>
      <c r="AK602" s="340"/>
      <c r="AL602" s="340"/>
      <c r="AM602" s="340"/>
      <c r="AN602" s="340"/>
      <c r="AO602" s="340"/>
      <c r="AP602" s="340"/>
      <c r="AQ602" s="340"/>
      <c r="AR602" s="340"/>
      <c r="AS602" s="340"/>
      <c r="AT602" s="340"/>
      <c r="AU602" s="340"/>
      <c r="AV602" s="340"/>
      <c r="AW602" s="340"/>
      <c r="AX602" s="340"/>
      <c r="AY602" s="340"/>
      <c r="AZ602" s="340"/>
      <c r="BA602" s="340"/>
      <c r="BB602" s="340"/>
      <c r="BC602" s="340"/>
      <c r="BD602" s="340"/>
    </row>
    <row r="603" spans="3:56">
      <c r="C603" s="340"/>
      <c r="D603" s="340"/>
      <c r="E603" s="340"/>
      <c r="F603" s="340"/>
      <c r="G603" s="340"/>
      <c r="H603" s="340"/>
      <c r="I603" s="340"/>
      <c r="J603" s="340"/>
      <c r="K603" s="340"/>
      <c r="L603" s="340"/>
      <c r="M603" s="340"/>
      <c r="N603" s="340"/>
      <c r="O603" s="340"/>
      <c r="P603" s="340"/>
      <c r="Q603" s="340"/>
      <c r="R603" s="340"/>
      <c r="S603" s="340"/>
      <c r="T603" s="340"/>
      <c r="U603" s="340"/>
      <c r="V603" s="340"/>
      <c r="W603" s="340"/>
      <c r="X603" s="340"/>
      <c r="Y603" s="340"/>
      <c r="Z603" s="340"/>
      <c r="AA603" s="340"/>
      <c r="AB603" s="340"/>
      <c r="AC603" s="340"/>
      <c r="AD603" s="340"/>
      <c r="AE603" s="340"/>
      <c r="AF603" s="340"/>
      <c r="AG603" s="340"/>
      <c r="AH603" s="340"/>
      <c r="AI603" s="340"/>
      <c r="AJ603" s="340"/>
      <c r="AK603" s="340"/>
      <c r="AL603" s="340"/>
      <c r="AM603" s="340"/>
      <c r="AN603" s="340"/>
      <c r="AO603" s="340"/>
      <c r="AP603" s="340"/>
      <c r="AQ603" s="340"/>
      <c r="AR603" s="340"/>
      <c r="AS603" s="340"/>
      <c r="AT603" s="340"/>
      <c r="AU603" s="340"/>
      <c r="AV603" s="340"/>
      <c r="AW603" s="340"/>
      <c r="AX603" s="340"/>
      <c r="AY603" s="340"/>
      <c r="AZ603" s="340"/>
      <c r="BA603" s="340"/>
      <c r="BB603" s="340"/>
      <c r="BC603" s="340"/>
      <c r="BD603" s="340"/>
    </row>
    <row r="604" spans="3:56">
      <c r="C604" s="340"/>
      <c r="D604" s="340"/>
      <c r="E604" s="340"/>
      <c r="F604" s="340"/>
      <c r="G604" s="340"/>
      <c r="H604" s="340"/>
      <c r="I604" s="340"/>
      <c r="J604" s="340"/>
      <c r="K604" s="340"/>
      <c r="L604" s="340"/>
      <c r="M604" s="340"/>
      <c r="N604" s="340"/>
      <c r="O604" s="340"/>
      <c r="P604" s="340"/>
      <c r="Q604" s="340"/>
      <c r="R604" s="340"/>
      <c r="S604" s="340"/>
      <c r="T604" s="340"/>
      <c r="U604" s="340"/>
      <c r="V604" s="340"/>
      <c r="W604" s="340"/>
      <c r="X604" s="340"/>
      <c r="Y604" s="340"/>
      <c r="Z604" s="340"/>
      <c r="AA604" s="340"/>
      <c r="AB604" s="340"/>
      <c r="AC604" s="340"/>
      <c r="AD604" s="340"/>
      <c r="AE604" s="340"/>
      <c r="AF604" s="340"/>
      <c r="AG604" s="340"/>
      <c r="AH604" s="340"/>
      <c r="AI604" s="340"/>
      <c r="AJ604" s="340"/>
      <c r="AK604" s="340"/>
      <c r="AL604" s="340"/>
      <c r="AM604" s="340"/>
      <c r="AN604" s="340"/>
      <c r="AO604" s="340"/>
      <c r="AP604" s="340"/>
      <c r="AQ604" s="340"/>
      <c r="AR604" s="340"/>
      <c r="AS604" s="340"/>
      <c r="AT604" s="340"/>
      <c r="AU604" s="340"/>
      <c r="AV604" s="340"/>
      <c r="AW604" s="340"/>
      <c r="AX604" s="340"/>
      <c r="AY604" s="340"/>
      <c r="AZ604" s="340"/>
      <c r="BA604" s="340"/>
      <c r="BB604" s="340"/>
      <c r="BC604" s="340"/>
      <c r="BD604" s="340"/>
    </row>
    <row r="605" spans="3:56">
      <c r="C605" s="340"/>
      <c r="D605" s="340"/>
      <c r="E605" s="340"/>
      <c r="F605" s="340"/>
      <c r="G605" s="340"/>
      <c r="H605" s="340"/>
      <c r="I605" s="340"/>
      <c r="J605" s="340"/>
      <c r="K605" s="340"/>
      <c r="L605" s="340"/>
      <c r="M605" s="340"/>
      <c r="N605" s="340"/>
      <c r="O605" s="340"/>
      <c r="P605" s="340"/>
      <c r="Q605" s="340"/>
      <c r="R605" s="340"/>
      <c r="S605" s="340"/>
      <c r="T605" s="340"/>
      <c r="U605" s="340"/>
      <c r="V605" s="340"/>
      <c r="W605" s="340"/>
      <c r="X605" s="340"/>
      <c r="Y605" s="340"/>
      <c r="Z605" s="340"/>
      <c r="AA605" s="340"/>
      <c r="AB605" s="340"/>
      <c r="AC605" s="340"/>
      <c r="AD605" s="340"/>
      <c r="AE605" s="340"/>
      <c r="AF605" s="340"/>
      <c r="AG605" s="340"/>
      <c r="AH605" s="340"/>
      <c r="AI605" s="340"/>
      <c r="AJ605" s="340"/>
      <c r="AK605" s="340"/>
      <c r="AL605" s="340"/>
      <c r="AM605" s="340"/>
      <c r="AN605" s="340"/>
      <c r="AO605" s="340"/>
      <c r="AP605" s="340"/>
      <c r="AQ605" s="340"/>
      <c r="AR605" s="340"/>
      <c r="AS605" s="340"/>
      <c r="AT605" s="340"/>
      <c r="AU605" s="340"/>
      <c r="AV605" s="340"/>
      <c r="AW605" s="340"/>
      <c r="AX605" s="340"/>
      <c r="AY605" s="340"/>
      <c r="AZ605" s="340"/>
      <c r="BA605" s="340"/>
      <c r="BB605" s="340"/>
      <c r="BC605" s="340"/>
      <c r="BD605" s="340"/>
    </row>
    <row r="606" spans="3:56">
      <c r="C606" s="340"/>
      <c r="D606" s="340"/>
      <c r="E606" s="340"/>
      <c r="F606" s="340"/>
      <c r="G606" s="340"/>
      <c r="H606" s="340"/>
      <c r="I606" s="340"/>
      <c r="J606" s="340"/>
      <c r="K606" s="340"/>
      <c r="L606" s="340"/>
      <c r="M606" s="340"/>
      <c r="N606" s="340"/>
      <c r="O606" s="340"/>
      <c r="P606" s="340"/>
      <c r="Q606" s="340"/>
      <c r="R606" s="340"/>
      <c r="S606" s="340"/>
      <c r="T606" s="340"/>
      <c r="U606" s="340"/>
      <c r="V606" s="340"/>
      <c r="W606" s="340"/>
      <c r="X606" s="340"/>
      <c r="Y606" s="340"/>
      <c r="Z606" s="340"/>
      <c r="AA606" s="340"/>
      <c r="AB606" s="340"/>
      <c r="AC606" s="340"/>
      <c r="AD606" s="340"/>
      <c r="AE606" s="340"/>
      <c r="AF606" s="340"/>
      <c r="AG606" s="340"/>
      <c r="AH606" s="340"/>
      <c r="AI606" s="340"/>
      <c r="AJ606" s="340"/>
      <c r="AK606" s="340"/>
      <c r="AL606" s="340"/>
      <c r="AM606" s="340"/>
      <c r="AN606" s="340"/>
      <c r="AO606" s="340"/>
      <c r="AP606" s="340"/>
      <c r="AQ606" s="340"/>
      <c r="AR606" s="340"/>
      <c r="AS606" s="340"/>
      <c r="AT606" s="340"/>
      <c r="AU606" s="340"/>
      <c r="AV606" s="340"/>
      <c r="AW606" s="340"/>
      <c r="AX606" s="340"/>
      <c r="AY606" s="340"/>
      <c r="AZ606" s="340"/>
      <c r="BA606" s="340"/>
      <c r="BB606" s="340"/>
      <c r="BC606" s="340"/>
      <c r="BD606" s="340"/>
    </row>
    <row r="607" spans="3:56">
      <c r="C607" s="340"/>
      <c r="D607" s="340"/>
      <c r="E607" s="340"/>
      <c r="F607" s="340"/>
      <c r="G607" s="340"/>
      <c r="H607" s="340"/>
      <c r="I607" s="340"/>
      <c r="J607" s="340"/>
      <c r="K607" s="340"/>
      <c r="L607" s="340"/>
      <c r="M607" s="340"/>
      <c r="N607" s="340"/>
      <c r="O607" s="340"/>
      <c r="P607" s="340"/>
      <c r="Q607" s="340"/>
      <c r="R607" s="340"/>
      <c r="S607" s="340"/>
      <c r="T607" s="340"/>
      <c r="U607" s="340"/>
      <c r="V607" s="340"/>
      <c r="W607" s="340"/>
      <c r="X607" s="340"/>
      <c r="Y607" s="340"/>
      <c r="Z607" s="340"/>
      <c r="AA607" s="340"/>
      <c r="AB607" s="340"/>
      <c r="AC607" s="340"/>
      <c r="AD607" s="340"/>
      <c r="AE607" s="340"/>
      <c r="AF607" s="340"/>
      <c r="AG607" s="340"/>
      <c r="AH607" s="340"/>
      <c r="AI607" s="340"/>
      <c r="AJ607" s="340"/>
      <c r="AK607" s="340"/>
      <c r="AL607" s="340"/>
      <c r="AM607" s="340"/>
      <c r="AN607" s="340"/>
      <c r="AO607" s="340"/>
      <c r="AP607" s="340"/>
      <c r="AQ607" s="340"/>
      <c r="AR607" s="340"/>
      <c r="AS607" s="340"/>
      <c r="AT607" s="340"/>
      <c r="AU607" s="340"/>
      <c r="AV607" s="340"/>
      <c r="AW607" s="340"/>
      <c r="AX607" s="340"/>
      <c r="AY607" s="340"/>
      <c r="AZ607" s="340"/>
      <c r="BA607" s="340"/>
      <c r="BB607" s="340"/>
      <c r="BC607" s="340"/>
      <c r="BD607" s="340"/>
    </row>
    <row r="608" spans="3:56">
      <c r="C608" s="340"/>
      <c r="D608" s="340"/>
      <c r="E608" s="340"/>
      <c r="F608" s="340"/>
      <c r="G608" s="340"/>
      <c r="H608" s="340"/>
      <c r="I608" s="340"/>
      <c r="J608" s="340"/>
      <c r="K608" s="340"/>
      <c r="L608" s="340"/>
      <c r="M608" s="340"/>
      <c r="N608" s="340"/>
      <c r="O608" s="340"/>
      <c r="P608" s="340"/>
      <c r="Q608" s="340"/>
      <c r="R608" s="340"/>
      <c r="S608" s="340"/>
      <c r="T608" s="340"/>
      <c r="U608" s="340"/>
      <c r="V608" s="340"/>
      <c r="W608" s="340"/>
      <c r="X608" s="340"/>
      <c r="Y608" s="340"/>
      <c r="Z608" s="340"/>
      <c r="AA608" s="340"/>
      <c r="AB608" s="340"/>
      <c r="AC608" s="340"/>
      <c r="AD608" s="340"/>
      <c r="AE608" s="340"/>
      <c r="AF608" s="340"/>
      <c r="AG608" s="340"/>
      <c r="AH608" s="340"/>
      <c r="AI608" s="340"/>
      <c r="AJ608" s="340"/>
      <c r="AK608" s="340"/>
      <c r="AL608" s="340"/>
      <c r="AM608" s="340"/>
      <c r="AN608" s="340"/>
      <c r="AO608" s="340"/>
      <c r="AP608" s="340"/>
      <c r="AQ608" s="340"/>
      <c r="AR608" s="340"/>
      <c r="AS608" s="340"/>
      <c r="AT608" s="340"/>
      <c r="AU608" s="340"/>
      <c r="AV608" s="340"/>
      <c r="AW608" s="340"/>
      <c r="AX608" s="340"/>
      <c r="AY608" s="340"/>
      <c r="AZ608" s="340"/>
      <c r="BA608" s="340"/>
      <c r="BB608" s="340"/>
      <c r="BC608" s="340"/>
      <c r="BD608" s="340"/>
    </row>
    <row r="609" spans="3:56">
      <c r="C609" s="340"/>
      <c r="D609" s="340"/>
      <c r="E609" s="340"/>
      <c r="F609" s="340"/>
      <c r="G609" s="340"/>
      <c r="H609" s="340"/>
      <c r="I609" s="340"/>
      <c r="J609" s="340"/>
      <c r="K609" s="340"/>
      <c r="L609" s="340"/>
      <c r="M609" s="340"/>
      <c r="N609" s="340"/>
      <c r="O609" s="340"/>
      <c r="P609" s="340"/>
      <c r="Q609" s="340"/>
      <c r="R609" s="340"/>
      <c r="S609" s="340"/>
      <c r="T609" s="340"/>
      <c r="U609" s="340"/>
      <c r="V609" s="340"/>
      <c r="W609" s="340"/>
      <c r="X609" s="340"/>
      <c r="Y609" s="340"/>
      <c r="Z609" s="340"/>
      <c r="AA609" s="340"/>
      <c r="AB609" s="340"/>
      <c r="AC609" s="340"/>
      <c r="AD609" s="340"/>
      <c r="AE609" s="340"/>
      <c r="AF609" s="340"/>
      <c r="AG609" s="340"/>
      <c r="AH609" s="340"/>
      <c r="AI609" s="340"/>
      <c r="AJ609" s="340"/>
      <c r="AK609" s="340"/>
      <c r="AL609" s="340"/>
      <c r="AM609" s="340"/>
      <c r="AN609" s="340"/>
      <c r="AO609" s="340"/>
      <c r="AP609" s="340"/>
      <c r="AQ609" s="340"/>
      <c r="AR609" s="340"/>
      <c r="AS609" s="340"/>
      <c r="AT609" s="340"/>
      <c r="AU609" s="340"/>
      <c r="AV609" s="340"/>
      <c r="AW609" s="340"/>
      <c r="AX609" s="340"/>
      <c r="AY609" s="340"/>
      <c r="AZ609" s="340"/>
      <c r="BA609" s="340"/>
      <c r="BB609" s="340"/>
      <c r="BC609" s="340"/>
      <c r="BD609" s="340"/>
    </row>
    <row r="610" spans="3:56">
      <c r="C610" s="340"/>
      <c r="D610" s="340"/>
      <c r="E610" s="340"/>
      <c r="F610" s="340"/>
      <c r="G610" s="340"/>
      <c r="H610" s="340"/>
      <c r="I610" s="340"/>
      <c r="J610" s="340"/>
      <c r="K610" s="340"/>
      <c r="L610" s="340"/>
      <c r="M610" s="340"/>
      <c r="N610" s="340"/>
      <c r="O610" s="340"/>
      <c r="P610" s="340"/>
      <c r="Q610" s="340"/>
      <c r="R610" s="340"/>
      <c r="S610" s="340"/>
      <c r="T610" s="340"/>
      <c r="U610" s="340"/>
      <c r="V610" s="340"/>
      <c r="W610" s="340"/>
      <c r="X610" s="340"/>
      <c r="Y610" s="340"/>
      <c r="Z610" s="340"/>
      <c r="AA610" s="340"/>
      <c r="AB610" s="340"/>
      <c r="AC610" s="340"/>
      <c r="AD610" s="340"/>
      <c r="AE610" s="340"/>
      <c r="AF610" s="340"/>
      <c r="AG610" s="340"/>
      <c r="AH610" s="340"/>
      <c r="AI610" s="340"/>
      <c r="AJ610" s="340"/>
      <c r="AK610" s="340"/>
      <c r="AL610" s="340"/>
      <c r="AM610" s="340"/>
      <c r="AN610" s="340"/>
      <c r="AO610" s="340"/>
      <c r="AP610" s="340"/>
      <c r="AQ610" s="340"/>
      <c r="AR610" s="340"/>
      <c r="AS610" s="340"/>
      <c r="AT610" s="340"/>
      <c r="AU610" s="340"/>
      <c r="AV610" s="340"/>
      <c r="AW610" s="340"/>
      <c r="AX610" s="340"/>
      <c r="AY610" s="340"/>
      <c r="AZ610" s="340"/>
      <c r="BA610" s="340"/>
      <c r="BB610" s="340"/>
      <c r="BC610" s="340"/>
      <c r="BD610" s="340"/>
    </row>
    <row r="611" spans="3:56">
      <c r="C611" s="340"/>
      <c r="D611" s="340"/>
      <c r="E611" s="340"/>
      <c r="F611" s="340"/>
      <c r="G611" s="340"/>
      <c r="H611" s="340"/>
      <c r="I611" s="340"/>
      <c r="J611" s="340"/>
      <c r="K611" s="340"/>
      <c r="L611" s="340"/>
      <c r="M611" s="340"/>
      <c r="N611" s="340"/>
      <c r="O611" s="340"/>
      <c r="P611" s="340"/>
      <c r="Q611" s="340"/>
      <c r="R611" s="340"/>
      <c r="S611" s="340"/>
      <c r="T611" s="340"/>
      <c r="U611" s="340"/>
      <c r="V611" s="340"/>
      <c r="W611" s="340"/>
      <c r="X611" s="340"/>
      <c r="Y611" s="340"/>
      <c r="Z611" s="340"/>
      <c r="AA611" s="340"/>
      <c r="AB611" s="340"/>
      <c r="AC611" s="340"/>
      <c r="AD611" s="340"/>
      <c r="AE611" s="340"/>
      <c r="AF611" s="340"/>
      <c r="AG611" s="340"/>
      <c r="AH611" s="340"/>
      <c r="AI611" s="340"/>
      <c r="AJ611" s="340"/>
      <c r="AK611" s="340"/>
      <c r="AL611" s="340"/>
      <c r="AM611" s="340"/>
      <c r="AN611" s="340"/>
      <c r="AO611" s="340"/>
      <c r="AP611" s="340"/>
      <c r="AQ611" s="340"/>
      <c r="AR611" s="340"/>
      <c r="AS611" s="340"/>
      <c r="AT611" s="340"/>
      <c r="AU611" s="340"/>
      <c r="AV611" s="340"/>
      <c r="AW611" s="340"/>
      <c r="AX611" s="340"/>
      <c r="AY611" s="340"/>
      <c r="AZ611" s="340"/>
      <c r="BA611" s="340"/>
      <c r="BB611" s="340"/>
      <c r="BC611" s="340"/>
      <c r="BD611" s="340"/>
    </row>
    <row r="612" spans="3:56">
      <c r="C612" s="340"/>
      <c r="D612" s="340"/>
      <c r="E612" s="340"/>
      <c r="F612" s="340"/>
      <c r="G612" s="340"/>
      <c r="H612" s="340"/>
      <c r="I612" s="340"/>
      <c r="J612" s="340"/>
      <c r="K612" s="340"/>
      <c r="L612" s="340"/>
      <c r="M612" s="340"/>
      <c r="N612" s="340"/>
      <c r="O612" s="340"/>
      <c r="P612" s="340"/>
      <c r="Q612" s="340"/>
      <c r="R612" s="340"/>
      <c r="S612" s="340"/>
      <c r="T612" s="340"/>
      <c r="U612" s="340"/>
      <c r="V612" s="340"/>
      <c r="W612" s="340"/>
      <c r="X612" s="340"/>
      <c r="Y612" s="340"/>
      <c r="Z612" s="340"/>
      <c r="AA612" s="340"/>
      <c r="AB612" s="340"/>
      <c r="AC612" s="340"/>
      <c r="AD612" s="340"/>
      <c r="AE612" s="340"/>
      <c r="AF612" s="340"/>
      <c r="AG612" s="340"/>
      <c r="AH612" s="340"/>
      <c r="AI612" s="340"/>
      <c r="AJ612" s="340"/>
      <c r="AK612" s="340"/>
      <c r="AL612" s="340"/>
      <c r="AM612" s="340"/>
      <c r="AN612" s="340"/>
      <c r="AO612" s="340"/>
      <c r="AP612" s="340"/>
      <c r="AQ612" s="340"/>
      <c r="AR612" s="340"/>
      <c r="AS612" s="340"/>
      <c r="AT612" s="340"/>
      <c r="AU612" s="340"/>
      <c r="AV612" s="340"/>
      <c r="AW612" s="340"/>
      <c r="AX612" s="340"/>
      <c r="AY612" s="340"/>
      <c r="AZ612" s="340"/>
      <c r="BA612" s="340"/>
      <c r="BB612" s="340"/>
      <c r="BC612" s="340"/>
      <c r="BD612" s="340"/>
    </row>
    <row r="613" spans="3:56">
      <c r="C613" s="340"/>
      <c r="D613" s="340"/>
      <c r="E613" s="340"/>
      <c r="F613" s="340"/>
      <c r="G613" s="340"/>
      <c r="H613" s="340"/>
      <c r="I613" s="340"/>
      <c r="J613" s="340"/>
      <c r="K613" s="340"/>
      <c r="L613" s="340"/>
      <c r="M613" s="340"/>
      <c r="N613" s="340"/>
      <c r="O613" s="340"/>
      <c r="P613" s="340"/>
      <c r="Q613" s="340"/>
      <c r="R613" s="340"/>
      <c r="S613" s="340"/>
      <c r="T613" s="340"/>
      <c r="U613" s="340"/>
      <c r="V613" s="340"/>
      <c r="W613" s="340"/>
      <c r="X613" s="340"/>
      <c r="Y613" s="340"/>
      <c r="Z613" s="340"/>
      <c r="AA613" s="340"/>
      <c r="AB613" s="340"/>
      <c r="AC613" s="340"/>
      <c r="AD613" s="340"/>
      <c r="AE613" s="340"/>
      <c r="AF613" s="340"/>
      <c r="AG613" s="340"/>
      <c r="AH613" s="340"/>
      <c r="AI613" s="340"/>
      <c r="AJ613" s="340"/>
      <c r="AK613" s="340"/>
      <c r="AL613" s="340"/>
      <c r="AM613" s="340"/>
      <c r="AN613" s="340"/>
      <c r="AO613" s="340"/>
      <c r="AP613" s="340"/>
      <c r="AQ613" s="340"/>
      <c r="AR613" s="340"/>
      <c r="AS613" s="340"/>
      <c r="AT613" s="340"/>
      <c r="AU613" s="340"/>
      <c r="AV613" s="340"/>
      <c r="AW613" s="340"/>
      <c r="AX613" s="340"/>
      <c r="AY613" s="340"/>
      <c r="AZ613" s="340"/>
      <c r="BA613" s="340"/>
      <c r="BB613" s="340"/>
      <c r="BC613" s="340"/>
      <c r="BD613" s="340"/>
    </row>
    <row r="614" spans="3:56">
      <c r="C614" s="340"/>
      <c r="D614" s="340"/>
      <c r="E614" s="340"/>
      <c r="F614" s="340"/>
      <c r="G614" s="340"/>
      <c r="H614" s="340"/>
      <c r="I614" s="340"/>
      <c r="J614" s="340"/>
      <c r="K614" s="340"/>
      <c r="L614" s="340"/>
      <c r="M614" s="340"/>
      <c r="N614" s="340"/>
      <c r="O614" s="340"/>
      <c r="P614" s="340"/>
      <c r="Q614" s="340"/>
      <c r="R614" s="340"/>
      <c r="S614" s="340"/>
      <c r="T614" s="340"/>
      <c r="U614" s="340"/>
      <c r="V614" s="340"/>
      <c r="W614" s="340"/>
      <c r="X614" s="340"/>
      <c r="Y614" s="340"/>
      <c r="Z614" s="340"/>
      <c r="AA614" s="340"/>
      <c r="AB614" s="340"/>
      <c r="AC614" s="340"/>
      <c r="AD614" s="340"/>
      <c r="AE614" s="340"/>
      <c r="AF614" s="340"/>
      <c r="AG614" s="340"/>
      <c r="AH614" s="340"/>
      <c r="AI614" s="340"/>
      <c r="AJ614" s="340"/>
      <c r="AK614" s="340"/>
      <c r="AL614" s="340"/>
      <c r="AM614" s="340"/>
      <c r="AN614" s="340"/>
      <c r="AO614" s="340"/>
      <c r="AP614" s="340"/>
      <c r="AQ614" s="340"/>
      <c r="AR614" s="340"/>
      <c r="AS614" s="340"/>
      <c r="AT614" s="340"/>
      <c r="AU614" s="340"/>
      <c r="AV614" s="340"/>
      <c r="AW614" s="340"/>
      <c r="AX614" s="340"/>
      <c r="AY614" s="340"/>
      <c r="AZ614" s="340"/>
      <c r="BA614" s="340"/>
      <c r="BB614" s="340"/>
      <c r="BC614" s="340"/>
      <c r="BD614" s="340"/>
    </row>
    <row r="615" spans="3:56">
      <c r="C615" s="340"/>
      <c r="D615" s="340"/>
      <c r="E615" s="340"/>
      <c r="F615" s="340"/>
      <c r="G615" s="340"/>
      <c r="H615" s="340"/>
      <c r="I615" s="340"/>
      <c r="J615" s="340"/>
      <c r="K615" s="340"/>
      <c r="L615" s="340"/>
      <c r="M615" s="340"/>
      <c r="N615" s="340"/>
      <c r="O615" s="340"/>
      <c r="P615" s="340"/>
      <c r="Q615" s="340"/>
      <c r="R615" s="340"/>
      <c r="S615" s="340"/>
      <c r="T615" s="340"/>
      <c r="U615" s="340"/>
      <c r="V615" s="340"/>
      <c r="W615" s="340"/>
      <c r="X615" s="340"/>
      <c r="Y615" s="340"/>
      <c r="Z615" s="340"/>
      <c r="AA615" s="340"/>
      <c r="AB615" s="340"/>
      <c r="AC615" s="340"/>
      <c r="AD615" s="340"/>
      <c r="AE615" s="340"/>
      <c r="AF615" s="340"/>
      <c r="AG615" s="340"/>
      <c r="AH615" s="340"/>
      <c r="AI615" s="340"/>
      <c r="AJ615" s="340"/>
      <c r="AK615" s="340"/>
      <c r="AL615" s="340"/>
      <c r="AM615" s="340"/>
      <c r="AN615" s="340"/>
      <c r="AO615" s="340"/>
      <c r="AP615" s="340"/>
      <c r="AQ615" s="340"/>
      <c r="AR615" s="340"/>
      <c r="AS615" s="340"/>
      <c r="AT615" s="340"/>
      <c r="AU615" s="340"/>
      <c r="AV615" s="340"/>
      <c r="AW615" s="340"/>
      <c r="AX615" s="340"/>
      <c r="AY615" s="340"/>
      <c r="AZ615" s="340"/>
      <c r="BA615" s="340"/>
      <c r="BB615" s="340"/>
      <c r="BC615" s="340"/>
      <c r="BD615" s="340"/>
    </row>
    <row r="616" spans="3:56">
      <c r="C616" s="340"/>
      <c r="D616" s="340"/>
      <c r="E616" s="340"/>
      <c r="F616" s="340"/>
      <c r="G616" s="340"/>
      <c r="H616" s="340"/>
      <c r="I616" s="340"/>
      <c r="J616" s="340"/>
      <c r="K616" s="340"/>
      <c r="L616" s="340"/>
      <c r="M616" s="340"/>
      <c r="N616" s="340"/>
      <c r="O616" s="340"/>
      <c r="P616" s="340"/>
      <c r="Q616" s="340"/>
      <c r="R616" s="340"/>
      <c r="S616" s="340"/>
      <c r="T616" s="340"/>
      <c r="U616" s="340"/>
      <c r="V616" s="340"/>
      <c r="W616" s="340"/>
      <c r="X616" s="340"/>
      <c r="Y616" s="340"/>
      <c r="Z616" s="340"/>
      <c r="AA616" s="340"/>
      <c r="AB616" s="340"/>
      <c r="AC616" s="340"/>
      <c r="AD616" s="340"/>
      <c r="AE616" s="340"/>
      <c r="AF616" s="340"/>
      <c r="AG616" s="340"/>
      <c r="AH616" s="340"/>
      <c r="AI616" s="340"/>
      <c r="AJ616" s="340"/>
      <c r="AK616" s="340"/>
      <c r="AL616" s="340"/>
      <c r="AM616" s="340"/>
      <c r="AN616" s="340"/>
      <c r="AO616" s="340"/>
      <c r="AP616" s="340"/>
      <c r="AQ616" s="340"/>
      <c r="AR616" s="340"/>
      <c r="AS616" s="340"/>
      <c r="AT616" s="340"/>
      <c r="AU616" s="340"/>
      <c r="AV616" s="340"/>
      <c r="AW616" s="340"/>
      <c r="AX616" s="340"/>
      <c r="AY616" s="340"/>
      <c r="AZ616" s="340"/>
      <c r="BA616" s="340"/>
      <c r="BB616" s="340"/>
      <c r="BC616" s="340"/>
      <c r="BD616" s="340"/>
    </row>
    <row r="617" spans="3:56">
      <c r="C617" s="340"/>
      <c r="D617" s="340"/>
      <c r="E617" s="340"/>
      <c r="F617" s="340"/>
      <c r="G617" s="340"/>
      <c r="H617" s="340"/>
      <c r="I617" s="340"/>
      <c r="J617" s="340"/>
      <c r="K617" s="340"/>
      <c r="L617" s="340"/>
      <c r="M617" s="340"/>
      <c r="N617" s="340"/>
      <c r="O617" s="340"/>
      <c r="P617" s="340"/>
      <c r="Q617" s="340"/>
      <c r="R617" s="340"/>
      <c r="S617" s="340"/>
      <c r="T617" s="340"/>
      <c r="U617" s="340"/>
      <c r="V617" s="340"/>
      <c r="W617" s="340"/>
      <c r="X617" s="340"/>
      <c r="Y617" s="340"/>
      <c r="Z617" s="340"/>
      <c r="AA617" s="340"/>
      <c r="AB617" s="340"/>
      <c r="AC617" s="340"/>
      <c r="AD617" s="340"/>
      <c r="AE617" s="340"/>
      <c r="AF617" s="340"/>
      <c r="AG617" s="340"/>
      <c r="AH617" s="340"/>
      <c r="AI617" s="340"/>
      <c r="AJ617" s="340"/>
      <c r="AK617" s="340"/>
      <c r="AL617" s="340"/>
      <c r="AM617" s="340"/>
      <c r="AN617" s="340"/>
      <c r="AO617" s="340"/>
      <c r="AP617" s="340"/>
      <c r="AQ617" s="340"/>
      <c r="AR617" s="340"/>
      <c r="AS617" s="340"/>
      <c r="AT617" s="340"/>
      <c r="AU617" s="340"/>
      <c r="AV617" s="340"/>
      <c r="AW617" s="340"/>
      <c r="AX617" s="340"/>
      <c r="AY617" s="340"/>
      <c r="AZ617" s="340"/>
      <c r="BA617" s="340"/>
      <c r="BB617" s="340"/>
      <c r="BC617" s="340"/>
      <c r="BD617" s="340"/>
    </row>
    <row r="618" spans="3:56">
      <c r="C618" s="340"/>
      <c r="D618" s="340"/>
      <c r="E618" s="340"/>
      <c r="F618" s="340"/>
      <c r="G618" s="340"/>
      <c r="H618" s="340"/>
      <c r="I618" s="340"/>
      <c r="J618" s="340"/>
      <c r="K618" s="340"/>
      <c r="L618" s="340"/>
      <c r="M618" s="340"/>
      <c r="N618" s="340"/>
      <c r="O618" s="340"/>
      <c r="P618" s="340"/>
      <c r="Q618" s="340"/>
      <c r="R618" s="340"/>
      <c r="S618" s="340"/>
      <c r="T618" s="340"/>
      <c r="U618" s="340"/>
      <c r="V618" s="340"/>
      <c r="W618" s="340"/>
      <c r="X618" s="340"/>
      <c r="Y618" s="340"/>
      <c r="Z618" s="340"/>
      <c r="AA618" s="340"/>
      <c r="AB618" s="340"/>
      <c r="AC618" s="340"/>
      <c r="AD618" s="340"/>
      <c r="AE618" s="340"/>
      <c r="AF618" s="340"/>
      <c r="AG618" s="340"/>
      <c r="AH618" s="340"/>
      <c r="AI618" s="340"/>
      <c r="AJ618" s="340"/>
      <c r="AK618" s="340"/>
      <c r="AL618" s="340"/>
      <c r="AM618" s="340"/>
      <c r="AN618" s="340"/>
      <c r="AO618" s="340"/>
      <c r="AP618" s="340"/>
      <c r="AQ618" s="340"/>
      <c r="AR618" s="340"/>
      <c r="AS618" s="340"/>
      <c r="AT618" s="340"/>
      <c r="AU618" s="340"/>
      <c r="AV618" s="340"/>
      <c r="AW618" s="340"/>
      <c r="AX618" s="340"/>
      <c r="AY618" s="340"/>
      <c r="AZ618" s="340"/>
      <c r="BA618" s="340"/>
      <c r="BB618" s="340"/>
      <c r="BC618" s="340"/>
      <c r="BD618" s="340"/>
    </row>
    <row r="619" spans="3:56">
      <c r="C619" s="340"/>
      <c r="D619" s="340"/>
      <c r="E619" s="340"/>
      <c r="F619" s="340"/>
      <c r="G619" s="340"/>
      <c r="H619" s="340"/>
      <c r="I619" s="340"/>
      <c r="J619" s="340"/>
      <c r="K619" s="340"/>
      <c r="L619" s="340"/>
      <c r="M619" s="340"/>
      <c r="N619" s="340"/>
      <c r="O619" s="340"/>
      <c r="P619" s="340"/>
      <c r="Q619" s="340"/>
      <c r="R619" s="340"/>
      <c r="S619" s="340"/>
      <c r="T619" s="340"/>
      <c r="U619" s="340"/>
      <c r="V619" s="340"/>
      <c r="W619" s="340"/>
      <c r="X619" s="340"/>
      <c r="Y619" s="340"/>
      <c r="Z619" s="340"/>
      <c r="AA619" s="340"/>
      <c r="AB619" s="340"/>
      <c r="AC619" s="340"/>
      <c r="AD619" s="340"/>
      <c r="AE619" s="340"/>
      <c r="AF619" s="340"/>
      <c r="AG619" s="340"/>
      <c r="AH619" s="340"/>
      <c r="AI619" s="340"/>
      <c r="AJ619" s="340"/>
      <c r="AK619" s="340"/>
      <c r="AL619" s="340"/>
      <c r="AM619" s="340"/>
      <c r="AN619" s="340"/>
      <c r="AO619" s="340"/>
      <c r="AP619" s="340"/>
      <c r="AQ619" s="340"/>
      <c r="AR619" s="340"/>
      <c r="AS619" s="340"/>
      <c r="AT619" s="340"/>
      <c r="AU619" s="340"/>
      <c r="AV619" s="340"/>
      <c r="AW619" s="340"/>
      <c r="AX619" s="340"/>
      <c r="AY619" s="340"/>
      <c r="AZ619" s="340"/>
      <c r="BA619" s="340"/>
      <c r="BB619" s="340"/>
      <c r="BC619" s="340"/>
      <c r="BD619" s="340"/>
    </row>
    <row r="620" spans="3:56">
      <c r="C620" s="340"/>
      <c r="D620" s="340"/>
      <c r="E620" s="340"/>
      <c r="F620" s="340"/>
      <c r="G620" s="340"/>
      <c r="H620" s="340"/>
      <c r="I620" s="340"/>
      <c r="J620" s="340"/>
      <c r="K620" s="340"/>
      <c r="L620" s="340"/>
      <c r="M620" s="340"/>
      <c r="N620" s="340"/>
      <c r="O620" s="340"/>
      <c r="P620" s="340"/>
      <c r="Q620" s="340"/>
      <c r="R620" s="340"/>
      <c r="S620" s="340"/>
      <c r="T620" s="340"/>
      <c r="U620" s="340"/>
      <c r="V620" s="340"/>
      <c r="W620" s="340"/>
      <c r="X620" s="340"/>
      <c r="Y620" s="340"/>
      <c r="Z620" s="340"/>
      <c r="AA620" s="340"/>
      <c r="AB620" s="340"/>
      <c r="AC620" s="340"/>
      <c r="AD620" s="340"/>
      <c r="AE620" s="340"/>
      <c r="AF620" s="340"/>
      <c r="AG620" s="340"/>
      <c r="AH620" s="340"/>
      <c r="AI620" s="340"/>
      <c r="AJ620" s="340"/>
      <c r="AK620" s="340"/>
      <c r="AL620" s="340"/>
      <c r="AM620" s="340"/>
      <c r="AN620" s="340"/>
      <c r="AO620" s="340"/>
      <c r="AP620" s="340"/>
      <c r="AQ620" s="340"/>
      <c r="AR620" s="340"/>
      <c r="AS620" s="340"/>
      <c r="AT620" s="340"/>
      <c r="AU620" s="340"/>
      <c r="AV620" s="340"/>
      <c r="AW620" s="340"/>
      <c r="AX620" s="340"/>
      <c r="AY620" s="340"/>
      <c r="AZ620" s="340"/>
      <c r="BA620" s="340"/>
      <c r="BB620" s="340"/>
      <c r="BC620" s="340"/>
      <c r="BD620" s="340"/>
    </row>
    <row r="621" spans="3:56">
      <c r="C621" s="340"/>
      <c r="D621" s="340"/>
      <c r="E621" s="340"/>
      <c r="F621" s="340"/>
      <c r="G621" s="340"/>
      <c r="H621" s="340"/>
      <c r="I621" s="340"/>
      <c r="J621" s="340"/>
      <c r="K621" s="340"/>
      <c r="L621" s="340"/>
      <c r="M621" s="340"/>
      <c r="N621" s="340"/>
      <c r="O621" s="340"/>
      <c r="P621" s="340"/>
      <c r="Q621" s="340"/>
      <c r="R621" s="340"/>
      <c r="S621" s="340"/>
      <c r="T621" s="340"/>
      <c r="U621" s="340"/>
      <c r="V621" s="340"/>
      <c r="W621" s="340"/>
      <c r="X621" s="340"/>
      <c r="Y621" s="340"/>
      <c r="Z621" s="340"/>
      <c r="AA621" s="340"/>
      <c r="AB621" s="340"/>
      <c r="AC621" s="340"/>
      <c r="AD621" s="340"/>
      <c r="AE621" s="340"/>
      <c r="AF621" s="340"/>
      <c r="AG621" s="340"/>
      <c r="AH621" s="340"/>
      <c r="AI621" s="340"/>
      <c r="AJ621" s="340"/>
      <c r="AK621" s="340"/>
      <c r="AL621" s="340"/>
      <c r="AM621" s="340"/>
      <c r="AN621" s="340"/>
      <c r="AO621" s="340"/>
      <c r="AP621" s="340"/>
      <c r="AQ621" s="340"/>
      <c r="AR621" s="340"/>
      <c r="AS621" s="340"/>
      <c r="AT621" s="340"/>
      <c r="AU621" s="340"/>
      <c r="AV621" s="340"/>
      <c r="AW621" s="340"/>
      <c r="AX621" s="340"/>
      <c r="AY621" s="340"/>
      <c r="AZ621" s="340"/>
      <c r="BA621" s="340"/>
      <c r="BB621" s="340"/>
      <c r="BC621" s="340"/>
      <c r="BD621" s="340"/>
    </row>
    <row r="622" spans="3:56">
      <c r="C622" s="340"/>
      <c r="D622" s="340"/>
      <c r="E622" s="340"/>
      <c r="F622" s="340"/>
      <c r="G622" s="340"/>
      <c r="H622" s="340"/>
      <c r="I622" s="340"/>
      <c r="J622" s="340"/>
      <c r="K622" s="340"/>
      <c r="L622" s="340"/>
      <c r="M622" s="340"/>
      <c r="N622" s="340"/>
      <c r="O622" s="340"/>
      <c r="P622" s="340"/>
      <c r="Q622" s="340"/>
      <c r="R622" s="340"/>
      <c r="S622" s="340"/>
      <c r="T622" s="340"/>
      <c r="U622" s="340"/>
      <c r="V622" s="340"/>
      <c r="W622" s="340"/>
      <c r="X622" s="340"/>
      <c r="Y622" s="340"/>
      <c r="Z622" s="340"/>
      <c r="AA622" s="340"/>
      <c r="AB622" s="340"/>
      <c r="AC622" s="340"/>
      <c r="AD622" s="340"/>
      <c r="AE622" s="340"/>
      <c r="AF622" s="340"/>
      <c r="AG622" s="340"/>
      <c r="AH622" s="340"/>
      <c r="AI622" s="340"/>
      <c r="AJ622" s="340"/>
      <c r="AK622" s="340"/>
      <c r="AL622" s="340"/>
      <c r="AM622" s="340"/>
      <c r="AN622" s="340"/>
      <c r="AO622" s="340"/>
      <c r="AP622" s="340"/>
      <c r="AQ622" s="340"/>
      <c r="AR622" s="340"/>
      <c r="AS622" s="340"/>
      <c r="AT622" s="340"/>
      <c r="AU622" s="340"/>
      <c r="AV622" s="340"/>
      <c r="AW622" s="340"/>
      <c r="AX622" s="340"/>
      <c r="AY622" s="340"/>
      <c r="AZ622" s="340"/>
      <c r="BA622" s="340"/>
      <c r="BB622" s="340"/>
      <c r="BC622" s="340"/>
      <c r="BD622" s="340"/>
    </row>
    <row r="623" spans="3:56">
      <c r="C623" s="340"/>
      <c r="D623" s="340"/>
      <c r="E623" s="340"/>
      <c r="F623" s="340"/>
      <c r="G623" s="340"/>
      <c r="H623" s="340"/>
      <c r="I623" s="340"/>
      <c r="J623" s="340"/>
      <c r="K623" s="340"/>
      <c r="L623" s="340"/>
      <c r="M623" s="340"/>
      <c r="N623" s="340"/>
      <c r="O623" s="340"/>
      <c r="P623" s="340"/>
      <c r="Q623" s="340"/>
      <c r="R623" s="340"/>
      <c r="S623" s="340"/>
      <c r="T623" s="340"/>
      <c r="U623" s="340"/>
      <c r="V623" s="340"/>
      <c r="W623" s="340"/>
      <c r="X623" s="340"/>
      <c r="Y623" s="340"/>
      <c r="Z623" s="340"/>
      <c r="AA623" s="340"/>
      <c r="AB623" s="340"/>
      <c r="AC623" s="340"/>
      <c r="AD623" s="340"/>
      <c r="AE623" s="340"/>
      <c r="AF623" s="340"/>
      <c r="AG623" s="340"/>
      <c r="AH623" s="340"/>
      <c r="AI623" s="340"/>
      <c r="AJ623" s="340"/>
      <c r="AK623" s="340"/>
      <c r="AL623" s="340"/>
      <c r="AM623" s="340"/>
      <c r="AN623" s="340"/>
      <c r="AO623" s="340"/>
      <c r="AP623" s="340"/>
      <c r="AQ623" s="340"/>
      <c r="AR623" s="340"/>
      <c r="AS623" s="340"/>
      <c r="AT623" s="340"/>
      <c r="AU623" s="340"/>
      <c r="AV623" s="340"/>
      <c r="AW623" s="340"/>
      <c r="AX623" s="340"/>
      <c r="AY623" s="340"/>
      <c r="AZ623" s="340"/>
      <c r="BA623" s="340"/>
      <c r="BB623" s="340"/>
      <c r="BC623" s="340"/>
      <c r="BD623" s="340"/>
    </row>
    <row r="624" spans="3:56">
      <c r="C624" s="340"/>
      <c r="D624" s="340"/>
      <c r="E624" s="340"/>
      <c r="F624" s="340"/>
      <c r="G624" s="340"/>
      <c r="H624" s="340"/>
      <c r="I624" s="340"/>
      <c r="J624" s="340"/>
      <c r="K624" s="340"/>
      <c r="L624" s="340"/>
      <c r="M624" s="340"/>
      <c r="N624" s="340"/>
      <c r="O624" s="340"/>
      <c r="P624" s="340"/>
      <c r="Q624" s="340"/>
      <c r="R624" s="340"/>
      <c r="S624" s="340"/>
      <c r="T624" s="340"/>
      <c r="U624" s="340"/>
      <c r="V624" s="340"/>
      <c r="W624" s="340"/>
      <c r="X624" s="340"/>
      <c r="Y624" s="340"/>
      <c r="Z624" s="340"/>
      <c r="AA624" s="340"/>
      <c r="AB624" s="340"/>
      <c r="AC624" s="340"/>
      <c r="AD624" s="340"/>
      <c r="AE624" s="340"/>
      <c r="AF624" s="340"/>
      <c r="AG624" s="340"/>
      <c r="AH624" s="340"/>
      <c r="AI624" s="340"/>
      <c r="AJ624" s="340"/>
      <c r="AK624" s="340"/>
      <c r="AL624" s="340"/>
      <c r="AM624" s="340"/>
      <c r="AN624" s="340"/>
      <c r="AO624" s="340"/>
      <c r="AP624" s="340"/>
      <c r="AQ624" s="340"/>
      <c r="AR624" s="340"/>
      <c r="AS624" s="340"/>
      <c r="AT624" s="340"/>
      <c r="AU624" s="340"/>
      <c r="AV624" s="340"/>
      <c r="AW624" s="340"/>
      <c r="AX624" s="340"/>
      <c r="AY624" s="340"/>
      <c r="AZ624" s="340"/>
      <c r="BA624" s="340"/>
      <c r="BB624" s="340"/>
      <c r="BC624" s="340"/>
      <c r="BD624" s="340"/>
    </row>
    <row r="625" spans="3:56">
      <c r="C625" s="340"/>
      <c r="D625" s="340"/>
      <c r="E625" s="340"/>
      <c r="F625" s="340"/>
      <c r="G625" s="340"/>
      <c r="H625" s="340"/>
      <c r="I625" s="340"/>
      <c r="J625" s="340"/>
      <c r="K625" s="340"/>
      <c r="L625" s="340"/>
      <c r="M625" s="340"/>
      <c r="N625" s="340"/>
      <c r="O625" s="340"/>
      <c r="P625" s="340"/>
      <c r="Q625" s="340"/>
      <c r="R625" s="340"/>
      <c r="S625" s="340"/>
      <c r="T625" s="340"/>
      <c r="U625" s="340"/>
      <c r="V625" s="340"/>
      <c r="W625" s="340"/>
      <c r="X625" s="340"/>
      <c r="Y625" s="340"/>
      <c r="Z625" s="340"/>
      <c r="AA625" s="340"/>
      <c r="AB625" s="340"/>
      <c r="AC625" s="340"/>
      <c r="AD625" s="340"/>
      <c r="AE625" s="340"/>
      <c r="AF625" s="340"/>
      <c r="AG625" s="340"/>
      <c r="AH625" s="340"/>
      <c r="AI625" s="340"/>
      <c r="AJ625" s="340"/>
      <c r="AK625" s="340"/>
      <c r="AL625" s="340"/>
      <c r="AM625" s="340"/>
      <c r="AN625" s="340"/>
      <c r="AO625" s="340"/>
      <c r="AP625" s="340"/>
      <c r="AQ625" s="340"/>
      <c r="AR625" s="340"/>
      <c r="AS625" s="340"/>
      <c r="AT625" s="340"/>
      <c r="AU625" s="340"/>
      <c r="AV625" s="340"/>
      <c r="AW625" s="340"/>
      <c r="AX625" s="340"/>
      <c r="AY625" s="340"/>
      <c r="AZ625" s="340"/>
      <c r="BA625" s="340"/>
      <c r="BB625" s="340"/>
      <c r="BC625" s="340"/>
      <c r="BD625" s="340"/>
    </row>
    <row r="626" spans="3:56">
      <c r="C626" s="340"/>
      <c r="D626" s="340"/>
      <c r="E626" s="340"/>
      <c r="F626" s="340"/>
      <c r="G626" s="340"/>
      <c r="H626" s="340"/>
      <c r="I626" s="340"/>
      <c r="J626" s="340"/>
      <c r="K626" s="340"/>
      <c r="L626" s="340"/>
      <c r="M626" s="340"/>
      <c r="N626" s="340"/>
      <c r="O626" s="340"/>
      <c r="P626" s="340"/>
      <c r="Q626" s="340"/>
      <c r="R626" s="340"/>
      <c r="S626" s="340"/>
      <c r="T626" s="340"/>
      <c r="U626" s="340"/>
      <c r="V626" s="340"/>
      <c r="W626" s="340"/>
      <c r="X626" s="340"/>
      <c r="Y626" s="340"/>
      <c r="Z626" s="340"/>
      <c r="AA626" s="340"/>
      <c r="AB626" s="340"/>
      <c r="AC626" s="340"/>
      <c r="AD626" s="340"/>
      <c r="AE626" s="340"/>
      <c r="AF626" s="340"/>
      <c r="AG626" s="340"/>
      <c r="AH626" s="340"/>
      <c r="AI626" s="340"/>
      <c r="AJ626" s="340"/>
      <c r="AK626" s="340"/>
      <c r="AL626" s="340"/>
      <c r="AM626" s="340"/>
      <c r="AN626" s="340"/>
      <c r="AO626" s="340"/>
      <c r="AP626" s="340"/>
      <c r="AQ626" s="340"/>
      <c r="AR626" s="340"/>
      <c r="AS626" s="340"/>
      <c r="AT626" s="340"/>
      <c r="AU626" s="340"/>
      <c r="AV626" s="340"/>
      <c r="AW626" s="340"/>
      <c r="AX626" s="340"/>
      <c r="AY626" s="340"/>
      <c r="AZ626" s="340"/>
      <c r="BA626" s="340"/>
      <c r="BB626" s="340"/>
      <c r="BC626" s="340"/>
      <c r="BD626" s="340"/>
    </row>
    <row r="627" spans="3:56">
      <c r="C627" s="340"/>
      <c r="D627" s="340"/>
      <c r="E627" s="340"/>
      <c r="F627" s="340"/>
      <c r="G627" s="340"/>
      <c r="H627" s="340"/>
      <c r="I627" s="340"/>
      <c r="J627" s="340"/>
      <c r="K627" s="340"/>
      <c r="L627" s="340"/>
      <c r="M627" s="340"/>
      <c r="N627" s="340"/>
      <c r="O627" s="340"/>
      <c r="P627" s="340"/>
      <c r="Q627" s="340"/>
      <c r="R627" s="340"/>
      <c r="S627" s="340"/>
      <c r="T627" s="340"/>
      <c r="U627" s="340"/>
      <c r="V627" s="340"/>
      <c r="W627" s="340"/>
      <c r="X627" s="340"/>
      <c r="Y627" s="340"/>
      <c r="Z627" s="340"/>
      <c r="AA627" s="340"/>
      <c r="AB627" s="340"/>
      <c r="AC627" s="340"/>
      <c r="AD627" s="340"/>
      <c r="AE627" s="340"/>
      <c r="AF627" s="340"/>
      <c r="AG627" s="340"/>
      <c r="AH627" s="340"/>
      <c r="AI627" s="340"/>
      <c r="AJ627" s="340"/>
      <c r="AK627" s="340"/>
      <c r="AL627" s="340"/>
      <c r="AM627" s="340"/>
      <c r="AN627" s="340"/>
      <c r="AO627" s="340"/>
      <c r="AP627" s="340"/>
      <c r="AQ627" s="340"/>
      <c r="AR627" s="340"/>
      <c r="AS627" s="340"/>
      <c r="AT627" s="340"/>
      <c r="AU627" s="340"/>
      <c r="AV627" s="340"/>
      <c r="AW627" s="340"/>
      <c r="AX627" s="340"/>
      <c r="AY627" s="340"/>
      <c r="AZ627" s="340"/>
      <c r="BA627" s="340"/>
      <c r="BB627" s="340"/>
      <c r="BC627" s="340"/>
      <c r="BD627" s="340"/>
    </row>
    <row r="628" spans="3:56">
      <c r="C628" s="340"/>
      <c r="D628" s="340"/>
      <c r="E628" s="340"/>
      <c r="F628" s="340"/>
      <c r="G628" s="340"/>
      <c r="H628" s="340"/>
      <c r="I628" s="340"/>
      <c r="J628" s="340"/>
      <c r="K628" s="340"/>
      <c r="L628" s="340"/>
      <c r="M628" s="340"/>
      <c r="N628" s="340"/>
      <c r="O628" s="340"/>
      <c r="P628" s="340"/>
      <c r="Q628" s="340"/>
      <c r="R628" s="340"/>
      <c r="S628" s="340"/>
      <c r="T628" s="340"/>
      <c r="U628" s="340"/>
      <c r="V628" s="340"/>
      <c r="W628" s="340"/>
      <c r="X628" s="340"/>
      <c r="Y628" s="340"/>
      <c r="Z628" s="340"/>
      <c r="AA628" s="340"/>
      <c r="AB628" s="340"/>
      <c r="AC628" s="340"/>
      <c r="AD628" s="340"/>
      <c r="AE628" s="340"/>
      <c r="AF628" s="340"/>
      <c r="AG628" s="340"/>
      <c r="AH628" s="340"/>
      <c r="AI628" s="340"/>
      <c r="AJ628" s="340"/>
      <c r="AK628" s="340"/>
      <c r="AL628" s="340"/>
      <c r="AM628" s="340"/>
      <c r="AN628" s="340"/>
      <c r="AO628" s="340"/>
      <c r="AP628" s="340"/>
      <c r="AQ628" s="340"/>
      <c r="AR628" s="340"/>
      <c r="AS628" s="340"/>
      <c r="AT628" s="340"/>
      <c r="AU628" s="340"/>
      <c r="AV628" s="340"/>
      <c r="AW628" s="340"/>
      <c r="AX628" s="340"/>
      <c r="AY628" s="340"/>
      <c r="AZ628" s="340"/>
      <c r="BA628" s="340"/>
      <c r="BB628" s="340"/>
      <c r="BC628" s="340"/>
      <c r="BD628" s="340"/>
    </row>
    <row r="629" spans="3:56">
      <c r="C629" s="340"/>
      <c r="D629" s="340"/>
      <c r="E629" s="340"/>
      <c r="F629" s="340"/>
      <c r="G629" s="340"/>
      <c r="H629" s="340"/>
      <c r="I629" s="340"/>
      <c r="J629" s="340"/>
      <c r="K629" s="340"/>
      <c r="L629" s="340"/>
      <c r="M629" s="340"/>
      <c r="N629" s="340"/>
      <c r="O629" s="340"/>
      <c r="P629" s="340"/>
      <c r="Q629" s="340"/>
      <c r="R629" s="340"/>
      <c r="S629" s="340"/>
      <c r="T629" s="340"/>
      <c r="U629" s="340"/>
      <c r="V629" s="340"/>
      <c r="W629" s="340"/>
      <c r="X629" s="340"/>
      <c r="Y629" s="340"/>
      <c r="Z629" s="340"/>
      <c r="AA629" s="340"/>
      <c r="AB629" s="340"/>
      <c r="AC629" s="340"/>
      <c r="AD629" s="340"/>
      <c r="AE629" s="340"/>
      <c r="AF629" s="340"/>
      <c r="AG629" s="340"/>
      <c r="AH629" s="340"/>
      <c r="AI629" s="340"/>
      <c r="AJ629" s="340"/>
      <c r="AK629" s="340"/>
      <c r="AL629" s="340"/>
      <c r="AM629" s="340"/>
      <c r="AN629" s="340"/>
      <c r="AO629" s="340"/>
      <c r="AP629" s="340"/>
      <c r="AQ629" s="340"/>
      <c r="AR629" s="340"/>
      <c r="AS629" s="340"/>
      <c r="AT629" s="340"/>
      <c r="AU629" s="340"/>
      <c r="AV629" s="340"/>
      <c r="AW629" s="340"/>
      <c r="AX629" s="340"/>
      <c r="AY629" s="340"/>
      <c r="AZ629" s="340"/>
      <c r="BA629" s="340"/>
      <c r="BB629" s="340"/>
      <c r="BC629" s="340"/>
      <c r="BD629" s="340"/>
    </row>
    <row r="630" spans="3:56">
      <c r="C630" s="340"/>
      <c r="D630" s="340"/>
      <c r="E630" s="340"/>
      <c r="F630" s="340"/>
      <c r="G630" s="340"/>
      <c r="H630" s="340"/>
      <c r="I630" s="340"/>
      <c r="J630" s="340"/>
      <c r="K630" s="340"/>
      <c r="L630" s="340"/>
      <c r="M630" s="340"/>
      <c r="N630" s="340"/>
      <c r="O630" s="340"/>
      <c r="P630" s="340"/>
      <c r="Q630" s="340"/>
      <c r="R630" s="340"/>
      <c r="S630" s="340"/>
      <c r="T630" s="340"/>
      <c r="U630" s="340"/>
      <c r="V630" s="340"/>
      <c r="W630" s="340"/>
      <c r="X630" s="340"/>
      <c r="Y630" s="340"/>
      <c r="Z630" s="340"/>
      <c r="AA630" s="340"/>
      <c r="AB630" s="340"/>
      <c r="AC630" s="340"/>
      <c r="AD630" s="340"/>
      <c r="AE630" s="340"/>
      <c r="AF630" s="340"/>
      <c r="AG630" s="340"/>
      <c r="AH630" s="340"/>
      <c r="AI630" s="340"/>
      <c r="AJ630" s="340"/>
      <c r="AK630" s="340"/>
      <c r="AL630" s="340"/>
      <c r="AM630" s="340"/>
      <c r="AN630" s="340"/>
      <c r="AO630" s="340"/>
      <c r="AP630" s="340"/>
      <c r="AQ630" s="340"/>
      <c r="AR630" s="340"/>
      <c r="AS630" s="340"/>
      <c r="AT630" s="340"/>
      <c r="AU630" s="340"/>
      <c r="AV630" s="340"/>
      <c r="AW630" s="340"/>
      <c r="AX630" s="340"/>
      <c r="AY630" s="340"/>
      <c r="AZ630" s="340"/>
      <c r="BA630" s="340"/>
      <c r="BB630" s="340"/>
      <c r="BC630" s="340"/>
      <c r="BD630" s="340"/>
    </row>
    <row r="631" spans="3:56">
      <c r="C631" s="340"/>
      <c r="D631" s="340"/>
      <c r="E631" s="340"/>
      <c r="F631" s="340"/>
      <c r="G631" s="340"/>
      <c r="H631" s="340"/>
      <c r="I631" s="340"/>
      <c r="J631" s="340"/>
      <c r="K631" s="340"/>
      <c r="L631" s="340"/>
      <c r="M631" s="340"/>
      <c r="N631" s="340"/>
      <c r="O631" s="340"/>
      <c r="P631" s="340"/>
      <c r="Q631" s="340"/>
      <c r="R631" s="340"/>
      <c r="S631" s="340"/>
      <c r="T631" s="340"/>
      <c r="U631" s="340"/>
      <c r="V631" s="340"/>
      <c r="W631" s="340"/>
      <c r="X631" s="340"/>
      <c r="Y631" s="340"/>
      <c r="Z631" s="340"/>
      <c r="AA631" s="340"/>
      <c r="AB631" s="340"/>
      <c r="AC631" s="340"/>
      <c r="AD631" s="340"/>
      <c r="AE631" s="340"/>
      <c r="AF631" s="340"/>
      <c r="AG631" s="340"/>
      <c r="AH631" s="340"/>
      <c r="AI631" s="340"/>
      <c r="AJ631" s="340"/>
      <c r="AK631" s="340"/>
      <c r="AL631" s="340"/>
      <c r="AM631" s="340"/>
      <c r="AN631" s="340"/>
      <c r="AO631" s="340"/>
      <c r="AP631" s="340"/>
      <c r="AQ631" s="340"/>
      <c r="AR631" s="340"/>
      <c r="AS631" s="340"/>
      <c r="AT631" s="340"/>
      <c r="AU631" s="340"/>
      <c r="AV631" s="340"/>
      <c r="AW631" s="340"/>
      <c r="AX631" s="340"/>
      <c r="AY631" s="340"/>
      <c r="AZ631" s="340"/>
      <c r="BA631" s="340"/>
      <c r="BB631" s="340"/>
      <c r="BC631" s="340"/>
      <c r="BD631" s="340"/>
    </row>
    <row r="632" spans="3:56">
      <c r="C632" s="340"/>
      <c r="D632" s="340"/>
      <c r="E632" s="340"/>
      <c r="F632" s="340"/>
      <c r="G632" s="340"/>
      <c r="H632" s="340"/>
      <c r="I632" s="340"/>
      <c r="J632" s="340"/>
      <c r="K632" s="340"/>
      <c r="L632" s="340"/>
      <c r="M632" s="340"/>
      <c r="N632" s="340"/>
      <c r="O632" s="340"/>
      <c r="P632" s="340"/>
      <c r="Q632" s="340"/>
      <c r="R632" s="340"/>
      <c r="S632" s="340"/>
      <c r="T632" s="340"/>
      <c r="U632" s="340"/>
      <c r="V632" s="340"/>
      <c r="W632" s="340"/>
      <c r="X632" s="340"/>
      <c r="Y632" s="340"/>
      <c r="Z632" s="340"/>
      <c r="AA632" s="340"/>
      <c r="AB632" s="340"/>
      <c r="AC632" s="340"/>
      <c r="AD632" s="340"/>
      <c r="AE632" s="340"/>
      <c r="AF632" s="340"/>
      <c r="AG632" s="340"/>
      <c r="AH632" s="340"/>
      <c r="AI632" s="340"/>
      <c r="AJ632" s="340"/>
      <c r="AK632" s="340"/>
      <c r="AL632" s="340"/>
      <c r="AM632" s="340"/>
      <c r="AN632" s="340"/>
      <c r="AO632" s="340"/>
      <c r="AP632" s="340"/>
      <c r="AQ632" s="340"/>
      <c r="AR632" s="340"/>
      <c r="AS632" s="340"/>
      <c r="AT632" s="340"/>
      <c r="AU632" s="340"/>
      <c r="AV632" s="340"/>
      <c r="AW632" s="340"/>
      <c r="AX632" s="340"/>
      <c r="AY632" s="340"/>
      <c r="AZ632" s="340"/>
      <c r="BA632" s="340"/>
      <c r="BB632" s="340"/>
      <c r="BC632" s="340"/>
      <c r="BD632" s="340"/>
    </row>
    <row r="633" spans="3:56">
      <c r="C633" s="340"/>
      <c r="D633" s="340"/>
      <c r="E633" s="340"/>
      <c r="F633" s="340"/>
      <c r="G633" s="340"/>
      <c r="H633" s="340"/>
      <c r="I633" s="340"/>
      <c r="J633" s="340"/>
      <c r="K633" s="340"/>
      <c r="L633" s="340"/>
      <c r="M633" s="340"/>
      <c r="N633" s="340"/>
      <c r="O633" s="340"/>
      <c r="P633" s="340"/>
      <c r="Q633" s="340"/>
      <c r="R633" s="340"/>
      <c r="S633" s="340"/>
      <c r="T633" s="340"/>
      <c r="U633" s="340"/>
      <c r="V633" s="340"/>
      <c r="W633" s="340"/>
      <c r="X633" s="340"/>
      <c r="Y633" s="340"/>
      <c r="Z633" s="340"/>
      <c r="AA633" s="340"/>
      <c r="AB633" s="340"/>
      <c r="AC633" s="340"/>
      <c r="AD633" s="340"/>
      <c r="AE633" s="340"/>
      <c r="AF633" s="340"/>
      <c r="AG633" s="340"/>
      <c r="AH633" s="340"/>
      <c r="AI633" s="340"/>
      <c r="AJ633" s="340"/>
      <c r="AK633" s="340"/>
      <c r="AL633" s="340"/>
      <c r="AM633" s="340"/>
      <c r="AN633" s="340"/>
      <c r="AO633" s="340"/>
      <c r="AP633" s="340"/>
      <c r="AQ633" s="340"/>
      <c r="AR633" s="340"/>
      <c r="AS633" s="340"/>
      <c r="AT633" s="340"/>
      <c r="AU633" s="340"/>
      <c r="AV633" s="340"/>
      <c r="AW633" s="340"/>
      <c r="AX633" s="340"/>
      <c r="AY633" s="340"/>
      <c r="AZ633" s="340"/>
      <c r="BA633" s="340"/>
      <c r="BB633" s="340"/>
      <c r="BC633" s="340"/>
      <c r="BD633" s="340"/>
    </row>
    <row r="634" spans="3:56">
      <c r="C634" s="340"/>
      <c r="D634" s="340"/>
      <c r="E634" s="340"/>
      <c r="F634" s="340"/>
      <c r="G634" s="340"/>
      <c r="H634" s="340"/>
      <c r="I634" s="340"/>
      <c r="J634" s="340"/>
      <c r="K634" s="340"/>
      <c r="L634" s="340"/>
      <c r="M634" s="340"/>
      <c r="N634" s="340"/>
      <c r="O634" s="340"/>
      <c r="P634" s="340"/>
      <c r="Q634" s="340"/>
      <c r="R634" s="340"/>
      <c r="S634" s="340"/>
      <c r="T634" s="340"/>
      <c r="U634" s="340"/>
      <c r="V634" s="340"/>
      <c r="W634" s="340"/>
      <c r="X634" s="340"/>
      <c r="Y634" s="340"/>
      <c r="Z634" s="340"/>
      <c r="AA634" s="340"/>
      <c r="AB634" s="340"/>
      <c r="AC634" s="340"/>
      <c r="AD634" s="340"/>
      <c r="AE634" s="340"/>
      <c r="AF634" s="340"/>
      <c r="AG634" s="340"/>
      <c r="AH634" s="340"/>
      <c r="AI634" s="340"/>
      <c r="AJ634" s="340"/>
      <c r="AK634" s="340"/>
      <c r="AL634" s="340"/>
      <c r="AM634" s="340"/>
      <c r="AN634" s="340"/>
      <c r="AO634" s="340"/>
      <c r="AP634" s="340"/>
      <c r="AQ634" s="340"/>
      <c r="AR634" s="340"/>
      <c r="AS634" s="340"/>
      <c r="AT634" s="340"/>
      <c r="AU634" s="340"/>
      <c r="AV634" s="340"/>
      <c r="AW634" s="340"/>
      <c r="AX634" s="340"/>
      <c r="AY634" s="340"/>
      <c r="AZ634" s="340"/>
      <c r="BA634" s="340"/>
      <c r="BB634" s="340"/>
      <c r="BC634" s="340"/>
      <c r="BD634" s="340"/>
    </row>
    <row r="635" spans="3:56">
      <c r="C635" s="340"/>
      <c r="D635" s="340"/>
      <c r="E635" s="340"/>
      <c r="F635" s="340"/>
      <c r="G635" s="340"/>
      <c r="H635" s="340"/>
      <c r="I635" s="340"/>
      <c r="J635" s="340"/>
      <c r="K635" s="340"/>
      <c r="L635" s="340"/>
      <c r="M635" s="340"/>
      <c r="N635" s="340"/>
      <c r="O635" s="340"/>
      <c r="P635" s="340"/>
      <c r="Q635" s="340"/>
      <c r="R635" s="340"/>
      <c r="S635" s="340"/>
      <c r="T635" s="340"/>
      <c r="U635" s="340"/>
      <c r="V635" s="340"/>
      <c r="W635" s="340"/>
      <c r="X635" s="340"/>
      <c r="Y635" s="340"/>
      <c r="Z635" s="340"/>
      <c r="AA635" s="340"/>
      <c r="AB635" s="340"/>
      <c r="AC635" s="340"/>
      <c r="AD635" s="340"/>
      <c r="AE635" s="340"/>
      <c r="AF635" s="340"/>
      <c r="AG635" s="340"/>
      <c r="AH635" s="340"/>
      <c r="AI635" s="340"/>
      <c r="AJ635" s="340"/>
      <c r="AK635" s="340"/>
      <c r="AL635" s="340"/>
      <c r="AM635" s="340"/>
      <c r="AN635" s="340"/>
      <c r="AO635" s="340"/>
      <c r="AP635" s="340"/>
      <c r="AQ635" s="340"/>
      <c r="AR635" s="340"/>
      <c r="AS635" s="340"/>
      <c r="AT635" s="340"/>
      <c r="AU635" s="340"/>
      <c r="AV635" s="340"/>
      <c r="AW635" s="340"/>
      <c r="AX635" s="340"/>
      <c r="AY635" s="340"/>
      <c r="AZ635" s="340"/>
      <c r="BA635" s="340"/>
      <c r="BB635" s="340"/>
      <c r="BC635" s="340"/>
      <c r="BD635" s="340"/>
    </row>
    <row r="636" spans="3:56">
      <c r="C636" s="340"/>
      <c r="D636" s="340"/>
      <c r="E636" s="340"/>
      <c r="F636" s="340"/>
      <c r="G636" s="340"/>
      <c r="H636" s="340"/>
      <c r="I636" s="340"/>
      <c r="J636" s="340"/>
      <c r="K636" s="340"/>
      <c r="L636" s="340"/>
      <c r="M636" s="340"/>
      <c r="N636" s="340"/>
      <c r="O636" s="340"/>
      <c r="P636" s="340"/>
      <c r="Q636" s="340"/>
      <c r="R636" s="340"/>
      <c r="S636" s="340"/>
      <c r="T636" s="340"/>
      <c r="U636" s="340"/>
      <c r="V636" s="340"/>
      <c r="W636" s="340"/>
      <c r="X636" s="340"/>
      <c r="Y636" s="340"/>
      <c r="Z636" s="340"/>
      <c r="AA636" s="340"/>
      <c r="AB636" s="340"/>
      <c r="AC636" s="340"/>
      <c r="AD636" s="340"/>
      <c r="AE636" s="340"/>
      <c r="AF636" s="340"/>
      <c r="AG636" s="340"/>
      <c r="AH636" s="340"/>
      <c r="AI636" s="340"/>
      <c r="AJ636" s="340"/>
      <c r="AK636" s="340"/>
      <c r="AL636" s="340"/>
      <c r="AM636" s="340"/>
      <c r="AN636" s="340"/>
      <c r="AO636" s="340"/>
      <c r="AP636" s="340"/>
      <c r="AQ636" s="340"/>
      <c r="AR636" s="340"/>
      <c r="AS636" s="340"/>
      <c r="AT636" s="340"/>
      <c r="AU636" s="340"/>
      <c r="AV636" s="340"/>
      <c r="AW636" s="340"/>
      <c r="AX636" s="340"/>
      <c r="AY636" s="340"/>
      <c r="AZ636" s="340"/>
      <c r="BA636" s="340"/>
      <c r="BB636" s="340"/>
      <c r="BC636" s="340"/>
      <c r="BD636" s="340"/>
    </row>
    <row r="637" spans="3:56">
      <c r="C637" s="340"/>
      <c r="D637" s="340"/>
      <c r="E637" s="340"/>
      <c r="F637" s="340"/>
      <c r="G637" s="340"/>
      <c r="H637" s="340"/>
      <c r="I637" s="340"/>
      <c r="J637" s="340"/>
      <c r="K637" s="340"/>
      <c r="L637" s="340"/>
      <c r="M637" s="340"/>
      <c r="N637" s="340"/>
      <c r="O637" s="340"/>
      <c r="P637" s="340"/>
      <c r="Q637" s="340"/>
      <c r="R637" s="340"/>
      <c r="S637" s="340"/>
      <c r="T637" s="340"/>
      <c r="U637" s="340"/>
      <c r="V637" s="340"/>
      <c r="W637" s="340"/>
      <c r="X637" s="340"/>
      <c r="Y637" s="340"/>
      <c r="Z637" s="340"/>
      <c r="AA637" s="340"/>
      <c r="AB637" s="340"/>
      <c r="AC637" s="340"/>
      <c r="AD637" s="340"/>
      <c r="AE637" s="340"/>
      <c r="AF637" s="340"/>
      <c r="AG637" s="340"/>
      <c r="AH637" s="340"/>
      <c r="AI637" s="340"/>
      <c r="AJ637" s="340"/>
      <c r="AK637" s="340"/>
      <c r="AL637" s="340"/>
      <c r="AM637" s="340"/>
      <c r="AN637" s="340"/>
      <c r="AO637" s="340"/>
      <c r="AP637" s="340"/>
      <c r="AQ637" s="340"/>
      <c r="AR637" s="340"/>
      <c r="AS637" s="340"/>
      <c r="AT637" s="340"/>
      <c r="AU637" s="340"/>
      <c r="AV637" s="340"/>
      <c r="AW637" s="340"/>
      <c r="AX637" s="340"/>
      <c r="AY637" s="340"/>
      <c r="AZ637" s="340"/>
      <c r="BA637" s="340"/>
      <c r="BB637" s="340"/>
      <c r="BC637" s="340"/>
      <c r="BD637" s="340"/>
    </row>
    <row r="638" spans="3:56">
      <c r="C638" s="340"/>
      <c r="D638" s="340"/>
      <c r="E638" s="340"/>
      <c r="F638" s="340"/>
      <c r="G638" s="340"/>
      <c r="H638" s="340"/>
      <c r="I638" s="340"/>
      <c r="J638" s="340"/>
      <c r="K638" s="340"/>
      <c r="L638" s="340"/>
      <c r="M638" s="340"/>
      <c r="N638" s="340"/>
      <c r="O638" s="340"/>
      <c r="P638" s="340"/>
      <c r="Q638" s="340"/>
      <c r="R638" s="340"/>
      <c r="S638" s="340"/>
      <c r="T638" s="340"/>
      <c r="U638" s="340"/>
      <c r="V638" s="340"/>
      <c r="W638" s="340"/>
      <c r="X638" s="340"/>
      <c r="Y638" s="340"/>
      <c r="Z638" s="340"/>
      <c r="AA638" s="340"/>
      <c r="AB638" s="340"/>
      <c r="AC638" s="340"/>
      <c r="AD638" s="340"/>
      <c r="AE638" s="340"/>
      <c r="AF638" s="340"/>
      <c r="AG638" s="340"/>
      <c r="AH638" s="340"/>
      <c r="AI638" s="340"/>
      <c r="AJ638" s="340"/>
      <c r="AK638" s="340"/>
      <c r="AL638" s="340"/>
      <c r="AM638" s="340"/>
      <c r="AN638" s="340"/>
      <c r="AO638" s="340"/>
      <c r="AP638" s="340"/>
      <c r="AQ638" s="340"/>
      <c r="AR638" s="340"/>
      <c r="AS638" s="340"/>
      <c r="AT638" s="340"/>
      <c r="AU638" s="340"/>
      <c r="AV638" s="340"/>
      <c r="AW638" s="340"/>
      <c r="AX638" s="340"/>
      <c r="AY638" s="340"/>
      <c r="AZ638" s="340"/>
      <c r="BA638" s="340"/>
      <c r="BB638" s="340"/>
      <c r="BC638" s="340"/>
      <c r="BD638" s="340"/>
    </row>
    <row r="639" spans="3:56">
      <c r="C639" s="340"/>
      <c r="D639" s="340"/>
      <c r="E639" s="340"/>
      <c r="F639" s="340"/>
      <c r="G639" s="340"/>
      <c r="H639" s="340"/>
      <c r="I639" s="340"/>
      <c r="J639" s="340"/>
      <c r="K639" s="340"/>
      <c r="L639" s="340"/>
      <c r="M639" s="340"/>
      <c r="N639" s="340"/>
      <c r="O639" s="340"/>
      <c r="P639" s="340"/>
      <c r="Q639" s="340"/>
      <c r="R639" s="340"/>
      <c r="S639" s="340"/>
      <c r="T639" s="340"/>
      <c r="U639" s="340"/>
      <c r="V639" s="340"/>
      <c r="W639" s="340"/>
      <c r="X639" s="340"/>
      <c r="Y639" s="340"/>
      <c r="Z639" s="340"/>
      <c r="AA639" s="340"/>
      <c r="AB639" s="340"/>
      <c r="AC639" s="340"/>
      <c r="AD639" s="340"/>
      <c r="AE639" s="340"/>
      <c r="AF639" s="340"/>
      <c r="AG639" s="340"/>
      <c r="AH639" s="340"/>
      <c r="AI639" s="340"/>
      <c r="AJ639" s="340"/>
      <c r="AK639" s="340"/>
      <c r="AL639" s="340"/>
      <c r="AM639" s="340"/>
      <c r="AN639" s="340"/>
      <c r="AO639" s="340"/>
      <c r="AP639" s="340"/>
      <c r="AQ639" s="340"/>
      <c r="AR639" s="340"/>
      <c r="AS639" s="340"/>
      <c r="AT639" s="340"/>
      <c r="AU639" s="340"/>
      <c r="AV639" s="340"/>
      <c r="AW639" s="340"/>
      <c r="AX639" s="340"/>
      <c r="AY639" s="340"/>
      <c r="AZ639" s="340"/>
      <c r="BA639" s="340"/>
      <c r="BB639" s="340"/>
      <c r="BC639" s="340"/>
      <c r="BD639" s="340"/>
    </row>
    <row r="640" spans="3:56">
      <c r="C640" s="340"/>
      <c r="D640" s="340"/>
      <c r="E640" s="340"/>
      <c r="F640" s="340"/>
      <c r="G640" s="340"/>
      <c r="H640" s="340"/>
      <c r="I640" s="340"/>
      <c r="J640" s="340"/>
      <c r="K640" s="340"/>
      <c r="L640" s="340"/>
      <c r="M640" s="340"/>
      <c r="N640" s="340"/>
      <c r="O640" s="340"/>
      <c r="P640" s="340"/>
      <c r="Q640" s="340"/>
      <c r="R640" s="340"/>
      <c r="S640" s="340"/>
      <c r="T640" s="340"/>
      <c r="U640" s="340"/>
      <c r="V640" s="340"/>
      <c r="W640" s="340"/>
      <c r="X640" s="340"/>
      <c r="Y640" s="340"/>
      <c r="Z640" s="340"/>
      <c r="AA640" s="340"/>
      <c r="AB640" s="340"/>
      <c r="AC640" s="340"/>
      <c r="AD640" s="340"/>
      <c r="AE640" s="340"/>
      <c r="AF640" s="340"/>
      <c r="AG640" s="340"/>
      <c r="AH640" s="340"/>
      <c r="AI640" s="340"/>
      <c r="AJ640" s="340"/>
      <c r="AK640" s="340"/>
      <c r="AL640" s="340"/>
      <c r="AM640" s="340"/>
      <c r="AN640" s="340"/>
      <c r="AO640" s="340"/>
      <c r="AP640" s="340"/>
      <c r="AQ640" s="340"/>
      <c r="AR640" s="340"/>
      <c r="AS640" s="340"/>
      <c r="AT640" s="340"/>
      <c r="AU640" s="340"/>
      <c r="AV640" s="340"/>
      <c r="AW640" s="340"/>
      <c r="AX640" s="340"/>
      <c r="AY640" s="340"/>
      <c r="AZ640" s="340"/>
      <c r="BA640" s="340"/>
      <c r="BB640" s="340"/>
      <c r="BC640" s="340"/>
      <c r="BD640" s="340"/>
    </row>
    <row r="641" spans="3:56">
      <c r="C641" s="340"/>
      <c r="D641" s="340"/>
      <c r="E641" s="340"/>
      <c r="F641" s="340"/>
      <c r="G641" s="340"/>
      <c r="H641" s="340"/>
      <c r="I641" s="340"/>
      <c r="J641" s="340"/>
      <c r="K641" s="340"/>
      <c r="L641" s="340"/>
      <c r="M641" s="340"/>
      <c r="N641" s="340"/>
      <c r="O641" s="340"/>
      <c r="P641" s="340"/>
      <c r="Q641" s="340"/>
      <c r="R641" s="340"/>
      <c r="S641" s="340"/>
      <c r="T641" s="340"/>
      <c r="U641" s="340"/>
      <c r="V641" s="340"/>
      <c r="W641" s="340"/>
      <c r="X641" s="340"/>
      <c r="Y641" s="340"/>
      <c r="Z641" s="340"/>
      <c r="AA641" s="340"/>
      <c r="AB641" s="340"/>
      <c r="AC641" s="340"/>
      <c r="AD641" s="340"/>
      <c r="AE641" s="340"/>
      <c r="AF641" s="340"/>
      <c r="AG641" s="340"/>
      <c r="AH641" s="340"/>
      <c r="AI641" s="340"/>
      <c r="AJ641" s="340"/>
      <c r="AK641" s="340"/>
      <c r="AL641" s="340"/>
      <c r="AM641" s="340"/>
      <c r="AN641" s="340"/>
      <c r="AO641" s="340"/>
      <c r="AP641" s="340"/>
      <c r="AQ641" s="340"/>
      <c r="AR641" s="340"/>
      <c r="AS641" s="340"/>
      <c r="AT641" s="340"/>
      <c r="AU641" s="340"/>
      <c r="AV641" s="340"/>
      <c r="AW641" s="340"/>
      <c r="AX641" s="340"/>
      <c r="AY641" s="340"/>
      <c r="AZ641" s="340"/>
      <c r="BA641" s="340"/>
      <c r="BB641" s="340"/>
      <c r="BC641" s="340"/>
      <c r="BD641" s="340"/>
    </row>
    <row r="642" spans="3:56">
      <c r="C642" s="340"/>
      <c r="D642" s="340"/>
      <c r="E642" s="340"/>
      <c r="F642" s="340"/>
      <c r="G642" s="340"/>
      <c r="H642" s="340"/>
      <c r="I642" s="340"/>
      <c r="J642" s="340"/>
      <c r="K642" s="340"/>
      <c r="L642" s="340"/>
      <c r="M642" s="340"/>
      <c r="N642" s="340"/>
      <c r="O642" s="340"/>
      <c r="P642" s="340"/>
      <c r="Q642" s="340"/>
      <c r="R642" s="340"/>
      <c r="S642" s="340"/>
      <c r="T642" s="340"/>
      <c r="U642" s="340"/>
      <c r="V642" s="340"/>
      <c r="W642" s="340"/>
      <c r="X642" s="340"/>
      <c r="Y642" s="340"/>
      <c r="Z642" s="340"/>
      <c r="AA642" s="340"/>
      <c r="AB642" s="340"/>
      <c r="AC642" s="340"/>
      <c r="AD642" s="340"/>
      <c r="AE642" s="340"/>
      <c r="AF642" s="340"/>
      <c r="AG642" s="340"/>
      <c r="AH642" s="340"/>
      <c r="AI642" s="340"/>
      <c r="AJ642" s="340"/>
      <c r="AK642" s="340"/>
      <c r="AL642" s="340"/>
      <c r="AM642" s="340"/>
      <c r="AN642" s="340"/>
      <c r="AO642" s="340"/>
      <c r="AP642" s="340"/>
      <c r="AQ642" s="340"/>
      <c r="AR642" s="340"/>
      <c r="AS642" s="340"/>
      <c r="AT642" s="340"/>
      <c r="AU642" s="340"/>
      <c r="AV642" s="340"/>
      <c r="AW642" s="340"/>
      <c r="AX642" s="340"/>
      <c r="AY642" s="340"/>
      <c r="AZ642" s="340"/>
      <c r="BA642" s="340"/>
      <c r="BB642" s="340"/>
      <c r="BC642" s="340"/>
      <c r="BD642" s="340"/>
    </row>
    <row r="643" spans="3:56">
      <c r="C643" s="340"/>
      <c r="D643" s="340"/>
      <c r="E643" s="340"/>
      <c r="F643" s="340"/>
      <c r="G643" s="340"/>
      <c r="H643" s="340"/>
      <c r="I643" s="340"/>
      <c r="J643" s="340"/>
      <c r="K643" s="340"/>
      <c r="L643" s="340"/>
      <c r="M643" s="340"/>
      <c r="N643" s="340"/>
      <c r="O643" s="340"/>
      <c r="P643" s="340"/>
      <c r="Q643" s="340"/>
      <c r="R643" s="340"/>
      <c r="S643" s="340"/>
      <c r="T643" s="340"/>
      <c r="U643" s="340"/>
      <c r="V643" s="340"/>
      <c r="W643" s="340"/>
      <c r="X643" s="340"/>
      <c r="Y643" s="340"/>
      <c r="Z643" s="340"/>
      <c r="AA643" s="340"/>
      <c r="AB643" s="340"/>
      <c r="AC643" s="340"/>
      <c r="AD643" s="340"/>
      <c r="AE643" s="340"/>
      <c r="AF643" s="340"/>
      <c r="AG643" s="340"/>
      <c r="AH643" s="340"/>
      <c r="AI643" s="340"/>
      <c r="AJ643" s="340"/>
      <c r="AK643" s="340"/>
      <c r="AL643" s="340"/>
      <c r="AM643" s="340"/>
      <c r="AN643" s="340"/>
      <c r="AO643" s="340"/>
      <c r="AP643" s="340"/>
      <c r="AQ643" s="340"/>
      <c r="AR643" s="340"/>
      <c r="AS643" s="340"/>
      <c r="AT643" s="340"/>
      <c r="AU643" s="340"/>
      <c r="AV643" s="340"/>
      <c r="AW643" s="340"/>
      <c r="AX643" s="340"/>
      <c r="AY643" s="340"/>
      <c r="AZ643" s="340"/>
      <c r="BA643" s="340"/>
      <c r="BB643" s="340"/>
      <c r="BC643" s="340"/>
      <c r="BD643" s="340"/>
    </row>
    <row r="644" spans="3:56">
      <c r="C644" s="340"/>
      <c r="D644" s="340"/>
      <c r="E644" s="340"/>
      <c r="F644" s="340"/>
      <c r="G644" s="340"/>
      <c r="H644" s="340"/>
      <c r="I644" s="340"/>
      <c r="J644" s="340"/>
      <c r="K644" s="340"/>
      <c r="L644" s="340"/>
      <c r="M644" s="340"/>
      <c r="N644" s="340"/>
      <c r="O644" s="340"/>
      <c r="P644" s="340"/>
      <c r="Q644" s="340"/>
      <c r="R644" s="340"/>
      <c r="S644" s="340"/>
      <c r="T644" s="340"/>
      <c r="U644" s="340"/>
      <c r="V644" s="340"/>
      <c r="W644" s="340"/>
      <c r="X644" s="340"/>
      <c r="Y644" s="340"/>
      <c r="Z644" s="340"/>
      <c r="AA644" s="340"/>
      <c r="AB644" s="340"/>
      <c r="AC644" s="340"/>
      <c r="AD644" s="340"/>
      <c r="AE644" s="340"/>
      <c r="AF644" s="340"/>
      <c r="AG644" s="340"/>
      <c r="AH644" s="340"/>
      <c r="AI644" s="340"/>
      <c r="AJ644" s="340"/>
      <c r="AK644" s="340"/>
      <c r="AL644" s="340"/>
      <c r="AM644" s="340"/>
      <c r="AN644" s="340"/>
      <c r="AO644" s="340"/>
      <c r="AP644" s="340"/>
      <c r="AQ644" s="340"/>
      <c r="AR644" s="340"/>
      <c r="AS644" s="340"/>
      <c r="AT644" s="340"/>
      <c r="AU644" s="340"/>
      <c r="AV644" s="340"/>
      <c r="AW644" s="340"/>
      <c r="AX644" s="340"/>
      <c r="AY644" s="340"/>
      <c r="AZ644" s="340"/>
      <c r="BA644" s="340"/>
      <c r="BB644" s="340"/>
      <c r="BC644" s="340"/>
      <c r="BD644" s="340"/>
    </row>
    <row r="645" spans="3:56">
      <c r="C645" s="340"/>
      <c r="D645" s="340"/>
      <c r="E645" s="340"/>
      <c r="F645" s="340"/>
      <c r="G645" s="340"/>
      <c r="H645" s="340"/>
      <c r="I645" s="340"/>
      <c r="J645" s="340"/>
      <c r="K645" s="340"/>
      <c r="L645" s="340"/>
      <c r="M645" s="340"/>
      <c r="N645" s="340"/>
      <c r="O645" s="340"/>
      <c r="P645" s="340"/>
      <c r="Q645" s="340"/>
      <c r="R645" s="340"/>
      <c r="S645" s="340"/>
      <c r="T645" s="340"/>
      <c r="U645" s="340"/>
      <c r="V645" s="340"/>
      <c r="W645" s="340"/>
      <c r="X645" s="340"/>
      <c r="Y645" s="340"/>
      <c r="Z645" s="340"/>
      <c r="AA645" s="340"/>
      <c r="AB645" s="340"/>
      <c r="AC645" s="340"/>
      <c r="AD645" s="340"/>
      <c r="AE645" s="340"/>
      <c r="AF645" s="340"/>
      <c r="AG645" s="340"/>
      <c r="AH645" s="340"/>
      <c r="AI645" s="340"/>
      <c r="AJ645" s="340"/>
      <c r="AK645" s="340"/>
      <c r="AL645" s="340"/>
      <c r="AM645" s="340"/>
      <c r="AN645" s="340"/>
      <c r="AO645" s="340"/>
      <c r="AP645" s="340"/>
      <c r="AQ645" s="340"/>
      <c r="AR645" s="340"/>
      <c r="AS645" s="340"/>
      <c r="AT645" s="340"/>
      <c r="AU645" s="340"/>
      <c r="AV645" s="340"/>
      <c r="AW645" s="340"/>
      <c r="AX645" s="340"/>
      <c r="AY645" s="340"/>
      <c r="AZ645" s="340"/>
      <c r="BA645" s="340"/>
      <c r="BB645" s="340"/>
      <c r="BC645" s="340"/>
      <c r="BD645" s="340"/>
    </row>
    <row r="646" spans="3:56">
      <c r="C646" s="340"/>
      <c r="D646" s="340"/>
      <c r="E646" s="340"/>
      <c r="F646" s="340"/>
      <c r="G646" s="340"/>
      <c r="H646" s="340"/>
      <c r="I646" s="340"/>
      <c r="J646" s="340"/>
      <c r="K646" s="340"/>
      <c r="L646" s="340"/>
      <c r="M646" s="340"/>
      <c r="N646" s="340"/>
      <c r="O646" s="340"/>
      <c r="P646" s="340"/>
      <c r="Q646" s="340"/>
      <c r="R646" s="340"/>
      <c r="S646" s="340"/>
      <c r="T646" s="340"/>
      <c r="U646" s="340"/>
      <c r="V646" s="340"/>
      <c r="W646" s="340"/>
      <c r="X646" s="340"/>
      <c r="Y646" s="340"/>
      <c r="Z646" s="340"/>
      <c r="AA646" s="340"/>
      <c r="AB646" s="340"/>
      <c r="AC646" s="340"/>
      <c r="AD646" s="340"/>
      <c r="AE646" s="340"/>
      <c r="AF646" s="340"/>
      <c r="AG646" s="340"/>
      <c r="AH646" s="340"/>
      <c r="AI646" s="340"/>
      <c r="AJ646" s="340"/>
      <c r="AK646" s="340"/>
      <c r="AL646" s="340"/>
      <c r="AM646" s="340"/>
      <c r="AN646" s="340"/>
      <c r="AO646" s="340"/>
      <c r="AP646" s="340"/>
      <c r="AQ646" s="340"/>
      <c r="AR646" s="340"/>
      <c r="AS646" s="340"/>
      <c r="AT646" s="340"/>
      <c r="AU646" s="340"/>
      <c r="AV646" s="340"/>
      <c r="AW646" s="340"/>
      <c r="AX646" s="340"/>
      <c r="AY646" s="340"/>
      <c r="AZ646" s="340"/>
      <c r="BA646" s="340"/>
      <c r="BB646" s="340"/>
      <c r="BC646" s="340"/>
      <c r="BD646" s="340"/>
    </row>
    <row r="647" spans="3:56">
      <c r="C647" s="340"/>
      <c r="D647" s="340"/>
      <c r="E647" s="340"/>
      <c r="F647" s="340"/>
      <c r="G647" s="340"/>
      <c r="H647" s="340"/>
      <c r="I647" s="340"/>
      <c r="J647" s="340"/>
      <c r="K647" s="340"/>
      <c r="L647" s="340"/>
      <c r="M647" s="340"/>
      <c r="N647" s="340"/>
      <c r="O647" s="340"/>
      <c r="P647" s="340"/>
      <c r="Q647" s="340"/>
      <c r="R647" s="340"/>
      <c r="S647" s="340"/>
      <c r="T647" s="340"/>
      <c r="U647" s="340"/>
      <c r="V647" s="340"/>
      <c r="W647" s="340"/>
      <c r="X647" s="340"/>
      <c r="Y647" s="340"/>
      <c r="Z647" s="340"/>
      <c r="AA647" s="340"/>
      <c r="AB647" s="340"/>
      <c r="AC647" s="340"/>
      <c r="AD647" s="340"/>
      <c r="AE647" s="340"/>
      <c r="AF647" s="340"/>
      <c r="AG647" s="340"/>
      <c r="AH647" s="340"/>
      <c r="AI647" s="340"/>
      <c r="AJ647" s="340"/>
      <c r="AK647" s="340"/>
      <c r="AL647" s="340"/>
      <c r="AM647" s="340"/>
      <c r="AN647" s="340"/>
      <c r="AO647" s="340"/>
      <c r="AP647" s="340"/>
      <c r="AQ647" s="340"/>
      <c r="AR647" s="340"/>
      <c r="AS647" s="340"/>
      <c r="AT647" s="340"/>
      <c r="AU647" s="340"/>
      <c r="AV647" s="340"/>
      <c r="AW647" s="340"/>
      <c r="AX647" s="340"/>
      <c r="AY647" s="340"/>
      <c r="AZ647" s="340"/>
      <c r="BA647" s="340"/>
      <c r="BB647" s="340"/>
      <c r="BC647" s="340"/>
      <c r="BD647" s="340"/>
    </row>
    <row r="648" spans="3:56">
      <c r="C648" s="340"/>
      <c r="D648" s="340"/>
      <c r="E648" s="340"/>
      <c r="F648" s="340"/>
      <c r="G648" s="340"/>
      <c r="H648" s="340"/>
      <c r="I648" s="340"/>
      <c r="J648" s="340"/>
      <c r="K648" s="340"/>
      <c r="L648" s="340"/>
      <c r="M648" s="340"/>
      <c r="N648" s="340"/>
      <c r="O648" s="340"/>
      <c r="P648" s="340"/>
      <c r="Q648" s="340"/>
      <c r="R648" s="340"/>
      <c r="S648" s="340"/>
      <c r="T648" s="340"/>
      <c r="U648" s="340"/>
      <c r="V648" s="340"/>
      <c r="W648" s="340"/>
      <c r="X648" s="340"/>
      <c r="Y648" s="340"/>
      <c r="Z648" s="340"/>
      <c r="AA648" s="340"/>
      <c r="AB648" s="340"/>
      <c r="AC648" s="340"/>
      <c r="AD648" s="340"/>
      <c r="AE648" s="340"/>
      <c r="AF648" s="340"/>
      <c r="AG648" s="340"/>
      <c r="AH648" s="340"/>
      <c r="AI648" s="340"/>
      <c r="AJ648" s="340"/>
      <c r="AK648" s="340"/>
      <c r="AL648" s="340"/>
      <c r="AM648" s="340"/>
      <c r="AN648" s="340"/>
      <c r="AO648" s="340"/>
      <c r="AP648" s="340"/>
      <c r="AQ648" s="340"/>
      <c r="AR648" s="340"/>
      <c r="AS648" s="340"/>
      <c r="AT648" s="340"/>
      <c r="AU648" s="340"/>
      <c r="AV648" s="340"/>
      <c r="AW648" s="340"/>
      <c r="AX648" s="340"/>
      <c r="AY648" s="340"/>
      <c r="AZ648" s="340"/>
      <c r="BA648" s="340"/>
      <c r="BB648" s="340"/>
      <c r="BC648" s="340"/>
      <c r="BD648" s="340"/>
    </row>
    <row r="649" spans="3:56">
      <c r="C649" s="340"/>
      <c r="D649" s="340"/>
      <c r="E649" s="340"/>
      <c r="F649" s="340"/>
      <c r="G649" s="340"/>
      <c r="H649" s="340"/>
      <c r="I649" s="340"/>
      <c r="J649" s="340"/>
      <c r="K649" s="340"/>
      <c r="L649" s="340"/>
      <c r="M649" s="340"/>
      <c r="N649" s="340"/>
      <c r="O649" s="340"/>
      <c r="P649" s="340"/>
      <c r="Q649" s="340"/>
      <c r="R649" s="340"/>
      <c r="S649" s="340"/>
      <c r="T649" s="340"/>
      <c r="U649" s="340"/>
      <c r="V649" s="340"/>
      <c r="W649" s="340"/>
      <c r="X649" s="340"/>
      <c r="Y649" s="340"/>
      <c r="Z649" s="340"/>
      <c r="AA649" s="340"/>
      <c r="AB649" s="340"/>
      <c r="AC649" s="340"/>
      <c r="AD649" s="340"/>
      <c r="AE649" s="340"/>
      <c r="AF649" s="340"/>
      <c r="AG649" s="340"/>
      <c r="AH649" s="340"/>
      <c r="AI649" s="340"/>
      <c r="AJ649" s="340"/>
      <c r="AK649" s="340"/>
      <c r="AL649" s="340"/>
      <c r="AM649" s="340"/>
      <c r="AN649" s="340"/>
      <c r="AO649" s="340"/>
      <c r="AP649" s="340"/>
      <c r="AQ649" s="340"/>
      <c r="AR649" s="340"/>
      <c r="AS649" s="340"/>
      <c r="AT649" s="340"/>
      <c r="AU649" s="340"/>
      <c r="AV649" s="340"/>
      <c r="AW649" s="340"/>
      <c r="AX649" s="340"/>
      <c r="AY649" s="340"/>
      <c r="AZ649" s="340"/>
      <c r="BA649" s="340"/>
      <c r="BB649" s="340"/>
      <c r="BC649" s="340"/>
      <c r="BD649" s="340"/>
    </row>
    <row r="650" spans="3:56">
      <c r="C650" s="340"/>
      <c r="D650" s="340"/>
      <c r="E650" s="340"/>
      <c r="F650" s="340"/>
      <c r="G650" s="340"/>
      <c r="H650" s="340"/>
      <c r="I650" s="340"/>
      <c r="J650" s="340"/>
      <c r="K650" s="340"/>
      <c r="L650" s="340"/>
      <c r="M650" s="340"/>
      <c r="N650" s="340"/>
      <c r="O650" s="340"/>
      <c r="P650" s="340"/>
      <c r="Q650" s="340"/>
      <c r="R650" s="340"/>
      <c r="S650" s="340"/>
      <c r="T650" s="340"/>
      <c r="U650" s="340"/>
      <c r="V650" s="340"/>
      <c r="W650" s="340"/>
      <c r="X650" s="340"/>
      <c r="Y650" s="340"/>
      <c r="Z650" s="340"/>
      <c r="AA650" s="340"/>
      <c r="AB650" s="340"/>
      <c r="AC650" s="340"/>
      <c r="AD650" s="340"/>
      <c r="AE650" s="340"/>
      <c r="AF650" s="340"/>
      <c r="AG650" s="340"/>
      <c r="AH650" s="340"/>
      <c r="AI650" s="340"/>
      <c r="AJ650" s="340"/>
      <c r="AK650" s="340"/>
      <c r="AL650" s="340"/>
      <c r="AM650" s="340"/>
      <c r="AN650" s="340"/>
      <c r="AO650" s="340"/>
      <c r="AP650" s="340"/>
      <c r="AQ650" s="340"/>
      <c r="AR650" s="340"/>
      <c r="AS650" s="340"/>
      <c r="AT650" s="340"/>
      <c r="AU650" s="340"/>
      <c r="AV650" s="340"/>
      <c r="AW650" s="340"/>
      <c r="AX650" s="340"/>
      <c r="AY650" s="340"/>
      <c r="AZ650" s="340"/>
      <c r="BA650" s="340"/>
      <c r="BB650" s="340"/>
      <c r="BC650" s="340"/>
      <c r="BD650" s="340"/>
    </row>
    <row r="651" spans="3:56">
      <c r="C651" s="340"/>
      <c r="D651" s="340"/>
      <c r="E651" s="340"/>
      <c r="F651" s="340"/>
      <c r="G651" s="340"/>
      <c r="H651" s="340"/>
      <c r="I651" s="340"/>
      <c r="J651" s="340"/>
      <c r="K651" s="340"/>
      <c r="L651" s="340"/>
      <c r="M651" s="340"/>
      <c r="N651" s="340"/>
      <c r="O651" s="340"/>
      <c r="P651" s="340"/>
      <c r="Q651" s="340"/>
      <c r="R651" s="340"/>
      <c r="S651" s="340"/>
      <c r="T651" s="340"/>
      <c r="U651" s="340"/>
      <c r="V651" s="340"/>
      <c r="W651" s="340"/>
      <c r="X651" s="340"/>
      <c r="Y651" s="340"/>
      <c r="Z651" s="340"/>
      <c r="AA651" s="340"/>
      <c r="AB651" s="340"/>
      <c r="AC651" s="340"/>
      <c r="AD651" s="340"/>
      <c r="AE651" s="340"/>
      <c r="AF651" s="340"/>
      <c r="AG651" s="340"/>
      <c r="AH651" s="340"/>
      <c r="AI651" s="340"/>
      <c r="AJ651" s="340"/>
      <c r="AK651" s="340"/>
      <c r="AL651" s="340"/>
      <c r="AM651" s="340"/>
      <c r="AN651" s="340"/>
      <c r="AO651" s="340"/>
      <c r="AP651" s="340"/>
      <c r="AQ651" s="340"/>
      <c r="AR651" s="340"/>
      <c r="AS651" s="340"/>
      <c r="AT651" s="340"/>
      <c r="AU651" s="340"/>
      <c r="AV651" s="340"/>
      <c r="AW651" s="340"/>
      <c r="AX651" s="340"/>
      <c r="AY651" s="340"/>
      <c r="AZ651" s="340"/>
      <c r="BA651" s="340"/>
      <c r="BB651" s="340"/>
      <c r="BC651" s="340"/>
      <c r="BD651" s="340"/>
    </row>
    <row r="652" spans="3:56">
      <c r="C652" s="340"/>
      <c r="D652" s="340"/>
      <c r="E652" s="340"/>
      <c r="F652" s="340"/>
      <c r="G652" s="340"/>
      <c r="H652" s="340"/>
      <c r="I652" s="340"/>
      <c r="J652" s="340"/>
      <c r="K652" s="340"/>
      <c r="L652" s="340"/>
      <c r="M652" s="340"/>
      <c r="N652" s="340"/>
      <c r="O652" s="340"/>
      <c r="P652" s="340"/>
      <c r="Q652" s="340"/>
      <c r="R652" s="340"/>
      <c r="S652" s="340"/>
      <c r="T652" s="340"/>
      <c r="U652" s="340"/>
      <c r="V652" s="340"/>
      <c r="W652" s="340"/>
      <c r="X652" s="340"/>
      <c r="Y652" s="340"/>
      <c r="Z652" s="340"/>
      <c r="AA652" s="340"/>
      <c r="AB652" s="340"/>
      <c r="AC652" s="340"/>
      <c r="AD652" s="340"/>
      <c r="AE652" s="340"/>
      <c r="AF652" s="340"/>
      <c r="AG652" s="340"/>
      <c r="AH652" s="340"/>
      <c r="AI652" s="340"/>
      <c r="AJ652" s="340"/>
      <c r="AK652" s="340"/>
      <c r="AL652" s="340"/>
      <c r="AM652" s="340"/>
      <c r="AN652" s="340"/>
      <c r="AO652" s="340"/>
      <c r="AP652" s="340"/>
      <c r="AQ652" s="340"/>
      <c r="AR652" s="340"/>
      <c r="AS652" s="340"/>
      <c r="AT652" s="340"/>
      <c r="AU652" s="340"/>
      <c r="AV652" s="340"/>
      <c r="AW652" s="340"/>
      <c r="AX652" s="340"/>
      <c r="AY652" s="340"/>
      <c r="AZ652" s="340"/>
      <c r="BA652" s="340"/>
      <c r="BB652" s="340"/>
      <c r="BC652" s="340"/>
      <c r="BD652" s="340"/>
    </row>
    <row r="653" spans="3:56">
      <c r="C653" s="340"/>
      <c r="D653" s="340"/>
      <c r="E653" s="340"/>
      <c r="F653" s="340"/>
      <c r="G653" s="340"/>
      <c r="H653" s="340"/>
      <c r="I653" s="340"/>
      <c r="J653" s="340"/>
      <c r="K653" s="340"/>
      <c r="L653" s="340"/>
      <c r="M653" s="340"/>
      <c r="N653" s="340"/>
      <c r="O653" s="340"/>
      <c r="P653" s="340"/>
      <c r="Q653" s="340"/>
      <c r="R653" s="340"/>
      <c r="S653" s="340"/>
      <c r="T653" s="340"/>
      <c r="U653" s="340"/>
      <c r="V653" s="340"/>
      <c r="W653" s="340"/>
      <c r="X653" s="340"/>
      <c r="Y653" s="340"/>
      <c r="Z653" s="340"/>
      <c r="AA653" s="340"/>
      <c r="AB653" s="340"/>
      <c r="AC653" s="340"/>
      <c r="AD653" s="340"/>
      <c r="AE653" s="340"/>
      <c r="AF653" s="340"/>
      <c r="AG653" s="340"/>
      <c r="AH653" s="340"/>
      <c r="AI653" s="340"/>
      <c r="AJ653" s="340"/>
      <c r="AK653" s="340"/>
      <c r="AL653" s="340"/>
      <c r="AM653" s="340"/>
      <c r="AN653" s="340"/>
      <c r="AO653" s="340"/>
      <c r="AP653" s="340"/>
      <c r="AQ653" s="340"/>
      <c r="AR653" s="340"/>
      <c r="AS653" s="340"/>
      <c r="AT653" s="340"/>
      <c r="AU653" s="340"/>
      <c r="AV653" s="340"/>
      <c r="AW653" s="340"/>
      <c r="AX653" s="340"/>
      <c r="AY653" s="340"/>
      <c r="AZ653" s="340"/>
      <c r="BA653" s="340"/>
      <c r="BB653" s="340"/>
      <c r="BC653" s="340"/>
      <c r="BD653" s="340"/>
    </row>
    <row r="654" spans="3:56">
      <c r="C654" s="340"/>
      <c r="D654" s="340"/>
      <c r="E654" s="340"/>
      <c r="F654" s="340"/>
      <c r="G654" s="340"/>
      <c r="H654" s="340"/>
      <c r="I654" s="340"/>
      <c r="J654" s="340"/>
      <c r="K654" s="340"/>
      <c r="L654" s="340"/>
      <c r="M654" s="340"/>
      <c r="N654" s="340"/>
      <c r="O654" s="340"/>
      <c r="P654" s="340"/>
      <c r="Q654" s="340"/>
      <c r="R654" s="340"/>
      <c r="S654" s="340"/>
      <c r="T654" s="340"/>
      <c r="U654" s="340"/>
      <c r="V654" s="340"/>
      <c r="W654" s="340"/>
      <c r="X654" s="340"/>
      <c r="Y654" s="340"/>
      <c r="Z654" s="340"/>
      <c r="AA654" s="340"/>
      <c r="AB654" s="340"/>
      <c r="AC654" s="340"/>
      <c r="AD654" s="340"/>
      <c r="AE654" s="340"/>
      <c r="AF654" s="340"/>
      <c r="AG654" s="340"/>
      <c r="AH654" s="340"/>
      <c r="AI654" s="340"/>
      <c r="AJ654" s="340"/>
      <c r="AK654" s="340"/>
      <c r="AL654" s="340"/>
      <c r="AM654" s="340"/>
      <c r="AN654" s="340"/>
      <c r="AO654" s="340"/>
      <c r="AP654" s="340"/>
      <c r="AQ654" s="340"/>
      <c r="AR654" s="340"/>
      <c r="AS654" s="340"/>
      <c r="AT654" s="340"/>
      <c r="AU654" s="340"/>
      <c r="AV654" s="340"/>
      <c r="AW654" s="340"/>
      <c r="AX654" s="340"/>
      <c r="AY654" s="340"/>
      <c r="AZ654" s="340"/>
      <c r="BA654" s="340"/>
      <c r="BB654" s="340"/>
      <c r="BC654" s="340"/>
      <c r="BD654" s="340"/>
    </row>
    <row r="655" spans="3:56">
      <c r="C655" s="340"/>
      <c r="D655" s="340"/>
      <c r="E655" s="340"/>
      <c r="F655" s="340"/>
      <c r="G655" s="340"/>
      <c r="H655" s="340"/>
      <c r="I655" s="340"/>
      <c r="J655" s="340"/>
      <c r="K655" s="340"/>
      <c r="L655" s="340"/>
      <c r="M655" s="340"/>
      <c r="N655" s="340"/>
      <c r="O655" s="340"/>
      <c r="P655" s="340"/>
      <c r="Q655" s="340"/>
      <c r="R655" s="340"/>
      <c r="S655" s="340"/>
      <c r="T655" s="340"/>
      <c r="U655" s="340"/>
      <c r="V655" s="340"/>
      <c r="W655" s="340"/>
      <c r="X655" s="340"/>
      <c r="Y655" s="340"/>
      <c r="Z655" s="340"/>
      <c r="AA655" s="340"/>
      <c r="AB655" s="340"/>
      <c r="AC655" s="340"/>
      <c r="AD655" s="340"/>
      <c r="AE655" s="340"/>
      <c r="AF655" s="340"/>
      <c r="AG655" s="340"/>
      <c r="AH655" s="340"/>
      <c r="AI655" s="340"/>
      <c r="AJ655" s="340"/>
      <c r="AK655" s="340"/>
      <c r="AL655" s="340"/>
      <c r="AM655" s="340"/>
      <c r="AN655" s="340"/>
      <c r="AO655" s="340"/>
      <c r="AP655" s="340"/>
      <c r="AQ655" s="340"/>
      <c r="AR655" s="340"/>
      <c r="AS655" s="340"/>
      <c r="AT655" s="340"/>
      <c r="AU655" s="340"/>
      <c r="AV655" s="340"/>
      <c r="AW655" s="340"/>
      <c r="AX655" s="340"/>
      <c r="AY655" s="340"/>
      <c r="AZ655" s="340"/>
      <c r="BA655" s="340"/>
      <c r="BB655" s="340"/>
      <c r="BC655" s="340"/>
      <c r="BD655" s="340"/>
    </row>
    <row r="656" spans="3:56">
      <c r="C656" s="340"/>
      <c r="D656" s="340"/>
      <c r="E656" s="340"/>
      <c r="F656" s="340"/>
      <c r="G656" s="340"/>
      <c r="H656" s="340"/>
      <c r="I656" s="340"/>
      <c r="J656" s="340"/>
      <c r="K656" s="340"/>
      <c r="L656" s="340"/>
      <c r="M656" s="340"/>
      <c r="N656" s="340"/>
      <c r="O656" s="340"/>
      <c r="P656" s="340"/>
      <c r="Q656" s="340"/>
      <c r="R656" s="340"/>
      <c r="S656" s="340"/>
      <c r="T656" s="340"/>
      <c r="U656" s="340"/>
      <c r="V656" s="340"/>
      <c r="W656" s="340"/>
      <c r="X656" s="340"/>
      <c r="Y656" s="340"/>
      <c r="Z656" s="340"/>
      <c r="AA656" s="340"/>
      <c r="AB656" s="340"/>
      <c r="AC656" s="340"/>
      <c r="AD656" s="340"/>
      <c r="AE656" s="340"/>
      <c r="AF656" s="340"/>
      <c r="AG656" s="340"/>
      <c r="AH656" s="340"/>
      <c r="AI656" s="340"/>
      <c r="AJ656" s="340"/>
      <c r="AK656" s="340"/>
      <c r="AL656" s="340"/>
      <c r="AM656" s="340"/>
      <c r="AN656" s="340"/>
      <c r="AO656" s="340"/>
      <c r="AP656" s="340"/>
      <c r="AQ656" s="340"/>
      <c r="AR656" s="340"/>
      <c r="AS656" s="340"/>
      <c r="AT656" s="340"/>
      <c r="AU656" s="340"/>
      <c r="AV656" s="340"/>
      <c r="AW656" s="340"/>
      <c r="AX656" s="340"/>
      <c r="AY656" s="340"/>
      <c r="AZ656" s="340"/>
      <c r="BA656" s="340"/>
      <c r="BB656" s="340"/>
      <c r="BC656" s="340"/>
      <c r="BD656" s="340"/>
    </row>
    <row r="657" spans="3:56">
      <c r="C657" s="340"/>
      <c r="D657" s="340"/>
      <c r="E657" s="340"/>
      <c r="F657" s="340"/>
      <c r="G657" s="340"/>
      <c r="H657" s="340"/>
      <c r="I657" s="340"/>
      <c r="J657" s="340"/>
      <c r="K657" s="340"/>
      <c r="L657" s="340"/>
      <c r="M657" s="340"/>
      <c r="N657" s="340"/>
      <c r="O657" s="340"/>
      <c r="P657" s="340"/>
      <c r="Q657" s="340"/>
      <c r="R657" s="340"/>
      <c r="S657" s="340"/>
      <c r="T657" s="340"/>
      <c r="U657" s="340"/>
      <c r="V657" s="340"/>
      <c r="W657" s="340"/>
      <c r="X657" s="340"/>
      <c r="Y657" s="340"/>
      <c r="Z657" s="340"/>
      <c r="AA657" s="340"/>
      <c r="AB657" s="340"/>
      <c r="AC657" s="340"/>
      <c r="AD657" s="340"/>
      <c r="AE657" s="340"/>
      <c r="AF657" s="340"/>
      <c r="AG657" s="340"/>
      <c r="AH657" s="340"/>
      <c r="AI657" s="340"/>
      <c r="AJ657" s="340"/>
      <c r="AK657" s="340"/>
      <c r="AL657" s="340"/>
      <c r="AM657" s="340"/>
      <c r="AN657" s="340"/>
      <c r="AO657" s="340"/>
      <c r="AP657" s="340"/>
      <c r="AQ657" s="340"/>
      <c r="AR657" s="340"/>
      <c r="AS657" s="340"/>
      <c r="AT657" s="340"/>
      <c r="AU657" s="340"/>
      <c r="AV657" s="340"/>
      <c r="AW657" s="340"/>
      <c r="AX657" s="340"/>
      <c r="AY657" s="340"/>
      <c r="AZ657" s="340"/>
      <c r="BA657" s="340"/>
      <c r="BB657" s="340"/>
      <c r="BC657" s="340"/>
      <c r="BD657" s="340"/>
    </row>
    <row r="658" spans="3:56">
      <c r="C658" s="340"/>
      <c r="D658" s="340"/>
      <c r="E658" s="340"/>
      <c r="F658" s="340"/>
      <c r="G658" s="340"/>
      <c r="H658" s="340"/>
      <c r="I658" s="340"/>
      <c r="J658" s="340"/>
      <c r="K658" s="340"/>
      <c r="L658" s="340"/>
      <c r="M658" s="340"/>
      <c r="N658" s="340"/>
      <c r="O658" s="340"/>
      <c r="P658" s="340"/>
      <c r="Q658" s="340"/>
      <c r="R658" s="340"/>
      <c r="S658" s="340"/>
      <c r="T658" s="340"/>
      <c r="U658" s="340"/>
      <c r="V658" s="340"/>
      <c r="W658" s="340"/>
      <c r="X658" s="340"/>
      <c r="Y658" s="340"/>
      <c r="Z658" s="340"/>
      <c r="AA658" s="340"/>
      <c r="AB658" s="340"/>
      <c r="AC658" s="340"/>
      <c r="AD658" s="340"/>
      <c r="AE658" s="340"/>
      <c r="AF658" s="340"/>
      <c r="AG658" s="340"/>
      <c r="AH658" s="340"/>
      <c r="AI658" s="340"/>
      <c r="AJ658" s="340"/>
      <c r="AK658" s="340"/>
      <c r="AL658" s="340"/>
      <c r="AM658" s="340"/>
      <c r="AN658" s="340"/>
      <c r="AO658" s="340"/>
      <c r="AP658" s="340"/>
      <c r="AQ658" s="340"/>
      <c r="AR658" s="340"/>
      <c r="AS658" s="340"/>
      <c r="AT658" s="340"/>
      <c r="AU658" s="340"/>
      <c r="AV658" s="340"/>
      <c r="AW658" s="340"/>
      <c r="AX658" s="340"/>
      <c r="AY658" s="340"/>
      <c r="AZ658" s="340"/>
      <c r="BA658" s="340"/>
      <c r="BB658" s="340"/>
      <c r="BC658" s="340"/>
      <c r="BD658" s="340"/>
    </row>
    <row r="659" spans="3:56">
      <c r="C659" s="340"/>
      <c r="D659" s="340"/>
      <c r="E659" s="340"/>
      <c r="F659" s="340"/>
      <c r="G659" s="340"/>
      <c r="H659" s="340"/>
      <c r="I659" s="340"/>
      <c r="J659" s="340"/>
      <c r="K659" s="340"/>
      <c r="L659" s="340"/>
      <c r="M659" s="340"/>
      <c r="N659" s="340"/>
      <c r="O659" s="340"/>
      <c r="P659" s="340"/>
      <c r="Q659" s="340"/>
      <c r="R659" s="340"/>
      <c r="S659" s="340"/>
      <c r="T659" s="340"/>
      <c r="U659" s="340"/>
      <c r="V659" s="340"/>
      <c r="W659" s="340"/>
      <c r="X659" s="340"/>
      <c r="Y659" s="340"/>
      <c r="Z659" s="340"/>
      <c r="AA659" s="340"/>
      <c r="AB659" s="340"/>
      <c r="AC659" s="340"/>
      <c r="AD659" s="340"/>
      <c r="AE659" s="340"/>
      <c r="AF659" s="340"/>
      <c r="AG659" s="340"/>
      <c r="AH659" s="340"/>
      <c r="AI659" s="340"/>
      <c r="AJ659" s="340"/>
      <c r="AK659" s="340"/>
      <c r="AL659" s="340"/>
      <c r="AM659" s="340"/>
      <c r="AN659" s="340"/>
      <c r="AO659" s="340"/>
      <c r="AP659" s="340"/>
      <c r="AQ659" s="340"/>
      <c r="AR659" s="340"/>
      <c r="AS659" s="340"/>
      <c r="AT659" s="340"/>
      <c r="AU659" s="340"/>
      <c r="AV659" s="340"/>
      <c r="AW659" s="340"/>
      <c r="AX659" s="340"/>
      <c r="AY659" s="340"/>
      <c r="AZ659" s="340"/>
      <c r="BA659" s="340"/>
      <c r="BB659" s="340"/>
      <c r="BC659" s="340"/>
      <c r="BD659" s="340"/>
    </row>
    <row r="660" spans="3:56">
      <c r="C660" s="340"/>
      <c r="D660" s="340"/>
      <c r="E660" s="340"/>
      <c r="F660" s="340"/>
      <c r="G660" s="340"/>
      <c r="H660" s="340"/>
      <c r="I660" s="340"/>
      <c r="J660" s="340"/>
      <c r="K660" s="340"/>
      <c r="L660" s="340"/>
      <c r="M660" s="340"/>
      <c r="N660" s="340"/>
      <c r="O660" s="340"/>
      <c r="P660" s="340"/>
      <c r="Q660" s="340"/>
      <c r="R660" s="340"/>
      <c r="S660" s="340"/>
      <c r="T660" s="340"/>
      <c r="U660" s="340"/>
      <c r="V660" s="340"/>
      <c r="W660" s="340"/>
      <c r="X660" s="340"/>
      <c r="Y660" s="340"/>
      <c r="Z660" s="340"/>
      <c r="AA660" s="340"/>
      <c r="AB660" s="340"/>
      <c r="AC660" s="340"/>
      <c r="AD660" s="340"/>
      <c r="AE660" s="340"/>
      <c r="AF660" s="340"/>
      <c r="AG660" s="340"/>
      <c r="AH660" s="340"/>
      <c r="AI660" s="340"/>
      <c r="AJ660" s="340"/>
      <c r="AK660" s="340"/>
      <c r="AL660" s="340"/>
      <c r="AM660" s="340"/>
      <c r="AN660" s="340"/>
      <c r="AO660" s="340"/>
      <c r="AP660" s="340"/>
      <c r="AQ660" s="340"/>
      <c r="AR660" s="340"/>
      <c r="AS660" s="340"/>
      <c r="AT660" s="340"/>
      <c r="AU660" s="340"/>
      <c r="AV660" s="340"/>
      <c r="AW660" s="340"/>
      <c r="AX660" s="340"/>
      <c r="AY660" s="340"/>
      <c r="AZ660" s="340"/>
      <c r="BA660" s="340"/>
      <c r="BB660" s="340"/>
      <c r="BC660" s="340"/>
      <c r="BD660" s="340"/>
    </row>
    <row r="661" spans="3:56">
      <c r="C661" s="340"/>
      <c r="D661" s="340"/>
      <c r="E661" s="340"/>
      <c r="F661" s="340"/>
      <c r="G661" s="340"/>
      <c r="H661" s="340"/>
      <c r="I661" s="340"/>
      <c r="J661" s="340"/>
      <c r="K661" s="340"/>
      <c r="L661" s="340"/>
      <c r="M661" s="340"/>
      <c r="N661" s="340"/>
      <c r="O661" s="340"/>
      <c r="P661" s="340"/>
      <c r="Q661" s="340"/>
      <c r="R661" s="340"/>
      <c r="S661" s="340"/>
      <c r="T661" s="340"/>
      <c r="U661" s="340"/>
      <c r="V661" s="340"/>
      <c r="W661" s="340"/>
      <c r="X661" s="340"/>
      <c r="Y661" s="340"/>
      <c r="Z661" s="340"/>
      <c r="AA661" s="340"/>
      <c r="AB661" s="340"/>
      <c r="AC661" s="340"/>
      <c r="AD661" s="340"/>
      <c r="AE661" s="340"/>
      <c r="AF661" s="340"/>
      <c r="AG661" s="340"/>
      <c r="AH661" s="340"/>
      <c r="AI661" s="340"/>
      <c r="AJ661" s="340"/>
      <c r="AK661" s="340"/>
      <c r="AL661" s="340"/>
      <c r="AM661" s="340"/>
      <c r="AN661" s="340"/>
      <c r="AO661" s="340"/>
      <c r="AP661" s="340"/>
      <c r="AQ661" s="340"/>
      <c r="AR661" s="340"/>
      <c r="AS661" s="340"/>
      <c r="AT661" s="340"/>
      <c r="AU661" s="340"/>
      <c r="AV661" s="340"/>
      <c r="AW661" s="340"/>
      <c r="AX661" s="340"/>
      <c r="AY661" s="340"/>
      <c r="AZ661" s="340"/>
      <c r="BA661" s="340"/>
      <c r="BB661" s="340"/>
      <c r="BC661" s="340"/>
      <c r="BD661" s="340"/>
    </row>
    <row r="662" spans="3:56">
      <c r="C662" s="340"/>
      <c r="D662" s="340"/>
      <c r="E662" s="340"/>
      <c r="F662" s="340"/>
      <c r="G662" s="340"/>
      <c r="H662" s="340"/>
      <c r="I662" s="340"/>
      <c r="J662" s="340"/>
      <c r="K662" s="340"/>
      <c r="L662" s="340"/>
      <c r="M662" s="340"/>
      <c r="N662" s="340"/>
      <c r="O662" s="340"/>
      <c r="P662" s="340"/>
      <c r="Q662" s="340"/>
      <c r="R662" s="340"/>
      <c r="S662" s="340"/>
      <c r="T662" s="340"/>
      <c r="U662" s="340"/>
      <c r="V662" s="340"/>
      <c r="W662" s="340"/>
      <c r="X662" s="340"/>
      <c r="Y662" s="340"/>
      <c r="Z662" s="340"/>
      <c r="AA662" s="340"/>
      <c r="AB662" s="340"/>
      <c r="AC662" s="340"/>
      <c r="AD662" s="340"/>
      <c r="AE662" s="340"/>
      <c r="AF662" s="340"/>
      <c r="AG662" s="340"/>
      <c r="AH662" s="340"/>
      <c r="AI662" s="340"/>
      <c r="AJ662" s="340"/>
      <c r="AK662" s="340"/>
      <c r="AL662" s="340"/>
      <c r="AM662" s="340"/>
      <c r="AN662" s="340"/>
      <c r="AO662" s="340"/>
      <c r="AP662" s="340"/>
      <c r="AQ662" s="340"/>
      <c r="AR662" s="340"/>
      <c r="AS662" s="340"/>
      <c r="AT662" s="340"/>
      <c r="AU662" s="340"/>
      <c r="AV662" s="340"/>
      <c r="AW662" s="340"/>
      <c r="AX662" s="340"/>
      <c r="AY662" s="340"/>
      <c r="AZ662" s="340"/>
      <c r="BA662" s="340"/>
      <c r="BB662" s="340"/>
      <c r="BC662" s="340"/>
      <c r="BD662" s="340"/>
    </row>
    <row r="663" spans="3:56">
      <c r="C663" s="340"/>
      <c r="D663" s="340"/>
      <c r="E663" s="340"/>
      <c r="F663" s="340"/>
      <c r="G663" s="340"/>
      <c r="H663" s="340"/>
      <c r="I663" s="340"/>
      <c r="J663" s="340"/>
      <c r="K663" s="340"/>
      <c r="L663" s="340"/>
      <c r="M663" s="340"/>
      <c r="N663" s="340"/>
      <c r="O663" s="340"/>
      <c r="P663" s="340"/>
      <c r="Q663" s="340"/>
      <c r="R663" s="340"/>
      <c r="S663" s="340"/>
      <c r="T663" s="340"/>
      <c r="U663" s="340"/>
      <c r="V663" s="340"/>
      <c r="W663" s="340"/>
      <c r="X663" s="340"/>
      <c r="Y663" s="340"/>
      <c r="Z663" s="340"/>
      <c r="AA663" s="340"/>
      <c r="AB663" s="340"/>
      <c r="AC663" s="340"/>
      <c r="AD663" s="340"/>
      <c r="AE663" s="340"/>
      <c r="AF663" s="340"/>
      <c r="AG663" s="340"/>
      <c r="AH663" s="340"/>
      <c r="AI663" s="340"/>
      <c r="AJ663" s="340"/>
      <c r="AK663" s="340"/>
      <c r="AL663" s="340"/>
      <c r="AM663" s="340"/>
      <c r="AN663" s="340"/>
      <c r="AO663" s="340"/>
      <c r="AP663" s="340"/>
      <c r="AQ663" s="340"/>
      <c r="AR663" s="340"/>
      <c r="AS663" s="340"/>
      <c r="AT663" s="340"/>
      <c r="AU663" s="340"/>
      <c r="AV663" s="340"/>
      <c r="AW663" s="340"/>
      <c r="AX663" s="340"/>
      <c r="AY663" s="340"/>
      <c r="AZ663" s="340"/>
      <c r="BA663" s="340"/>
      <c r="BB663" s="340"/>
      <c r="BC663" s="340"/>
      <c r="BD663" s="340"/>
    </row>
    <row r="664" spans="3:56">
      <c r="C664" s="340"/>
      <c r="D664" s="340"/>
      <c r="E664" s="340"/>
      <c r="F664" s="340"/>
      <c r="G664" s="340"/>
      <c r="H664" s="340"/>
      <c r="I664" s="340"/>
      <c r="J664" s="340"/>
      <c r="K664" s="340"/>
      <c r="L664" s="340"/>
      <c r="M664" s="340"/>
      <c r="N664" s="340"/>
      <c r="O664" s="340"/>
      <c r="P664" s="340"/>
      <c r="Q664" s="340"/>
      <c r="R664" s="340"/>
      <c r="S664" s="340"/>
      <c r="T664" s="340"/>
      <c r="U664" s="340"/>
      <c r="V664" s="340"/>
      <c r="W664" s="340"/>
      <c r="X664" s="340"/>
      <c r="Y664" s="340"/>
      <c r="Z664" s="340"/>
      <c r="AA664" s="340"/>
      <c r="AB664" s="340"/>
      <c r="AC664" s="340"/>
      <c r="AD664" s="340"/>
      <c r="AE664" s="340"/>
      <c r="AF664" s="340"/>
      <c r="AG664" s="340"/>
      <c r="AH664" s="340"/>
      <c r="AI664" s="340"/>
      <c r="AJ664" s="340"/>
      <c r="AK664" s="340"/>
      <c r="AL664" s="340"/>
      <c r="AM664" s="340"/>
      <c r="AN664" s="340"/>
      <c r="AO664" s="340"/>
      <c r="AP664" s="340"/>
      <c r="AQ664" s="340"/>
      <c r="AR664" s="340"/>
      <c r="AS664" s="340"/>
      <c r="AT664" s="340"/>
      <c r="AU664" s="340"/>
      <c r="AV664" s="340"/>
      <c r="AW664" s="340"/>
      <c r="AX664" s="340"/>
      <c r="AY664" s="340"/>
      <c r="AZ664" s="340"/>
      <c r="BA664" s="340"/>
      <c r="BB664" s="340"/>
      <c r="BC664" s="340"/>
      <c r="BD664" s="340"/>
    </row>
    <row r="665" spans="3:56">
      <c r="C665" s="340"/>
      <c r="D665" s="340"/>
      <c r="E665" s="340"/>
      <c r="F665" s="340"/>
      <c r="G665" s="340"/>
      <c r="H665" s="340"/>
      <c r="I665" s="340"/>
      <c r="J665" s="340"/>
      <c r="K665" s="340"/>
      <c r="L665" s="340"/>
      <c r="M665" s="340"/>
      <c r="N665" s="340"/>
      <c r="O665" s="340"/>
      <c r="P665" s="340"/>
      <c r="Q665" s="340"/>
      <c r="R665" s="340"/>
      <c r="S665" s="340"/>
      <c r="T665" s="340"/>
      <c r="U665" s="340"/>
      <c r="V665" s="340"/>
      <c r="W665" s="340"/>
      <c r="X665" s="340"/>
      <c r="Y665" s="340"/>
      <c r="Z665" s="340"/>
      <c r="AA665" s="340"/>
      <c r="AB665" s="340"/>
      <c r="AC665" s="340"/>
      <c r="AD665" s="340"/>
      <c r="AE665" s="340"/>
      <c r="AF665" s="340"/>
      <c r="AG665" s="340"/>
      <c r="AH665" s="340"/>
      <c r="AI665" s="340"/>
      <c r="AJ665" s="340"/>
      <c r="AK665" s="340"/>
      <c r="AL665" s="340"/>
      <c r="AM665" s="340"/>
      <c r="AN665" s="340"/>
      <c r="AO665" s="340"/>
      <c r="AP665" s="340"/>
      <c r="AQ665" s="340"/>
      <c r="AR665" s="340"/>
      <c r="AS665" s="340"/>
      <c r="AT665" s="340"/>
      <c r="AU665" s="340"/>
      <c r="AV665" s="340"/>
      <c r="AW665" s="340"/>
      <c r="AX665" s="340"/>
      <c r="AY665" s="340"/>
      <c r="AZ665" s="340"/>
      <c r="BA665" s="340"/>
      <c r="BB665" s="340"/>
      <c r="BC665" s="340"/>
      <c r="BD665" s="340"/>
    </row>
    <row r="666" spans="3:56">
      <c r="C666" s="340"/>
      <c r="D666" s="340"/>
      <c r="E666" s="340"/>
      <c r="F666" s="340"/>
      <c r="G666" s="340"/>
      <c r="H666" s="340"/>
      <c r="I666" s="340"/>
      <c r="J666" s="340"/>
      <c r="K666" s="340"/>
      <c r="L666" s="340"/>
      <c r="M666" s="340"/>
      <c r="N666" s="340"/>
      <c r="O666" s="340"/>
      <c r="P666" s="340"/>
      <c r="Q666" s="340"/>
      <c r="R666" s="340"/>
      <c r="S666" s="340"/>
      <c r="T666" s="340"/>
      <c r="U666" s="340"/>
      <c r="V666" s="340"/>
      <c r="W666" s="340"/>
      <c r="X666" s="340"/>
      <c r="Y666" s="340"/>
      <c r="Z666" s="340"/>
      <c r="AA666" s="340"/>
      <c r="AB666" s="340"/>
      <c r="AC666" s="340"/>
      <c r="AD666" s="340"/>
      <c r="AE666" s="340"/>
      <c r="AF666" s="340"/>
      <c r="AG666" s="340"/>
      <c r="AH666" s="340"/>
      <c r="AI666" s="340"/>
      <c r="AJ666" s="340"/>
      <c r="AK666" s="340"/>
      <c r="AL666" s="340"/>
      <c r="AM666" s="340"/>
      <c r="AN666" s="340"/>
      <c r="AO666" s="340"/>
      <c r="AP666" s="340"/>
      <c r="AQ666" s="340"/>
      <c r="AR666" s="340"/>
      <c r="AS666" s="340"/>
      <c r="AT666" s="340"/>
      <c r="AU666" s="340"/>
      <c r="AV666" s="340"/>
      <c r="AW666" s="340"/>
      <c r="AX666" s="340"/>
      <c r="AY666" s="340"/>
      <c r="AZ666" s="340"/>
      <c r="BA666" s="340"/>
      <c r="BB666" s="340"/>
      <c r="BC666" s="340"/>
      <c r="BD666" s="340"/>
    </row>
    <row r="667" spans="3:56">
      <c r="C667" s="340"/>
      <c r="D667" s="340"/>
      <c r="E667" s="340"/>
      <c r="F667" s="340"/>
      <c r="G667" s="340"/>
      <c r="H667" s="340"/>
      <c r="I667" s="340"/>
      <c r="J667" s="340"/>
      <c r="K667" s="340"/>
      <c r="L667" s="340"/>
      <c r="M667" s="340"/>
      <c r="N667" s="340"/>
      <c r="O667" s="340"/>
      <c r="P667" s="340"/>
      <c r="Q667" s="340"/>
      <c r="R667" s="340"/>
      <c r="S667" s="340"/>
      <c r="T667" s="340"/>
      <c r="U667" s="340"/>
      <c r="V667" s="340"/>
      <c r="W667" s="340"/>
      <c r="X667" s="340"/>
      <c r="Y667" s="340"/>
      <c r="Z667" s="340"/>
      <c r="AA667" s="340"/>
      <c r="AB667" s="340"/>
      <c r="AC667" s="340"/>
      <c r="AD667" s="340"/>
      <c r="AE667" s="340"/>
      <c r="AF667" s="340"/>
      <c r="AG667" s="340"/>
      <c r="AH667" s="340"/>
      <c r="AI667" s="340"/>
      <c r="AJ667" s="340"/>
      <c r="AK667" s="340"/>
      <c r="AL667" s="340"/>
      <c r="AM667" s="340"/>
      <c r="AN667" s="340"/>
      <c r="AO667" s="340"/>
      <c r="AP667" s="340"/>
      <c r="AQ667" s="340"/>
      <c r="AR667" s="340"/>
      <c r="AS667" s="340"/>
      <c r="AT667" s="340"/>
      <c r="AU667" s="340"/>
      <c r="AV667" s="340"/>
      <c r="AW667" s="340"/>
      <c r="AX667" s="340"/>
      <c r="AY667" s="340"/>
      <c r="AZ667" s="340"/>
      <c r="BA667" s="340"/>
      <c r="BB667" s="340"/>
      <c r="BC667" s="340"/>
      <c r="BD667" s="340"/>
    </row>
    <row r="668" spans="3:56">
      <c r="C668" s="340"/>
      <c r="D668" s="340"/>
      <c r="E668" s="340"/>
      <c r="F668" s="340"/>
      <c r="G668" s="340"/>
      <c r="H668" s="340"/>
      <c r="I668" s="340"/>
      <c r="J668" s="340"/>
      <c r="K668" s="340"/>
      <c r="L668" s="340"/>
      <c r="M668" s="340"/>
      <c r="N668" s="340"/>
      <c r="O668" s="340"/>
      <c r="P668" s="340"/>
      <c r="Q668" s="340"/>
      <c r="R668" s="340"/>
      <c r="S668" s="340"/>
      <c r="T668" s="340"/>
      <c r="U668" s="340"/>
      <c r="V668" s="340"/>
      <c r="W668" s="340"/>
      <c r="X668" s="340"/>
      <c r="Y668" s="340"/>
      <c r="Z668" s="340"/>
      <c r="AA668" s="340"/>
      <c r="AB668" s="340"/>
      <c r="AC668" s="340"/>
      <c r="AD668" s="340"/>
      <c r="AE668" s="340"/>
      <c r="AF668" s="340"/>
      <c r="AG668" s="340"/>
      <c r="AH668" s="340"/>
      <c r="AI668" s="340"/>
      <c r="AJ668" s="340"/>
      <c r="AK668" s="340"/>
      <c r="AL668" s="340"/>
      <c r="AM668" s="340"/>
      <c r="AN668" s="340"/>
      <c r="AO668" s="340"/>
      <c r="AP668" s="340"/>
      <c r="AQ668" s="340"/>
      <c r="AR668" s="340"/>
      <c r="AS668" s="340"/>
      <c r="AT668" s="340"/>
      <c r="AU668" s="340"/>
      <c r="AV668" s="340"/>
      <c r="AW668" s="340"/>
      <c r="AX668" s="340"/>
      <c r="AY668" s="340"/>
      <c r="AZ668" s="340"/>
      <c r="BA668" s="340"/>
      <c r="BB668" s="340"/>
      <c r="BC668" s="340"/>
      <c r="BD668" s="340"/>
    </row>
    <row r="669" spans="3:56">
      <c r="C669" s="340"/>
      <c r="D669" s="340"/>
      <c r="E669" s="340"/>
      <c r="F669" s="340"/>
      <c r="G669" s="340"/>
      <c r="H669" s="340"/>
      <c r="I669" s="340"/>
      <c r="J669" s="340"/>
      <c r="K669" s="340"/>
      <c r="L669" s="340"/>
      <c r="M669" s="340"/>
      <c r="N669" s="340"/>
      <c r="O669" s="340"/>
      <c r="P669" s="340"/>
      <c r="Q669" s="340"/>
      <c r="R669" s="340"/>
      <c r="S669" s="340"/>
      <c r="T669" s="340"/>
      <c r="U669" s="340"/>
      <c r="V669" s="340"/>
      <c r="W669" s="340"/>
      <c r="X669" s="340"/>
      <c r="Y669" s="340"/>
      <c r="Z669" s="340"/>
      <c r="AA669" s="340"/>
      <c r="AB669" s="340"/>
      <c r="AC669" s="340"/>
      <c r="AD669" s="340"/>
      <c r="AE669" s="340"/>
      <c r="AF669" s="340"/>
      <c r="AG669" s="340"/>
      <c r="AH669" s="340"/>
      <c r="AI669" s="340"/>
      <c r="AJ669" s="340"/>
      <c r="AK669" s="340"/>
      <c r="AL669" s="340"/>
      <c r="AM669" s="340"/>
      <c r="AN669" s="340"/>
      <c r="AO669" s="340"/>
      <c r="AP669" s="340"/>
      <c r="AQ669" s="340"/>
      <c r="AR669" s="340"/>
      <c r="AS669" s="340"/>
      <c r="AT669" s="340"/>
      <c r="AU669" s="340"/>
      <c r="AV669" s="340"/>
      <c r="AW669" s="340"/>
      <c r="AX669" s="340"/>
      <c r="AY669" s="340"/>
      <c r="AZ669" s="340"/>
      <c r="BA669" s="340"/>
      <c r="BB669" s="340"/>
      <c r="BC669" s="340"/>
      <c r="BD669" s="340"/>
    </row>
    <row r="670" spans="3:56">
      <c r="C670" s="340"/>
      <c r="D670" s="340"/>
      <c r="E670" s="340"/>
      <c r="F670" s="340"/>
      <c r="G670" s="340"/>
      <c r="H670" s="340"/>
      <c r="I670" s="340"/>
      <c r="J670" s="340"/>
      <c r="K670" s="340"/>
      <c r="L670" s="340"/>
      <c r="M670" s="340"/>
      <c r="N670" s="340"/>
      <c r="O670" s="340"/>
      <c r="P670" s="340"/>
      <c r="Q670" s="340"/>
      <c r="R670" s="340"/>
      <c r="S670" s="340"/>
      <c r="T670" s="340"/>
      <c r="U670" s="340"/>
      <c r="V670" s="340"/>
      <c r="W670" s="340"/>
      <c r="X670" s="340"/>
      <c r="Y670" s="340"/>
      <c r="Z670" s="340"/>
      <c r="AA670" s="340"/>
      <c r="AB670" s="340"/>
      <c r="AC670" s="340"/>
      <c r="AD670" s="340"/>
      <c r="AE670" s="340"/>
      <c r="AF670" s="340"/>
      <c r="AG670" s="340"/>
      <c r="AH670" s="340"/>
      <c r="AI670" s="340"/>
      <c r="AJ670" s="340"/>
      <c r="AK670" s="340"/>
      <c r="AL670" s="340"/>
      <c r="AM670" s="340"/>
      <c r="AN670" s="340"/>
      <c r="AO670" s="340"/>
      <c r="AP670" s="340"/>
      <c r="AQ670" s="340"/>
      <c r="AR670" s="340"/>
      <c r="AS670" s="340"/>
      <c r="AT670" s="340"/>
      <c r="AU670" s="340"/>
      <c r="AV670" s="340"/>
      <c r="AW670" s="340"/>
      <c r="AX670" s="340"/>
      <c r="AY670" s="340"/>
      <c r="AZ670" s="340"/>
      <c r="BA670" s="340"/>
      <c r="BB670" s="340"/>
      <c r="BC670" s="340"/>
      <c r="BD670" s="340"/>
    </row>
    <row r="671" spans="3:56">
      <c r="C671" s="340"/>
      <c r="D671" s="340"/>
      <c r="E671" s="340"/>
      <c r="F671" s="340"/>
      <c r="G671" s="340"/>
      <c r="H671" s="340"/>
      <c r="I671" s="340"/>
      <c r="J671" s="340"/>
      <c r="K671" s="340"/>
      <c r="L671" s="340"/>
      <c r="M671" s="340"/>
      <c r="N671" s="340"/>
      <c r="O671" s="340"/>
      <c r="P671" s="340"/>
      <c r="Q671" s="340"/>
      <c r="R671" s="340"/>
      <c r="S671" s="340"/>
      <c r="T671" s="340"/>
      <c r="U671" s="340"/>
      <c r="V671" s="340"/>
      <c r="W671" s="340"/>
      <c r="X671" s="340"/>
      <c r="Y671" s="340"/>
      <c r="Z671" s="340"/>
      <c r="AA671" s="340"/>
      <c r="AB671" s="340"/>
      <c r="AC671" s="340"/>
      <c r="AD671" s="340"/>
      <c r="AE671" s="340"/>
      <c r="AF671" s="340"/>
      <c r="AG671" s="340"/>
      <c r="AH671" s="340"/>
      <c r="AI671" s="340"/>
      <c r="AJ671" s="340"/>
      <c r="AK671" s="340"/>
      <c r="AL671" s="340"/>
      <c r="AM671" s="340"/>
      <c r="AN671" s="340"/>
      <c r="AO671" s="340"/>
      <c r="AP671" s="340"/>
      <c r="AQ671" s="340"/>
      <c r="AR671" s="340"/>
      <c r="AS671" s="340"/>
      <c r="AT671" s="340"/>
      <c r="AU671" s="340"/>
      <c r="AV671" s="340"/>
      <c r="AW671" s="340"/>
      <c r="AX671" s="340"/>
      <c r="AY671" s="340"/>
      <c r="AZ671" s="340"/>
      <c r="BA671" s="340"/>
      <c r="BB671" s="340"/>
      <c r="BC671" s="340"/>
      <c r="BD671" s="340"/>
    </row>
    <row r="672" spans="3:56">
      <c r="C672" s="340"/>
      <c r="D672" s="340"/>
      <c r="E672" s="340"/>
      <c r="F672" s="340"/>
      <c r="G672" s="340"/>
      <c r="H672" s="340"/>
      <c r="I672" s="340"/>
      <c r="J672" s="340"/>
      <c r="K672" s="340"/>
      <c r="L672" s="340"/>
      <c r="M672" s="340"/>
      <c r="N672" s="340"/>
      <c r="O672" s="340"/>
      <c r="P672" s="340"/>
      <c r="Q672" s="340"/>
      <c r="R672" s="340"/>
      <c r="S672" s="340"/>
      <c r="T672" s="340"/>
      <c r="U672" s="340"/>
      <c r="V672" s="340"/>
      <c r="W672" s="340"/>
      <c r="X672" s="340"/>
      <c r="Y672" s="340"/>
      <c r="Z672" s="340"/>
      <c r="AA672" s="340"/>
      <c r="AB672" s="340"/>
      <c r="AC672" s="340"/>
      <c r="AD672" s="340"/>
      <c r="AE672" s="340"/>
      <c r="AF672" s="340"/>
      <c r="AG672" s="340"/>
      <c r="AH672" s="340"/>
      <c r="AI672" s="340"/>
      <c r="AJ672" s="340"/>
      <c r="AK672" s="340"/>
      <c r="AL672" s="340"/>
      <c r="AM672" s="340"/>
      <c r="AN672" s="340"/>
      <c r="AO672" s="340"/>
      <c r="AP672" s="340"/>
      <c r="AQ672" s="340"/>
      <c r="AR672" s="340"/>
      <c r="AS672" s="340"/>
      <c r="AT672" s="340"/>
      <c r="AU672" s="340"/>
      <c r="AV672" s="340"/>
      <c r="AW672" s="340"/>
      <c r="AX672" s="340"/>
      <c r="AY672" s="340"/>
      <c r="AZ672" s="340"/>
      <c r="BA672" s="340"/>
      <c r="BB672" s="340"/>
      <c r="BC672" s="340"/>
      <c r="BD672" s="340"/>
    </row>
    <row r="673" spans="3:56">
      <c r="C673" s="340"/>
      <c r="D673" s="340"/>
      <c r="E673" s="340"/>
      <c r="F673" s="340"/>
      <c r="G673" s="340"/>
      <c r="H673" s="340"/>
      <c r="I673" s="340"/>
      <c r="J673" s="340"/>
      <c r="K673" s="340"/>
      <c r="L673" s="340"/>
      <c r="M673" s="340"/>
      <c r="N673" s="340"/>
      <c r="O673" s="340"/>
      <c r="P673" s="340"/>
      <c r="Q673" s="340"/>
      <c r="R673" s="340"/>
      <c r="S673" s="340"/>
      <c r="T673" s="340"/>
      <c r="U673" s="340"/>
      <c r="V673" s="340"/>
      <c r="W673" s="340"/>
      <c r="X673" s="340"/>
      <c r="Y673" s="340"/>
      <c r="Z673" s="340"/>
      <c r="AA673" s="340"/>
      <c r="AB673" s="340"/>
      <c r="AC673" s="340"/>
      <c r="AD673" s="340"/>
      <c r="AE673" s="340"/>
      <c r="AF673" s="340"/>
      <c r="AG673" s="340"/>
      <c r="AH673" s="340"/>
      <c r="AI673" s="340"/>
      <c r="AJ673" s="340"/>
      <c r="AK673" s="340"/>
      <c r="AL673" s="340"/>
      <c r="AM673" s="340"/>
      <c r="AN673" s="340"/>
      <c r="AO673" s="340"/>
      <c r="AP673" s="340"/>
      <c r="AQ673" s="340"/>
      <c r="AR673" s="340"/>
      <c r="AS673" s="340"/>
      <c r="AT673" s="340"/>
      <c r="AU673" s="340"/>
      <c r="AV673" s="340"/>
      <c r="AW673" s="340"/>
      <c r="AX673" s="340"/>
      <c r="AY673" s="340"/>
      <c r="AZ673" s="340"/>
      <c r="BA673" s="340"/>
      <c r="BB673" s="340"/>
      <c r="BC673" s="340"/>
      <c r="BD673" s="340"/>
    </row>
    <row r="674" spans="3:56">
      <c r="C674" s="340"/>
      <c r="D674" s="340"/>
      <c r="E674" s="340"/>
      <c r="F674" s="340"/>
      <c r="G674" s="340"/>
      <c r="H674" s="340"/>
      <c r="I674" s="340"/>
      <c r="J674" s="340"/>
      <c r="K674" s="340"/>
      <c r="L674" s="340"/>
      <c r="M674" s="340"/>
      <c r="N674" s="340"/>
      <c r="O674" s="340"/>
      <c r="P674" s="340"/>
      <c r="Q674" s="340"/>
      <c r="R674" s="340"/>
      <c r="S674" s="340"/>
      <c r="T674" s="340"/>
      <c r="U674" s="340"/>
      <c r="V674" s="340"/>
      <c r="W674" s="340"/>
      <c r="X674" s="340"/>
      <c r="Y674" s="340"/>
      <c r="Z674" s="340"/>
      <c r="AA674" s="340"/>
      <c r="AB674" s="340"/>
      <c r="AC674" s="340"/>
      <c r="AD674" s="340"/>
      <c r="AE674" s="340"/>
      <c r="AF674" s="340"/>
      <c r="AG674" s="340"/>
      <c r="AH674" s="340"/>
      <c r="AI674" s="340"/>
      <c r="AJ674" s="340"/>
      <c r="AK674" s="340"/>
      <c r="AL674" s="340"/>
      <c r="AM674" s="340"/>
      <c r="AN674" s="340"/>
      <c r="AO674" s="340"/>
      <c r="AP674" s="340"/>
      <c r="AQ674" s="340"/>
      <c r="AR674" s="340"/>
      <c r="AS674" s="340"/>
      <c r="AT674" s="340"/>
      <c r="AU674" s="340"/>
      <c r="AV674" s="340"/>
      <c r="AW674" s="340"/>
      <c r="AX674" s="340"/>
      <c r="AY674" s="340"/>
      <c r="AZ674" s="340"/>
      <c r="BA674" s="340"/>
      <c r="BB674" s="340"/>
      <c r="BC674" s="340"/>
      <c r="BD674" s="340"/>
    </row>
    <row r="675" spans="3:56">
      <c r="C675" s="340"/>
      <c r="D675" s="340"/>
      <c r="E675" s="340"/>
      <c r="F675" s="340"/>
      <c r="G675" s="340"/>
      <c r="H675" s="340"/>
      <c r="I675" s="340"/>
      <c r="J675" s="340"/>
      <c r="K675" s="340"/>
      <c r="L675" s="340"/>
      <c r="M675" s="340"/>
      <c r="N675" s="340"/>
      <c r="O675" s="340"/>
      <c r="P675" s="340"/>
      <c r="Q675" s="340"/>
      <c r="R675" s="340"/>
      <c r="S675" s="340"/>
      <c r="T675" s="340"/>
      <c r="U675" s="340"/>
      <c r="V675" s="340"/>
      <c r="W675" s="340"/>
      <c r="X675" s="340"/>
      <c r="Y675" s="340"/>
      <c r="Z675" s="340"/>
      <c r="AA675" s="340"/>
      <c r="AB675" s="340"/>
      <c r="AC675" s="340"/>
      <c r="AD675" s="340"/>
      <c r="AE675" s="340"/>
      <c r="AF675" s="340"/>
      <c r="AG675" s="340"/>
      <c r="AH675" s="340"/>
      <c r="AI675" s="340"/>
      <c r="AJ675" s="340"/>
      <c r="AK675" s="340"/>
      <c r="AL675" s="340"/>
      <c r="AM675" s="340"/>
      <c r="AN675" s="340"/>
      <c r="AO675" s="340"/>
      <c r="AP675" s="340"/>
      <c r="AQ675" s="340"/>
      <c r="AR675" s="340"/>
      <c r="AS675" s="340"/>
      <c r="AT675" s="340"/>
      <c r="AU675" s="340"/>
      <c r="AV675" s="340"/>
      <c r="AW675" s="340"/>
      <c r="AX675" s="340"/>
      <c r="AY675" s="340"/>
      <c r="AZ675" s="340"/>
      <c r="BA675" s="340"/>
      <c r="BB675" s="340"/>
      <c r="BC675" s="340"/>
      <c r="BD675" s="340"/>
    </row>
    <row r="676" spans="3:56">
      <c r="C676" s="340"/>
      <c r="D676" s="340"/>
      <c r="E676" s="340"/>
      <c r="F676" s="340"/>
      <c r="G676" s="340"/>
      <c r="H676" s="340"/>
      <c r="I676" s="340"/>
      <c r="J676" s="340"/>
      <c r="K676" s="340"/>
      <c r="L676" s="340"/>
      <c r="M676" s="340"/>
      <c r="N676" s="340"/>
      <c r="O676" s="340"/>
      <c r="P676" s="340"/>
      <c r="Q676" s="340"/>
      <c r="R676" s="340"/>
      <c r="S676" s="340"/>
      <c r="T676" s="340"/>
      <c r="U676" s="340"/>
      <c r="V676" s="340"/>
      <c r="W676" s="340"/>
      <c r="X676" s="340"/>
      <c r="Y676" s="340"/>
      <c r="Z676" s="340"/>
      <c r="AA676" s="340"/>
      <c r="AB676" s="340"/>
      <c r="AC676" s="340"/>
      <c r="AD676" s="340"/>
      <c r="AE676" s="340"/>
      <c r="AF676" s="340"/>
      <c r="AG676" s="340"/>
      <c r="AH676" s="340"/>
      <c r="AI676" s="340"/>
      <c r="AJ676" s="340"/>
      <c r="AK676" s="340"/>
      <c r="AL676" s="340"/>
      <c r="AM676" s="340"/>
      <c r="AN676" s="340"/>
      <c r="AO676" s="340"/>
      <c r="AP676" s="340"/>
      <c r="AQ676" s="340"/>
      <c r="AR676" s="340"/>
      <c r="AS676" s="340"/>
      <c r="AT676" s="340"/>
      <c r="AU676" s="340"/>
      <c r="AV676" s="340"/>
      <c r="AW676" s="340"/>
      <c r="AX676" s="340"/>
      <c r="AY676" s="340"/>
      <c r="AZ676" s="340"/>
      <c r="BA676" s="340"/>
      <c r="BB676" s="340"/>
      <c r="BC676" s="340"/>
      <c r="BD676" s="340"/>
    </row>
    <row r="677" spans="3:56">
      <c r="C677" s="340"/>
      <c r="D677" s="340"/>
      <c r="E677" s="340"/>
      <c r="F677" s="340"/>
      <c r="G677" s="340"/>
      <c r="H677" s="340"/>
      <c r="I677" s="340"/>
      <c r="J677" s="340"/>
      <c r="K677" s="340"/>
      <c r="L677" s="340"/>
      <c r="M677" s="340"/>
      <c r="N677" s="340"/>
      <c r="O677" s="340"/>
      <c r="P677" s="340"/>
      <c r="Q677" s="340"/>
      <c r="R677" s="340"/>
      <c r="S677" s="340"/>
      <c r="T677" s="340"/>
      <c r="U677" s="340"/>
      <c r="V677" s="340"/>
      <c r="W677" s="340"/>
      <c r="X677" s="340"/>
      <c r="Y677" s="340"/>
      <c r="Z677" s="340"/>
      <c r="AA677" s="340"/>
      <c r="AB677" s="340"/>
      <c r="AC677" s="340"/>
      <c r="AD677" s="340"/>
      <c r="AE677" s="340"/>
      <c r="AF677" s="340"/>
      <c r="AG677" s="340"/>
      <c r="AH677" s="340"/>
      <c r="AI677" s="340"/>
      <c r="AJ677" s="340"/>
      <c r="AK677" s="340"/>
      <c r="AL677" s="340"/>
      <c r="AM677" s="340"/>
      <c r="AN677" s="340"/>
      <c r="AO677" s="340"/>
      <c r="AP677" s="340"/>
      <c r="AQ677" s="340"/>
      <c r="AR677" s="340"/>
      <c r="AS677" s="340"/>
      <c r="AT677" s="340"/>
      <c r="AU677" s="340"/>
      <c r="AV677" s="340"/>
      <c r="AW677" s="340"/>
      <c r="AX677" s="340"/>
      <c r="AY677" s="340"/>
      <c r="AZ677" s="340"/>
      <c r="BA677" s="340"/>
      <c r="BB677" s="340"/>
      <c r="BC677" s="340"/>
      <c r="BD677" s="340"/>
    </row>
    <row r="678" spans="3:56">
      <c r="C678" s="340"/>
      <c r="D678" s="340"/>
      <c r="E678" s="340"/>
      <c r="F678" s="340"/>
      <c r="G678" s="340"/>
      <c r="H678" s="340"/>
      <c r="I678" s="340"/>
      <c r="J678" s="340"/>
      <c r="K678" s="340"/>
      <c r="L678" s="340"/>
      <c r="M678" s="340"/>
      <c r="N678" s="340"/>
      <c r="O678" s="340"/>
      <c r="P678" s="340"/>
      <c r="Q678" s="340"/>
      <c r="R678" s="340"/>
      <c r="S678" s="340"/>
      <c r="T678" s="340"/>
      <c r="U678" s="340"/>
      <c r="V678" s="340"/>
      <c r="W678" s="340"/>
      <c r="X678" s="340"/>
      <c r="Y678" s="340"/>
      <c r="Z678" s="340"/>
      <c r="AA678" s="340"/>
      <c r="AB678" s="340"/>
      <c r="AC678" s="340"/>
      <c r="AD678" s="340"/>
      <c r="AE678" s="340"/>
      <c r="AF678" s="340"/>
      <c r="AG678" s="340"/>
      <c r="AH678" s="340"/>
      <c r="AI678" s="340"/>
      <c r="AJ678" s="340"/>
      <c r="AK678" s="340"/>
      <c r="AL678" s="340"/>
      <c r="AM678" s="340"/>
      <c r="AN678" s="340"/>
      <c r="AO678" s="340"/>
      <c r="AP678" s="340"/>
      <c r="AQ678" s="340"/>
      <c r="AR678" s="340"/>
      <c r="AS678" s="340"/>
      <c r="AT678" s="340"/>
      <c r="AU678" s="340"/>
      <c r="AV678" s="340"/>
      <c r="AW678" s="340"/>
      <c r="AX678" s="340"/>
      <c r="AY678" s="340"/>
      <c r="AZ678" s="340"/>
      <c r="BA678" s="340"/>
      <c r="BB678" s="340"/>
      <c r="BC678" s="340"/>
      <c r="BD678" s="340"/>
    </row>
    <row r="679" spans="3:56">
      <c r="C679" s="340"/>
      <c r="D679" s="340"/>
      <c r="E679" s="340"/>
      <c r="F679" s="340"/>
      <c r="G679" s="340"/>
      <c r="H679" s="340"/>
      <c r="I679" s="340"/>
      <c r="J679" s="340"/>
      <c r="K679" s="340"/>
      <c r="L679" s="340"/>
      <c r="M679" s="340"/>
      <c r="N679" s="340"/>
      <c r="O679" s="340"/>
      <c r="P679" s="340"/>
      <c r="Q679" s="340"/>
      <c r="R679" s="340"/>
      <c r="S679" s="340"/>
      <c r="T679" s="340"/>
      <c r="U679" s="340"/>
      <c r="V679" s="340"/>
      <c r="W679" s="340"/>
      <c r="X679" s="340"/>
      <c r="Y679" s="340"/>
      <c r="Z679" s="340"/>
      <c r="AA679" s="340"/>
      <c r="AB679" s="340"/>
      <c r="AC679" s="340"/>
      <c r="AD679" s="340"/>
      <c r="AE679" s="340"/>
      <c r="AF679" s="340"/>
      <c r="AG679" s="340"/>
      <c r="AH679" s="340"/>
      <c r="AI679" s="340"/>
      <c r="AJ679" s="340"/>
      <c r="AK679" s="340"/>
      <c r="AL679" s="340"/>
      <c r="AM679" s="340"/>
      <c r="AN679" s="340"/>
      <c r="AO679" s="340"/>
      <c r="AP679" s="340"/>
      <c r="AQ679" s="340"/>
      <c r="AR679" s="340"/>
      <c r="AS679" s="340"/>
      <c r="AT679" s="340"/>
      <c r="AU679" s="340"/>
      <c r="AV679" s="340"/>
      <c r="AW679" s="340"/>
      <c r="AX679" s="340"/>
      <c r="AY679" s="340"/>
      <c r="AZ679" s="340"/>
      <c r="BA679" s="340"/>
      <c r="BB679" s="340"/>
      <c r="BC679" s="340"/>
      <c r="BD679" s="340"/>
    </row>
    <row r="680" spans="3:56">
      <c r="C680" s="340"/>
      <c r="D680" s="340"/>
      <c r="E680" s="340"/>
      <c r="F680" s="340"/>
      <c r="G680" s="340"/>
      <c r="H680" s="340"/>
      <c r="I680" s="340"/>
      <c r="J680" s="340"/>
      <c r="K680" s="340"/>
      <c r="L680" s="340"/>
      <c r="M680" s="340"/>
      <c r="N680" s="340"/>
      <c r="O680" s="340"/>
      <c r="P680" s="340"/>
      <c r="Q680" s="340"/>
      <c r="R680" s="340"/>
      <c r="S680" s="340"/>
      <c r="T680" s="340"/>
      <c r="U680" s="340"/>
      <c r="V680" s="340"/>
      <c r="W680" s="340"/>
      <c r="X680" s="340"/>
      <c r="Y680" s="340"/>
      <c r="Z680" s="340"/>
      <c r="AA680" s="340"/>
      <c r="AB680" s="340"/>
      <c r="AC680" s="340"/>
      <c r="AD680" s="340"/>
      <c r="AE680" s="340"/>
      <c r="AF680" s="340"/>
      <c r="AG680" s="340"/>
      <c r="AH680" s="340"/>
      <c r="AI680" s="340"/>
      <c r="AJ680" s="340"/>
      <c r="AK680" s="340"/>
      <c r="AL680" s="340"/>
      <c r="AM680" s="340"/>
      <c r="AN680" s="340"/>
      <c r="AO680" s="340"/>
      <c r="AP680" s="340"/>
      <c r="AQ680" s="340"/>
      <c r="AR680" s="340"/>
      <c r="AS680" s="340"/>
      <c r="AT680" s="340"/>
      <c r="AU680" s="340"/>
      <c r="AV680" s="340"/>
      <c r="AW680" s="340"/>
      <c r="AX680" s="340"/>
      <c r="AY680" s="340"/>
      <c r="AZ680" s="340"/>
      <c r="BA680" s="340"/>
      <c r="BB680" s="340"/>
      <c r="BC680" s="340"/>
      <c r="BD680" s="340"/>
    </row>
    <row r="681" spans="3:56">
      <c r="C681" s="340"/>
      <c r="D681" s="340"/>
      <c r="E681" s="340"/>
      <c r="F681" s="340"/>
      <c r="G681" s="340"/>
      <c r="H681" s="340"/>
      <c r="I681" s="340"/>
      <c r="J681" s="340"/>
      <c r="K681" s="340"/>
      <c r="L681" s="340"/>
      <c r="M681" s="340"/>
      <c r="N681" s="340"/>
      <c r="O681" s="340"/>
      <c r="P681" s="340"/>
      <c r="Q681" s="340"/>
      <c r="R681" s="340"/>
      <c r="S681" s="340"/>
      <c r="T681" s="340"/>
      <c r="U681" s="340"/>
      <c r="V681" s="340"/>
      <c r="W681" s="340"/>
      <c r="X681" s="340"/>
      <c r="Y681" s="340"/>
      <c r="Z681" s="340"/>
      <c r="AA681" s="340"/>
      <c r="AB681" s="340"/>
      <c r="AC681" s="340"/>
      <c r="AD681" s="340"/>
      <c r="AE681" s="340"/>
      <c r="AF681" s="340"/>
      <c r="AG681" s="340"/>
      <c r="AH681" s="340"/>
      <c r="AI681" s="340"/>
      <c r="AJ681" s="340"/>
      <c r="AK681" s="340"/>
      <c r="AL681" s="340"/>
      <c r="AM681" s="340"/>
      <c r="AN681" s="340"/>
      <c r="AO681" s="340"/>
      <c r="AP681" s="340"/>
      <c r="AQ681" s="340"/>
      <c r="AR681" s="340"/>
      <c r="AS681" s="340"/>
      <c r="AT681" s="340"/>
      <c r="AU681" s="340"/>
      <c r="AV681" s="340"/>
      <c r="AW681" s="340"/>
      <c r="AX681" s="340"/>
      <c r="AY681" s="340"/>
      <c r="AZ681" s="340"/>
      <c r="BA681" s="340"/>
      <c r="BB681" s="340"/>
      <c r="BC681" s="340"/>
      <c r="BD681" s="340"/>
    </row>
    <row r="682" spans="3:56">
      <c r="C682" s="340"/>
      <c r="D682" s="340"/>
      <c r="E682" s="340"/>
      <c r="F682" s="340"/>
      <c r="G682" s="340"/>
      <c r="H682" s="340"/>
      <c r="I682" s="340"/>
      <c r="J682" s="340"/>
      <c r="K682" s="340"/>
      <c r="L682" s="340"/>
      <c r="M682" s="340"/>
      <c r="N682" s="340"/>
      <c r="O682" s="340"/>
      <c r="P682" s="340"/>
      <c r="Q682" s="340"/>
      <c r="R682" s="340"/>
      <c r="S682" s="340"/>
      <c r="T682" s="340"/>
      <c r="U682" s="340"/>
      <c r="V682" s="340"/>
      <c r="W682" s="340"/>
      <c r="X682" s="340"/>
      <c r="Y682" s="340"/>
      <c r="Z682" s="340"/>
      <c r="AA682" s="340"/>
      <c r="AB682" s="340"/>
      <c r="AC682" s="340"/>
      <c r="AD682" s="340"/>
      <c r="AE682" s="340"/>
      <c r="AF682" s="340"/>
      <c r="AG682" s="340"/>
      <c r="AH682" s="340"/>
      <c r="AI682" s="340"/>
      <c r="AJ682" s="340"/>
      <c r="AK682" s="340"/>
      <c r="AL682" s="340"/>
      <c r="AM682" s="340"/>
      <c r="AN682" s="340"/>
      <c r="AO682" s="340"/>
      <c r="AP682" s="340"/>
      <c r="AQ682" s="340"/>
      <c r="AR682" s="340"/>
      <c r="AS682" s="340"/>
      <c r="AT682" s="340"/>
      <c r="AU682" s="340"/>
      <c r="AV682" s="340"/>
      <c r="AW682" s="340"/>
      <c r="AX682" s="340"/>
      <c r="AY682" s="340"/>
      <c r="AZ682" s="340"/>
      <c r="BA682" s="340"/>
      <c r="BB682" s="340"/>
      <c r="BC682" s="340"/>
      <c r="BD682" s="340"/>
    </row>
    <row r="683" spans="3:56">
      <c r="C683" s="340"/>
      <c r="D683" s="340"/>
      <c r="E683" s="340"/>
      <c r="F683" s="340"/>
      <c r="G683" s="340"/>
      <c r="H683" s="340"/>
      <c r="I683" s="340"/>
      <c r="J683" s="340"/>
      <c r="K683" s="340"/>
      <c r="L683" s="340"/>
      <c r="M683" s="340"/>
      <c r="N683" s="340"/>
      <c r="O683" s="340"/>
      <c r="P683" s="340"/>
      <c r="Q683" s="340"/>
      <c r="R683" s="340"/>
      <c r="S683" s="340"/>
      <c r="T683" s="340"/>
      <c r="U683" s="340"/>
      <c r="V683" s="340"/>
      <c r="W683" s="340"/>
      <c r="X683" s="340"/>
      <c r="Y683" s="340"/>
      <c r="Z683" s="340"/>
      <c r="AA683" s="340"/>
      <c r="AB683" s="340"/>
      <c r="AC683" s="340"/>
      <c r="AD683" s="340"/>
      <c r="AE683" s="340"/>
      <c r="AF683" s="340"/>
      <c r="AG683" s="340"/>
      <c r="AH683" s="340"/>
      <c r="AI683" s="340"/>
      <c r="AJ683" s="340"/>
      <c r="AK683" s="340"/>
      <c r="AL683" s="340"/>
      <c r="AM683" s="340"/>
      <c r="AN683" s="340"/>
      <c r="AO683" s="340"/>
      <c r="AP683" s="340"/>
      <c r="AQ683" s="340"/>
      <c r="AR683" s="340"/>
      <c r="AS683" s="340"/>
      <c r="AT683" s="340"/>
      <c r="AU683" s="340"/>
      <c r="AV683" s="340"/>
      <c r="AW683" s="340"/>
      <c r="AX683" s="340"/>
      <c r="AY683" s="340"/>
      <c r="AZ683" s="340"/>
      <c r="BA683" s="340"/>
      <c r="BB683" s="340"/>
      <c r="BC683" s="340"/>
      <c r="BD683" s="340"/>
    </row>
    <row r="684" spans="3:56">
      <c r="C684" s="340"/>
      <c r="D684" s="340"/>
      <c r="E684" s="340"/>
      <c r="F684" s="340"/>
      <c r="G684" s="340"/>
      <c r="H684" s="340"/>
      <c r="I684" s="340"/>
      <c r="J684" s="340"/>
      <c r="K684" s="340"/>
      <c r="L684" s="340"/>
      <c r="M684" s="340"/>
      <c r="N684" s="340"/>
      <c r="O684" s="340"/>
      <c r="P684" s="340"/>
      <c r="Q684" s="340"/>
      <c r="R684" s="340"/>
      <c r="S684" s="340"/>
      <c r="T684" s="340"/>
      <c r="U684" s="340"/>
      <c r="V684" s="340"/>
      <c r="W684" s="340"/>
      <c r="X684" s="340"/>
      <c r="Y684" s="340"/>
      <c r="Z684" s="340"/>
      <c r="AA684" s="340"/>
      <c r="AB684" s="340"/>
      <c r="AC684" s="340"/>
      <c r="AD684" s="340"/>
      <c r="AE684" s="340"/>
      <c r="AF684" s="340"/>
      <c r="AG684" s="340"/>
      <c r="AH684" s="340"/>
      <c r="AI684" s="340"/>
      <c r="AJ684" s="340"/>
      <c r="AK684" s="340"/>
      <c r="AL684" s="340"/>
      <c r="AM684" s="340"/>
      <c r="AN684" s="340"/>
      <c r="AO684" s="340"/>
      <c r="AP684" s="340"/>
      <c r="AQ684" s="340"/>
      <c r="AR684" s="340"/>
      <c r="AS684" s="340"/>
      <c r="AT684" s="340"/>
      <c r="AU684" s="340"/>
      <c r="AV684" s="340"/>
      <c r="AW684" s="340"/>
      <c r="AX684" s="340"/>
      <c r="AY684" s="340"/>
      <c r="AZ684" s="340"/>
      <c r="BA684" s="340"/>
      <c r="BB684" s="340"/>
      <c r="BC684" s="340"/>
      <c r="BD684" s="340"/>
    </row>
    <row r="685" spans="3:56">
      <c r="C685" s="340"/>
      <c r="D685" s="340"/>
      <c r="E685" s="340"/>
      <c r="F685" s="340"/>
      <c r="G685" s="340"/>
      <c r="H685" s="340"/>
      <c r="I685" s="340"/>
      <c r="J685" s="340"/>
      <c r="K685" s="340"/>
      <c r="L685" s="340"/>
      <c r="M685" s="340"/>
      <c r="N685" s="340"/>
      <c r="O685" s="340"/>
      <c r="P685" s="340"/>
      <c r="Q685" s="340"/>
      <c r="R685" s="340"/>
      <c r="S685" s="340"/>
      <c r="T685" s="340"/>
      <c r="U685" s="340"/>
      <c r="V685" s="340"/>
      <c r="W685" s="340"/>
      <c r="X685" s="340"/>
      <c r="Y685" s="340"/>
      <c r="Z685" s="340"/>
      <c r="AA685" s="340"/>
      <c r="AB685" s="340"/>
      <c r="AC685" s="340"/>
      <c r="AD685" s="340"/>
      <c r="AE685" s="340"/>
      <c r="AF685" s="340"/>
      <c r="AG685" s="340"/>
      <c r="AH685" s="340"/>
      <c r="AI685" s="340"/>
      <c r="AJ685" s="340"/>
      <c r="AK685" s="340"/>
      <c r="AL685" s="340"/>
      <c r="AM685" s="340"/>
      <c r="AN685" s="340"/>
      <c r="AO685" s="340"/>
      <c r="AP685" s="340"/>
      <c r="AQ685" s="340"/>
      <c r="AR685" s="340"/>
      <c r="AS685" s="340"/>
      <c r="AT685" s="340"/>
      <c r="AU685" s="340"/>
      <c r="AV685" s="340"/>
      <c r="AW685" s="340"/>
      <c r="AX685" s="340"/>
      <c r="AY685" s="340"/>
      <c r="AZ685" s="340"/>
      <c r="BA685" s="340"/>
      <c r="BB685" s="340"/>
      <c r="BC685" s="340"/>
      <c r="BD685" s="340"/>
    </row>
    <row r="686" spans="3:56">
      <c r="C686" s="340"/>
      <c r="D686" s="340"/>
      <c r="E686" s="340"/>
      <c r="F686" s="340"/>
      <c r="G686" s="340"/>
      <c r="H686" s="340"/>
      <c r="I686" s="340"/>
      <c r="J686" s="340"/>
      <c r="K686" s="340"/>
      <c r="L686" s="340"/>
      <c r="M686" s="340"/>
      <c r="N686" s="340"/>
      <c r="O686" s="340"/>
      <c r="P686" s="340"/>
      <c r="Q686" s="340"/>
      <c r="R686" s="340"/>
      <c r="S686" s="340"/>
      <c r="T686" s="340"/>
      <c r="U686" s="340"/>
      <c r="V686" s="340"/>
      <c r="W686" s="340"/>
      <c r="X686" s="340"/>
      <c r="Y686" s="340"/>
      <c r="Z686" s="340"/>
      <c r="AA686" s="340"/>
      <c r="AB686" s="340"/>
      <c r="AC686" s="340"/>
      <c r="AD686" s="340"/>
      <c r="AE686" s="340"/>
      <c r="AF686" s="340"/>
      <c r="AG686" s="340"/>
      <c r="AH686" s="340"/>
      <c r="AI686" s="340"/>
      <c r="AJ686" s="340"/>
      <c r="AK686" s="340"/>
      <c r="AL686" s="340"/>
      <c r="AM686" s="340"/>
      <c r="AN686" s="340"/>
      <c r="AO686" s="340"/>
      <c r="AP686" s="340"/>
      <c r="AQ686" s="340"/>
      <c r="AR686" s="340"/>
      <c r="AS686" s="340"/>
      <c r="AT686" s="340"/>
      <c r="AU686" s="340"/>
      <c r="AV686" s="340"/>
      <c r="AW686" s="340"/>
      <c r="AX686" s="340"/>
      <c r="AY686" s="340"/>
      <c r="AZ686" s="340"/>
      <c r="BA686" s="340"/>
      <c r="BB686" s="340"/>
      <c r="BC686" s="340"/>
      <c r="BD686" s="340"/>
    </row>
    <row r="687" spans="3:56">
      <c r="C687" s="340"/>
      <c r="D687" s="340"/>
      <c r="E687" s="340"/>
      <c r="F687" s="340"/>
      <c r="G687" s="340"/>
      <c r="H687" s="340"/>
      <c r="I687" s="340"/>
      <c r="J687" s="340"/>
      <c r="K687" s="340"/>
      <c r="L687" s="340"/>
      <c r="M687" s="340"/>
      <c r="N687" s="340"/>
      <c r="O687" s="340"/>
      <c r="P687" s="340"/>
      <c r="Q687" s="340"/>
      <c r="R687" s="340"/>
      <c r="S687" s="340"/>
      <c r="T687" s="340"/>
      <c r="U687" s="340"/>
      <c r="V687" s="340"/>
      <c r="W687" s="340"/>
      <c r="X687" s="340"/>
      <c r="Y687" s="340"/>
      <c r="Z687" s="340"/>
      <c r="AA687" s="340"/>
      <c r="AB687" s="340"/>
      <c r="AC687" s="340"/>
      <c r="AD687" s="340"/>
      <c r="AE687" s="340"/>
      <c r="AF687" s="340"/>
      <c r="AG687" s="340"/>
      <c r="AH687" s="340"/>
      <c r="AI687" s="340"/>
      <c r="AJ687" s="340"/>
      <c r="AK687" s="340"/>
      <c r="AL687" s="340"/>
      <c r="AM687" s="340"/>
      <c r="AN687" s="340"/>
      <c r="AO687" s="340"/>
      <c r="AP687" s="340"/>
      <c r="AQ687" s="340"/>
      <c r="AR687" s="340"/>
      <c r="AS687" s="340"/>
      <c r="AT687" s="340"/>
      <c r="AU687" s="340"/>
      <c r="AV687" s="340"/>
      <c r="AW687" s="340"/>
      <c r="AX687" s="340"/>
      <c r="AY687" s="340"/>
      <c r="AZ687" s="340"/>
      <c r="BA687" s="340"/>
      <c r="BB687" s="340"/>
      <c r="BC687" s="340"/>
      <c r="BD687" s="340"/>
    </row>
    <row r="688" spans="3:56">
      <c r="C688" s="340"/>
      <c r="D688" s="340"/>
      <c r="E688" s="340"/>
      <c r="F688" s="340"/>
      <c r="G688" s="340"/>
      <c r="H688" s="340"/>
      <c r="I688" s="340"/>
      <c r="J688" s="340"/>
      <c r="K688" s="340"/>
      <c r="L688" s="340"/>
      <c r="M688" s="340"/>
      <c r="N688" s="340"/>
      <c r="O688" s="340"/>
      <c r="P688" s="340"/>
      <c r="Q688" s="340"/>
      <c r="R688" s="340"/>
      <c r="S688" s="340"/>
      <c r="T688" s="340"/>
      <c r="U688" s="340"/>
      <c r="V688" s="340"/>
      <c r="W688" s="340"/>
      <c r="X688" s="340"/>
      <c r="Y688" s="340"/>
      <c r="Z688" s="340"/>
      <c r="AA688" s="340"/>
      <c r="AB688" s="340"/>
      <c r="AC688" s="340"/>
      <c r="AD688" s="340"/>
      <c r="AE688" s="340"/>
      <c r="AF688" s="340"/>
      <c r="AG688" s="340"/>
      <c r="AH688" s="340"/>
      <c r="AI688" s="340"/>
      <c r="AJ688" s="340"/>
      <c r="AK688" s="340"/>
      <c r="AL688" s="340"/>
      <c r="AM688" s="340"/>
      <c r="AN688" s="340"/>
      <c r="AO688" s="340"/>
      <c r="AP688" s="340"/>
      <c r="AQ688" s="340"/>
      <c r="AR688" s="340"/>
      <c r="AS688" s="340"/>
      <c r="AT688" s="340"/>
      <c r="AU688" s="340"/>
      <c r="AV688" s="340"/>
      <c r="AW688" s="340"/>
      <c r="AX688" s="340"/>
      <c r="AY688" s="340"/>
      <c r="AZ688" s="340"/>
      <c r="BA688" s="340"/>
      <c r="BB688" s="340"/>
      <c r="BC688" s="340"/>
      <c r="BD688" s="340"/>
    </row>
    <row r="689" spans="3:56">
      <c r="C689" s="340"/>
      <c r="D689" s="340"/>
      <c r="E689" s="340"/>
      <c r="F689" s="340"/>
      <c r="G689" s="340"/>
      <c r="H689" s="340"/>
      <c r="I689" s="340"/>
      <c r="J689" s="340"/>
      <c r="K689" s="340"/>
      <c r="L689" s="340"/>
      <c r="M689" s="340"/>
      <c r="N689" s="340"/>
      <c r="O689" s="340"/>
      <c r="P689" s="340"/>
      <c r="Q689" s="340"/>
      <c r="R689" s="340"/>
      <c r="S689" s="340"/>
      <c r="T689" s="340"/>
      <c r="U689" s="340"/>
      <c r="V689" s="340"/>
      <c r="W689" s="340"/>
      <c r="X689" s="340"/>
      <c r="Y689" s="340"/>
      <c r="Z689" s="340"/>
      <c r="AA689" s="340"/>
      <c r="AB689" s="340"/>
      <c r="AC689" s="340"/>
      <c r="AD689" s="340"/>
      <c r="AE689" s="340"/>
      <c r="AF689" s="340"/>
      <c r="AG689" s="340"/>
      <c r="AH689" s="340"/>
      <c r="AI689" s="340"/>
      <c r="AJ689" s="340"/>
      <c r="AK689" s="340"/>
      <c r="AL689" s="340"/>
      <c r="AM689" s="340"/>
      <c r="AN689" s="340"/>
      <c r="AO689" s="340"/>
      <c r="AP689" s="340"/>
      <c r="AQ689" s="340"/>
      <c r="AR689" s="340"/>
      <c r="AS689" s="340"/>
      <c r="AT689" s="340"/>
      <c r="AU689" s="340"/>
      <c r="AV689" s="340"/>
      <c r="AW689" s="340"/>
      <c r="AX689" s="340"/>
      <c r="AY689" s="340"/>
      <c r="AZ689" s="340"/>
      <c r="BA689" s="340"/>
      <c r="BB689" s="340"/>
      <c r="BC689" s="340"/>
      <c r="BD689" s="340"/>
    </row>
    <row r="690" spans="3:56">
      <c r="C690" s="340"/>
      <c r="D690" s="340"/>
      <c r="E690" s="340"/>
      <c r="F690" s="340"/>
      <c r="G690" s="340"/>
      <c r="H690" s="340"/>
      <c r="I690" s="340"/>
      <c r="J690" s="340"/>
      <c r="K690" s="340"/>
      <c r="L690" s="340"/>
      <c r="M690" s="340"/>
      <c r="N690" s="340"/>
      <c r="O690" s="340"/>
      <c r="P690" s="340"/>
      <c r="Q690" s="340"/>
      <c r="R690" s="340"/>
      <c r="S690" s="340"/>
      <c r="T690" s="340"/>
      <c r="U690" s="340"/>
      <c r="V690" s="340"/>
      <c r="W690" s="340"/>
      <c r="X690" s="340"/>
      <c r="Y690" s="340"/>
      <c r="Z690" s="340"/>
      <c r="AA690" s="340"/>
      <c r="AB690" s="340"/>
      <c r="AC690" s="340"/>
      <c r="AD690" s="340"/>
      <c r="AE690" s="340"/>
      <c r="AF690" s="340"/>
      <c r="AG690" s="340"/>
      <c r="AH690" s="340"/>
      <c r="AI690" s="340"/>
      <c r="AJ690" s="340"/>
      <c r="AK690" s="340"/>
      <c r="AL690" s="340"/>
      <c r="AM690" s="340"/>
      <c r="AN690" s="340"/>
      <c r="AO690" s="340"/>
      <c r="AP690" s="340"/>
      <c r="AQ690" s="340"/>
      <c r="AR690" s="340"/>
      <c r="AS690" s="340"/>
      <c r="AT690" s="340"/>
      <c r="AU690" s="340"/>
      <c r="AV690" s="340"/>
      <c r="AW690" s="340"/>
      <c r="AX690" s="340"/>
      <c r="AY690" s="340"/>
      <c r="AZ690" s="340"/>
      <c r="BA690" s="340"/>
      <c r="BB690" s="340"/>
      <c r="BC690" s="340"/>
      <c r="BD690" s="340"/>
    </row>
    <row r="691" spans="3:56">
      <c r="C691" s="340"/>
      <c r="D691" s="340"/>
      <c r="E691" s="340"/>
      <c r="F691" s="340"/>
      <c r="G691" s="340"/>
      <c r="H691" s="340"/>
      <c r="I691" s="340"/>
      <c r="J691" s="340"/>
      <c r="K691" s="340"/>
      <c r="L691" s="340"/>
      <c r="M691" s="340"/>
      <c r="N691" s="340"/>
      <c r="O691" s="340"/>
      <c r="P691" s="340"/>
      <c r="Q691" s="340"/>
      <c r="R691" s="340"/>
      <c r="S691" s="340"/>
      <c r="T691" s="340"/>
      <c r="U691" s="340"/>
      <c r="V691" s="340"/>
      <c r="W691" s="340"/>
      <c r="X691" s="340"/>
      <c r="Y691" s="340"/>
      <c r="Z691" s="340"/>
      <c r="AA691" s="340"/>
      <c r="AB691" s="340"/>
      <c r="AC691" s="340"/>
      <c r="AD691" s="340"/>
      <c r="AE691" s="340"/>
      <c r="AF691" s="340"/>
      <c r="AG691" s="340"/>
      <c r="AH691" s="340"/>
      <c r="AI691" s="340"/>
      <c r="AJ691" s="340"/>
      <c r="AK691" s="340"/>
      <c r="AL691" s="340"/>
      <c r="AM691" s="340"/>
      <c r="AN691" s="340"/>
      <c r="AO691" s="340"/>
      <c r="AP691" s="340"/>
      <c r="AQ691" s="340"/>
      <c r="AR691" s="340"/>
      <c r="AS691" s="340"/>
      <c r="AT691" s="340"/>
      <c r="AU691" s="340"/>
      <c r="AV691" s="340"/>
      <c r="AW691" s="340"/>
      <c r="AX691" s="340"/>
      <c r="AY691" s="340"/>
      <c r="AZ691" s="340"/>
      <c r="BA691" s="340"/>
      <c r="BB691" s="340"/>
      <c r="BC691" s="340"/>
      <c r="BD691" s="340"/>
    </row>
    <row r="692" spans="3:56">
      <c r="C692" s="340"/>
      <c r="D692" s="340"/>
      <c r="E692" s="340"/>
      <c r="F692" s="340"/>
      <c r="G692" s="340"/>
      <c r="H692" s="340"/>
      <c r="I692" s="340"/>
      <c r="J692" s="340"/>
      <c r="K692" s="340"/>
      <c r="L692" s="340"/>
      <c r="M692" s="340"/>
      <c r="N692" s="340"/>
      <c r="O692" s="340"/>
      <c r="P692" s="340"/>
      <c r="Q692" s="340"/>
      <c r="R692" s="340"/>
      <c r="S692" s="340"/>
      <c r="T692" s="340"/>
      <c r="U692" s="340"/>
      <c r="V692" s="340"/>
      <c r="W692" s="340"/>
      <c r="X692" s="340"/>
      <c r="Y692" s="340"/>
      <c r="Z692" s="340"/>
      <c r="AA692" s="340"/>
      <c r="AB692" s="340"/>
      <c r="AC692" s="340"/>
      <c r="AD692" s="340"/>
      <c r="AE692" s="340"/>
      <c r="AF692" s="340"/>
      <c r="AG692" s="340"/>
      <c r="AH692" s="340"/>
      <c r="AI692" s="340"/>
      <c r="AJ692" s="340"/>
      <c r="AK692" s="340"/>
      <c r="AL692" s="340"/>
      <c r="AM692" s="340"/>
      <c r="AN692" s="340"/>
      <c r="AO692" s="340"/>
      <c r="AP692" s="340"/>
      <c r="AQ692" s="340"/>
      <c r="AR692" s="340"/>
      <c r="AS692" s="340"/>
      <c r="AT692" s="340"/>
      <c r="AU692" s="340"/>
      <c r="AV692" s="340"/>
      <c r="AW692" s="340"/>
      <c r="AX692" s="340"/>
      <c r="AY692" s="340"/>
      <c r="AZ692" s="340"/>
      <c r="BA692" s="340"/>
      <c r="BB692" s="340"/>
      <c r="BC692" s="340"/>
      <c r="BD692" s="340"/>
    </row>
    <row r="693" spans="3:56">
      <c r="C693" s="340"/>
      <c r="D693" s="340"/>
      <c r="E693" s="340"/>
      <c r="F693" s="340"/>
      <c r="G693" s="340"/>
      <c r="H693" s="340"/>
      <c r="I693" s="340"/>
      <c r="J693" s="340"/>
      <c r="K693" s="340"/>
      <c r="L693" s="340"/>
      <c r="M693" s="340"/>
      <c r="N693" s="340"/>
      <c r="O693" s="340"/>
      <c r="P693" s="340"/>
      <c r="Q693" s="340"/>
      <c r="R693" s="340"/>
      <c r="S693" s="340"/>
      <c r="T693" s="340"/>
      <c r="U693" s="340"/>
      <c r="V693" s="340"/>
      <c r="W693" s="340"/>
      <c r="X693" s="340"/>
      <c r="Y693" s="340"/>
      <c r="Z693" s="340"/>
      <c r="AA693" s="340"/>
      <c r="AB693" s="340"/>
      <c r="AC693" s="340"/>
      <c r="AD693" s="340"/>
      <c r="AE693" s="340"/>
      <c r="AF693" s="340"/>
      <c r="AG693" s="340"/>
      <c r="AH693" s="340"/>
      <c r="AI693" s="340"/>
      <c r="AJ693" s="340"/>
      <c r="AK693" s="340"/>
      <c r="AL693" s="340"/>
      <c r="AM693" s="340"/>
      <c r="AN693" s="340"/>
      <c r="AO693" s="340"/>
      <c r="AP693" s="340"/>
      <c r="AQ693" s="340"/>
      <c r="AR693" s="340"/>
      <c r="AS693" s="340"/>
      <c r="AT693" s="340"/>
      <c r="AU693" s="340"/>
      <c r="AV693" s="340"/>
      <c r="AW693" s="340"/>
      <c r="AX693" s="340"/>
      <c r="AY693" s="340"/>
      <c r="AZ693" s="340"/>
      <c r="BA693" s="340"/>
      <c r="BB693" s="340"/>
      <c r="BC693" s="340"/>
      <c r="BD693" s="340"/>
    </row>
    <row r="694" spans="3:56">
      <c r="C694" s="340"/>
      <c r="D694" s="340"/>
      <c r="E694" s="340"/>
      <c r="F694" s="340"/>
      <c r="G694" s="340"/>
      <c r="H694" s="340"/>
      <c r="I694" s="340"/>
      <c r="J694" s="340"/>
      <c r="K694" s="340"/>
      <c r="L694" s="340"/>
      <c r="M694" s="340"/>
      <c r="N694" s="340"/>
      <c r="O694" s="340"/>
      <c r="P694" s="340"/>
      <c r="Q694" s="340"/>
      <c r="R694" s="340"/>
      <c r="S694" s="340"/>
      <c r="T694" s="340"/>
      <c r="U694" s="340"/>
      <c r="V694" s="340"/>
      <c r="W694" s="340"/>
      <c r="X694" s="340"/>
      <c r="Y694" s="340"/>
      <c r="Z694" s="340"/>
      <c r="AA694" s="340"/>
      <c r="AB694" s="340"/>
      <c r="AC694" s="340"/>
      <c r="AD694" s="340"/>
      <c r="AE694" s="340"/>
      <c r="AF694" s="340"/>
      <c r="AG694" s="340"/>
      <c r="AH694" s="340"/>
      <c r="AI694" s="340"/>
      <c r="AJ694" s="340"/>
      <c r="AK694" s="340"/>
      <c r="AL694" s="340"/>
      <c r="AM694" s="340"/>
      <c r="AN694" s="340"/>
      <c r="AO694" s="340"/>
      <c r="AP694" s="340"/>
      <c r="AQ694" s="340"/>
      <c r="AR694" s="340"/>
      <c r="AS694" s="340"/>
      <c r="AT694" s="340"/>
      <c r="AU694" s="340"/>
      <c r="AV694" s="340"/>
      <c r="AW694" s="340"/>
      <c r="AX694" s="340"/>
      <c r="AY694" s="340"/>
      <c r="AZ694" s="340"/>
      <c r="BA694" s="340"/>
      <c r="BB694" s="340"/>
      <c r="BC694" s="340"/>
      <c r="BD694" s="340"/>
    </row>
    <row r="695" spans="3:56">
      <c r="C695" s="340"/>
      <c r="D695" s="340"/>
      <c r="E695" s="340"/>
      <c r="F695" s="340"/>
      <c r="G695" s="340"/>
      <c r="H695" s="340"/>
      <c r="I695" s="340"/>
      <c r="J695" s="340"/>
      <c r="K695" s="340"/>
      <c r="L695" s="340"/>
      <c r="M695" s="340"/>
      <c r="N695" s="340"/>
      <c r="O695" s="340"/>
      <c r="P695" s="340"/>
      <c r="Q695" s="340"/>
      <c r="R695" s="340"/>
      <c r="S695" s="340"/>
      <c r="T695" s="340"/>
      <c r="U695" s="340"/>
      <c r="V695" s="340"/>
      <c r="W695" s="340"/>
      <c r="X695" s="340"/>
      <c r="Y695" s="340"/>
      <c r="Z695" s="340"/>
      <c r="AA695" s="340"/>
      <c r="AB695" s="340"/>
      <c r="AC695" s="340"/>
      <c r="AD695" s="340"/>
      <c r="AE695" s="340"/>
      <c r="AF695" s="340"/>
      <c r="AG695" s="340"/>
      <c r="AH695" s="340"/>
      <c r="AI695" s="340"/>
      <c r="AJ695" s="340"/>
      <c r="AK695" s="340"/>
      <c r="AL695" s="340"/>
      <c r="AM695" s="340"/>
      <c r="AN695" s="340"/>
      <c r="AO695" s="340"/>
      <c r="AP695" s="340"/>
      <c r="AQ695" s="340"/>
      <c r="AR695" s="340"/>
      <c r="AS695" s="340"/>
      <c r="AT695" s="340"/>
      <c r="AU695" s="340"/>
      <c r="AV695" s="340"/>
      <c r="AW695" s="340"/>
      <c r="AX695" s="340"/>
      <c r="AY695" s="340"/>
      <c r="AZ695" s="340"/>
      <c r="BA695" s="340"/>
      <c r="BB695" s="340"/>
      <c r="BC695" s="340"/>
      <c r="BD695" s="340"/>
    </row>
    <row r="696" spans="3:56">
      <c r="C696" s="340"/>
      <c r="D696" s="340"/>
      <c r="E696" s="340"/>
      <c r="F696" s="340"/>
      <c r="G696" s="340"/>
      <c r="H696" s="340"/>
      <c r="I696" s="340"/>
      <c r="J696" s="340"/>
      <c r="K696" s="340"/>
      <c r="L696" s="340"/>
      <c r="M696" s="340"/>
      <c r="N696" s="340"/>
      <c r="O696" s="340"/>
      <c r="P696" s="340"/>
      <c r="Q696" s="340"/>
      <c r="R696" s="340"/>
      <c r="S696" s="340"/>
      <c r="T696" s="340"/>
      <c r="U696" s="340"/>
      <c r="V696" s="340"/>
      <c r="W696" s="340"/>
      <c r="X696" s="340"/>
      <c r="Y696" s="340"/>
      <c r="Z696" s="340"/>
      <c r="AA696" s="340"/>
      <c r="AB696" s="340"/>
      <c r="AC696" s="340"/>
      <c r="AD696" s="340"/>
      <c r="AE696" s="340"/>
      <c r="AF696" s="340"/>
      <c r="AG696" s="340"/>
      <c r="AH696" s="340"/>
      <c r="AI696" s="340"/>
      <c r="AJ696" s="340"/>
      <c r="AK696" s="340"/>
      <c r="AL696" s="340"/>
      <c r="AM696" s="340"/>
      <c r="AN696" s="340"/>
      <c r="AO696" s="340"/>
      <c r="AP696" s="340"/>
      <c r="AQ696" s="340"/>
      <c r="AR696" s="340"/>
      <c r="AS696" s="340"/>
      <c r="AT696" s="340"/>
      <c r="AU696" s="340"/>
      <c r="AV696" s="340"/>
      <c r="AW696" s="340"/>
      <c r="AX696" s="340"/>
      <c r="AY696" s="340"/>
      <c r="AZ696" s="340"/>
      <c r="BA696" s="340"/>
      <c r="BB696" s="340"/>
      <c r="BC696" s="340"/>
      <c r="BD696" s="340"/>
    </row>
    <row r="697" spans="3:56">
      <c r="C697" s="340"/>
      <c r="D697" s="340"/>
      <c r="E697" s="340"/>
      <c r="F697" s="340"/>
      <c r="G697" s="340"/>
      <c r="H697" s="340"/>
      <c r="I697" s="340"/>
      <c r="J697" s="340"/>
      <c r="K697" s="340"/>
      <c r="L697" s="340"/>
      <c r="M697" s="340"/>
      <c r="N697" s="340"/>
      <c r="O697" s="340"/>
      <c r="P697" s="340"/>
      <c r="Q697" s="340"/>
      <c r="R697" s="340"/>
      <c r="S697" s="340"/>
      <c r="T697" s="340"/>
      <c r="U697" s="340"/>
      <c r="V697" s="340"/>
      <c r="W697" s="340"/>
      <c r="X697" s="340"/>
      <c r="Y697" s="340"/>
      <c r="Z697" s="340"/>
      <c r="AA697" s="340"/>
      <c r="AB697" s="340"/>
      <c r="AC697" s="340"/>
      <c r="AD697" s="340"/>
      <c r="AE697" s="340"/>
      <c r="AF697" s="340"/>
      <c r="AG697" s="340"/>
      <c r="AH697" s="340"/>
      <c r="AI697" s="340"/>
      <c r="AJ697" s="340"/>
      <c r="AK697" s="340"/>
      <c r="AL697" s="340"/>
      <c r="AM697" s="340"/>
      <c r="AN697" s="340"/>
      <c r="AO697" s="340"/>
      <c r="AP697" s="340"/>
      <c r="AQ697" s="340"/>
      <c r="AR697" s="340"/>
      <c r="AS697" s="340"/>
      <c r="AT697" s="340"/>
      <c r="AU697" s="340"/>
      <c r="AV697" s="340"/>
      <c r="AW697" s="340"/>
      <c r="AX697" s="340"/>
      <c r="AY697" s="340"/>
      <c r="AZ697" s="340"/>
      <c r="BA697" s="340"/>
      <c r="BB697" s="340"/>
      <c r="BC697" s="340"/>
      <c r="BD697" s="340"/>
    </row>
    <row r="698" spans="3:56">
      <c r="C698" s="340"/>
      <c r="D698" s="340"/>
      <c r="E698" s="340"/>
      <c r="F698" s="340"/>
      <c r="G698" s="340"/>
      <c r="H698" s="340"/>
      <c r="I698" s="340"/>
      <c r="J698" s="340"/>
      <c r="K698" s="340"/>
      <c r="L698" s="340"/>
      <c r="M698" s="340"/>
      <c r="N698" s="340"/>
      <c r="O698" s="340"/>
      <c r="P698" s="340"/>
      <c r="Q698" s="340"/>
      <c r="R698" s="340"/>
      <c r="S698" s="340"/>
      <c r="T698" s="340"/>
      <c r="U698" s="340"/>
      <c r="V698" s="340"/>
      <c r="W698" s="340"/>
      <c r="X698" s="340"/>
      <c r="Y698" s="340"/>
      <c r="Z698" s="340"/>
      <c r="AA698" s="340"/>
      <c r="AB698" s="340"/>
      <c r="AC698" s="340"/>
      <c r="AD698" s="340"/>
      <c r="AE698" s="340"/>
      <c r="AF698" s="340"/>
      <c r="AG698" s="340"/>
      <c r="AH698" s="340"/>
      <c r="AI698" s="340"/>
      <c r="AJ698" s="340"/>
      <c r="AK698" s="340"/>
      <c r="AL698" s="340"/>
      <c r="AM698" s="340"/>
      <c r="AN698" s="340"/>
      <c r="AO698" s="340"/>
      <c r="AP698" s="340"/>
      <c r="AQ698" s="340"/>
      <c r="AR698" s="340"/>
      <c r="AS698" s="340"/>
      <c r="AT698" s="340"/>
      <c r="AU698" s="340"/>
      <c r="AV698" s="340"/>
      <c r="AW698" s="340"/>
      <c r="AX698" s="340"/>
      <c r="AY698" s="340"/>
      <c r="AZ698" s="340"/>
      <c r="BA698" s="340"/>
      <c r="BB698" s="340"/>
      <c r="BC698" s="340"/>
      <c r="BD698" s="340"/>
    </row>
    <row r="699" spans="3:56">
      <c r="C699" s="340"/>
      <c r="D699" s="340"/>
      <c r="E699" s="340"/>
      <c r="F699" s="340"/>
      <c r="G699" s="340"/>
      <c r="H699" s="340"/>
      <c r="I699" s="340"/>
      <c r="J699" s="340"/>
      <c r="K699" s="340"/>
      <c r="L699" s="340"/>
      <c r="M699" s="340"/>
      <c r="N699" s="340"/>
      <c r="O699" s="340"/>
      <c r="P699" s="340"/>
      <c r="Q699" s="340"/>
      <c r="R699" s="340"/>
      <c r="S699" s="340"/>
      <c r="T699" s="340"/>
      <c r="U699" s="340"/>
      <c r="V699" s="340"/>
      <c r="W699" s="340"/>
      <c r="X699" s="340"/>
      <c r="Y699" s="340"/>
      <c r="Z699" s="340"/>
      <c r="AA699" s="340"/>
      <c r="AB699" s="340"/>
      <c r="AC699" s="340"/>
      <c r="AD699" s="340"/>
      <c r="AE699" s="340"/>
      <c r="AF699" s="340"/>
      <c r="AG699" s="340"/>
      <c r="AH699" s="340"/>
      <c r="AI699" s="340"/>
      <c r="AJ699" s="340"/>
      <c r="AK699" s="340"/>
      <c r="AL699" s="340"/>
      <c r="AM699" s="340"/>
      <c r="AN699" s="340"/>
      <c r="AO699" s="340"/>
      <c r="AP699" s="340"/>
      <c r="AQ699" s="340"/>
      <c r="AR699" s="340"/>
      <c r="AS699" s="340"/>
      <c r="AT699" s="340"/>
      <c r="AU699" s="340"/>
      <c r="AV699" s="340"/>
      <c r="AW699" s="340"/>
      <c r="AX699" s="340"/>
      <c r="AY699" s="340"/>
      <c r="AZ699" s="340"/>
      <c r="BA699" s="340"/>
      <c r="BB699" s="340"/>
      <c r="BC699" s="340"/>
      <c r="BD699" s="340"/>
    </row>
    <row r="700" spans="3:56">
      <c r="C700" s="340"/>
      <c r="D700" s="340"/>
      <c r="E700" s="340"/>
      <c r="F700" s="340"/>
      <c r="G700" s="340"/>
      <c r="H700" s="340"/>
      <c r="I700" s="340"/>
      <c r="J700" s="340"/>
      <c r="K700" s="340"/>
      <c r="L700" s="340"/>
      <c r="M700" s="340"/>
      <c r="N700" s="340"/>
      <c r="O700" s="340"/>
      <c r="P700" s="340"/>
      <c r="Q700" s="340"/>
      <c r="R700" s="340"/>
      <c r="S700" s="340"/>
      <c r="T700" s="340"/>
      <c r="U700" s="340"/>
      <c r="V700" s="340"/>
      <c r="W700" s="340"/>
      <c r="X700" s="340"/>
      <c r="Y700" s="340"/>
      <c r="Z700" s="340"/>
      <c r="AA700" s="340"/>
      <c r="AB700" s="340"/>
      <c r="AC700" s="340"/>
      <c r="AD700" s="340"/>
      <c r="AE700" s="340"/>
      <c r="AF700" s="340"/>
      <c r="AG700" s="340"/>
      <c r="AH700" s="340"/>
      <c r="AI700" s="340"/>
      <c r="AJ700" s="340"/>
      <c r="AK700" s="340"/>
      <c r="AL700" s="340"/>
      <c r="AM700" s="340"/>
      <c r="AN700" s="340"/>
      <c r="AO700" s="340"/>
      <c r="AP700" s="340"/>
      <c r="AQ700" s="340"/>
      <c r="AR700" s="340"/>
      <c r="AS700" s="340"/>
      <c r="AT700" s="340"/>
      <c r="AU700" s="340"/>
      <c r="AV700" s="340"/>
      <c r="AW700" s="340"/>
      <c r="AX700" s="340"/>
      <c r="AY700" s="340"/>
      <c r="AZ700" s="340"/>
      <c r="BA700" s="340"/>
      <c r="BB700" s="340"/>
      <c r="BC700" s="340"/>
      <c r="BD700" s="340"/>
    </row>
    <row r="701" spans="3:56">
      <c r="C701" s="340"/>
      <c r="D701" s="340"/>
      <c r="E701" s="340"/>
      <c r="F701" s="340"/>
      <c r="G701" s="340"/>
      <c r="H701" s="340"/>
      <c r="I701" s="340"/>
      <c r="J701" s="340"/>
      <c r="K701" s="340"/>
      <c r="L701" s="340"/>
      <c r="M701" s="340"/>
      <c r="N701" s="340"/>
      <c r="O701" s="340"/>
      <c r="P701" s="340"/>
      <c r="Q701" s="340"/>
      <c r="R701" s="340"/>
      <c r="S701" s="340"/>
      <c r="T701" s="340"/>
      <c r="U701" s="340"/>
      <c r="V701" s="340"/>
      <c r="W701" s="340"/>
      <c r="X701" s="340"/>
      <c r="Y701" s="340"/>
      <c r="Z701" s="340"/>
      <c r="AA701" s="340"/>
      <c r="AB701" s="340"/>
      <c r="AC701" s="340"/>
      <c r="AD701" s="340"/>
      <c r="AE701" s="340"/>
      <c r="AF701" s="340"/>
      <c r="AG701" s="340"/>
      <c r="AH701" s="340"/>
      <c r="AI701" s="340"/>
      <c r="AJ701" s="340"/>
      <c r="AK701" s="340"/>
      <c r="AL701" s="340"/>
      <c r="AM701" s="340"/>
      <c r="AN701" s="340"/>
      <c r="AO701" s="340"/>
      <c r="AP701" s="340"/>
      <c r="AQ701" s="340"/>
      <c r="AR701" s="340"/>
      <c r="AS701" s="340"/>
      <c r="AT701" s="340"/>
      <c r="AU701" s="340"/>
      <c r="AV701" s="340"/>
      <c r="AW701" s="340"/>
      <c r="AX701" s="340"/>
      <c r="AY701" s="340"/>
      <c r="AZ701" s="340"/>
      <c r="BA701" s="340"/>
      <c r="BB701" s="340"/>
      <c r="BC701" s="340"/>
      <c r="BD701" s="340"/>
    </row>
    <row r="702" spans="3:56">
      <c r="C702" s="340"/>
      <c r="D702" s="340"/>
      <c r="E702" s="340"/>
      <c r="F702" s="340"/>
      <c r="G702" s="340"/>
      <c r="H702" s="340"/>
      <c r="I702" s="340"/>
      <c r="J702" s="340"/>
      <c r="K702" s="340"/>
      <c r="L702" s="340"/>
      <c r="M702" s="340"/>
      <c r="N702" s="340"/>
      <c r="O702" s="340"/>
      <c r="P702" s="340"/>
      <c r="Q702" s="340"/>
      <c r="R702" s="340"/>
      <c r="S702" s="340"/>
      <c r="T702" s="340"/>
      <c r="U702" s="340"/>
      <c r="V702" s="340"/>
      <c r="W702" s="340"/>
      <c r="X702" s="340"/>
      <c r="Y702" s="340"/>
      <c r="Z702" s="340"/>
      <c r="AA702" s="340"/>
      <c r="AB702" s="340"/>
      <c r="AC702" s="340"/>
      <c r="AD702" s="340"/>
      <c r="AE702" s="340"/>
      <c r="AF702" s="340"/>
      <c r="AG702" s="340"/>
      <c r="AH702" s="340"/>
      <c r="AI702" s="340"/>
      <c r="AJ702" s="340"/>
      <c r="AK702" s="340"/>
      <c r="AL702" s="340"/>
      <c r="AM702" s="340"/>
      <c r="AN702" s="340"/>
      <c r="AO702" s="340"/>
      <c r="AP702" s="340"/>
      <c r="AQ702" s="340"/>
      <c r="AR702" s="340"/>
      <c r="AS702" s="340"/>
      <c r="AT702" s="340"/>
      <c r="AU702" s="340"/>
      <c r="AV702" s="340"/>
      <c r="AW702" s="340"/>
      <c r="AX702" s="340"/>
      <c r="AY702" s="340"/>
      <c r="AZ702" s="340"/>
      <c r="BA702" s="340"/>
      <c r="BB702" s="340"/>
      <c r="BC702" s="340"/>
      <c r="BD702" s="340"/>
    </row>
    <row r="703" spans="3:56">
      <c r="C703" s="340"/>
      <c r="D703" s="340"/>
      <c r="E703" s="340"/>
      <c r="F703" s="340"/>
      <c r="G703" s="340"/>
      <c r="H703" s="340"/>
      <c r="I703" s="340"/>
      <c r="J703" s="340"/>
      <c r="K703" s="340"/>
      <c r="L703" s="340"/>
      <c r="M703" s="340"/>
      <c r="N703" s="340"/>
      <c r="O703" s="340"/>
      <c r="P703" s="340"/>
      <c r="Q703" s="340"/>
      <c r="R703" s="340"/>
      <c r="S703" s="340"/>
      <c r="T703" s="340"/>
      <c r="U703" s="340"/>
      <c r="V703" s="340"/>
      <c r="W703" s="340"/>
      <c r="X703" s="340"/>
      <c r="Y703" s="340"/>
      <c r="Z703" s="340"/>
      <c r="AA703" s="340"/>
      <c r="AB703" s="340"/>
      <c r="AC703" s="340"/>
      <c r="AD703" s="340"/>
      <c r="AE703" s="340"/>
      <c r="AF703" s="340"/>
      <c r="AG703" s="340"/>
      <c r="AH703" s="340"/>
      <c r="AI703" s="340"/>
      <c r="AJ703" s="340"/>
      <c r="AK703" s="340"/>
      <c r="AL703" s="340"/>
      <c r="AM703" s="340"/>
      <c r="AN703" s="340"/>
      <c r="AO703" s="340"/>
      <c r="AP703" s="340"/>
      <c r="AQ703" s="340"/>
      <c r="AR703" s="340"/>
      <c r="AS703" s="340"/>
      <c r="AT703" s="340"/>
      <c r="AU703" s="340"/>
      <c r="AV703" s="340"/>
      <c r="AW703" s="340"/>
      <c r="AX703" s="340"/>
      <c r="AY703" s="340"/>
      <c r="AZ703" s="340"/>
      <c r="BA703" s="340"/>
      <c r="BB703" s="340"/>
      <c r="BC703" s="340"/>
      <c r="BD703" s="340"/>
    </row>
    <row r="704" spans="3:56">
      <c r="C704" s="340"/>
      <c r="D704" s="340"/>
      <c r="E704" s="340"/>
      <c r="F704" s="340"/>
      <c r="G704" s="340"/>
      <c r="H704" s="340"/>
      <c r="I704" s="340"/>
      <c r="J704" s="340"/>
      <c r="K704" s="340"/>
      <c r="L704" s="340"/>
      <c r="M704" s="340"/>
      <c r="N704" s="340"/>
      <c r="O704" s="340"/>
      <c r="P704" s="340"/>
      <c r="Q704" s="340"/>
      <c r="R704" s="340"/>
      <c r="S704" s="340"/>
      <c r="T704" s="340"/>
      <c r="U704" s="340"/>
      <c r="V704" s="340"/>
      <c r="W704" s="340"/>
      <c r="X704" s="340"/>
      <c r="Y704" s="340"/>
      <c r="Z704" s="340"/>
      <c r="AA704" s="340"/>
      <c r="AB704" s="340"/>
      <c r="AC704" s="340"/>
      <c r="AD704" s="340"/>
      <c r="AE704" s="340"/>
      <c r="AF704" s="340"/>
      <c r="AG704" s="340"/>
      <c r="AH704" s="340"/>
      <c r="AI704" s="340"/>
      <c r="AJ704" s="340"/>
      <c r="AK704" s="340"/>
      <c r="AL704" s="340"/>
      <c r="AM704" s="340"/>
      <c r="AN704" s="340"/>
      <c r="AO704" s="340"/>
      <c r="AP704" s="340"/>
      <c r="AQ704" s="340"/>
      <c r="AR704" s="340"/>
      <c r="AS704" s="340"/>
      <c r="AT704" s="340"/>
      <c r="AU704" s="340"/>
      <c r="AV704" s="340"/>
      <c r="AW704" s="340"/>
      <c r="AX704" s="340"/>
      <c r="AY704" s="340"/>
      <c r="AZ704" s="340"/>
      <c r="BA704" s="340"/>
      <c r="BB704" s="340"/>
      <c r="BC704" s="340"/>
      <c r="BD704" s="340"/>
    </row>
    <row r="705" spans="3:56">
      <c r="C705" s="340"/>
      <c r="D705" s="340"/>
      <c r="E705" s="340"/>
      <c r="F705" s="340"/>
      <c r="G705" s="340"/>
      <c r="H705" s="340"/>
      <c r="I705" s="340"/>
      <c r="J705" s="340"/>
      <c r="K705" s="340"/>
      <c r="L705" s="340"/>
      <c r="M705" s="340"/>
      <c r="N705" s="340"/>
      <c r="O705" s="340"/>
      <c r="P705" s="340"/>
      <c r="Q705" s="340"/>
      <c r="R705" s="340"/>
      <c r="S705" s="340"/>
      <c r="T705" s="340"/>
      <c r="U705" s="340"/>
      <c r="V705" s="340"/>
      <c r="W705" s="340"/>
      <c r="X705" s="340"/>
      <c r="Y705" s="340"/>
      <c r="Z705" s="340"/>
      <c r="AA705" s="340"/>
      <c r="AB705" s="340"/>
      <c r="AC705" s="340"/>
      <c r="AD705" s="340"/>
      <c r="AE705" s="340"/>
      <c r="AF705" s="340"/>
      <c r="AG705" s="340"/>
      <c r="AH705" s="340"/>
      <c r="AI705" s="340"/>
      <c r="AJ705" s="340"/>
      <c r="AK705" s="340"/>
      <c r="AL705" s="340"/>
      <c r="AM705" s="340"/>
      <c r="AN705" s="340"/>
      <c r="AO705" s="340"/>
      <c r="AP705" s="340"/>
      <c r="AQ705" s="340"/>
      <c r="AR705" s="340"/>
      <c r="AS705" s="340"/>
      <c r="AT705" s="340"/>
      <c r="AU705" s="340"/>
      <c r="AV705" s="340"/>
      <c r="AW705" s="340"/>
      <c r="AX705" s="340"/>
      <c r="AY705" s="340"/>
      <c r="AZ705" s="340"/>
      <c r="BA705" s="340"/>
      <c r="BB705" s="340"/>
      <c r="BC705" s="340"/>
      <c r="BD705" s="340"/>
    </row>
    <row r="706" spans="3:56">
      <c r="C706" s="340"/>
      <c r="D706" s="340"/>
      <c r="E706" s="340"/>
      <c r="F706" s="340"/>
      <c r="G706" s="340"/>
      <c r="H706" s="340"/>
      <c r="I706" s="340"/>
      <c r="J706" s="340"/>
      <c r="K706" s="340"/>
      <c r="L706" s="340"/>
      <c r="M706" s="340"/>
      <c r="N706" s="340"/>
      <c r="O706" s="340"/>
      <c r="P706" s="340"/>
      <c r="Q706" s="340"/>
      <c r="R706" s="340"/>
      <c r="S706" s="340"/>
      <c r="T706" s="340"/>
      <c r="U706" s="340"/>
      <c r="V706" s="340"/>
      <c r="W706" s="340"/>
      <c r="X706" s="340"/>
      <c r="Y706" s="340"/>
      <c r="Z706" s="340"/>
      <c r="AA706" s="340"/>
      <c r="AB706" s="340"/>
      <c r="AC706" s="340"/>
      <c r="AD706" s="340"/>
      <c r="AE706" s="340"/>
      <c r="AF706" s="340"/>
      <c r="AG706" s="340"/>
      <c r="AH706" s="340"/>
      <c r="AI706" s="340"/>
      <c r="AJ706" s="340"/>
      <c r="AK706" s="340"/>
      <c r="AL706" s="340"/>
      <c r="AM706" s="340"/>
      <c r="AN706" s="340"/>
      <c r="AO706" s="340"/>
      <c r="AP706" s="340"/>
      <c r="AQ706" s="340"/>
      <c r="AR706" s="340"/>
      <c r="AS706" s="340"/>
      <c r="AT706" s="340"/>
      <c r="AU706" s="340"/>
      <c r="AV706" s="340"/>
      <c r="AW706" s="340"/>
      <c r="AX706" s="340"/>
      <c r="AY706" s="340"/>
      <c r="AZ706" s="340"/>
      <c r="BA706" s="340"/>
      <c r="BB706" s="340"/>
      <c r="BC706" s="340"/>
      <c r="BD706" s="340"/>
    </row>
    <row r="707" spans="3:56">
      <c r="C707" s="340"/>
      <c r="D707" s="340"/>
      <c r="E707" s="340"/>
      <c r="F707" s="340"/>
      <c r="G707" s="340"/>
      <c r="H707" s="340"/>
      <c r="I707" s="340"/>
      <c r="J707" s="340"/>
      <c r="K707" s="340"/>
      <c r="L707" s="340"/>
      <c r="M707" s="340"/>
      <c r="N707" s="340"/>
      <c r="O707" s="340"/>
      <c r="P707" s="340"/>
      <c r="Q707" s="340"/>
      <c r="R707" s="340"/>
      <c r="S707" s="340"/>
      <c r="T707" s="340"/>
      <c r="U707" s="340"/>
      <c r="V707" s="340"/>
      <c r="W707" s="340"/>
      <c r="X707" s="340"/>
      <c r="Y707" s="340"/>
      <c r="Z707" s="340"/>
      <c r="AA707" s="340"/>
      <c r="AB707" s="340"/>
      <c r="AC707" s="340"/>
      <c r="AD707" s="340"/>
      <c r="AE707" s="340"/>
      <c r="AF707" s="340"/>
      <c r="AG707" s="340"/>
      <c r="AH707" s="340"/>
      <c r="AI707" s="340"/>
      <c r="AJ707" s="340"/>
      <c r="AK707" s="340"/>
      <c r="AL707" s="340"/>
      <c r="AM707" s="340"/>
      <c r="AN707" s="340"/>
      <c r="AO707" s="340"/>
      <c r="AP707" s="340"/>
      <c r="AQ707" s="340"/>
      <c r="AR707" s="340"/>
      <c r="AS707" s="340"/>
      <c r="AT707" s="340"/>
      <c r="AU707" s="340"/>
      <c r="AV707" s="340"/>
      <c r="AW707" s="340"/>
      <c r="AX707" s="340"/>
      <c r="AY707" s="340"/>
      <c r="AZ707" s="340"/>
      <c r="BA707" s="340"/>
      <c r="BB707" s="340"/>
      <c r="BC707" s="340"/>
      <c r="BD707" s="340"/>
    </row>
    <row r="708" spans="3:56">
      <c r="C708" s="340"/>
      <c r="D708" s="340"/>
      <c r="E708" s="340"/>
      <c r="F708" s="340"/>
      <c r="G708" s="340"/>
      <c r="H708" s="340"/>
      <c r="I708" s="340"/>
      <c r="J708" s="340"/>
      <c r="K708" s="340"/>
      <c r="L708" s="340"/>
      <c r="M708" s="340"/>
      <c r="N708" s="340"/>
      <c r="O708" s="340"/>
      <c r="P708" s="340"/>
      <c r="Q708" s="340"/>
      <c r="R708" s="340"/>
      <c r="S708" s="340"/>
      <c r="T708" s="340"/>
      <c r="U708" s="340"/>
      <c r="V708" s="340"/>
      <c r="W708" s="340"/>
      <c r="X708" s="340"/>
      <c r="Y708" s="340"/>
      <c r="Z708" s="340"/>
      <c r="AA708" s="340"/>
      <c r="AB708" s="340"/>
      <c r="AC708" s="340"/>
      <c r="AD708" s="340"/>
      <c r="AE708" s="340"/>
      <c r="AF708" s="340"/>
      <c r="AG708" s="340"/>
      <c r="AH708" s="340"/>
      <c r="AI708" s="340"/>
      <c r="AJ708" s="340"/>
      <c r="AK708" s="340"/>
      <c r="AL708" s="340"/>
      <c r="AM708" s="340"/>
      <c r="AN708" s="340"/>
      <c r="AO708" s="340"/>
      <c r="AP708" s="340"/>
      <c r="AQ708" s="340"/>
      <c r="AR708" s="340"/>
      <c r="AS708" s="340"/>
      <c r="AT708" s="340"/>
      <c r="AU708" s="340"/>
      <c r="AV708" s="340"/>
      <c r="AW708" s="340"/>
      <c r="AX708" s="340"/>
      <c r="AY708" s="340"/>
      <c r="AZ708" s="340"/>
      <c r="BA708" s="340"/>
      <c r="BB708" s="340"/>
      <c r="BC708" s="340"/>
      <c r="BD708" s="340"/>
    </row>
    <row r="709" spans="3:56">
      <c r="C709" s="340"/>
      <c r="D709" s="340"/>
      <c r="E709" s="340"/>
      <c r="F709" s="340"/>
      <c r="G709" s="340"/>
      <c r="H709" s="340"/>
      <c r="I709" s="340"/>
      <c r="J709" s="340"/>
      <c r="K709" s="340"/>
      <c r="L709" s="340"/>
      <c r="M709" s="340"/>
      <c r="N709" s="340"/>
      <c r="O709" s="340"/>
      <c r="P709" s="340"/>
      <c r="Q709" s="340"/>
      <c r="R709" s="340"/>
      <c r="S709" s="340"/>
      <c r="T709" s="340"/>
      <c r="U709" s="340"/>
      <c r="V709" s="340"/>
      <c r="W709" s="340"/>
      <c r="X709" s="340"/>
      <c r="Y709" s="340"/>
      <c r="Z709" s="340"/>
      <c r="AA709" s="340"/>
      <c r="AB709" s="340"/>
      <c r="AC709" s="340"/>
      <c r="AD709" s="340"/>
      <c r="AE709" s="340"/>
      <c r="AF709" s="340"/>
      <c r="AG709" s="340"/>
      <c r="AH709" s="340"/>
      <c r="AI709" s="340"/>
      <c r="AJ709" s="340"/>
      <c r="AK709" s="340"/>
      <c r="AL709" s="340"/>
      <c r="AM709" s="340"/>
      <c r="AN709" s="340"/>
      <c r="AO709" s="340"/>
      <c r="AP709" s="340"/>
      <c r="AQ709" s="340"/>
      <c r="AR709" s="340"/>
      <c r="AS709" s="340"/>
      <c r="AT709" s="340"/>
      <c r="AU709" s="340"/>
      <c r="AV709" s="340"/>
      <c r="AW709" s="340"/>
      <c r="AX709" s="340"/>
      <c r="AY709" s="340"/>
      <c r="AZ709" s="340"/>
      <c r="BA709" s="340"/>
      <c r="BB709" s="340"/>
      <c r="BC709" s="340"/>
      <c r="BD709" s="340"/>
    </row>
    <row r="710" spans="3:56">
      <c r="C710" s="340"/>
      <c r="D710" s="340"/>
      <c r="E710" s="340"/>
      <c r="F710" s="340"/>
      <c r="G710" s="340"/>
      <c r="H710" s="340"/>
      <c r="I710" s="340"/>
      <c r="J710" s="340"/>
      <c r="K710" s="340"/>
      <c r="L710" s="340"/>
      <c r="M710" s="340"/>
      <c r="N710" s="340"/>
      <c r="O710" s="340"/>
      <c r="P710" s="340"/>
      <c r="Q710" s="340"/>
      <c r="R710" s="340"/>
      <c r="S710" s="340"/>
      <c r="T710" s="340"/>
      <c r="U710" s="340"/>
      <c r="V710" s="340"/>
      <c r="W710" s="340"/>
      <c r="X710" s="340"/>
      <c r="Y710" s="340"/>
      <c r="Z710" s="340"/>
      <c r="AA710" s="340"/>
      <c r="AB710" s="340"/>
      <c r="AC710" s="340"/>
      <c r="AD710" s="340"/>
      <c r="AE710" s="340"/>
      <c r="AF710" s="340"/>
      <c r="AG710" s="340"/>
      <c r="AH710" s="340"/>
      <c r="AI710" s="340"/>
      <c r="AJ710" s="340"/>
      <c r="AK710" s="340"/>
      <c r="AL710" s="340"/>
      <c r="AM710" s="340"/>
      <c r="AN710" s="340"/>
      <c r="AO710" s="340"/>
      <c r="AP710" s="340"/>
      <c r="AQ710" s="340"/>
      <c r="AR710" s="340"/>
      <c r="AS710" s="340"/>
      <c r="AT710" s="340"/>
      <c r="AU710" s="340"/>
      <c r="AV710" s="340"/>
      <c r="AW710" s="340"/>
      <c r="AX710" s="340"/>
      <c r="AY710" s="340"/>
      <c r="AZ710" s="340"/>
      <c r="BA710" s="340"/>
      <c r="BB710" s="340"/>
      <c r="BC710" s="340"/>
      <c r="BD710" s="340"/>
    </row>
    <row r="711" spans="3:56">
      <c r="C711" s="340"/>
      <c r="D711" s="340"/>
      <c r="E711" s="340"/>
      <c r="F711" s="340"/>
      <c r="G711" s="340"/>
      <c r="H711" s="340"/>
      <c r="I711" s="340"/>
      <c r="J711" s="340"/>
      <c r="K711" s="340"/>
      <c r="L711" s="340"/>
      <c r="M711" s="340"/>
      <c r="N711" s="340"/>
      <c r="O711" s="340"/>
      <c r="P711" s="340"/>
      <c r="Q711" s="340"/>
      <c r="R711" s="340"/>
      <c r="S711" s="340"/>
      <c r="T711" s="340"/>
      <c r="U711" s="340"/>
      <c r="V711" s="340"/>
      <c r="W711" s="340"/>
      <c r="X711" s="340"/>
      <c r="Y711" s="340"/>
      <c r="Z711" s="340"/>
      <c r="AA711" s="340"/>
      <c r="AB711" s="340"/>
      <c r="AC711" s="340"/>
      <c r="AD711" s="340"/>
      <c r="AE711" s="340"/>
      <c r="AF711" s="340"/>
      <c r="AG711" s="340"/>
      <c r="AH711" s="340"/>
      <c r="AI711" s="340"/>
      <c r="AJ711" s="340"/>
      <c r="AK711" s="340"/>
      <c r="AL711" s="340"/>
      <c r="AM711" s="340"/>
      <c r="AN711" s="340"/>
      <c r="AO711" s="340"/>
      <c r="AP711" s="340"/>
      <c r="AQ711" s="340"/>
      <c r="AR711" s="340"/>
      <c r="AS711" s="340"/>
      <c r="AT711" s="340"/>
      <c r="AU711" s="340"/>
      <c r="AV711" s="340"/>
      <c r="AW711" s="340"/>
      <c r="AX711" s="340"/>
      <c r="AY711" s="340"/>
      <c r="AZ711" s="340"/>
      <c r="BA711" s="340"/>
      <c r="BB711" s="340"/>
      <c r="BC711" s="340"/>
      <c r="BD711" s="340"/>
    </row>
    <row r="712" spans="3:56">
      <c r="C712" s="340"/>
      <c r="D712" s="340"/>
      <c r="E712" s="340"/>
      <c r="F712" s="340"/>
      <c r="G712" s="340"/>
      <c r="H712" s="340"/>
      <c r="I712" s="340"/>
      <c r="J712" s="340"/>
      <c r="K712" s="340"/>
      <c r="L712" s="340"/>
      <c r="M712" s="340"/>
      <c r="N712" s="340"/>
      <c r="O712" s="340"/>
      <c r="P712" s="340"/>
      <c r="Q712" s="340"/>
      <c r="R712" s="340"/>
      <c r="S712" s="340"/>
      <c r="T712" s="340"/>
      <c r="U712" s="340"/>
      <c r="V712" s="340"/>
      <c r="W712" s="340"/>
      <c r="X712" s="340"/>
      <c r="Y712" s="340"/>
      <c r="Z712" s="340"/>
      <c r="AA712" s="340"/>
      <c r="AB712" s="340"/>
      <c r="AC712" s="340"/>
      <c r="AD712" s="340"/>
      <c r="AE712" s="340"/>
      <c r="AF712" s="340"/>
      <c r="AG712" s="340"/>
      <c r="AH712" s="340"/>
      <c r="AI712" s="340"/>
      <c r="AJ712" s="340"/>
      <c r="AK712" s="340"/>
      <c r="AL712" s="340"/>
      <c r="AM712" s="340"/>
      <c r="AN712" s="340"/>
      <c r="AO712" s="340"/>
      <c r="AP712" s="340"/>
      <c r="AQ712" s="340"/>
      <c r="AR712" s="340"/>
      <c r="AS712" s="340"/>
      <c r="AT712" s="340"/>
      <c r="AU712" s="340"/>
      <c r="AV712" s="340"/>
      <c r="AW712" s="340"/>
      <c r="AX712" s="340"/>
      <c r="AY712" s="340"/>
      <c r="AZ712" s="340"/>
      <c r="BA712" s="340"/>
      <c r="BB712" s="340"/>
      <c r="BC712" s="340"/>
      <c r="BD712" s="340"/>
    </row>
    <row r="713" spans="3:56">
      <c r="C713" s="340"/>
      <c r="D713" s="340"/>
      <c r="E713" s="340"/>
      <c r="F713" s="340"/>
      <c r="G713" s="340"/>
      <c r="H713" s="340"/>
      <c r="I713" s="340"/>
      <c r="J713" s="340"/>
      <c r="K713" s="340"/>
      <c r="L713" s="340"/>
      <c r="M713" s="340"/>
      <c r="N713" s="340"/>
      <c r="O713" s="340"/>
      <c r="P713" s="340"/>
      <c r="Q713" s="340"/>
      <c r="R713" s="340"/>
      <c r="S713" s="340"/>
      <c r="T713" s="340"/>
      <c r="U713" s="340"/>
      <c r="V713" s="340"/>
      <c r="W713" s="340"/>
      <c r="X713" s="340"/>
      <c r="Y713" s="340"/>
      <c r="Z713" s="340"/>
      <c r="AA713" s="340"/>
      <c r="AB713" s="340"/>
      <c r="AC713" s="340"/>
      <c r="AD713" s="340"/>
      <c r="AE713" s="340"/>
      <c r="AF713" s="340"/>
      <c r="AG713" s="340"/>
      <c r="AH713" s="340"/>
      <c r="AI713" s="340"/>
      <c r="AJ713" s="340"/>
      <c r="AK713" s="340"/>
      <c r="AL713" s="340"/>
      <c r="AM713" s="340"/>
      <c r="AN713" s="340"/>
      <c r="AO713" s="340"/>
      <c r="AP713" s="340"/>
      <c r="AQ713" s="340"/>
      <c r="AR713" s="340"/>
      <c r="AS713" s="340"/>
      <c r="AT713" s="340"/>
      <c r="AU713" s="340"/>
      <c r="AV713" s="340"/>
      <c r="AW713" s="340"/>
      <c r="AX713" s="340"/>
      <c r="AY713" s="340"/>
      <c r="AZ713" s="340"/>
      <c r="BA713" s="340"/>
      <c r="BB713" s="340"/>
      <c r="BC713" s="340"/>
      <c r="BD713" s="340"/>
    </row>
    <row r="714" spans="3:56">
      <c r="C714" s="340"/>
      <c r="D714" s="340"/>
      <c r="E714" s="340"/>
      <c r="F714" s="340"/>
      <c r="G714" s="340"/>
      <c r="H714" s="340"/>
      <c r="I714" s="340"/>
      <c r="J714" s="340"/>
      <c r="K714" s="340"/>
      <c r="L714" s="340"/>
      <c r="M714" s="340"/>
      <c r="N714" s="340"/>
      <c r="O714" s="340"/>
      <c r="P714" s="340"/>
      <c r="Q714" s="340"/>
      <c r="R714" s="340"/>
      <c r="S714" s="340"/>
      <c r="T714" s="340"/>
      <c r="U714" s="340"/>
      <c r="V714" s="340"/>
      <c r="W714" s="340"/>
      <c r="X714" s="340"/>
      <c r="Y714" s="340"/>
      <c r="Z714" s="340"/>
      <c r="AA714" s="340"/>
      <c r="AB714" s="340"/>
      <c r="AC714" s="340"/>
      <c r="AD714" s="340"/>
      <c r="AE714" s="340"/>
      <c r="AF714" s="340"/>
      <c r="AG714" s="340"/>
      <c r="AH714" s="340"/>
      <c r="AI714" s="340"/>
      <c r="AJ714" s="340"/>
      <c r="AK714" s="340"/>
      <c r="AL714" s="340"/>
      <c r="AM714" s="340"/>
      <c r="AN714" s="340"/>
      <c r="AO714" s="340"/>
      <c r="AP714" s="340"/>
      <c r="AQ714" s="340"/>
      <c r="AR714" s="340"/>
      <c r="AS714" s="340"/>
      <c r="AT714" s="340"/>
      <c r="AU714" s="340"/>
      <c r="AV714" s="340"/>
      <c r="AW714" s="340"/>
      <c r="AX714" s="340"/>
      <c r="AY714" s="340"/>
      <c r="AZ714" s="340"/>
      <c r="BA714" s="340"/>
      <c r="BB714" s="340"/>
      <c r="BC714" s="340"/>
      <c r="BD714" s="340"/>
    </row>
    <row r="715" spans="3:56">
      <c r="C715" s="340"/>
      <c r="D715" s="340"/>
      <c r="E715" s="340"/>
      <c r="F715" s="340"/>
      <c r="G715" s="340"/>
      <c r="H715" s="340"/>
      <c r="I715" s="340"/>
      <c r="J715" s="340"/>
      <c r="K715" s="340"/>
      <c r="L715" s="340"/>
      <c r="M715" s="340"/>
      <c r="N715" s="340"/>
      <c r="O715" s="340"/>
      <c r="P715" s="340"/>
      <c r="Q715" s="340"/>
      <c r="R715" s="340"/>
      <c r="S715" s="340"/>
      <c r="T715" s="340"/>
      <c r="U715" s="340"/>
      <c r="V715" s="340"/>
      <c r="W715" s="340"/>
      <c r="X715" s="340"/>
      <c r="Y715" s="340"/>
      <c r="Z715" s="340"/>
      <c r="AA715" s="340"/>
      <c r="AB715" s="340"/>
      <c r="AC715" s="340"/>
      <c r="AD715" s="340"/>
      <c r="AE715" s="340"/>
      <c r="AF715" s="340"/>
      <c r="AG715" s="340"/>
      <c r="AH715" s="340"/>
      <c r="AI715" s="340"/>
      <c r="AJ715" s="340"/>
      <c r="AK715" s="340"/>
      <c r="AL715" s="340"/>
      <c r="AM715" s="340"/>
      <c r="AN715" s="340"/>
      <c r="AO715" s="340"/>
      <c r="AP715" s="340"/>
      <c r="AQ715" s="340"/>
      <c r="AR715" s="340"/>
      <c r="AS715" s="340"/>
      <c r="AT715" s="340"/>
      <c r="AU715" s="340"/>
      <c r="AV715" s="340"/>
      <c r="AW715" s="340"/>
      <c r="AX715" s="340"/>
      <c r="AY715" s="340"/>
      <c r="AZ715" s="340"/>
      <c r="BA715" s="340"/>
      <c r="BB715" s="340"/>
      <c r="BC715" s="340"/>
      <c r="BD715" s="340"/>
    </row>
    <row r="716" spans="3:56">
      <c r="C716" s="340"/>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0"/>
      <c r="AD716" s="340"/>
      <c r="AE716" s="340"/>
      <c r="AF716" s="340"/>
      <c r="AG716" s="340"/>
      <c r="AH716" s="340"/>
      <c r="AI716" s="340"/>
      <c r="AJ716" s="340"/>
      <c r="AK716" s="340"/>
      <c r="AL716" s="340"/>
      <c r="AM716" s="340"/>
      <c r="AN716" s="340"/>
      <c r="AO716" s="340"/>
      <c r="AP716" s="340"/>
      <c r="AQ716" s="340"/>
      <c r="AR716" s="340"/>
      <c r="AS716" s="340"/>
      <c r="AT716" s="340"/>
      <c r="AU716" s="340"/>
      <c r="AV716" s="340"/>
      <c r="AW716" s="340"/>
      <c r="AX716" s="340"/>
      <c r="AY716" s="340"/>
      <c r="AZ716" s="340"/>
      <c r="BA716" s="340"/>
      <c r="BB716" s="340"/>
      <c r="BC716" s="340"/>
      <c r="BD716" s="340"/>
    </row>
    <row r="717" spans="3:56">
      <c r="C717" s="340"/>
      <c r="D717" s="340"/>
      <c r="E717" s="340"/>
      <c r="F717" s="340"/>
      <c r="G717" s="340"/>
      <c r="H717" s="340"/>
      <c r="I717" s="340"/>
      <c r="J717" s="340"/>
      <c r="K717" s="340"/>
      <c r="L717" s="340"/>
      <c r="M717" s="340"/>
      <c r="N717" s="340"/>
      <c r="O717" s="340"/>
      <c r="P717" s="340"/>
      <c r="Q717" s="340"/>
      <c r="R717" s="340"/>
      <c r="S717" s="340"/>
      <c r="T717" s="340"/>
      <c r="U717" s="340"/>
      <c r="V717" s="340"/>
      <c r="W717" s="340"/>
      <c r="X717" s="340"/>
      <c r="Y717" s="340"/>
      <c r="Z717" s="340"/>
      <c r="AA717" s="340"/>
      <c r="AB717" s="340"/>
      <c r="AC717" s="340"/>
      <c r="AD717" s="340"/>
      <c r="AE717" s="340"/>
      <c r="AF717" s="340"/>
      <c r="AG717" s="340"/>
      <c r="AH717" s="340"/>
      <c r="AI717" s="340"/>
      <c r="AJ717" s="340"/>
      <c r="AK717" s="340"/>
      <c r="AL717" s="340"/>
      <c r="AM717" s="340"/>
      <c r="AN717" s="340"/>
      <c r="AO717" s="340"/>
      <c r="AP717" s="340"/>
      <c r="AQ717" s="340"/>
      <c r="AR717" s="340"/>
      <c r="AS717" s="340"/>
      <c r="AT717" s="340"/>
      <c r="AU717" s="340"/>
      <c r="AV717" s="340"/>
      <c r="AW717" s="340"/>
      <c r="AX717" s="340"/>
      <c r="AY717" s="340"/>
      <c r="AZ717" s="340"/>
      <c r="BA717" s="340"/>
      <c r="BB717" s="340"/>
      <c r="BC717" s="340"/>
      <c r="BD717" s="340"/>
    </row>
    <row r="718" spans="3:56">
      <c r="C718" s="340"/>
      <c r="D718" s="340"/>
      <c r="E718" s="340"/>
      <c r="F718" s="340"/>
      <c r="G718" s="340"/>
      <c r="H718" s="340"/>
      <c r="I718" s="340"/>
      <c r="J718" s="340"/>
      <c r="K718" s="340"/>
      <c r="L718" s="340"/>
      <c r="M718" s="340"/>
      <c r="N718" s="340"/>
      <c r="O718" s="340"/>
      <c r="P718" s="340"/>
      <c r="Q718" s="340"/>
      <c r="R718" s="340"/>
      <c r="S718" s="340"/>
      <c r="T718" s="340"/>
      <c r="U718" s="340"/>
      <c r="V718" s="340"/>
      <c r="W718" s="340"/>
      <c r="X718" s="340"/>
      <c r="Y718" s="340"/>
      <c r="Z718" s="340"/>
      <c r="AA718" s="340"/>
      <c r="AB718" s="340"/>
      <c r="AC718" s="340"/>
      <c r="AD718" s="340"/>
      <c r="AE718" s="340"/>
      <c r="AF718" s="340"/>
      <c r="AG718" s="340"/>
      <c r="AH718" s="340"/>
      <c r="AI718" s="340"/>
      <c r="AJ718" s="340"/>
      <c r="AK718" s="340"/>
      <c r="AL718" s="340"/>
      <c r="AM718" s="340"/>
      <c r="AN718" s="340"/>
      <c r="AO718" s="340"/>
      <c r="AP718" s="340"/>
      <c r="AQ718" s="340"/>
      <c r="AR718" s="340"/>
      <c r="AS718" s="340"/>
      <c r="AT718" s="340"/>
      <c r="AU718" s="340"/>
      <c r="AV718" s="340"/>
      <c r="AW718" s="340"/>
      <c r="AX718" s="340"/>
      <c r="AY718" s="340"/>
      <c r="AZ718" s="340"/>
      <c r="BA718" s="340"/>
      <c r="BB718" s="340"/>
      <c r="BC718" s="340"/>
      <c r="BD718" s="340"/>
    </row>
    <row r="719" spans="3:56">
      <c r="C719" s="340"/>
      <c r="D719" s="340"/>
      <c r="E719" s="340"/>
      <c r="F719" s="340"/>
      <c r="G719" s="340"/>
      <c r="H719" s="340"/>
      <c r="I719" s="340"/>
      <c r="J719" s="340"/>
      <c r="K719" s="340"/>
      <c r="L719" s="340"/>
      <c r="M719" s="340"/>
      <c r="N719" s="340"/>
      <c r="O719" s="340"/>
      <c r="P719" s="340"/>
      <c r="Q719" s="340"/>
      <c r="R719" s="340"/>
      <c r="S719" s="340"/>
      <c r="T719" s="340"/>
      <c r="U719" s="340"/>
      <c r="V719" s="340"/>
      <c r="W719" s="340"/>
      <c r="X719" s="340"/>
      <c r="Y719" s="340"/>
      <c r="Z719" s="340"/>
      <c r="AA719" s="340"/>
      <c r="AB719" s="340"/>
      <c r="AC719" s="340"/>
      <c r="AD719" s="340"/>
      <c r="AE719" s="340"/>
      <c r="AF719" s="340"/>
      <c r="AG719" s="340"/>
      <c r="AH719" s="340"/>
      <c r="AI719" s="340"/>
      <c r="AJ719" s="340"/>
      <c r="AK719" s="340"/>
      <c r="AL719" s="340"/>
      <c r="AM719" s="340"/>
      <c r="AN719" s="340"/>
      <c r="AO719" s="340"/>
      <c r="AP719" s="340"/>
      <c r="AQ719" s="340"/>
      <c r="AR719" s="340"/>
      <c r="AS719" s="340"/>
      <c r="AT719" s="340"/>
      <c r="AU719" s="340"/>
      <c r="AV719" s="340"/>
      <c r="AW719" s="340"/>
      <c r="AX719" s="340"/>
      <c r="AY719" s="340"/>
      <c r="AZ719" s="340"/>
      <c r="BA719" s="340"/>
      <c r="BB719" s="340"/>
      <c r="BC719" s="340"/>
      <c r="BD719" s="340"/>
    </row>
    <row r="720" spans="3:56">
      <c r="C720" s="340"/>
      <c r="D720" s="340"/>
      <c r="E720" s="340"/>
      <c r="F720" s="340"/>
      <c r="G720" s="340"/>
      <c r="H720" s="340"/>
      <c r="I720" s="340"/>
      <c r="J720" s="340"/>
      <c r="K720" s="340"/>
      <c r="L720" s="340"/>
      <c r="M720" s="340"/>
      <c r="N720" s="340"/>
      <c r="O720" s="340"/>
      <c r="P720" s="340"/>
      <c r="Q720" s="340"/>
      <c r="R720" s="340"/>
      <c r="S720" s="340"/>
      <c r="T720" s="340"/>
      <c r="U720" s="340"/>
      <c r="V720" s="340"/>
      <c r="W720" s="340"/>
      <c r="X720" s="340"/>
      <c r="Y720" s="340"/>
      <c r="Z720" s="340"/>
      <c r="AA720" s="340"/>
      <c r="AB720" s="340"/>
      <c r="AC720" s="340"/>
      <c r="AD720" s="340"/>
      <c r="AE720" s="340"/>
      <c r="AF720" s="340"/>
      <c r="AG720" s="340"/>
      <c r="AH720" s="340"/>
      <c r="AI720" s="340"/>
      <c r="AJ720" s="340"/>
      <c r="AK720" s="340"/>
      <c r="AL720" s="340"/>
      <c r="AM720" s="340"/>
      <c r="AN720" s="340"/>
      <c r="AO720" s="340"/>
      <c r="AP720" s="340"/>
      <c r="AQ720" s="340"/>
      <c r="AR720" s="340"/>
      <c r="AS720" s="340"/>
      <c r="AT720" s="340"/>
      <c r="AU720" s="340"/>
      <c r="AV720" s="340"/>
      <c r="AW720" s="340"/>
      <c r="AX720" s="340"/>
      <c r="AY720" s="340"/>
      <c r="AZ720" s="340"/>
      <c r="BA720" s="340"/>
      <c r="BB720" s="340"/>
      <c r="BC720" s="340"/>
      <c r="BD720" s="340"/>
    </row>
    <row r="721" spans="3:56">
      <c r="C721" s="340"/>
      <c r="D721" s="340"/>
      <c r="E721" s="340"/>
      <c r="F721" s="340"/>
      <c r="G721" s="340"/>
      <c r="H721" s="340"/>
      <c r="I721" s="340"/>
      <c r="J721" s="340"/>
      <c r="K721" s="340"/>
      <c r="L721" s="340"/>
      <c r="M721" s="340"/>
      <c r="N721" s="340"/>
      <c r="O721" s="340"/>
      <c r="P721" s="340"/>
      <c r="Q721" s="340"/>
      <c r="R721" s="340"/>
      <c r="S721" s="340"/>
      <c r="T721" s="340"/>
      <c r="U721" s="340"/>
      <c r="V721" s="340"/>
      <c r="W721" s="340"/>
      <c r="X721" s="340"/>
      <c r="Y721" s="340"/>
      <c r="Z721" s="340"/>
      <c r="AA721" s="340"/>
      <c r="AB721" s="340"/>
      <c r="AC721" s="340"/>
      <c r="AD721" s="340"/>
      <c r="AE721" s="340"/>
      <c r="AF721" s="340"/>
      <c r="AG721" s="340"/>
      <c r="AH721" s="340"/>
      <c r="AI721" s="340"/>
      <c r="AJ721" s="340"/>
      <c r="AK721" s="340"/>
      <c r="AL721" s="340"/>
      <c r="AM721" s="340"/>
      <c r="AN721" s="340"/>
      <c r="AO721" s="340"/>
      <c r="AP721" s="340"/>
      <c r="AQ721" s="340"/>
      <c r="AR721" s="340"/>
      <c r="AS721" s="340"/>
      <c r="AT721" s="340"/>
      <c r="AU721" s="340"/>
      <c r="AV721" s="340"/>
      <c r="AW721" s="340"/>
      <c r="AX721" s="340"/>
      <c r="AY721" s="340"/>
      <c r="AZ721" s="340"/>
      <c r="BA721" s="340"/>
      <c r="BB721" s="340"/>
      <c r="BC721" s="340"/>
      <c r="BD721" s="340"/>
    </row>
    <row r="722" spans="3:56">
      <c r="C722" s="340"/>
      <c r="D722" s="340"/>
      <c r="E722" s="340"/>
      <c r="F722" s="340"/>
      <c r="G722" s="340"/>
      <c r="H722" s="340"/>
      <c r="I722" s="340"/>
      <c r="J722" s="340"/>
      <c r="K722" s="340"/>
      <c r="L722" s="340"/>
      <c r="M722" s="340"/>
      <c r="N722" s="340"/>
      <c r="O722" s="340"/>
      <c r="P722" s="340"/>
      <c r="Q722" s="340"/>
      <c r="R722" s="340"/>
      <c r="S722" s="340"/>
      <c r="T722" s="340"/>
      <c r="U722" s="340"/>
      <c r="V722" s="340"/>
      <c r="W722" s="340"/>
      <c r="X722" s="340"/>
      <c r="Y722" s="340"/>
      <c r="Z722" s="340"/>
      <c r="AA722" s="340"/>
      <c r="AB722" s="340"/>
      <c r="AC722" s="340"/>
      <c r="AD722" s="340"/>
      <c r="AE722" s="340"/>
      <c r="AF722" s="340"/>
      <c r="AG722" s="340"/>
      <c r="AH722" s="340"/>
      <c r="AI722" s="340"/>
      <c r="AJ722" s="340"/>
      <c r="AK722" s="340"/>
      <c r="AL722" s="340"/>
      <c r="AM722" s="340"/>
      <c r="AN722" s="340"/>
      <c r="AO722" s="340"/>
      <c r="AP722" s="340"/>
      <c r="AQ722" s="340"/>
      <c r="AR722" s="340"/>
      <c r="AS722" s="340"/>
      <c r="AT722" s="340"/>
      <c r="AU722" s="340"/>
      <c r="AV722" s="340"/>
      <c r="AW722" s="340"/>
      <c r="AX722" s="340"/>
      <c r="AY722" s="340"/>
      <c r="AZ722" s="340"/>
      <c r="BA722" s="340"/>
      <c r="BB722" s="340"/>
      <c r="BC722" s="340"/>
      <c r="BD722" s="340"/>
    </row>
    <row r="723" spans="3:56">
      <c r="C723" s="340"/>
      <c r="D723" s="340"/>
      <c r="E723" s="340"/>
      <c r="F723" s="340"/>
      <c r="G723" s="340"/>
      <c r="H723" s="340"/>
      <c r="I723" s="340"/>
      <c r="J723" s="340"/>
      <c r="K723" s="340"/>
      <c r="L723" s="340"/>
      <c r="M723" s="340"/>
      <c r="N723" s="340"/>
      <c r="O723" s="340"/>
      <c r="P723" s="340"/>
      <c r="Q723" s="340"/>
      <c r="R723" s="340"/>
      <c r="S723" s="340"/>
      <c r="T723" s="340"/>
      <c r="U723" s="340"/>
      <c r="V723" s="340"/>
      <c r="W723" s="340"/>
      <c r="X723" s="340"/>
      <c r="Y723" s="340"/>
      <c r="Z723" s="340"/>
      <c r="AA723" s="340"/>
      <c r="AB723" s="340"/>
      <c r="AC723" s="340"/>
      <c r="AD723" s="340"/>
      <c r="AE723" s="340"/>
      <c r="AF723" s="340"/>
      <c r="AG723" s="340"/>
      <c r="AH723" s="340"/>
      <c r="AI723" s="340"/>
      <c r="AJ723" s="340"/>
      <c r="AK723" s="340"/>
      <c r="AL723" s="340"/>
      <c r="AM723" s="340"/>
      <c r="AN723" s="340"/>
      <c r="AO723" s="340"/>
      <c r="AP723" s="340"/>
      <c r="AQ723" s="340"/>
      <c r="AR723" s="340"/>
      <c r="AS723" s="340"/>
      <c r="AT723" s="340"/>
      <c r="AU723" s="340"/>
      <c r="AV723" s="340"/>
      <c r="AW723" s="340"/>
      <c r="AX723" s="340"/>
      <c r="AY723" s="340"/>
      <c r="AZ723" s="340"/>
      <c r="BA723" s="340"/>
      <c r="BB723" s="340"/>
      <c r="BC723" s="340"/>
      <c r="BD723" s="340"/>
    </row>
    <row r="724" spans="3:56">
      <c r="C724" s="340"/>
      <c r="D724" s="340"/>
      <c r="E724" s="340"/>
      <c r="F724" s="340"/>
      <c r="G724" s="340"/>
      <c r="H724" s="340"/>
      <c r="I724" s="340"/>
      <c r="J724" s="340"/>
      <c r="K724" s="340"/>
      <c r="L724" s="340"/>
      <c r="M724" s="340"/>
      <c r="N724" s="340"/>
      <c r="O724" s="340"/>
      <c r="P724" s="340"/>
      <c r="Q724" s="340"/>
      <c r="R724" s="340"/>
      <c r="S724" s="340"/>
      <c r="T724" s="340"/>
      <c r="U724" s="340"/>
      <c r="V724" s="340"/>
      <c r="W724" s="340"/>
      <c r="X724" s="340"/>
      <c r="Y724" s="340"/>
      <c r="Z724" s="340"/>
      <c r="AA724" s="340"/>
      <c r="AB724" s="340"/>
      <c r="AC724" s="340"/>
      <c r="AD724" s="340"/>
      <c r="AE724" s="340"/>
      <c r="AF724" s="340"/>
      <c r="AG724" s="340"/>
      <c r="AH724" s="340"/>
      <c r="AI724" s="340"/>
      <c r="AJ724" s="340"/>
      <c r="AK724" s="340"/>
      <c r="AL724" s="340"/>
      <c r="AM724" s="340"/>
      <c r="AN724" s="340"/>
      <c r="AO724" s="340"/>
      <c r="AP724" s="340"/>
      <c r="AQ724" s="340"/>
      <c r="AR724" s="340"/>
      <c r="AS724" s="340"/>
      <c r="AT724" s="340"/>
      <c r="AU724" s="340"/>
      <c r="AV724" s="340"/>
      <c r="AW724" s="340"/>
      <c r="AX724" s="340"/>
      <c r="AY724" s="340"/>
      <c r="AZ724" s="340"/>
      <c r="BA724" s="340"/>
      <c r="BB724" s="340"/>
      <c r="BC724" s="340"/>
      <c r="BD724" s="340"/>
    </row>
    <row r="725" spans="3:56">
      <c r="C725" s="340"/>
      <c r="D725" s="340"/>
      <c r="E725" s="340"/>
      <c r="F725" s="340"/>
      <c r="G725" s="340"/>
      <c r="H725" s="340"/>
      <c r="I725" s="340"/>
      <c r="J725" s="340"/>
      <c r="K725" s="340"/>
      <c r="L725" s="340"/>
      <c r="M725" s="340"/>
      <c r="N725" s="340"/>
      <c r="O725" s="340"/>
      <c r="P725" s="340"/>
      <c r="Q725" s="340"/>
      <c r="R725" s="340"/>
      <c r="S725" s="340"/>
      <c r="T725" s="340"/>
      <c r="U725" s="340"/>
      <c r="V725" s="340"/>
      <c r="W725" s="340"/>
      <c r="X725" s="340"/>
      <c r="Y725" s="340"/>
      <c r="Z725" s="340"/>
      <c r="AA725" s="340"/>
      <c r="AB725" s="340"/>
      <c r="AC725" s="340"/>
      <c r="AD725" s="340"/>
      <c r="AE725" s="340"/>
      <c r="AF725" s="340"/>
      <c r="AG725" s="340"/>
      <c r="AH725" s="340"/>
      <c r="AI725" s="340"/>
      <c r="AJ725" s="340"/>
      <c r="AK725" s="340"/>
      <c r="AL725" s="340"/>
      <c r="AM725" s="340"/>
      <c r="AN725" s="340"/>
      <c r="AO725" s="340"/>
      <c r="AP725" s="340"/>
      <c r="AQ725" s="340"/>
      <c r="AR725" s="340"/>
      <c r="AS725" s="340"/>
      <c r="AT725" s="340"/>
      <c r="AU725" s="340"/>
      <c r="AV725" s="340"/>
      <c r="AW725" s="340"/>
      <c r="AX725" s="340"/>
      <c r="AY725" s="340"/>
      <c r="AZ725" s="340"/>
      <c r="BA725" s="340"/>
      <c r="BB725" s="340"/>
      <c r="BC725" s="340"/>
      <c r="BD725" s="340"/>
    </row>
    <row r="726" spans="3:56">
      <c r="C726" s="340"/>
      <c r="D726" s="340"/>
      <c r="E726" s="340"/>
      <c r="F726" s="340"/>
      <c r="G726" s="340"/>
      <c r="H726" s="340"/>
      <c r="I726" s="340"/>
      <c r="J726" s="340"/>
      <c r="K726" s="340"/>
      <c r="L726" s="340"/>
      <c r="M726" s="340"/>
      <c r="N726" s="340"/>
      <c r="O726" s="340"/>
      <c r="P726" s="340"/>
      <c r="Q726" s="340"/>
      <c r="R726" s="340"/>
      <c r="S726" s="340"/>
      <c r="T726" s="340"/>
      <c r="U726" s="340"/>
      <c r="V726" s="340"/>
      <c r="W726" s="340"/>
      <c r="X726" s="340"/>
      <c r="Y726" s="340"/>
      <c r="Z726" s="340"/>
      <c r="AA726" s="340"/>
      <c r="AB726" s="340"/>
      <c r="AC726" s="340"/>
      <c r="AD726" s="340"/>
      <c r="AE726" s="340"/>
      <c r="AF726" s="340"/>
      <c r="AG726" s="340"/>
      <c r="AH726" s="340"/>
      <c r="AI726" s="340"/>
      <c r="AJ726" s="340"/>
      <c r="AK726" s="340"/>
      <c r="AL726" s="340"/>
      <c r="AM726" s="340"/>
      <c r="AN726" s="340"/>
      <c r="AO726" s="340"/>
      <c r="AP726" s="340"/>
      <c r="AQ726" s="340"/>
      <c r="AR726" s="340"/>
      <c r="AS726" s="340"/>
      <c r="AT726" s="340"/>
      <c r="AU726" s="340"/>
      <c r="AV726" s="340"/>
      <c r="AW726" s="340"/>
      <c r="AX726" s="340"/>
      <c r="AY726" s="340"/>
      <c r="AZ726" s="340"/>
      <c r="BA726" s="340"/>
      <c r="BB726" s="340"/>
      <c r="BC726" s="340"/>
      <c r="BD726" s="340"/>
    </row>
    <row r="727" spans="3:56">
      <c r="C727" s="340"/>
      <c r="D727" s="340"/>
      <c r="E727" s="340"/>
      <c r="F727" s="340"/>
      <c r="G727" s="340"/>
      <c r="H727" s="340"/>
      <c r="I727" s="340"/>
      <c r="J727" s="340"/>
      <c r="K727" s="340"/>
      <c r="L727" s="340"/>
      <c r="M727" s="340"/>
      <c r="N727" s="340"/>
      <c r="O727" s="340"/>
      <c r="P727" s="340"/>
      <c r="Q727" s="340"/>
      <c r="R727" s="340"/>
      <c r="S727" s="340"/>
      <c r="T727" s="340"/>
      <c r="U727" s="340"/>
      <c r="V727" s="340"/>
      <c r="W727" s="340"/>
      <c r="X727" s="340"/>
      <c r="Y727" s="340"/>
      <c r="Z727" s="340"/>
      <c r="AA727" s="340"/>
      <c r="AB727" s="340"/>
      <c r="AC727" s="340"/>
      <c r="AD727" s="340"/>
      <c r="AE727" s="340"/>
      <c r="AF727" s="340"/>
      <c r="AG727" s="340"/>
      <c r="AH727" s="340"/>
      <c r="AI727" s="340"/>
      <c r="AJ727" s="340"/>
      <c r="AK727" s="340"/>
      <c r="AL727" s="340"/>
      <c r="AM727" s="340"/>
      <c r="AN727" s="340"/>
      <c r="AO727" s="340"/>
      <c r="AP727" s="340"/>
      <c r="AQ727" s="340"/>
      <c r="AR727" s="340"/>
      <c r="AS727" s="340"/>
      <c r="AT727" s="340"/>
      <c r="AU727" s="340"/>
      <c r="AV727" s="340"/>
      <c r="AW727" s="340"/>
      <c r="AX727" s="340"/>
      <c r="AY727" s="340"/>
      <c r="AZ727" s="340"/>
      <c r="BA727" s="340"/>
      <c r="BB727" s="340"/>
      <c r="BC727" s="340"/>
      <c r="BD727" s="340"/>
    </row>
    <row r="728" spans="3:56">
      <c r="C728" s="340"/>
      <c r="D728" s="340"/>
      <c r="E728" s="340"/>
      <c r="F728" s="340"/>
      <c r="G728" s="340"/>
      <c r="H728" s="340"/>
      <c r="I728" s="340"/>
      <c r="J728" s="340"/>
      <c r="K728" s="340"/>
      <c r="L728" s="340"/>
      <c r="M728" s="340"/>
      <c r="N728" s="340"/>
      <c r="O728" s="340"/>
      <c r="P728" s="340"/>
      <c r="Q728" s="340"/>
      <c r="R728" s="340"/>
      <c r="S728" s="340"/>
      <c r="T728" s="340"/>
      <c r="U728" s="340"/>
      <c r="V728" s="340"/>
      <c r="W728" s="340"/>
      <c r="X728" s="340"/>
      <c r="Y728" s="340"/>
      <c r="Z728" s="340"/>
      <c r="AA728" s="340"/>
      <c r="AB728" s="340"/>
      <c r="AC728" s="340"/>
      <c r="AD728" s="340"/>
      <c r="AE728" s="340"/>
      <c r="AF728" s="340"/>
      <c r="AG728" s="340"/>
      <c r="AH728" s="340"/>
      <c r="AI728" s="340"/>
      <c r="AJ728" s="340"/>
      <c r="AK728" s="340"/>
      <c r="AL728" s="340"/>
      <c r="AM728" s="340"/>
      <c r="AN728" s="340"/>
      <c r="AO728" s="340"/>
      <c r="AP728" s="340"/>
      <c r="AQ728" s="340"/>
      <c r="AR728" s="340"/>
      <c r="AS728" s="340"/>
      <c r="AT728" s="340"/>
      <c r="AU728" s="340"/>
      <c r="AV728" s="340"/>
      <c r="AW728" s="340"/>
      <c r="AX728" s="340"/>
      <c r="AY728" s="340"/>
      <c r="AZ728" s="340"/>
      <c r="BA728" s="340"/>
      <c r="BB728" s="340"/>
      <c r="BC728" s="340"/>
      <c r="BD728" s="340"/>
    </row>
    <row r="729" spans="3:56">
      <c r="C729" s="340"/>
      <c r="D729" s="340"/>
      <c r="E729" s="340"/>
      <c r="F729" s="340"/>
      <c r="G729" s="340"/>
      <c r="H729" s="340"/>
      <c r="I729" s="340"/>
      <c r="J729" s="340"/>
      <c r="K729" s="340"/>
      <c r="L729" s="340"/>
      <c r="M729" s="340"/>
      <c r="N729" s="340"/>
      <c r="O729" s="340"/>
      <c r="P729" s="340"/>
      <c r="Q729" s="340"/>
      <c r="R729" s="340"/>
      <c r="S729" s="340"/>
      <c r="T729" s="340"/>
      <c r="U729" s="340"/>
      <c r="V729" s="340"/>
      <c r="W729" s="340"/>
      <c r="X729" s="340"/>
      <c r="Y729" s="340"/>
      <c r="Z729" s="340"/>
      <c r="AA729" s="340"/>
      <c r="AB729" s="340"/>
      <c r="AC729" s="340"/>
      <c r="AD729" s="340"/>
      <c r="AE729" s="340"/>
      <c r="AF729" s="340"/>
      <c r="AG729" s="340"/>
      <c r="AH729" s="340"/>
      <c r="AI729" s="340"/>
      <c r="AJ729" s="340"/>
      <c r="AK729" s="340"/>
      <c r="AL729" s="340"/>
      <c r="AM729" s="340"/>
      <c r="AN729" s="340"/>
      <c r="AO729" s="340"/>
      <c r="AP729" s="340"/>
      <c r="AQ729" s="340"/>
      <c r="AR729" s="340"/>
      <c r="AS729" s="340"/>
      <c r="AT729" s="340"/>
      <c r="AU729" s="340"/>
      <c r="AV729" s="340"/>
      <c r="AW729" s="340"/>
      <c r="AX729" s="340"/>
      <c r="AY729" s="340"/>
      <c r="AZ729" s="340"/>
      <c r="BA729" s="340"/>
      <c r="BB729" s="340"/>
      <c r="BC729" s="340"/>
      <c r="BD729" s="340"/>
    </row>
    <row r="730" spans="3:56">
      <c r="C730" s="340"/>
      <c r="D730" s="340"/>
      <c r="E730" s="340"/>
      <c r="F730" s="340"/>
      <c r="G730" s="340"/>
      <c r="H730" s="340"/>
      <c r="I730" s="340"/>
      <c r="J730" s="340"/>
      <c r="K730" s="340"/>
      <c r="L730" s="340"/>
      <c r="M730" s="340"/>
      <c r="N730" s="340"/>
      <c r="O730" s="340"/>
      <c r="P730" s="340"/>
      <c r="Q730" s="340"/>
      <c r="R730" s="340"/>
      <c r="S730" s="340"/>
      <c r="T730" s="340"/>
      <c r="U730" s="340"/>
      <c r="V730" s="340"/>
      <c r="W730" s="340"/>
      <c r="X730" s="340"/>
      <c r="Y730" s="340"/>
      <c r="Z730" s="340"/>
      <c r="AA730" s="340"/>
      <c r="AB730" s="340"/>
      <c r="AC730" s="340"/>
      <c r="AD730" s="340"/>
      <c r="AE730" s="340"/>
      <c r="AF730" s="340"/>
      <c r="AG730" s="340"/>
      <c r="AH730" s="340"/>
      <c r="AI730" s="340"/>
      <c r="AJ730" s="340"/>
      <c r="AK730" s="340"/>
      <c r="AL730" s="340"/>
      <c r="AM730" s="340"/>
      <c r="AN730" s="340"/>
      <c r="AO730" s="340"/>
      <c r="AP730" s="340"/>
      <c r="AQ730" s="340"/>
      <c r="AR730" s="340"/>
      <c r="AS730" s="340"/>
      <c r="AT730" s="340"/>
      <c r="AU730" s="340"/>
      <c r="AV730" s="340"/>
      <c r="AW730" s="340"/>
      <c r="AX730" s="340"/>
      <c r="AY730" s="340"/>
      <c r="AZ730" s="340"/>
      <c r="BA730" s="340"/>
      <c r="BB730" s="340"/>
      <c r="BC730" s="340"/>
      <c r="BD730" s="340"/>
    </row>
    <row r="731" spans="3:56">
      <c r="C731" s="340"/>
      <c r="D731" s="340"/>
      <c r="E731" s="340"/>
      <c r="F731" s="340"/>
      <c r="G731" s="340"/>
      <c r="H731" s="340"/>
      <c r="I731" s="340"/>
      <c r="J731" s="340"/>
      <c r="K731" s="340"/>
      <c r="L731" s="340"/>
      <c r="M731" s="340"/>
      <c r="N731" s="340"/>
      <c r="O731" s="340"/>
      <c r="P731" s="340"/>
      <c r="Q731" s="340"/>
      <c r="R731" s="340"/>
      <c r="S731" s="340"/>
      <c r="T731" s="340"/>
      <c r="U731" s="340"/>
      <c r="V731" s="340"/>
      <c r="W731" s="340"/>
      <c r="X731" s="340"/>
      <c r="Y731" s="340"/>
      <c r="Z731" s="340"/>
      <c r="AA731" s="340"/>
      <c r="AB731" s="340"/>
      <c r="AC731" s="340"/>
      <c r="AD731" s="340"/>
      <c r="AE731" s="340"/>
      <c r="AF731" s="340"/>
      <c r="AG731" s="340"/>
      <c r="AH731" s="340"/>
      <c r="AI731" s="340"/>
      <c r="AJ731" s="340"/>
      <c r="AK731" s="340"/>
      <c r="AL731" s="340"/>
      <c r="AM731" s="340"/>
      <c r="AN731" s="340"/>
      <c r="AO731" s="340"/>
      <c r="AP731" s="340"/>
      <c r="AQ731" s="340"/>
      <c r="AR731" s="340"/>
      <c r="AS731" s="340"/>
      <c r="AT731" s="340"/>
      <c r="AU731" s="340"/>
      <c r="AV731" s="340"/>
      <c r="AW731" s="340"/>
      <c r="AX731" s="340"/>
      <c r="AY731" s="340"/>
      <c r="AZ731" s="340"/>
      <c r="BA731" s="340"/>
      <c r="BB731" s="340"/>
      <c r="BC731" s="340"/>
      <c r="BD731" s="340"/>
    </row>
    <row r="732" spans="3:56">
      <c r="C732" s="340"/>
      <c r="D732" s="340"/>
      <c r="E732" s="340"/>
      <c r="F732" s="340"/>
      <c r="G732" s="340"/>
      <c r="H732" s="340"/>
      <c r="I732" s="340"/>
      <c r="J732" s="340"/>
      <c r="K732" s="340"/>
      <c r="L732" s="340"/>
      <c r="M732" s="340"/>
      <c r="N732" s="340"/>
      <c r="O732" s="340"/>
      <c r="P732" s="340"/>
      <c r="Q732" s="340"/>
      <c r="R732" s="340"/>
      <c r="S732" s="340"/>
      <c r="T732" s="340"/>
      <c r="U732" s="340"/>
      <c r="V732" s="340"/>
      <c r="W732" s="340"/>
      <c r="X732" s="340"/>
      <c r="Y732" s="340"/>
      <c r="Z732" s="340"/>
      <c r="AA732" s="340"/>
      <c r="AB732" s="340"/>
      <c r="AC732" s="340"/>
      <c r="AD732" s="340"/>
      <c r="AE732" s="340"/>
      <c r="AF732" s="340"/>
      <c r="AG732" s="340"/>
      <c r="AH732" s="340"/>
      <c r="AI732" s="340"/>
      <c r="AJ732" s="340"/>
      <c r="AK732" s="340"/>
      <c r="AL732" s="340"/>
      <c r="AM732" s="340"/>
      <c r="AN732" s="340"/>
      <c r="AO732" s="340"/>
      <c r="AP732" s="340"/>
      <c r="AQ732" s="340"/>
      <c r="AR732" s="340"/>
      <c r="AS732" s="340"/>
      <c r="AT732" s="340"/>
      <c r="AU732" s="340"/>
      <c r="AV732" s="340"/>
      <c r="AW732" s="340"/>
      <c r="AX732" s="340"/>
      <c r="AY732" s="340"/>
      <c r="AZ732" s="340"/>
      <c r="BA732" s="340"/>
      <c r="BB732" s="340"/>
      <c r="BC732" s="340"/>
      <c r="BD732" s="340"/>
    </row>
    <row r="733" spans="3:56">
      <c r="C733" s="340"/>
      <c r="D733" s="340"/>
      <c r="E733" s="340"/>
      <c r="F733" s="340"/>
      <c r="G733" s="340"/>
      <c r="H733" s="340"/>
      <c r="I733" s="340"/>
      <c r="J733" s="340"/>
      <c r="K733" s="340"/>
      <c r="L733" s="340"/>
      <c r="M733" s="340"/>
      <c r="N733" s="340"/>
      <c r="O733" s="340"/>
      <c r="P733" s="340"/>
      <c r="Q733" s="340"/>
      <c r="R733" s="340"/>
      <c r="S733" s="340"/>
      <c r="T733" s="340"/>
      <c r="U733" s="340"/>
      <c r="V733" s="340"/>
      <c r="W733" s="340"/>
      <c r="X733" s="340"/>
      <c r="Y733" s="340"/>
      <c r="Z733" s="340"/>
      <c r="AA733" s="340"/>
      <c r="AB733" s="340"/>
      <c r="AC733" s="340"/>
      <c r="AD733" s="340"/>
      <c r="AE733" s="340"/>
      <c r="AF733" s="340"/>
      <c r="AG733" s="340"/>
      <c r="AH733" s="340"/>
      <c r="AI733" s="340"/>
      <c r="AJ733" s="340"/>
      <c r="AK733" s="340"/>
      <c r="AL733" s="340"/>
      <c r="AM733" s="340"/>
      <c r="AN733" s="340"/>
      <c r="AO733" s="340"/>
      <c r="AP733" s="340"/>
      <c r="AQ733" s="340"/>
      <c r="AR733" s="340"/>
      <c r="AS733" s="340"/>
      <c r="AT733" s="340"/>
      <c r="AU733" s="340"/>
      <c r="AV733" s="340"/>
      <c r="AW733" s="340"/>
      <c r="AX733" s="340"/>
      <c r="AY733" s="340"/>
      <c r="AZ733" s="340"/>
      <c r="BA733" s="340"/>
      <c r="BB733" s="340"/>
      <c r="BC733" s="340"/>
      <c r="BD733" s="340"/>
    </row>
    <row r="734" spans="3:56">
      <c r="C734" s="340"/>
      <c r="D734" s="340"/>
      <c r="E734" s="340"/>
      <c r="F734" s="340"/>
      <c r="G734" s="340"/>
      <c r="H734" s="340"/>
      <c r="I734" s="340"/>
      <c r="J734" s="340"/>
      <c r="K734" s="340"/>
      <c r="L734" s="340"/>
      <c r="M734" s="340"/>
      <c r="N734" s="340"/>
      <c r="O734" s="340"/>
      <c r="P734" s="340"/>
      <c r="Q734" s="340"/>
      <c r="R734" s="340"/>
      <c r="S734" s="340"/>
      <c r="T734" s="340"/>
      <c r="U734" s="340"/>
      <c r="V734" s="340"/>
      <c r="W734" s="340"/>
      <c r="X734" s="340"/>
      <c r="Y734" s="340"/>
      <c r="Z734" s="340"/>
      <c r="AA734" s="340"/>
      <c r="AB734" s="340"/>
      <c r="AC734" s="340"/>
      <c r="AD734" s="340"/>
      <c r="AE734" s="340"/>
      <c r="AF734" s="340"/>
      <c r="AG734" s="340"/>
      <c r="AH734" s="340"/>
      <c r="AI734" s="340"/>
      <c r="AJ734" s="340"/>
      <c r="AK734" s="340"/>
      <c r="AL734" s="340"/>
      <c r="AM734" s="340"/>
      <c r="AN734" s="340"/>
      <c r="AO734" s="340"/>
      <c r="AP734" s="340"/>
      <c r="AQ734" s="340"/>
      <c r="AR734" s="340"/>
      <c r="AS734" s="340"/>
      <c r="AT734" s="340"/>
      <c r="AU734" s="340"/>
      <c r="AV734" s="340"/>
      <c r="AW734" s="340"/>
      <c r="AX734" s="340"/>
      <c r="AY734" s="340"/>
      <c r="AZ734" s="340"/>
      <c r="BA734" s="340"/>
      <c r="BB734" s="340"/>
      <c r="BC734" s="340"/>
      <c r="BD734" s="340"/>
    </row>
    <row r="735" spans="3:56">
      <c r="C735" s="340"/>
      <c r="D735" s="340"/>
      <c r="E735" s="340"/>
      <c r="F735" s="340"/>
      <c r="G735" s="340"/>
      <c r="H735" s="340"/>
      <c r="I735" s="340"/>
      <c r="J735" s="340"/>
      <c r="K735" s="340"/>
      <c r="L735" s="340"/>
      <c r="M735" s="340"/>
      <c r="N735" s="340"/>
      <c r="O735" s="340"/>
      <c r="P735" s="340"/>
      <c r="Q735" s="340"/>
      <c r="R735" s="340"/>
      <c r="S735" s="340"/>
      <c r="T735" s="340"/>
      <c r="U735" s="340"/>
      <c r="V735" s="340"/>
      <c r="W735" s="340"/>
      <c r="X735" s="340"/>
      <c r="Y735" s="340"/>
      <c r="Z735" s="340"/>
      <c r="AA735" s="340"/>
      <c r="AB735" s="340"/>
      <c r="AC735" s="340"/>
      <c r="AD735" s="340"/>
      <c r="AE735" s="340"/>
      <c r="AF735" s="340"/>
      <c r="AG735" s="340"/>
      <c r="AH735" s="340"/>
      <c r="AI735" s="340"/>
      <c r="AJ735" s="340"/>
      <c r="AK735" s="340"/>
      <c r="AL735" s="340"/>
      <c r="AM735" s="340"/>
      <c r="AN735" s="340"/>
      <c r="AO735" s="340"/>
      <c r="AP735" s="340"/>
      <c r="AQ735" s="340"/>
      <c r="AR735" s="340"/>
      <c r="AS735" s="340"/>
      <c r="AT735" s="340"/>
      <c r="AU735" s="340"/>
      <c r="AV735" s="340"/>
      <c r="AW735" s="340"/>
      <c r="AX735" s="340"/>
      <c r="AY735" s="340"/>
      <c r="AZ735" s="340"/>
      <c r="BA735" s="340"/>
      <c r="BB735" s="340"/>
      <c r="BC735" s="340"/>
      <c r="BD735" s="340"/>
    </row>
    <row r="736" spans="3:56">
      <c r="C736" s="340"/>
      <c r="D736" s="340"/>
      <c r="E736" s="340"/>
      <c r="F736" s="340"/>
      <c r="G736" s="340"/>
      <c r="H736" s="340"/>
      <c r="I736" s="340"/>
      <c r="J736" s="340"/>
      <c r="K736" s="340"/>
      <c r="L736" s="340"/>
      <c r="M736" s="340"/>
      <c r="N736" s="340"/>
      <c r="O736" s="340"/>
      <c r="P736" s="340"/>
      <c r="Q736" s="340"/>
      <c r="R736" s="340"/>
      <c r="S736" s="340"/>
      <c r="T736" s="340"/>
      <c r="U736" s="340"/>
      <c r="V736" s="340"/>
      <c r="W736" s="340"/>
      <c r="X736" s="340"/>
      <c r="Y736" s="340"/>
      <c r="Z736" s="340"/>
      <c r="AA736" s="340"/>
      <c r="AB736" s="340"/>
      <c r="AC736" s="340"/>
      <c r="AD736" s="340"/>
      <c r="AE736" s="340"/>
      <c r="AF736" s="340"/>
      <c r="AG736" s="340"/>
      <c r="AH736" s="340"/>
      <c r="AI736" s="340"/>
      <c r="AJ736" s="340"/>
      <c r="AK736" s="340"/>
      <c r="AL736" s="340"/>
      <c r="AM736" s="340"/>
      <c r="AN736" s="340"/>
      <c r="AO736" s="340"/>
      <c r="AP736" s="340"/>
      <c r="AQ736" s="340"/>
      <c r="AR736" s="340"/>
      <c r="AS736" s="340"/>
      <c r="AT736" s="340"/>
      <c r="AU736" s="340"/>
      <c r="AV736" s="340"/>
      <c r="AW736" s="340"/>
      <c r="AX736" s="340"/>
      <c r="AY736" s="340"/>
      <c r="AZ736" s="340"/>
      <c r="BA736" s="340"/>
      <c r="BB736" s="340"/>
      <c r="BC736" s="340"/>
      <c r="BD736" s="340"/>
    </row>
    <row r="737" spans="3:56">
      <c r="C737" s="340"/>
      <c r="D737" s="340"/>
      <c r="E737" s="340"/>
      <c r="F737" s="340"/>
      <c r="G737" s="340"/>
      <c r="H737" s="340"/>
      <c r="I737" s="340"/>
      <c r="J737" s="340"/>
      <c r="K737" s="340"/>
      <c r="L737" s="340"/>
      <c r="M737" s="340"/>
      <c r="N737" s="340"/>
      <c r="O737" s="340"/>
      <c r="P737" s="340"/>
      <c r="Q737" s="340"/>
      <c r="R737" s="340"/>
      <c r="S737" s="340"/>
      <c r="T737" s="340"/>
      <c r="U737" s="340"/>
      <c r="V737" s="340"/>
      <c r="W737" s="340"/>
      <c r="X737" s="340"/>
      <c r="Y737" s="340"/>
      <c r="Z737" s="340"/>
      <c r="AA737" s="340"/>
      <c r="AB737" s="340"/>
      <c r="AC737" s="340"/>
      <c r="AD737" s="340"/>
      <c r="AE737" s="340"/>
      <c r="AF737" s="340"/>
      <c r="AG737" s="340"/>
      <c r="AH737" s="340"/>
      <c r="AI737" s="340"/>
      <c r="AJ737" s="340"/>
      <c r="AK737" s="340"/>
      <c r="AL737" s="340"/>
      <c r="AM737" s="340"/>
      <c r="AN737" s="340"/>
      <c r="AO737" s="340"/>
      <c r="AP737" s="340"/>
      <c r="AQ737" s="340"/>
      <c r="AR737" s="340"/>
      <c r="AS737" s="340"/>
      <c r="AT737" s="340"/>
      <c r="AU737" s="340"/>
      <c r="AV737" s="340"/>
      <c r="AW737" s="340"/>
      <c r="AX737" s="340"/>
      <c r="AY737" s="340"/>
      <c r="AZ737" s="340"/>
      <c r="BA737" s="340"/>
      <c r="BB737" s="340"/>
      <c r="BC737" s="340"/>
      <c r="BD737" s="340"/>
    </row>
    <row r="738" spans="3:56">
      <c r="C738" s="340"/>
      <c r="D738" s="340"/>
      <c r="E738" s="340"/>
      <c r="F738" s="340"/>
      <c r="G738" s="340"/>
      <c r="H738" s="340"/>
      <c r="I738" s="340"/>
      <c r="J738" s="340"/>
      <c r="K738" s="340"/>
      <c r="L738" s="340"/>
      <c r="M738" s="340"/>
      <c r="N738" s="340"/>
      <c r="O738" s="340"/>
      <c r="P738" s="340"/>
      <c r="Q738" s="340"/>
      <c r="R738" s="340"/>
      <c r="S738" s="340"/>
      <c r="T738" s="340"/>
      <c r="U738" s="340"/>
      <c r="V738" s="340"/>
      <c r="W738" s="340"/>
      <c r="X738" s="340"/>
      <c r="Y738" s="340"/>
      <c r="Z738" s="340"/>
      <c r="AA738" s="340"/>
      <c r="AB738" s="340"/>
      <c r="AC738" s="340"/>
      <c r="AD738" s="340"/>
      <c r="AE738" s="340"/>
      <c r="AF738" s="340"/>
      <c r="AG738" s="340"/>
      <c r="AH738" s="340"/>
      <c r="AI738" s="340"/>
      <c r="AJ738" s="340"/>
      <c r="AK738" s="340"/>
      <c r="AL738" s="340"/>
      <c r="AM738" s="340"/>
      <c r="AN738" s="340"/>
      <c r="AO738" s="340"/>
      <c r="AP738" s="340"/>
      <c r="AQ738" s="340"/>
      <c r="AR738" s="340"/>
      <c r="AS738" s="340"/>
      <c r="AT738" s="340"/>
      <c r="AU738" s="340"/>
      <c r="AV738" s="340"/>
      <c r="AW738" s="340"/>
      <c r="AX738" s="340"/>
      <c r="AY738" s="340"/>
      <c r="AZ738" s="340"/>
      <c r="BA738" s="340"/>
      <c r="BB738" s="340"/>
      <c r="BC738" s="340"/>
      <c r="BD738" s="340"/>
    </row>
    <row r="739" spans="3:56">
      <c r="C739" s="340"/>
      <c r="D739" s="340"/>
      <c r="E739" s="340"/>
      <c r="F739" s="340"/>
      <c r="G739" s="340"/>
      <c r="H739" s="340"/>
      <c r="I739" s="340"/>
      <c r="J739" s="340"/>
      <c r="K739" s="340"/>
      <c r="L739" s="340"/>
      <c r="M739" s="340"/>
      <c r="N739" s="340"/>
      <c r="O739" s="340"/>
      <c r="P739" s="340"/>
      <c r="Q739" s="340"/>
      <c r="R739" s="340"/>
      <c r="S739" s="340"/>
      <c r="T739" s="340"/>
      <c r="U739" s="340"/>
      <c r="V739" s="340"/>
      <c r="W739" s="340"/>
      <c r="X739" s="340"/>
      <c r="Y739" s="340"/>
      <c r="Z739" s="340"/>
      <c r="AA739" s="340"/>
      <c r="AB739" s="340"/>
      <c r="AC739" s="340"/>
      <c r="AD739" s="340"/>
      <c r="AE739" s="340"/>
      <c r="AF739" s="340"/>
      <c r="AG739" s="340"/>
      <c r="AH739" s="340"/>
      <c r="AI739" s="340"/>
      <c r="AJ739" s="340"/>
      <c r="AK739" s="340"/>
      <c r="AL739" s="340"/>
      <c r="AM739" s="340"/>
      <c r="AN739" s="340"/>
      <c r="AO739" s="340"/>
      <c r="AP739" s="340"/>
      <c r="AQ739" s="340"/>
      <c r="AR739" s="340"/>
      <c r="AS739" s="340"/>
      <c r="AT739" s="340"/>
      <c r="AU739" s="340"/>
      <c r="AV739" s="340"/>
      <c r="AW739" s="340"/>
      <c r="AX739" s="340"/>
      <c r="AY739" s="340"/>
      <c r="AZ739" s="340"/>
      <c r="BA739" s="340"/>
      <c r="BB739" s="340"/>
      <c r="BC739" s="340"/>
      <c r="BD739" s="340"/>
    </row>
    <row r="740" spans="3:56">
      <c r="C740" s="340"/>
      <c r="D740" s="340"/>
      <c r="E740" s="340"/>
      <c r="F740" s="340"/>
      <c r="G740" s="340"/>
      <c r="H740" s="340"/>
      <c r="I740" s="340"/>
      <c r="J740" s="340"/>
      <c r="K740" s="340"/>
      <c r="L740" s="340"/>
      <c r="M740" s="340"/>
      <c r="N740" s="340"/>
      <c r="O740" s="340"/>
      <c r="P740" s="340"/>
      <c r="Q740" s="340"/>
      <c r="R740" s="340"/>
      <c r="S740" s="340"/>
      <c r="T740" s="340"/>
      <c r="U740" s="340"/>
      <c r="V740" s="340"/>
      <c r="W740" s="340"/>
      <c r="X740" s="340"/>
      <c r="Y740" s="340"/>
      <c r="Z740" s="340"/>
      <c r="AA740" s="340"/>
      <c r="AB740" s="340"/>
      <c r="AC740" s="340"/>
      <c r="AD740" s="340"/>
      <c r="AE740" s="340"/>
      <c r="AF740" s="340"/>
      <c r="AG740" s="340"/>
      <c r="AH740" s="340"/>
      <c r="AI740" s="340"/>
      <c r="AJ740" s="340"/>
      <c r="AK740" s="340"/>
      <c r="AL740" s="340"/>
      <c r="AM740" s="340"/>
      <c r="AN740" s="340"/>
      <c r="AO740" s="340"/>
      <c r="AP740" s="340"/>
      <c r="AQ740" s="340"/>
      <c r="AR740" s="340"/>
      <c r="AS740" s="340"/>
      <c r="AT740" s="340"/>
      <c r="AU740" s="340"/>
      <c r="AV740" s="340"/>
      <c r="AW740" s="340"/>
      <c r="AX740" s="340"/>
      <c r="AY740" s="340"/>
      <c r="AZ740" s="340"/>
      <c r="BA740" s="340"/>
      <c r="BB740" s="340"/>
      <c r="BC740" s="340"/>
      <c r="BD740" s="340"/>
    </row>
    <row r="741" spans="3:56">
      <c r="C741" s="340"/>
      <c r="D741" s="340"/>
      <c r="E741" s="340"/>
      <c r="F741" s="340"/>
      <c r="G741" s="340"/>
      <c r="H741" s="340"/>
      <c r="I741" s="340"/>
      <c r="J741" s="340"/>
      <c r="K741" s="340"/>
      <c r="L741" s="340"/>
      <c r="M741" s="340"/>
      <c r="N741" s="340"/>
      <c r="O741" s="340"/>
      <c r="P741" s="340"/>
      <c r="Q741" s="340"/>
      <c r="R741" s="340"/>
      <c r="S741" s="340"/>
      <c r="T741" s="340"/>
      <c r="U741" s="340"/>
      <c r="V741" s="340"/>
      <c r="W741" s="340"/>
      <c r="X741" s="340"/>
      <c r="Y741" s="340"/>
      <c r="Z741" s="340"/>
      <c r="AA741" s="340"/>
      <c r="AB741" s="340"/>
      <c r="AC741" s="340"/>
      <c r="AD741" s="340"/>
      <c r="AE741" s="340"/>
      <c r="AF741" s="340"/>
      <c r="AG741" s="340"/>
      <c r="AH741" s="340"/>
      <c r="AI741" s="340"/>
      <c r="AJ741" s="340"/>
      <c r="AK741" s="340"/>
      <c r="AL741" s="340"/>
      <c r="AM741" s="340"/>
      <c r="AN741" s="340"/>
      <c r="AO741" s="340"/>
      <c r="AP741" s="340"/>
      <c r="AQ741" s="340"/>
      <c r="AR741" s="340"/>
      <c r="AS741" s="340"/>
      <c r="AT741" s="340"/>
      <c r="AU741" s="340"/>
      <c r="AV741" s="340"/>
      <c r="AW741" s="340"/>
      <c r="AX741" s="340"/>
      <c r="AY741" s="340"/>
      <c r="AZ741" s="340"/>
      <c r="BA741" s="340"/>
      <c r="BB741" s="340"/>
      <c r="BC741" s="340"/>
      <c r="BD741" s="340"/>
    </row>
    <row r="742" spans="3:56">
      <c r="C742" s="340"/>
      <c r="D742" s="340"/>
      <c r="E742" s="340"/>
      <c r="F742" s="340"/>
      <c r="G742" s="340"/>
      <c r="H742" s="340"/>
      <c r="I742" s="340"/>
      <c r="J742" s="340"/>
      <c r="K742" s="340"/>
      <c r="L742" s="340"/>
      <c r="M742" s="340"/>
      <c r="N742" s="340"/>
      <c r="O742" s="340"/>
      <c r="P742" s="340"/>
      <c r="Q742" s="340"/>
      <c r="R742" s="340"/>
      <c r="S742" s="340"/>
      <c r="T742" s="340"/>
      <c r="U742" s="340"/>
      <c r="V742" s="340"/>
      <c r="W742" s="340"/>
      <c r="X742" s="340"/>
      <c r="Y742" s="340"/>
      <c r="Z742" s="340"/>
      <c r="AA742" s="340"/>
      <c r="AB742" s="340"/>
      <c r="AC742" s="340"/>
      <c r="AD742" s="340"/>
      <c r="AE742" s="340"/>
      <c r="AF742" s="340"/>
      <c r="AG742" s="340"/>
      <c r="AH742" s="340"/>
      <c r="AI742" s="340"/>
      <c r="AJ742" s="340"/>
      <c r="AK742" s="340"/>
      <c r="AL742" s="340"/>
      <c r="AM742" s="340"/>
      <c r="AN742" s="340"/>
      <c r="AO742" s="340"/>
      <c r="AP742" s="340"/>
      <c r="AQ742" s="340"/>
      <c r="AR742" s="340"/>
      <c r="AS742" s="340"/>
      <c r="AT742" s="340"/>
      <c r="AU742" s="340"/>
      <c r="AV742" s="340"/>
      <c r="AW742" s="340"/>
      <c r="AX742" s="340"/>
      <c r="AY742" s="340"/>
      <c r="AZ742" s="340"/>
      <c r="BA742" s="340"/>
      <c r="BB742" s="340"/>
      <c r="BC742" s="340"/>
      <c r="BD742" s="340"/>
    </row>
    <row r="743" spans="3:56">
      <c r="C743" s="340"/>
      <c r="D743" s="340"/>
      <c r="E743" s="340"/>
      <c r="F743" s="340"/>
      <c r="G743" s="340"/>
      <c r="H743" s="340"/>
      <c r="I743" s="340"/>
      <c r="J743" s="340"/>
      <c r="K743" s="340"/>
      <c r="L743" s="340"/>
      <c r="M743" s="340"/>
      <c r="N743" s="340"/>
      <c r="O743" s="340"/>
      <c r="P743" s="340"/>
      <c r="Q743" s="340"/>
      <c r="R743" s="340"/>
      <c r="S743" s="340"/>
      <c r="T743" s="340"/>
      <c r="U743" s="340"/>
      <c r="V743" s="340"/>
      <c r="W743" s="340"/>
      <c r="X743" s="340"/>
      <c r="Y743" s="340"/>
      <c r="Z743" s="340"/>
      <c r="AA743" s="340"/>
      <c r="AB743" s="340"/>
      <c r="AC743" s="340"/>
      <c r="AD743" s="340"/>
      <c r="AE743" s="340"/>
      <c r="AF743" s="340"/>
      <c r="AG743" s="340"/>
      <c r="AH743" s="340"/>
      <c r="AI743" s="340"/>
      <c r="AJ743" s="340"/>
      <c r="AK743" s="340"/>
      <c r="AL743" s="340"/>
      <c r="AM743" s="340"/>
      <c r="AN743" s="340"/>
      <c r="AO743" s="340"/>
      <c r="AP743" s="340"/>
      <c r="AQ743" s="340"/>
      <c r="AR743" s="340"/>
      <c r="AS743" s="340"/>
      <c r="AT743" s="340"/>
      <c r="AU743" s="340"/>
      <c r="AV743" s="340"/>
      <c r="AW743" s="340"/>
      <c r="AX743" s="340"/>
      <c r="AY743" s="340"/>
      <c r="AZ743" s="340"/>
      <c r="BA743" s="340"/>
      <c r="BB743" s="340"/>
      <c r="BC743" s="340"/>
      <c r="BD743" s="340"/>
    </row>
    <row r="744" spans="3:56">
      <c r="C744" s="340"/>
      <c r="D744" s="340"/>
      <c r="E744" s="340"/>
      <c r="F744" s="340"/>
      <c r="G744" s="340"/>
      <c r="H744" s="340"/>
      <c r="I744" s="340"/>
      <c r="J744" s="340"/>
      <c r="K744" s="340"/>
      <c r="L744" s="340"/>
      <c r="M744" s="340"/>
      <c r="N744" s="340"/>
      <c r="O744" s="340"/>
      <c r="P744" s="340"/>
      <c r="Q744" s="340"/>
      <c r="R744" s="340"/>
      <c r="S744" s="340"/>
      <c r="T744" s="340"/>
      <c r="U744" s="340"/>
      <c r="V744" s="340"/>
      <c r="W744" s="340"/>
      <c r="X744" s="340"/>
      <c r="Y744" s="340"/>
      <c r="Z744" s="340"/>
      <c r="AA744" s="340"/>
      <c r="AB744" s="340"/>
      <c r="AC744" s="340"/>
      <c r="AD744" s="340"/>
      <c r="AE744" s="340"/>
      <c r="AF744" s="340"/>
      <c r="AG744" s="340"/>
      <c r="AH744" s="340"/>
      <c r="AI744" s="340"/>
      <c r="AJ744" s="340"/>
      <c r="AK744" s="340"/>
      <c r="AL744" s="340"/>
      <c r="AM744" s="340"/>
      <c r="AN744" s="340"/>
      <c r="AO744" s="340"/>
      <c r="AP744" s="340"/>
      <c r="AQ744" s="340"/>
      <c r="AR744" s="340"/>
      <c r="AS744" s="340"/>
      <c r="AT744" s="340"/>
      <c r="AU744" s="340"/>
      <c r="AV744" s="340"/>
      <c r="AW744" s="340"/>
      <c r="AX744" s="340"/>
      <c r="AY744" s="340"/>
      <c r="AZ744" s="340"/>
      <c r="BA744" s="340"/>
      <c r="BB744" s="340"/>
      <c r="BC744" s="340"/>
      <c r="BD744" s="340"/>
    </row>
    <row r="745" spans="3:56">
      <c r="C745" s="340"/>
      <c r="D745" s="340"/>
      <c r="E745" s="340"/>
      <c r="F745" s="340"/>
      <c r="G745" s="340"/>
      <c r="H745" s="340"/>
      <c r="I745" s="340"/>
      <c r="J745" s="340"/>
      <c r="K745" s="340"/>
      <c r="L745" s="340"/>
      <c r="M745" s="340"/>
      <c r="N745" s="340"/>
      <c r="O745" s="340"/>
      <c r="P745" s="340"/>
      <c r="Q745" s="340"/>
      <c r="R745" s="340"/>
      <c r="S745" s="340"/>
      <c r="T745" s="340"/>
      <c r="U745" s="340"/>
      <c r="V745" s="340"/>
      <c r="W745" s="340"/>
      <c r="X745" s="340"/>
      <c r="Y745" s="340"/>
      <c r="Z745" s="340"/>
      <c r="AA745" s="340"/>
      <c r="AB745" s="340"/>
      <c r="AC745" s="340"/>
      <c r="AD745" s="340"/>
      <c r="AE745" s="340"/>
      <c r="AF745" s="340"/>
      <c r="AG745" s="340"/>
      <c r="AH745" s="340"/>
      <c r="AI745" s="340"/>
      <c r="AJ745" s="340"/>
      <c r="AK745" s="340"/>
      <c r="AL745" s="340"/>
      <c r="AM745" s="340"/>
      <c r="AN745" s="340"/>
      <c r="AO745" s="340"/>
      <c r="AP745" s="340"/>
      <c r="AQ745" s="340"/>
      <c r="AR745" s="340"/>
      <c r="AS745" s="340"/>
      <c r="AT745" s="340"/>
      <c r="AU745" s="340"/>
      <c r="AV745" s="340"/>
      <c r="AW745" s="340"/>
      <c r="AX745" s="340"/>
      <c r="AY745" s="340"/>
      <c r="AZ745" s="340"/>
      <c r="BA745" s="340"/>
      <c r="BB745" s="340"/>
      <c r="BC745" s="340"/>
      <c r="BD745" s="340"/>
    </row>
    <row r="746" spans="3:56">
      <c r="C746" s="340"/>
      <c r="D746" s="340"/>
      <c r="E746" s="340"/>
      <c r="F746" s="340"/>
      <c r="G746" s="340"/>
      <c r="H746" s="340"/>
      <c r="I746" s="340"/>
      <c r="J746" s="340"/>
      <c r="K746" s="340"/>
      <c r="L746" s="340"/>
      <c r="M746" s="340"/>
      <c r="N746" s="340"/>
      <c r="O746" s="340"/>
      <c r="P746" s="340"/>
      <c r="Q746" s="340"/>
      <c r="R746" s="340"/>
      <c r="S746" s="340"/>
      <c r="T746" s="340"/>
      <c r="U746" s="340"/>
      <c r="V746" s="340"/>
      <c r="W746" s="340"/>
      <c r="X746" s="340"/>
      <c r="Y746" s="340"/>
      <c r="Z746" s="340"/>
      <c r="AA746" s="340"/>
      <c r="AB746" s="340"/>
      <c r="AC746" s="340"/>
      <c r="AD746" s="340"/>
      <c r="AE746" s="340"/>
      <c r="AF746" s="340"/>
      <c r="AG746" s="340"/>
      <c r="AH746" s="340"/>
      <c r="AI746" s="340"/>
      <c r="AJ746" s="340"/>
      <c r="AK746" s="340"/>
      <c r="AL746" s="340"/>
      <c r="AM746" s="340"/>
      <c r="AN746" s="340"/>
      <c r="AO746" s="340"/>
      <c r="AP746" s="340"/>
      <c r="AQ746" s="340"/>
      <c r="AR746" s="340"/>
      <c r="AS746" s="340"/>
      <c r="AT746" s="340"/>
      <c r="AU746" s="340"/>
      <c r="AV746" s="340"/>
      <c r="AW746" s="340"/>
      <c r="AX746" s="340"/>
      <c r="AY746" s="340"/>
      <c r="AZ746" s="340"/>
      <c r="BA746" s="340"/>
      <c r="BB746" s="340"/>
      <c r="BC746" s="340"/>
      <c r="BD746" s="340"/>
    </row>
    <row r="747" spans="3:56">
      <c r="C747" s="340"/>
      <c r="D747" s="340"/>
      <c r="E747" s="340"/>
      <c r="F747" s="340"/>
      <c r="G747" s="340"/>
      <c r="H747" s="340"/>
      <c r="I747" s="340"/>
      <c r="J747" s="340"/>
      <c r="K747" s="340"/>
      <c r="L747" s="340"/>
      <c r="M747" s="340"/>
      <c r="N747" s="340"/>
      <c r="O747" s="340"/>
      <c r="P747" s="340"/>
      <c r="Q747" s="340"/>
      <c r="R747" s="340"/>
      <c r="S747" s="340"/>
      <c r="T747" s="340"/>
      <c r="U747" s="340"/>
      <c r="V747" s="340"/>
      <c r="W747" s="340"/>
      <c r="X747" s="340"/>
      <c r="Y747" s="340"/>
      <c r="Z747" s="340"/>
      <c r="AA747" s="340"/>
      <c r="AB747" s="340"/>
      <c r="AC747" s="340"/>
      <c r="AD747" s="340"/>
      <c r="AE747" s="340"/>
      <c r="AF747" s="340"/>
      <c r="AG747" s="340"/>
      <c r="AH747" s="340"/>
      <c r="AI747" s="340"/>
      <c r="AJ747" s="340"/>
      <c r="AK747" s="340"/>
      <c r="AL747" s="340"/>
      <c r="AM747" s="340"/>
      <c r="AN747" s="340"/>
      <c r="AO747" s="340"/>
      <c r="AP747" s="340"/>
      <c r="AQ747" s="340"/>
      <c r="AR747" s="340"/>
      <c r="AS747" s="340"/>
      <c r="AT747" s="340"/>
      <c r="AU747" s="340"/>
      <c r="AV747" s="340"/>
      <c r="AW747" s="340"/>
      <c r="AX747" s="340"/>
      <c r="AY747" s="340"/>
      <c r="AZ747" s="340"/>
      <c r="BA747" s="340"/>
      <c r="BB747" s="340"/>
      <c r="BC747" s="340"/>
      <c r="BD747" s="340"/>
    </row>
    <row r="748" spans="3:56">
      <c r="C748" s="340"/>
      <c r="D748" s="340"/>
      <c r="E748" s="340"/>
      <c r="F748" s="340"/>
      <c r="G748" s="340"/>
      <c r="H748" s="340"/>
      <c r="I748" s="340"/>
      <c r="J748" s="340"/>
      <c r="K748" s="340"/>
      <c r="L748" s="340"/>
      <c r="M748" s="340"/>
      <c r="N748" s="340"/>
      <c r="O748" s="340"/>
      <c r="P748" s="340"/>
      <c r="Q748" s="340"/>
      <c r="R748" s="340"/>
      <c r="S748" s="340"/>
      <c r="T748" s="340"/>
      <c r="U748" s="340"/>
      <c r="V748" s="340"/>
      <c r="W748" s="340"/>
      <c r="X748" s="340"/>
      <c r="Y748" s="340"/>
      <c r="Z748" s="340"/>
      <c r="AA748" s="340"/>
      <c r="AB748" s="340"/>
      <c r="AC748" s="340"/>
      <c r="AD748" s="340"/>
      <c r="AE748" s="340"/>
      <c r="AF748" s="340"/>
      <c r="AG748" s="340"/>
      <c r="AH748" s="340"/>
      <c r="AI748" s="340"/>
      <c r="AJ748" s="340"/>
      <c r="AK748" s="340"/>
      <c r="AL748" s="340"/>
      <c r="AM748" s="340"/>
      <c r="AN748" s="340"/>
      <c r="AO748" s="340"/>
      <c r="AP748" s="340"/>
      <c r="AQ748" s="340"/>
      <c r="AR748" s="340"/>
      <c r="AS748" s="340"/>
      <c r="AT748" s="340"/>
      <c r="AU748" s="340"/>
      <c r="AV748" s="340"/>
      <c r="AW748" s="340"/>
      <c r="AX748" s="340"/>
      <c r="AY748" s="340"/>
      <c r="AZ748" s="340"/>
      <c r="BA748" s="340"/>
      <c r="BB748" s="340"/>
      <c r="BC748" s="340"/>
      <c r="BD748" s="340"/>
    </row>
    <row r="749" spans="3:56">
      <c r="C749" s="340"/>
      <c r="D749" s="340"/>
      <c r="E749" s="340"/>
      <c r="F749" s="340"/>
      <c r="G749" s="340"/>
      <c r="H749" s="340"/>
      <c r="I749" s="340"/>
      <c r="J749" s="340"/>
      <c r="K749" s="340"/>
      <c r="L749" s="340"/>
      <c r="M749" s="340"/>
      <c r="N749" s="340"/>
      <c r="O749" s="340"/>
      <c r="P749" s="340"/>
      <c r="Q749" s="340"/>
      <c r="R749" s="340"/>
      <c r="S749" s="340"/>
      <c r="T749" s="340"/>
      <c r="U749" s="340"/>
      <c r="V749" s="340"/>
      <c r="W749" s="340"/>
      <c r="X749" s="340"/>
      <c r="Y749" s="340"/>
      <c r="Z749" s="340"/>
      <c r="AA749" s="340"/>
      <c r="AB749" s="340"/>
      <c r="AC749" s="340"/>
      <c r="AD749" s="340"/>
      <c r="AE749" s="340"/>
      <c r="AF749" s="340"/>
      <c r="AG749" s="340"/>
      <c r="AH749" s="340"/>
      <c r="AI749" s="340"/>
      <c r="AJ749" s="340"/>
      <c r="AK749" s="340"/>
      <c r="AL749" s="340"/>
      <c r="AM749" s="340"/>
      <c r="AN749" s="340"/>
      <c r="AO749" s="340"/>
      <c r="AP749" s="340"/>
      <c r="AQ749" s="340"/>
      <c r="AR749" s="340"/>
      <c r="AS749" s="340"/>
      <c r="AT749" s="340"/>
      <c r="AU749" s="340"/>
      <c r="AV749" s="340"/>
      <c r="AW749" s="340"/>
      <c r="AX749" s="340"/>
      <c r="AY749" s="340"/>
      <c r="AZ749" s="340"/>
      <c r="BA749" s="340"/>
      <c r="BB749" s="340"/>
      <c r="BC749" s="340"/>
      <c r="BD749" s="340"/>
    </row>
    <row r="750" spans="3:56">
      <c r="C750" s="340"/>
      <c r="D750" s="340"/>
      <c r="E750" s="340"/>
      <c r="F750" s="340"/>
      <c r="G750" s="340"/>
      <c r="H750" s="340"/>
      <c r="I750" s="340"/>
      <c r="J750" s="340"/>
      <c r="K750" s="340"/>
      <c r="L750" s="340"/>
      <c r="M750" s="340"/>
      <c r="N750" s="340"/>
      <c r="O750" s="340"/>
      <c r="P750" s="340"/>
      <c r="Q750" s="340"/>
      <c r="R750" s="340"/>
      <c r="S750" s="340"/>
      <c r="T750" s="340"/>
      <c r="U750" s="340"/>
      <c r="V750" s="340"/>
      <c r="W750" s="340"/>
      <c r="X750" s="340"/>
      <c r="Y750" s="340"/>
      <c r="Z750" s="340"/>
      <c r="AA750" s="340"/>
      <c r="AB750" s="340"/>
      <c r="AC750" s="340"/>
      <c r="AD750" s="340"/>
      <c r="AE750" s="340"/>
      <c r="AF750" s="340"/>
      <c r="AG750" s="340"/>
      <c r="AH750" s="340"/>
      <c r="AI750" s="340"/>
      <c r="AJ750" s="340"/>
      <c r="AK750" s="340"/>
      <c r="AL750" s="340"/>
      <c r="AM750" s="340"/>
      <c r="AN750" s="340"/>
      <c r="AO750" s="340"/>
      <c r="AP750" s="340"/>
      <c r="AQ750" s="340"/>
      <c r="AR750" s="340"/>
      <c r="AS750" s="340"/>
      <c r="AT750" s="340"/>
      <c r="AU750" s="340"/>
      <c r="AV750" s="340"/>
      <c r="AW750" s="340"/>
      <c r="AX750" s="340"/>
      <c r="AY750" s="340"/>
      <c r="AZ750" s="340"/>
      <c r="BA750" s="340"/>
      <c r="BB750" s="340"/>
      <c r="BC750" s="340"/>
      <c r="BD750" s="340"/>
    </row>
    <row r="751" spans="3:56">
      <c r="C751" s="340"/>
      <c r="D751" s="340"/>
      <c r="E751" s="340"/>
      <c r="F751" s="340"/>
      <c r="G751" s="340"/>
      <c r="H751" s="340"/>
      <c r="I751" s="340"/>
      <c r="J751" s="340"/>
      <c r="K751" s="340"/>
      <c r="L751" s="340"/>
      <c r="M751" s="340"/>
      <c r="N751" s="340"/>
      <c r="O751" s="340"/>
      <c r="P751" s="340"/>
      <c r="Q751" s="340"/>
      <c r="R751" s="340"/>
      <c r="S751" s="340"/>
      <c r="T751" s="340"/>
      <c r="U751" s="340"/>
      <c r="V751" s="340"/>
      <c r="W751" s="340"/>
      <c r="X751" s="340"/>
      <c r="Y751" s="340"/>
      <c r="Z751" s="340"/>
      <c r="AA751" s="340"/>
      <c r="AB751" s="340"/>
      <c r="AC751" s="340"/>
      <c r="AD751" s="340"/>
      <c r="AE751" s="340"/>
      <c r="AF751" s="340"/>
      <c r="AG751" s="340"/>
      <c r="AH751" s="340"/>
      <c r="AI751" s="340"/>
      <c r="AJ751" s="340"/>
      <c r="AK751" s="340"/>
      <c r="AL751" s="340"/>
      <c r="AM751" s="340"/>
      <c r="AN751" s="340"/>
      <c r="AO751" s="340"/>
      <c r="AP751" s="340"/>
      <c r="AQ751" s="340"/>
      <c r="AR751" s="340"/>
      <c r="AS751" s="340"/>
      <c r="AT751" s="340"/>
      <c r="AU751" s="340"/>
      <c r="AV751" s="340"/>
      <c r="AW751" s="340"/>
      <c r="AX751" s="340"/>
      <c r="AY751" s="340"/>
      <c r="AZ751" s="340"/>
      <c r="BA751" s="340"/>
      <c r="BB751" s="340"/>
      <c r="BC751" s="340"/>
      <c r="BD751" s="340"/>
    </row>
    <row r="752" spans="3:56">
      <c r="C752" s="340"/>
      <c r="D752" s="340"/>
      <c r="E752" s="340"/>
      <c r="F752" s="340"/>
      <c r="G752" s="340"/>
      <c r="H752" s="340"/>
      <c r="I752" s="340"/>
      <c r="J752" s="340"/>
      <c r="K752" s="340"/>
      <c r="L752" s="340"/>
      <c r="M752" s="340"/>
      <c r="N752" s="340"/>
      <c r="O752" s="340"/>
      <c r="P752" s="340"/>
      <c r="Q752" s="340"/>
      <c r="R752" s="340"/>
      <c r="S752" s="340"/>
      <c r="T752" s="340"/>
      <c r="U752" s="340"/>
      <c r="V752" s="340"/>
      <c r="W752" s="340"/>
      <c r="X752" s="340"/>
      <c r="Y752" s="340"/>
      <c r="Z752" s="340"/>
      <c r="AA752" s="340"/>
      <c r="AB752" s="340"/>
      <c r="AC752" s="340"/>
      <c r="AD752" s="340"/>
      <c r="AE752" s="340"/>
      <c r="AF752" s="340"/>
      <c r="AG752" s="340"/>
      <c r="AH752" s="340"/>
      <c r="AI752" s="340"/>
      <c r="AJ752" s="340"/>
      <c r="AK752" s="340"/>
      <c r="AL752" s="340"/>
      <c r="AM752" s="340"/>
      <c r="AN752" s="340"/>
      <c r="AO752" s="340"/>
      <c r="AP752" s="340"/>
      <c r="AQ752" s="340"/>
      <c r="AR752" s="340"/>
      <c r="AS752" s="340"/>
      <c r="AT752" s="340"/>
      <c r="AU752" s="340"/>
      <c r="AV752" s="340"/>
      <c r="AW752" s="340"/>
      <c r="AX752" s="340"/>
      <c r="AY752" s="340"/>
      <c r="AZ752" s="340"/>
      <c r="BA752" s="340"/>
      <c r="BB752" s="340"/>
      <c r="BC752" s="340"/>
      <c r="BD752" s="340"/>
    </row>
    <row r="753" spans="3:56">
      <c r="C753" s="340"/>
      <c r="D753" s="340"/>
      <c r="E753" s="340"/>
      <c r="F753" s="340"/>
      <c r="G753" s="340"/>
      <c r="H753" s="340"/>
      <c r="I753" s="340"/>
      <c r="J753" s="340"/>
      <c r="K753" s="340"/>
      <c r="L753" s="340"/>
      <c r="M753" s="340"/>
      <c r="N753" s="340"/>
      <c r="O753" s="340"/>
      <c r="P753" s="340"/>
      <c r="Q753" s="340"/>
      <c r="R753" s="340"/>
      <c r="S753" s="340"/>
      <c r="T753" s="340"/>
      <c r="U753" s="340"/>
      <c r="V753" s="340"/>
      <c r="W753" s="340"/>
      <c r="X753" s="340"/>
      <c r="Y753" s="340"/>
      <c r="Z753" s="340"/>
      <c r="AA753" s="340"/>
      <c r="AB753" s="340"/>
      <c r="AC753" s="340"/>
      <c r="AD753" s="340"/>
      <c r="AE753" s="340"/>
      <c r="AF753" s="340"/>
      <c r="AG753" s="340"/>
      <c r="AH753" s="340"/>
      <c r="AI753" s="340"/>
      <c r="AJ753" s="340"/>
      <c r="AK753" s="340"/>
      <c r="AL753" s="340"/>
      <c r="AM753" s="340"/>
      <c r="AN753" s="340"/>
      <c r="AO753" s="340"/>
      <c r="AP753" s="340"/>
      <c r="AQ753" s="340"/>
      <c r="AR753" s="340"/>
      <c r="AS753" s="340"/>
      <c r="AT753" s="340"/>
      <c r="AU753" s="340"/>
      <c r="AV753" s="340"/>
      <c r="AW753" s="340"/>
      <c r="AX753" s="340"/>
      <c r="AY753" s="340"/>
      <c r="AZ753" s="340"/>
      <c r="BA753" s="340"/>
      <c r="BB753" s="340"/>
      <c r="BC753" s="340"/>
      <c r="BD753" s="340"/>
    </row>
    <row r="754" spans="3:56">
      <c r="C754" s="340"/>
      <c r="D754" s="340"/>
      <c r="E754" s="340"/>
      <c r="F754" s="340"/>
      <c r="G754" s="340"/>
      <c r="H754" s="340"/>
      <c r="I754" s="340"/>
      <c r="J754" s="340"/>
      <c r="K754" s="340"/>
      <c r="L754" s="340"/>
      <c r="M754" s="340"/>
      <c r="N754" s="340"/>
      <c r="O754" s="340"/>
      <c r="P754" s="340"/>
      <c r="Q754" s="340"/>
      <c r="R754" s="340"/>
      <c r="S754" s="340"/>
      <c r="T754" s="340"/>
      <c r="U754" s="340"/>
      <c r="V754" s="340"/>
      <c r="W754" s="340"/>
      <c r="X754" s="340"/>
      <c r="Y754" s="340"/>
      <c r="Z754" s="340"/>
      <c r="AA754" s="340"/>
      <c r="AB754" s="340"/>
      <c r="AC754" s="340"/>
      <c r="AD754" s="340"/>
      <c r="AE754" s="340"/>
      <c r="AF754" s="340"/>
      <c r="AG754" s="340"/>
      <c r="AH754" s="340"/>
      <c r="AI754" s="340"/>
      <c r="AJ754" s="340"/>
      <c r="AK754" s="340"/>
      <c r="AL754" s="340"/>
      <c r="AM754" s="340"/>
      <c r="AN754" s="340"/>
      <c r="AO754" s="340"/>
      <c r="AP754" s="340"/>
      <c r="AQ754" s="340"/>
      <c r="AR754" s="340"/>
      <c r="AS754" s="340"/>
      <c r="AT754" s="340"/>
      <c r="AU754" s="340"/>
      <c r="AV754" s="340"/>
      <c r="AW754" s="340"/>
      <c r="AX754" s="340"/>
      <c r="AY754" s="340"/>
      <c r="AZ754" s="340"/>
      <c r="BA754" s="340"/>
      <c r="BB754" s="340"/>
      <c r="BC754" s="340"/>
      <c r="BD754" s="340"/>
    </row>
    <row r="755" spans="3:56">
      <c r="C755" s="340"/>
      <c r="D755" s="340"/>
      <c r="E755" s="340"/>
      <c r="F755" s="340"/>
      <c r="G755" s="340"/>
      <c r="H755" s="340"/>
      <c r="I755" s="340"/>
      <c r="J755" s="340"/>
      <c r="K755" s="340"/>
      <c r="L755" s="340"/>
      <c r="M755" s="340"/>
      <c r="N755" s="340"/>
      <c r="O755" s="340"/>
      <c r="P755" s="340"/>
      <c r="Q755" s="340"/>
      <c r="R755" s="340"/>
      <c r="S755" s="340"/>
      <c r="T755" s="340"/>
      <c r="U755" s="340"/>
      <c r="V755" s="340"/>
      <c r="W755" s="340"/>
      <c r="X755" s="340"/>
      <c r="Y755" s="340"/>
      <c r="Z755" s="340"/>
      <c r="AA755" s="340"/>
      <c r="AB755" s="340"/>
      <c r="AC755" s="340"/>
      <c r="AD755" s="340"/>
      <c r="AE755" s="340"/>
      <c r="AF755" s="340"/>
      <c r="AG755" s="340"/>
      <c r="AH755" s="340"/>
      <c r="AI755" s="340"/>
      <c r="AJ755" s="340"/>
      <c r="AK755" s="340"/>
      <c r="AL755" s="340"/>
      <c r="AM755" s="340"/>
      <c r="AN755" s="340"/>
      <c r="AO755" s="340"/>
      <c r="AP755" s="340"/>
      <c r="AQ755" s="340"/>
      <c r="AR755" s="340"/>
      <c r="AS755" s="340"/>
      <c r="AT755" s="340"/>
      <c r="AU755" s="340"/>
      <c r="AV755" s="340"/>
      <c r="AW755" s="340"/>
      <c r="AX755" s="340"/>
      <c r="AY755" s="340"/>
      <c r="AZ755" s="340"/>
      <c r="BA755" s="340"/>
      <c r="BB755" s="340"/>
      <c r="BC755" s="340"/>
      <c r="BD755" s="340"/>
    </row>
    <row r="756" spans="3:56">
      <c r="C756" s="340"/>
      <c r="D756" s="340"/>
      <c r="E756" s="340"/>
      <c r="F756" s="340"/>
      <c r="G756" s="340"/>
      <c r="H756" s="340"/>
      <c r="I756" s="340"/>
      <c r="J756" s="340"/>
      <c r="K756" s="340"/>
      <c r="L756" s="340"/>
      <c r="M756" s="340"/>
      <c r="N756" s="340"/>
      <c r="O756" s="340"/>
      <c r="P756" s="340"/>
      <c r="Q756" s="340"/>
      <c r="R756" s="340"/>
      <c r="S756" s="340"/>
      <c r="T756" s="340"/>
      <c r="U756" s="340"/>
      <c r="V756" s="340"/>
      <c r="W756" s="340"/>
      <c r="X756" s="340"/>
      <c r="Y756" s="340"/>
      <c r="Z756" s="340"/>
      <c r="AA756" s="340"/>
      <c r="AB756" s="340"/>
      <c r="AC756" s="340"/>
      <c r="AD756" s="340"/>
      <c r="AE756" s="340"/>
      <c r="AF756" s="340"/>
      <c r="AG756" s="340"/>
      <c r="AH756" s="340"/>
      <c r="AI756" s="340"/>
      <c r="AJ756" s="340"/>
      <c r="AK756" s="340"/>
      <c r="AL756" s="340"/>
      <c r="AM756" s="340"/>
      <c r="AN756" s="340"/>
      <c r="AO756" s="340"/>
      <c r="AP756" s="340"/>
      <c r="AQ756" s="340"/>
      <c r="AR756" s="340"/>
      <c r="AS756" s="340"/>
      <c r="AT756" s="340"/>
      <c r="AU756" s="340"/>
      <c r="AV756" s="340"/>
      <c r="AW756" s="340"/>
      <c r="AX756" s="340"/>
      <c r="AY756" s="340"/>
      <c r="AZ756" s="340"/>
      <c r="BA756" s="340"/>
      <c r="BB756" s="340"/>
      <c r="BC756" s="340"/>
      <c r="BD756" s="340"/>
    </row>
    <row r="757" spans="3:56">
      <c r="C757" s="340"/>
      <c r="D757" s="340"/>
      <c r="E757" s="340"/>
      <c r="F757" s="340"/>
      <c r="G757" s="340"/>
      <c r="H757" s="340"/>
      <c r="I757" s="340"/>
      <c r="J757" s="340"/>
      <c r="K757" s="340"/>
      <c r="L757" s="340"/>
      <c r="M757" s="340"/>
      <c r="N757" s="340"/>
      <c r="O757" s="340"/>
      <c r="P757" s="340"/>
      <c r="Q757" s="340"/>
      <c r="R757" s="340"/>
      <c r="S757" s="340"/>
      <c r="T757" s="340"/>
      <c r="U757" s="340"/>
      <c r="V757" s="340"/>
      <c r="W757" s="340"/>
      <c r="X757" s="340"/>
      <c r="Y757" s="340"/>
      <c r="Z757" s="340"/>
      <c r="AA757" s="340"/>
      <c r="AB757" s="340"/>
      <c r="AC757" s="340"/>
      <c r="AD757" s="340"/>
      <c r="AE757" s="340"/>
      <c r="AF757" s="340"/>
      <c r="AG757" s="340"/>
      <c r="AH757" s="340"/>
      <c r="AI757" s="340"/>
      <c r="AJ757" s="340"/>
      <c r="AK757" s="340"/>
      <c r="AL757" s="340"/>
      <c r="AM757" s="340"/>
      <c r="AN757" s="340"/>
      <c r="AO757" s="340"/>
      <c r="AP757" s="340"/>
      <c r="AQ757" s="340"/>
      <c r="AR757" s="340"/>
      <c r="AS757" s="340"/>
      <c r="AT757" s="340"/>
      <c r="AU757" s="340"/>
      <c r="AV757" s="340"/>
      <c r="AW757" s="340"/>
      <c r="AX757" s="340"/>
      <c r="AY757" s="340"/>
      <c r="AZ757" s="340"/>
      <c r="BA757" s="340"/>
      <c r="BB757" s="340"/>
      <c r="BC757" s="340"/>
      <c r="BD757" s="340"/>
    </row>
    <row r="758" spans="3:56">
      <c r="C758" s="340"/>
      <c r="D758" s="340"/>
      <c r="E758" s="340"/>
      <c r="F758" s="340"/>
      <c r="G758" s="340"/>
      <c r="H758" s="340"/>
      <c r="I758" s="340"/>
      <c r="J758" s="340"/>
      <c r="K758" s="340"/>
      <c r="L758" s="340"/>
      <c r="M758" s="340"/>
      <c r="N758" s="340"/>
      <c r="O758" s="340"/>
      <c r="P758" s="340"/>
      <c r="Q758" s="340"/>
      <c r="R758" s="340"/>
      <c r="S758" s="340"/>
      <c r="T758" s="340"/>
      <c r="U758" s="340"/>
      <c r="V758" s="340"/>
      <c r="W758" s="340"/>
      <c r="X758" s="340"/>
      <c r="Y758" s="340"/>
      <c r="Z758" s="340"/>
      <c r="AA758" s="340"/>
      <c r="AB758" s="340"/>
      <c r="AC758" s="340"/>
      <c r="AD758" s="340"/>
      <c r="AE758" s="340"/>
      <c r="AF758" s="340"/>
      <c r="AG758" s="340"/>
      <c r="AH758" s="340"/>
      <c r="AI758" s="340"/>
      <c r="AJ758" s="340"/>
      <c r="AK758" s="340"/>
      <c r="AL758" s="340"/>
      <c r="AM758" s="340"/>
      <c r="AN758" s="340"/>
      <c r="AO758" s="340"/>
      <c r="AP758" s="340"/>
      <c r="AQ758" s="340"/>
      <c r="AR758" s="340"/>
      <c r="AS758" s="340"/>
      <c r="AT758" s="340"/>
      <c r="AU758" s="340"/>
      <c r="AV758" s="340"/>
      <c r="AW758" s="340"/>
      <c r="AX758" s="340"/>
      <c r="AY758" s="340"/>
      <c r="AZ758" s="340"/>
      <c r="BA758" s="340"/>
      <c r="BB758" s="340"/>
      <c r="BC758" s="340"/>
      <c r="BD758" s="340"/>
    </row>
    <row r="759" spans="3:56">
      <c r="C759" s="340"/>
      <c r="D759" s="340"/>
      <c r="E759" s="340"/>
      <c r="F759" s="340"/>
      <c r="G759" s="340"/>
      <c r="H759" s="340"/>
      <c r="I759" s="340"/>
      <c r="J759" s="340"/>
      <c r="K759" s="340"/>
      <c r="L759" s="340"/>
      <c r="M759" s="340"/>
      <c r="N759" s="340"/>
      <c r="O759" s="340"/>
      <c r="P759" s="340"/>
      <c r="Q759" s="340"/>
      <c r="R759" s="340"/>
      <c r="S759" s="340"/>
      <c r="T759" s="340"/>
      <c r="U759" s="340"/>
      <c r="V759" s="340"/>
      <c r="W759" s="340"/>
      <c r="X759" s="340"/>
      <c r="Y759" s="340"/>
      <c r="Z759" s="340"/>
      <c r="AA759" s="340"/>
      <c r="AB759" s="340"/>
      <c r="AC759" s="340"/>
      <c r="AD759" s="340"/>
      <c r="AE759" s="340"/>
      <c r="AF759" s="340"/>
      <c r="AG759" s="340"/>
      <c r="AH759" s="340"/>
      <c r="AI759" s="340"/>
      <c r="AJ759" s="340"/>
      <c r="AK759" s="340"/>
      <c r="AL759" s="340"/>
      <c r="AM759" s="340"/>
      <c r="AN759" s="340"/>
      <c r="AO759" s="340"/>
      <c r="AP759" s="340"/>
      <c r="AQ759" s="340"/>
      <c r="AR759" s="340"/>
      <c r="AS759" s="340"/>
      <c r="AT759" s="340"/>
      <c r="AU759" s="340"/>
      <c r="AV759" s="340"/>
      <c r="AW759" s="340"/>
      <c r="AX759" s="340"/>
      <c r="AY759" s="340"/>
      <c r="AZ759" s="340"/>
      <c r="BA759" s="340"/>
      <c r="BB759" s="340"/>
      <c r="BC759" s="340"/>
      <c r="BD759" s="340"/>
    </row>
    <row r="760" spans="3:56">
      <c r="C760" s="340"/>
      <c r="D760" s="340"/>
      <c r="E760" s="340"/>
      <c r="F760" s="340"/>
      <c r="G760" s="340"/>
      <c r="H760" s="340"/>
      <c r="I760" s="340"/>
      <c r="J760" s="340"/>
      <c r="K760" s="340"/>
      <c r="L760" s="340"/>
      <c r="M760" s="340"/>
      <c r="N760" s="340"/>
      <c r="O760" s="340"/>
      <c r="P760" s="340"/>
      <c r="Q760" s="340"/>
      <c r="R760" s="340"/>
      <c r="S760" s="340"/>
      <c r="T760" s="340"/>
      <c r="U760" s="340"/>
      <c r="V760" s="340"/>
      <c r="W760" s="340"/>
      <c r="X760" s="340"/>
      <c r="Y760" s="340"/>
      <c r="Z760" s="340"/>
      <c r="AA760" s="340"/>
      <c r="AB760" s="340"/>
      <c r="AC760" s="340"/>
      <c r="AD760" s="340"/>
      <c r="AE760" s="340"/>
      <c r="AF760" s="340"/>
      <c r="AG760" s="340"/>
      <c r="AH760" s="340"/>
      <c r="AI760" s="340"/>
      <c r="AJ760" s="340"/>
      <c r="AK760" s="340"/>
      <c r="AL760" s="340"/>
      <c r="AM760" s="340"/>
      <c r="AN760" s="340"/>
      <c r="AO760" s="340"/>
      <c r="AP760" s="340"/>
      <c r="AQ760" s="340"/>
      <c r="AR760" s="340"/>
      <c r="AS760" s="340"/>
      <c r="AT760" s="340"/>
      <c r="AU760" s="340"/>
      <c r="AV760" s="340"/>
      <c r="AW760" s="340"/>
      <c r="AX760" s="340"/>
      <c r="AY760" s="340"/>
      <c r="AZ760" s="340"/>
      <c r="BA760" s="340"/>
      <c r="BB760" s="340"/>
      <c r="BC760" s="340"/>
      <c r="BD760" s="340"/>
    </row>
    <row r="761" spans="3:56">
      <c r="C761" s="340"/>
      <c r="D761" s="340"/>
      <c r="E761" s="340"/>
      <c r="F761" s="340"/>
      <c r="G761" s="340"/>
      <c r="H761" s="340"/>
      <c r="I761" s="340"/>
      <c r="J761" s="340"/>
      <c r="K761" s="340"/>
      <c r="L761" s="340"/>
      <c r="M761" s="340"/>
      <c r="N761" s="340"/>
      <c r="O761" s="340"/>
      <c r="P761" s="340"/>
      <c r="Q761" s="340"/>
      <c r="R761" s="340"/>
      <c r="S761" s="340"/>
      <c r="T761" s="340"/>
      <c r="U761" s="340"/>
      <c r="V761" s="340"/>
      <c r="W761" s="340"/>
      <c r="X761" s="340"/>
      <c r="Y761" s="340"/>
      <c r="Z761" s="340"/>
      <c r="AA761" s="340"/>
      <c r="AB761" s="340"/>
      <c r="AC761" s="340"/>
      <c r="AD761" s="340"/>
      <c r="AE761" s="340"/>
      <c r="AF761" s="340"/>
      <c r="AG761" s="340"/>
      <c r="AH761" s="340"/>
      <c r="AI761" s="340"/>
      <c r="AJ761" s="340"/>
      <c r="AK761" s="340"/>
      <c r="AL761" s="340"/>
      <c r="AM761" s="340"/>
      <c r="AN761" s="340"/>
      <c r="AO761" s="340"/>
      <c r="AP761" s="340"/>
      <c r="AQ761" s="340"/>
      <c r="AR761" s="340"/>
      <c r="AS761" s="340"/>
      <c r="AT761" s="340"/>
      <c r="AU761" s="340"/>
      <c r="AV761" s="340"/>
      <c r="AW761" s="340"/>
      <c r="AX761" s="340"/>
      <c r="AY761" s="340"/>
      <c r="AZ761" s="340"/>
      <c r="BA761" s="340"/>
      <c r="BB761" s="340"/>
      <c r="BC761" s="340"/>
      <c r="BD761" s="340"/>
    </row>
    <row r="762" spans="3:56">
      <c r="C762" s="340"/>
      <c r="D762" s="340"/>
      <c r="E762" s="340"/>
      <c r="F762" s="340"/>
      <c r="G762" s="340"/>
      <c r="H762" s="340"/>
      <c r="I762" s="340"/>
      <c r="J762" s="340"/>
      <c r="K762" s="340"/>
      <c r="L762" s="340"/>
      <c r="M762" s="340"/>
      <c r="N762" s="340"/>
      <c r="O762" s="340"/>
      <c r="P762" s="340"/>
      <c r="Q762" s="340"/>
      <c r="R762" s="340"/>
      <c r="S762" s="340"/>
      <c r="T762" s="340"/>
      <c r="U762" s="340"/>
      <c r="V762" s="340"/>
      <c r="W762" s="340"/>
      <c r="X762" s="340"/>
      <c r="Y762" s="340"/>
      <c r="Z762" s="340"/>
      <c r="AA762" s="340"/>
      <c r="AB762" s="340"/>
      <c r="AC762" s="340"/>
      <c r="AD762" s="340"/>
      <c r="AE762" s="340"/>
      <c r="AF762" s="340"/>
      <c r="AG762" s="340"/>
      <c r="AH762" s="340"/>
      <c r="AI762" s="340"/>
      <c r="AJ762" s="340"/>
      <c r="AK762" s="340"/>
      <c r="AL762" s="340"/>
      <c r="AM762" s="340"/>
      <c r="AN762" s="340"/>
      <c r="AO762" s="340"/>
      <c r="AP762" s="340"/>
      <c r="AQ762" s="340"/>
      <c r="AR762" s="340"/>
      <c r="AS762" s="340"/>
      <c r="AT762" s="340"/>
      <c r="AU762" s="340"/>
      <c r="AV762" s="340"/>
      <c r="AW762" s="340"/>
      <c r="AX762" s="340"/>
      <c r="AY762" s="340"/>
      <c r="AZ762" s="340"/>
      <c r="BA762" s="340"/>
      <c r="BB762" s="340"/>
      <c r="BC762" s="340"/>
      <c r="BD762" s="340"/>
    </row>
    <row r="763" spans="3:56">
      <c r="C763" s="340"/>
      <c r="D763" s="340"/>
      <c r="E763" s="340"/>
      <c r="F763" s="340"/>
      <c r="G763" s="340"/>
      <c r="H763" s="340"/>
      <c r="I763" s="340"/>
      <c r="J763" s="340"/>
      <c r="K763" s="340"/>
      <c r="L763" s="340"/>
      <c r="M763" s="340"/>
      <c r="N763" s="340"/>
      <c r="O763" s="340"/>
      <c r="P763" s="340"/>
      <c r="Q763" s="340"/>
      <c r="R763" s="340"/>
      <c r="S763" s="340"/>
      <c r="T763" s="340"/>
      <c r="U763" s="340"/>
      <c r="V763" s="340"/>
      <c r="W763" s="340"/>
      <c r="X763" s="340"/>
      <c r="Y763" s="340"/>
      <c r="Z763" s="340"/>
      <c r="AA763" s="340"/>
      <c r="AB763" s="340"/>
      <c r="AC763" s="340"/>
      <c r="AD763" s="340"/>
      <c r="AE763" s="340"/>
      <c r="AF763" s="340"/>
      <c r="AG763" s="340"/>
      <c r="AH763" s="340"/>
      <c r="AI763" s="340"/>
      <c r="AJ763" s="340"/>
      <c r="AK763" s="340"/>
      <c r="AL763" s="340"/>
      <c r="AM763" s="340"/>
      <c r="AN763" s="340"/>
      <c r="AO763" s="340"/>
      <c r="AP763" s="340"/>
      <c r="AQ763" s="340"/>
      <c r="AR763" s="340"/>
      <c r="AS763" s="340"/>
      <c r="AT763" s="340"/>
      <c r="AU763" s="340"/>
      <c r="AV763" s="340"/>
      <c r="AW763" s="340"/>
      <c r="AX763" s="340"/>
      <c r="AY763" s="340"/>
      <c r="AZ763" s="340"/>
      <c r="BA763" s="340"/>
      <c r="BB763" s="340"/>
      <c r="BC763" s="340"/>
      <c r="BD763" s="340"/>
    </row>
    <row r="764" spans="3:56">
      <c r="C764" s="340"/>
      <c r="D764" s="340"/>
      <c r="E764" s="340"/>
      <c r="F764" s="340"/>
      <c r="G764" s="340"/>
      <c r="H764" s="340"/>
      <c r="I764" s="340"/>
      <c r="J764" s="340"/>
      <c r="K764" s="340"/>
      <c r="L764" s="340"/>
      <c r="M764" s="340"/>
      <c r="N764" s="340"/>
      <c r="O764" s="340"/>
      <c r="P764" s="340"/>
      <c r="Q764" s="340"/>
      <c r="R764" s="340"/>
      <c r="S764" s="340"/>
      <c r="T764" s="340"/>
      <c r="U764" s="340"/>
      <c r="V764" s="340"/>
      <c r="W764" s="340"/>
      <c r="X764" s="340"/>
      <c r="Y764" s="340"/>
      <c r="Z764" s="340"/>
      <c r="AA764" s="340"/>
      <c r="AB764" s="340"/>
      <c r="AC764" s="340"/>
      <c r="AD764" s="340"/>
      <c r="AE764" s="340"/>
      <c r="AF764" s="340"/>
      <c r="AG764" s="340"/>
      <c r="AH764" s="340"/>
      <c r="AI764" s="340"/>
      <c r="AJ764" s="340"/>
      <c r="AK764" s="340"/>
      <c r="AL764" s="340"/>
      <c r="AM764" s="340"/>
      <c r="AN764" s="340"/>
      <c r="AO764" s="340"/>
      <c r="AP764" s="340"/>
      <c r="AQ764" s="340"/>
      <c r="AR764" s="340"/>
      <c r="AS764" s="340"/>
      <c r="AT764" s="340"/>
      <c r="AU764" s="340"/>
      <c r="AV764" s="340"/>
      <c r="AW764" s="340"/>
      <c r="AX764" s="340"/>
      <c r="AY764" s="340"/>
      <c r="AZ764" s="340"/>
      <c r="BA764" s="340"/>
      <c r="BB764" s="340"/>
      <c r="BC764" s="340"/>
      <c r="BD764" s="340"/>
    </row>
    <row r="765" spans="3:56">
      <c r="C765" s="340"/>
      <c r="D765" s="340"/>
      <c r="E765" s="340"/>
      <c r="F765" s="340"/>
      <c r="G765" s="340"/>
      <c r="H765" s="340"/>
      <c r="I765" s="340"/>
      <c r="J765" s="340"/>
      <c r="K765" s="340"/>
      <c r="L765" s="340"/>
      <c r="M765" s="340"/>
      <c r="N765" s="340"/>
      <c r="O765" s="340"/>
      <c r="P765" s="340"/>
      <c r="Q765" s="340"/>
      <c r="R765" s="340"/>
      <c r="S765" s="340"/>
      <c r="T765" s="340"/>
      <c r="U765" s="340"/>
      <c r="V765" s="340"/>
      <c r="W765" s="340"/>
      <c r="X765" s="340"/>
      <c r="Y765" s="340"/>
      <c r="Z765" s="340"/>
      <c r="AA765" s="340"/>
      <c r="AB765" s="340"/>
      <c r="AC765" s="340"/>
      <c r="AD765" s="340"/>
      <c r="AE765" s="340"/>
      <c r="AF765" s="340"/>
      <c r="AG765" s="340"/>
      <c r="AH765" s="340"/>
      <c r="AI765" s="340"/>
      <c r="AJ765" s="340"/>
      <c r="AK765" s="340"/>
      <c r="AL765" s="340"/>
      <c r="AM765" s="340"/>
      <c r="AN765" s="340"/>
      <c r="AO765" s="340"/>
      <c r="AP765" s="340"/>
      <c r="AQ765" s="340"/>
      <c r="AR765" s="340"/>
      <c r="AS765" s="340"/>
      <c r="AT765" s="340"/>
      <c r="AU765" s="340"/>
      <c r="AV765" s="340"/>
      <c r="AW765" s="340"/>
      <c r="AX765" s="340"/>
      <c r="AY765" s="340"/>
      <c r="AZ765" s="340"/>
      <c r="BA765" s="340"/>
      <c r="BB765" s="340"/>
      <c r="BC765" s="340"/>
      <c r="BD765" s="340"/>
    </row>
    <row r="766" spans="3:56">
      <c r="C766" s="340"/>
      <c r="D766" s="340"/>
      <c r="E766" s="340"/>
      <c r="F766" s="340"/>
      <c r="G766" s="340"/>
      <c r="H766" s="340"/>
      <c r="I766" s="340"/>
      <c r="J766" s="340"/>
      <c r="K766" s="340"/>
      <c r="L766" s="340"/>
      <c r="M766" s="340"/>
      <c r="N766" s="340"/>
      <c r="O766" s="340"/>
      <c r="P766" s="340"/>
      <c r="Q766" s="340"/>
      <c r="R766" s="340"/>
      <c r="S766" s="340"/>
      <c r="T766" s="340"/>
      <c r="U766" s="340"/>
      <c r="V766" s="340"/>
      <c r="W766" s="340"/>
      <c r="X766" s="340"/>
      <c r="Y766" s="340"/>
      <c r="Z766" s="340"/>
      <c r="AA766" s="340"/>
      <c r="AB766" s="340"/>
      <c r="AC766" s="340"/>
      <c r="AD766" s="340"/>
      <c r="AE766" s="340"/>
      <c r="AF766" s="340"/>
      <c r="AG766" s="340"/>
      <c r="AH766" s="340"/>
      <c r="AI766" s="340"/>
      <c r="AJ766" s="340"/>
      <c r="AK766" s="340"/>
      <c r="AL766" s="340"/>
      <c r="AM766" s="340"/>
      <c r="AN766" s="340"/>
      <c r="AO766" s="340"/>
      <c r="AP766" s="340"/>
      <c r="AQ766" s="340"/>
      <c r="AR766" s="340"/>
      <c r="AS766" s="340"/>
      <c r="AT766" s="340"/>
      <c r="AU766" s="340"/>
      <c r="AV766" s="340"/>
      <c r="AW766" s="340"/>
      <c r="AX766" s="340"/>
      <c r="AY766" s="340"/>
      <c r="AZ766" s="340"/>
      <c r="BA766" s="340"/>
      <c r="BB766" s="340"/>
      <c r="BC766" s="340"/>
      <c r="BD766" s="340"/>
    </row>
    <row r="767" spans="3:56">
      <c r="C767" s="340"/>
      <c r="D767" s="340"/>
      <c r="E767" s="340"/>
      <c r="F767" s="340"/>
      <c r="G767" s="340"/>
      <c r="H767" s="340"/>
      <c r="I767" s="340"/>
      <c r="J767" s="340"/>
      <c r="K767" s="340"/>
      <c r="L767" s="340"/>
      <c r="M767" s="340"/>
      <c r="N767" s="340"/>
      <c r="O767" s="340"/>
      <c r="P767" s="340"/>
      <c r="Q767" s="340"/>
      <c r="R767" s="340"/>
      <c r="S767" s="340"/>
      <c r="T767" s="340"/>
      <c r="U767" s="340"/>
      <c r="V767" s="340"/>
      <c r="W767" s="340"/>
      <c r="X767" s="340"/>
      <c r="Y767" s="340"/>
      <c r="Z767" s="340"/>
      <c r="AA767" s="340"/>
      <c r="AB767" s="340"/>
      <c r="AC767" s="340"/>
      <c r="AD767" s="340"/>
      <c r="AE767" s="340"/>
      <c r="AF767" s="340"/>
      <c r="AG767" s="340"/>
      <c r="AH767" s="340"/>
      <c r="AI767" s="340"/>
      <c r="AJ767" s="340"/>
      <c r="AK767" s="340"/>
      <c r="AL767" s="340"/>
      <c r="AM767" s="340"/>
      <c r="AN767" s="340"/>
      <c r="AO767" s="340"/>
      <c r="AP767" s="340"/>
      <c r="AQ767" s="340"/>
      <c r="AR767" s="340"/>
      <c r="AS767" s="340"/>
      <c r="AT767" s="340"/>
      <c r="AU767" s="340"/>
      <c r="AV767" s="340"/>
      <c r="AW767" s="340"/>
      <c r="AX767" s="340"/>
      <c r="AY767" s="340"/>
      <c r="AZ767" s="340"/>
      <c r="BA767" s="340"/>
      <c r="BB767" s="340"/>
      <c r="BC767" s="340"/>
      <c r="BD767" s="340"/>
    </row>
    <row r="768" spans="3:56">
      <c r="C768" s="340"/>
      <c r="D768" s="340"/>
      <c r="E768" s="340"/>
      <c r="F768" s="340"/>
      <c r="G768" s="340"/>
      <c r="H768" s="340"/>
      <c r="I768" s="340"/>
      <c r="J768" s="340"/>
      <c r="K768" s="340"/>
      <c r="L768" s="340"/>
      <c r="M768" s="340"/>
      <c r="N768" s="340"/>
      <c r="O768" s="340"/>
      <c r="P768" s="340"/>
      <c r="Q768" s="340"/>
      <c r="R768" s="340"/>
      <c r="S768" s="340"/>
      <c r="T768" s="340"/>
      <c r="U768" s="340"/>
      <c r="V768" s="340"/>
      <c r="W768" s="340"/>
      <c r="X768" s="340"/>
      <c r="Y768" s="340"/>
      <c r="Z768" s="340"/>
      <c r="AA768" s="340"/>
      <c r="AB768" s="340"/>
      <c r="AC768" s="340"/>
      <c r="AD768" s="340"/>
      <c r="AE768" s="340"/>
      <c r="AF768" s="340"/>
      <c r="AG768" s="340"/>
      <c r="AH768" s="340"/>
      <c r="AI768" s="340"/>
      <c r="AJ768" s="340"/>
      <c r="AK768" s="340"/>
      <c r="AL768" s="340"/>
      <c r="AM768" s="340"/>
      <c r="AN768" s="340"/>
      <c r="AO768" s="340"/>
      <c r="AP768" s="340"/>
      <c r="AQ768" s="340"/>
      <c r="AR768" s="340"/>
      <c r="AS768" s="340"/>
      <c r="AT768" s="340"/>
      <c r="AU768" s="340"/>
      <c r="AV768" s="340"/>
      <c r="AW768" s="340"/>
      <c r="AX768" s="340"/>
      <c r="AY768" s="340"/>
      <c r="AZ768" s="340"/>
      <c r="BA768" s="340"/>
      <c r="BB768" s="340"/>
      <c r="BC768" s="340"/>
      <c r="BD768" s="340"/>
    </row>
    <row r="769" spans="3:56">
      <c r="C769" s="340"/>
      <c r="D769" s="340"/>
      <c r="E769" s="340"/>
      <c r="F769" s="340"/>
      <c r="G769" s="340"/>
      <c r="H769" s="340"/>
      <c r="I769" s="340"/>
      <c r="J769" s="340"/>
      <c r="K769" s="340"/>
      <c r="L769" s="340"/>
      <c r="M769" s="340"/>
      <c r="N769" s="340"/>
      <c r="O769" s="340"/>
      <c r="P769" s="340"/>
      <c r="Q769" s="340"/>
      <c r="R769" s="340"/>
      <c r="S769" s="340"/>
      <c r="T769" s="340"/>
      <c r="U769" s="340"/>
      <c r="V769" s="340"/>
      <c r="W769" s="340"/>
      <c r="X769" s="340"/>
      <c r="Y769" s="340"/>
      <c r="Z769" s="340"/>
      <c r="AA769" s="340"/>
      <c r="AB769" s="340"/>
      <c r="AC769" s="340"/>
      <c r="AD769" s="340"/>
      <c r="AE769" s="340"/>
      <c r="AF769" s="340"/>
      <c r="AG769" s="340"/>
      <c r="AH769" s="340"/>
      <c r="AI769" s="340"/>
      <c r="AJ769" s="340"/>
      <c r="AK769" s="340"/>
      <c r="AL769" s="340"/>
      <c r="AM769" s="340"/>
      <c r="AN769" s="340"/>
      <c r="AO769" s="340"/>
      <c r="AP769" s="340"/>
      <c r="AQ769" s="340"/>
      <c r="AR769" s="340"/>
      <c r="AS769" s="340"/>
      <c r="AT769" s="340"/>
      <c r="AU769" s="340"/>
      <c r="AV769" s="340"/>
      <c r="AW769" s="340"/>
      <c r="AX769" s="340"/>
      <c r="AY769" s="340"/>
      <c r="AZ769" s="340"/>
      <c r="BA769" s="340"/>
      <c r="BB769" s="340"/>
      <c r="BC769" s="340"/>
      <c r="BD769" s="340"/>
    </row>
    <row r="770" spans="3:56">
      <c r="C770" s="340"/>
      <c r="D770" s="340"/>
      <c r="E770" s="340"/>
      <c r="F770" s="340"/>
      <c r="G770" s="340"/>
      <c r="H770" s="340"/>
      <c r="I770" s="340"/>
      <c r="J770" s="340"/>
      <c r="K770" s="340"/>
      <c r="L770" s="340"/>
      <c r="M770" s="340"/>
      <c r="N770" s="340"/>
      <c r="O770" s="340"/>
      <c r="P770" s="340"/>
      <c r="Q770" s="340"/>
      <c r="R770" s="340"/>
      <c r="S770" s="340"/>
      <c r="T770" s="340"/>
      <c r="U770" s="340"/>
      <c r="V770" s="340"/>
      <c r="W770" s="340"/>
      <c r="X770" s="340"/>
      <c r="Y770" s="340"/>
      <c r="Z770" s="340"/>
      <c r="AA770" s="340"/>
      <c r="AB770" s="340"/>
      <c r="AC770" s="340"/>
      <c r="AD770" s="340"/>
      <c r="AE770" s="340"/>
      <c r="AF770" s="340"/>
      <c r="AG770" s="340"/>
      <c r="AH770" s="340"/>
      <c r="AI770" s="340"/>
      <c r="AJ770" s="340"/>
      <c r="AK770" s="340"/>
      <c r="AL770" s="340"/>
      <c r="AM770" s="340"/>
      <c r="AN770" s="340"/>
      <c r="AO770" s="340"/>
      <c r="AP770" s="340"/>
      <c r="AQ770" s="340"/>
      <c r="AR770" s="340"/>
      <c r="AS770" s="340"/>
      <c r="AT770" s="340"/>
      <c r="AU770" s="340"/>
      <c r="AV770" s="340"/>
      <c r="AW770" s="340"/>
      <c r="AX770" s="340"/>
      <c r="AY770" s="340"/>
      <c r="AZ770" s="340"/>
      <c r="BA770" s="340"/>
      <c r="BB770" s="340"/>
      <c r="BC770" s="340"/>
      <c r="BD770" s="340"/>
    </row>
    <row r="771" spans="3:56">
      <c r="C771" s="340"/>
      <c r="D771" s="340"/>
      <c r="E771" s="340"/>
      <c r="F771" s="340"/>
      <c r="G771" s="340"/>
      <c r="H771" s="340"/>
      <c r="I771" s="340"/>
      <c r="J771" s="340"/>
      <c r="K771" s="340"/>
      <c r="L771" s="340"/>
      <c r="M771" s="340"/>
      <c r="N771" s="340"/>
      <c r="O771" s="340"/>
      <c r="P771" s="340"/>
      <c r="Q771" s="340"/>
      <c r="R771" s="340"/>
      <c r="S771" s="340"/>
      <c r="T771" s="340"/>
      <c r="U771" s="340"/>
      <c r="V771" s="340"/>
      <c r="W771" s="340"/>
      <c r="X771" s="340"/>
      <c r="Y771" s="340"/>
      <c r="Z771" s="340"/>
      <c r="AA771" s="340"/>
      <c r="AB771" s="340"/>
      <c r="AC771" s="340"/>
      <c r="AD771" s="340"/>
      <c r="AE771" s="340"/>
      <c r="AF771" s="340"/>
      <c r="AG771" s="340"/>
      <c r="AH771" s="340"/>
      <c r="AI771" s="340"/>
      <c r="AJ771" s="340"/>
      <c r="AK771" s="340"/>
      <c r="AL771" s="340"/>
      <c r="AM771" s="340"/>
      <c r="AN771" s="340"/>
      <c r="AO771" s="340"/>
      <c r="AP771" s="340"/>
      <c r="AQ771" s="340"/>
      <c r="AR771" s="340"/>
      <c r="AS771" s="340"/>
      <c r="AT771" s="340"/>
      <c r="AU771" s="340"/>
      <c r="AV771" s="340"/>
      <c r="AW771" s="340"/>
      <c r="AX771" s="340"/>
      <c r="AY771" s="340"/>
      <c r="AZ771" s="340"/>
      <c r="BA771" s="340"/>
      <c r="BB771" s="340"/>
      <c r="BC771" s="340"/>
      <c r="BD771" s="340"/>
    </row>
    <row r="772" spans="3:56">
      <c r="C772" s="340"/>
      <c r="D772" s="340"/>
      <c r="E772" s="340"/>
      <c r="F772" s="340"/>
      <c r="G772" s="340"/>
      <c r="H772" s="340"/>
      <c r="I772" s="340"/>
      <c r="J772" s="340"/>
      <c r="K772" s="340"/>
      <c r="L772" s="340"/>
      <c r="M772" s="340"/>
      <c r="N772" s="340"/>
      <c r="O772" s="340"/>
      <c r="P772" s="340"/>
      <c r="Q772" s="340"/>
      <c r="R772" s="340"/>
      <c r="S772" s="340"/>
      <c r="T772" s="340"/>
      <c r="U772" s="340"/>
      <c r="V772" s="340"/>
      <c r="W772" s="340"/>
      <c r="X772" s="340"/>
      <c r="Y772" s="340"/>
      <c r="Z772" s="340"/>
      <c r="AA772" s="340"/>
      <c r="AB772" s="340"/>
      <c r="AC772" s="340"/>
      <c r="AD772" s="340"/>
      <c r="AE772" s="340"/>
      <c r="AF772" s="340"/>
      <c r="AG772" s="340"/>
      <c r="AH772" s="340"/>
      <c r="AI772" s="340"/>
      <c r="AJ772" s="340"/>
      <c r="AK772" s="340"/>
      <c r="AL772" s="340"/>
      <c r="AM772" s="340"/>
      <c r="AN772" s="340"/>
      <c r="AO772" s="340"/>
      <c r="AP772" s="340"/>
      <c r="AQ772" s="340"/>
      <c r="AR772" s="340"/>
      <c r="AS772" s="340"/>
      <c r="AT772" s="340"/>
      <c r="AU772" s="340"/>
      <c r="AV772" s="340"/>
      <c r="AW772" s="340"/>
      <c r="AX772" s="340"/>
      <c r="AY772" s="340"/>
      <c r="AZ772" s="340"/>
      <c r="BA772" s="340"/>
      <c r="BB772" s="340"/>
      <c r="BC772" s="340"/>
      <c r="BD772" s="340"/>
    </row>
    <row r="773" spans="3:56">
      <c r="C773" s="340"/>
      <c r="D773" s="340"/>
      <c r="E773" s="340"/>
      <c r="F773" s="340"/>
      <c r="G773" s="340"/>
      <c r="H773" s="340"/>
      <c r="I773" s="340"/>
      <c r="J773" s="340"/>
      <c r="K773" s="340"/>
      <c r="L773" s="340"/>
      <c r="M773" s="340"/>
      <c r="N773" s="340"/>
      <c r="O773" s="340"/>
      <c r="P773" s="340"/>
      <c r="Q773" s="340"/>
      <c r="R773" s="340"/>
      <c r="S773" s="340"/>
      <c r="T773" s="340"/>
      <c r="U773" s="340"/>
      <c r="V773" s="340"/>
      <c r="W773" s="340"/>
      <c r="X773" s="340"/>
      <c r="Y773" s="340"/>
      <c r="Z773" s="340"/>
      <c r="AA773" s="340"/>
      <c r="AB773" s="340"/>
      <c r="AC773" s="340"/>
      <c r="AD773" s="340"/>
      <c r="AE773" s="340"/>
      <c r="AF773" s="340"/>
      <c r="AG773" s="340"/>
      <c r="AH773" s="340"/>
      <c r="AI773" s="340"/>
      <c r="AJ773" s="340"/>
      <c r="AK773" s="340"/>
      <c r="AL773" s="340"/>
      <c r="AM773" s="340"/>
      <c r="AN773" s="340"/>
      <c r="AO773" s="340"/>
      <c r="AP773" s="340"/>
      <c r="AQ773" s="340"/>
      <c r="AR773" s="340"/>
      <c r="AS773" s="340"/>
      <c r="AT773" s="340"/>
      <c r="AU773" s="340"/>
      <c r="AV773" s="340"/>
      <c r="AW773" s="340"/>
      <c r="AX773" s="340"/>
      <c r="AY773" s="340"/>
      <c r="AZ773" s="340"/>
      <c r="BA773" s="340"/>
      <c r="BB773" s="340"/>
      <c r="BC773" s="340"/>
      <c r="BD773" s="340"/>
    </row>
    <row r="774" spans="3:56">
      <c r="C774" s="340"/>
      <c r="D774" s="340"/>
      <c r="E774" s="340"/>
      <c r="F774" s="340"/>
      <c r="G774" s="340"/>
      <c r="H774" s="340"/>
      <c r="I774" s="340"/>
      <c r="J774" s="340"/>
      <c r="K774" s="340"/>
      <c r="L774" s="340"/>
      <c r="M774" s="340"/>
      <c r="N774" s="340"/>
      <c r="O774" s="340"/>
      <c r="P774" s="340"/>
      <c r="Q774" s="340"/>
      <c r="R774" s="340"/>
      <c r="S774" s="340"/>
      <c r="T774" s="340"/>
      <c r="U774" s="340"/>
      <c r="V774" s="340"/>
      <c r="W774" s="340"/>
      <c r="X774" s="340"/>
      <c r="Y774" s="340"/>
      <c r="Z774" s="340"/>
      <c r="AA774" s="340"/>
      <c r="AB774" s="340"/>
      <c r="AC774" s="340"/>
      <c r="AD774" s="340"/>
      <c r="AE774" s="340"/>
      <c r="AF774" s="340"/>
      <c r="AG774" s="340"/>
      <c r="AH774" s="340"/>
      <c r="AI774" s="340"/>
      <c r="AJ774" s="340"/>
      <c r="AK774" s="340"/>
      <c r="AL774" s="340"/>
      <c r="AM774" s="340"/>
      <c r="AN774" s="340"/>
      <c r="AO774" s="340"/>
      <c r="AP774" s="340"/>
      <c r="AQ774" s="340"/>
      <c r="AR774" s="340"/>
      <c r="AS774" s="340"/>
      <c r="AT774" s="340"/>
      <c r="AU774" s="340"/>
      <c r="AV774" s="340"/>
      <c r="AW774" s="340"/>
      <c r="AX774" s="340"/>
      <c r="AY774" s="340"/>
      <c r="AZ774" s="340"/>
      <c r="BA774" s="340"/>
      <c r="BB774" s="340"/>
      <c r="BC774" s="340"/>
      <c r="BD774" s="340"/>
    </row>
    <row r="775" spans="3:56">
      <c r="C775" s="340"/>
      <c r="D775" s="340"/>
      <c r="E775" s="340"/>
      <c r="F775" s="340"/>
      <c r="G775" s="340"/>
      <c r="H775" s="340"/>
      <c r="I775" s="340"/>
      <c r="J775" s="340"/>
      <c r="K775" s="340"/>
      <c r="L775" s="340"/>
      <c r="M775" s="340"/>
      <c r="N775" s="340"/>
      <c r="O775" s="340"/>
      <c r="P775" s="340"/>
      <c r="Q775" s="340"/>
      <c r="R775" s="340"/>
      <c r="S775" s="340"/>
      <c r="T775" s="340"/>
      <c r="U775" s="340"/>
      <c r="V775" s="340"/>
      <c r="W775" s="340"/>
      <c r="X775" s="340"/>
      <c r="Y775" s="340"/>
      <c r="Z775" s="340"/>
      <c r="AA775" s="340"/>
      <c r="AB775" s="340"/>
      <c r="AC775" s="340"/>
      <c r="AD775" s="340"/>
      <c r="AE775" s="340"/>
      <c r="AF775" s="340"/>
      <c r="AG775" s="340"/>
      <c r="AH775" s="340"/>
      <c r="AI775" s="340"/>
      <c r="AJ775" s="340"/>
      <c r="AK775" s="340"/>
      <c r="AL775" s="340"/>
      <c r="AM775" s="340"/>
      <c r="AN775" s="340"/>
      <c r="AO775" s="340"/>
      <c r="AP775" s="340"/>
      <c r="AQ775" s="340"/>
      <c r="AR775" s="340"/>
      <c r="AS775" s="340"/>
      <c r="AT775" s="340"/>
      <c r="AU775" s="340"/>
      <c r="AV775" s="340"/>
      <c r="AW775" s="340"/>
      <c r="AX775" s="340"/>
      <c r="AY775" s="340"/>
      <c r="AZ775" s="340"/>
      <c r="BA775" s="340"/>
      <c r="BB775" s="340"/>
      <c r="BC775" s="340"/>
      <c r="BD775" s="340"/>
    </row>
    <row r="776" spans="3:56">
      <c r="C776" s="340"/>
      <c r="D776" s="340"/>
      <c r="E776" s="340"/>
      <c r="F776" s="340"/>
      <c r="G776" s="340"/>
      <c r="H776" s="340"/>
      <c r="I776" s="340"/>
      <c r="J776" s="340"/>
      <c r="K776" s="340"/>
      <c r="L776" s="340"/>
      <c r="M776" s="340"/>
      <c r="N776" s="340"/>
      <c r="O776" s="340"/>
      <c r="P776" s="340"/>
      <c r="Q776" s="340"/>
      <c r="R776" s="340"/>
      <c r="S776" s="340"/>
      <c r="T776" s="340"/>
      <c r="U776" s="340"/>
      <c r="V776" s="340"/>
      <c r="W776" s="340"/>
      <c r="X776" s="340"/>
      <c r="Y776" s="340"/>
      <c r="Z776" s="340"/>
      <c r="AA776" s="340"/>
      <c r="AB776" s="340"/>
      <c r="AC776" s="340"/>
      <c r="AD776" s="340"/>
      <c r="AE776" s="340"/>
      <c r="AF776" s="340"/>
      <c r="AG776" s="340"/>
      <c r="AH776" s="340"/>
      <c r="AI776" s="340"/>
      <c r="AJ776" s="340"/>
      <c r="AK776" s="340"/>
      <c r="AL776" s="340"/>
      <c r="AM776" s="340"/>
      <c r="AN776" s="340"/>
      <c r="AO776" s="340"/>
      <c r="AP776" s="340"/>
      <c r="AQ776" s="340"/>
      <c r="AR776" s="340"/>
      <c r="AS776" s="340"/>
      <c r="AT776" s="340"/>
      <c r="AU776" s="340"/>
      <c r="AV776" s="340"/>
      <c r="AW776" s="340"/>
      <c r="AX776" s="340"/>
      <c r="AY776" s="340"/>
      <c r="AZ776" s="340"/>
      <c r="BA776" s="340"/>
      <c r="BB776" s="340"/>
      <c r="BC776" s="340"/>
      <c r="BD776" s="340"/>
    </row>
    <row r="777" spans="3:56">
      <c r="C777" s="340"/>
      <c r="D777" s="340"/>
      <c r="E777" s="340"/>
      <c r="F777" s="340"/>
      <c r="G777" s="340"/>
      <c r="H777" s="340"/>
      <c r="I777" s="340"/>
      <c r="J777" s="340"/>
      <c r="K777" s="340"/>
      <c r="L777" s="340"/>
      <c r="M777" s="340"/>
      <c r="N777" s="340"/>
      <c r="O777" s="340"/>
      <c r="P777" s="340"/>
      <c r="Q777" s="340"/>
      <c r="R777" s="340"/>
      <c r="S777" s="340"/>
      <c r="T777" s="340"/>
      <c r="U777" s="340"/>
      <c r="V777" s="340"/>
      <c r="W777" s="340"/>
      <c r="X777" s="340"/>
      <c r="Y777" s="340"/>
      <c r="Z777" s="340"/>
      <c r="AA777" s="340"/>
      <c r="AB777" s="340"/>
      <c r="AC777" s="340"/>
      <c r="AD777" s="340"/>
      <c r="AE777" s="340"/>
      <c r="AF777" s="340"/>
      <c r="AG777" s="340"/>
      <c r="AH777" s="340"/>
      <c r="AI777" s="340"/>
      <c r="AJ777" s="340"/>
      <c r="AK777" s="340"/>
      <c r="AL777" s="340"/>
      <c r="AM777" s="340"/>
      <c r="AN777" s="340"/>
      <c r="AO777" s="340"/>
      <c r="AP777" s="340"/>
      <c r="AQ777" s="340"/>
      <c r="AR777" s="340"/>
      <c r="AS777" s="340"/>
      <c r="AT777" s="340"/>
      <c r="AU777" s="340"/>
      <c r="AV777" s="340"/>
      <c r="AW777" s="340"/>
      <c r="AX777" s="340"/>
      <c r="AY777" s="340"/>
      <c r="AZ777" s="340"/>
      <c r="BA777" s="340"/>
      <c r="BB777" s="340"/>
      <c r="BC777" s="340"/>
      <c r="BD777" s="340"/>
    </row>
    <row r="778" spans="3:56">
      <c r="C778" s="340"/>
      <c r="D778" s="340"/>
      <c r="E778" s="340"/>
      <c r="F778" s="340"/>
      <c r="G778" s="340"/>
      <c r="H778" s="340"/>
      <c r="I778" s="340"/>
      <c r="J778" s="340"/>
      <c r="K778" s="340"/>
      <c r="L778" s="340"/>
      <c r="M778" s="340"/>
      <c r="N778" s="340"/>
      <c r="O778" s="340"/>
      <c r="P778" s="340"/>
      <c r="Q778" s="340"/>
      <c r="R778" s="340"/>
      <c r="S778" s="340"/>
      <c r="T778" s="340"/>
      <c r="U778" s="340"/>
      <c r="V778" s="340"/>
      <c r="W778" s="340"/>
      <c r="X778" s="340"/>
      <c r="Y778" s="340"/>
      <c r="Z778" s="340"/>
      <c r="AA778" s="340"/>
      <c r="AB778" s="340"/>
      <c r="AC778" s="340"/>
      <c r="AD778" s="340"/>
      <c r="AE778" s="340"/>
      <c r="AF778" s="340"/>
      <c r="AG778" s="340"/>
      <c r="AH778" s="340"/>
      <c r="AI778" s="340"/>
      <c r="AJ778" s="340"/>
      <c r="AK778" s="340"/>
      <c r="AL778" s="340"/>
      <c r="AM778" s="340"/>
      <c r="AN778" s="340"/>
      <c r="AO778" s="340"/>
      <c r="AP778" s="340"/>
      <c r="AQ778" s="340"/>
      <c r="AR778" s="340"/>
      <c r="AS778" s="340"/>
      <c r="AT778" s="340"/>
      <c r="AU778" s="340"/>
      <c r="AV778" s="340"/>
      <c r="AW778" s="340"/>
      <c r="AX778" s="340"/>
      <c r="AY778" s="340"/>
      <c r="AZ778" s="340"/>
      <c r="BA778" s="340"/>
      <c r="BB778" s="340"/>
      <c r="BC778" s="340"/>
      <c r="BD778" s="340"/>
    </row>
    <row r="779" spans="3:56">
      <c r="C779" s="340"/>
      <c r="D779" s="340"/>
      <c r="E779" s="340"/>
      <c r="F779" s="340"/>
      <c r="G779" s="340"/>
      <c r="H779" s="340"/>
      <c r="I779" s="340"/>
      <c r="J779" s="340"/>
      <c r="K779" s="340"/>
      <c r="L779" s="340"/>
      <c r="M779" s="340"/>
      <c r="N779" s="340"/>
      <c r="O779" s="340"/>
      <c r="P779" s="340"/>
      <c r="Q779" s="340"/>
      <c r="R779" s="340"/>
      <c r="S779" s="340"/>
      <c r="T779" s="340"/>
      <c r="U779" s="340"/>
      <c r="V779" s="340"/>
      <c r="W779" s="340"/>
      <c r="X779" s="340"/>
      <c r="Y779" s="340"/>
      <c r="Z779" s="340"/>
      <c r="AA779" s="340"/>
      <c r="AB779" s="340"/>
      <c r="AC779" s="340"/>
      <c r="AD779" s="340"/>
      <c r="AE779" s="340"/>
      <c r="AF779" s="340"/>
      <c r="AG779" s="340"/>
      <c r="AH779" s="340"/>
      <c r="AI779" s="340"/>
      <c r="AJ779" s="340"/>
      <c r="AK779" s="340"/>
      <c r="AL779" s="340"/>
      <c r="AM779" s="340"/>
      <c r="AN779" s="340"/>
      <c r="AO779" s="340"/>
      <c r="AP779" s="340"/>
      <c r="AQ779" s="340"/>
      <c r="AR779" s="340"/>
      <c r="AS779" s="340"/>
      <c r="AT779" s="340"/>
      <c r="AU779" s="340"/>
      <c r="AV779" s="340"/>
      <c r="AW779" s="340"/>
      <c r="AX779" s="340"/>
      <c r="AY779" s="340"/>
      <c r="AZ779" s="340"/>
      <c r="BA779" s="340"/>
      <c r="BB779" s="340"/>
      <c r="BC779" s="340"/>
      <c r="BD779" s="340"/>
    </row>
    <row r="780" spans="3:56">
      <c r="C780" s="340"/>
      <c r="D780" s="340"/>
      <c r="E780" s="340"/>
      <c r="F780" s="340"/>
      <c r="G780" s="340"/>
      <c r="H780" s="340"/>
      <c r="I780" s="340"/>
      <c r="J780" s="340"/>
      <c r="K780" s="340"/>
      <c r="L780" s="340"/>
      <c r="M780" s="340"/>
      <c r="N780" s="340"/>
      <c r="O780" s="340"/>
      <c r="P780" s="340"/>
      <c r="Q780" s="340"/>
      <c r="R780" s="340"/>
      <c r="S780" s="340"/>
      <c r="T780" s="340"/>
      <c r="U780" s="340"/>
      <c r="V780" s="340"/>
      <c r="W780" s="340"/>
      <c r="X780" s="340"/>
      <c r="Y780" s="340"/>
      <c r="Z780" s="340"/>
      <c r="AA780" s="340"/>
      <c r="AB780" s="340"/>
      <c r="AC780" s="340"/>
      <c r="AD780" s="340"/>
      <c r="AE780" s="340"/>
      <c r="AF780" s="340"/>
      <c r="AG780" s="340"/>
      <c r="AH780" s="340"/>
      <c r="AI780" s="340"/>
      <c r="AJ780" s="340"/>
      <c r="AK780" s="340"/>
      <c r="AL780" s="340"/>
      <c r="AM780" s="340"/>
      <c r="AN780" s="340"/>
      <c r="AO780" s="340"/>
      <c r="AP780" s="340"/>
      <c r="AQ780" s="340"/>
      <c r="AR780" s="340"/>
      <c r="AS780" s="340"/>
      <c r="AT780" s="340"/>
      <c r="AU780" s="340"/>
      <c r="AV780" s="340"/>
      <c r="AW780" s="340"/>
      <c r="AX780" s="340"/>
      <c r="AY780" s="340"/>
      <c r="AZ780" s="340"/>
      <c r="BA780" s="340"/>
      <c r="BB780" s="340"/>
      <c r="BC780" s="340"/>
      <c r="BD780" s="340"/>
    </row>
    <row r="781" spans="3:56">
      <c r="C781" s="340"/>
      <c r="D781" s="340"/>
      <c r="E781" s="340"/>
      <c r="F781" s="340"/>
      <c r="G781" s="340"/>
      <c r="H781" s="340"/>
      <c r="I781" s="340"/>
      <c r="J781" s="340"/>
      <c r="K781" s="340"/>
      <c r="L781" s="340"/>
      <c r="M781" s="340"/>
      <c r="N781" s="340"/>
      <c r="O781" s="340"/>
      <c r="P781" s="340"/>
      <c r="Q781" s="340"/>
      <c r="R781" s="340"/>
      <c r="S781" s="340"/>
      <c r="T781" s="340"/>
      <c r="U781" s="340"/>
      <c r="V781" s="340"/>
      <c r="W781" s="340"/>
      <c r="X781" s="340"/>
      <c r="Y781" s="340"/>
      <c r="Z781" s="340"/>
      <c r="AA781" s="340"/>
      <c r="AB781" s="340"/>
      <c r="AC781" s="340"/>
      <c r="AD781" s="340"/>
      <c r="AE781" s="340"/>
      <c r="AF781" s="340"/>
      <c r="AG781" s="340"/>
      <c r="AH781" s="340"/>
      <c r="AI781" s="340"/>
      <c r="AJ781" s="340"/>
      <c r="AK781" s="340"/>
      <c r="AL781" s="340"/>
      <c r="AM781" s="340"/>
      <c r="AN781" s="340"/>
      <c r="AO781" s="340"/>
      <c r="AP781" s="340"/>
      <c r="AQ781" s="340"/>
      <c r="AR781" s="340"/>
      <c r="AS781" s="340"/>
      <c r="AT781" s="340"/>
      <c r="AU781" s="340"/>
      <c r="AV781" s="340"/>
      <c r="AW781" s="340"/>
      <c r="AX781" s="340"/>
      <c r="AY781" s="340"/>
      <c r="AZ781" s="340"/>
      <c r="BA781" s="340"/>
      <c r="BB781" s="340"/>
      <c r="BC781" s="340"/>
      <c r="BD781" s="340"/>
    </row>
    <row r="782" spans="3:56">
      <c r="C782" s="340"/>
      <c r="D782" s="340"/>
      <c r="E782" s="340"/>
      <c r="F782" s="340"/>
      <c r="G782" s="340"/>
      <c r="H782" s="340"/>
      <c r="I782" s="340"/>
      <c r="J782" s="340"/>
      <c r="K782" s="340"/>
      <c r="L782" s="340"/>
      <c r="M782" s="340"/>
      <c r="N782" s="340"/>
      <c r="O782" s="340"/>
      <c r="P782" s="340"/>
      <c r="Q782" s="340"/>
      <c r="R782" s="340"/>
      <c r="S782" s="340"/>
      <c r="T782" s="340"/>
      <c r="U782" s="340"/>
      <c r="V782" s="340"/>
      <c r="W782" s="340"/>
      <c r="X782" s="340"/>
      <c r="Y782" s="340"/>
      <c r="Z782" s="340"/>
      <c r="AA782" s="340"/>
      <c r="AB782" s="340"/>
      <c r="AC782" s="340"/>
      <c r="AD782" s="340"/>
      <c r="AE782" s="340"/>
      <c r="AF782" s="340"/>
      <c r="AG782" s="340"/>
      <c r="AH782" s="340"/>
      <c r="AI782" s="340"/>
      <c r="AJ782" s="340"/>
      <c r="AK782" s="340"/>
      <c r="AL782" s="340"/>
      <c r="AM782" s="340"/>
      <c r="AN782" s="340"/>
      <c r="AO782" s="340"/>
      <c r="AP782" s="340"/>
      <c r="AQ782" s="340"/>
      <c r="AR782" s="340"/>
      <c r="AS782" s="340"/>
      <c r="AT782" s="340"/>
      <c r="AU782" s="340"/>
      <c r="AV782" s="340"/>
      <c r="AW782" s="340"/>
      <c r="AX782" s="340"/>
      <c r="AY782" s="340"/>
      <c r="AZ782" s="340"/>
      <c r="BA782" s="340"/>
      <c r="BB782" s="340"/>
      <c r="BC782" s="340"/>
      <c r="BD782" s="340"/>
    </row>
    <row r="783" spans="3:56">
      <c r="C783" s="340"/>
      <c r="D783" s="340"/>
      <c r="E783" s="340"/>
      <c r="F783" s="340"/>
      <c r="G783" s="340"/>
      <c r="H783" s="340"/>
      <c r="I783" s="340"/>
      <c r="J783" s="340"/>
      <c r="K783" s="340"/>
      <c r="L783" s="340"/>
      <c r="M783" s="340"/>
      <c r="N783" s="340"/>
      <c r="O783" s="340"/>
      <c r="P783" s="340"/>
      <c r="Q783" s="340"/>
      <c r="R783" s="340"/>
      <c r="S783" s="340"/>
      <c r="T783" s="340"/>
      <c r="U783" s="340"/>
      <c r="V783" s="340"/>
      <c r="W783" s="340"/>
      <c r="X783" s="340"/>
      <c r="Y783" s="340"/>
      <c r="Z783" s="340"/>
      <c r="AA783" s="340"/>
      <c r="AB783" s="340"/>
      <c r="AC783" s="340"/>
      <c r="AD783" s="340"/>
      <c r="AE783" s="340"/>
      <c r="AF783" s="340"/>
      <c r="AG783" s="340"/>
      <c r="AH783" s="340"/>
      <c r="AI783" s="340"/>
      <c r="AJ783" s="340"/>
      <c r="AK783" s="340"/>
      <c r="AL783" s="340"/>
      <c r="AM783" s="340"/>
      <c r="AN783" s="340"/>
      <c r="AO783" s="340"/>
      <c r="AP783" s="340"/>
      <c r="AQ783" s="340"/>
      <c r="AR783" s="340"/>
      <c r="AS783" s="340"/>
      <c r="AT783" s="340"/>
      <c r="AU783" s="340"/>
      <c r="AV783" s="340"/>
      <c r="AW783" s="340"/>
      <c r="AX783" s="340"/>
      <c r="AY783" s="340"/>
      <c r="AZ783" s="340"/>
      <c r="BA783" s="340"/>
      <c r="BB783" s="340"/>
      <c r="BC783" s="340"/>
      <c r="BD783" s="340"/>
    </row>
    <row r="784" spans="3:56">
      <c r="C784" s="340"/>
      <c r="D784" s="340"/>
      <c r="E784" s="340"/>
      <c r="F784" s="340"/>
      <c r="G784" s="340"/>
      <c r="H784" s="340"/>
      <c r="I784" s="340"/>
      <c r="J784" s="340"/>
      <c r="K784" s="340"/>
      <c r="L784" s="340"/>
      <c r="M784" s="340"/>
      <c r="N784" s="340"/>
      <c r="O784" s="340"/>
      <c r="P784" s="340"/>
      <c r="Q784" s="340"/>
      <c r="R784" s="340"/>
      <c r="S784" s="340"/>
      <c r="T784" s="340"/>
      <c r="U784" s="340"/>
      <c r="V784" s="340"/>
      <c r="W784" s="340"/>
      <c r="X784" s="340"/>
      <c r="Y784" s="340"/>
      <c r="Z784" s="340"/>
      <c r="AA784" s="340"/>
      <c r="AB784" s="340"/>
      <c r="AC784" s="340"/>
      <c r="AD784" s="340"/>
      <c r="AE784" s="340"/>
      <c r="AF784" s="340"/>
      <c r="AG784" s="340"/>
      <c r="AH784" s="340"/>
      <c r="AI784" s="340"/>
      <c r="AJ784" s="340"/>
      <c r="AK784" s="340"/>
      <c r="AL784" s="340"/>
      <c r="AM784" s="340"/>
      <c r="AN784" s="340"/>
      <c r="AO784" s="340"/>
      <c r="AP784" s="340"/>
      <c r="AQ784" s="340"/>
      <c r="AR784" s="340"/>
      <c r="AS784" s="340"/>
      <c r="AT784" s="340"/>
      <c r="AU784" s="340"/>
      <c r="AV784" s="340"/>
      <c r="AW784" s="340"/>
      <c r="AX784" s="340"/>
      <c r="AY784" s="340"/>
      <c r="AZ784" s="340"/>
      <c r="BA784" s="340"/>
      <c r="BB784" s="340"/>
      <c r="BC784" s="340"/>
      <c r="BD784" s="340"/>
    </row>
    <row r="785" spans="3:56">
      <c r="C785" s="340"/>
      <c r="D785" s="340"/>
      <c r="E785" s="340"/>
      <c r="F785" s="340"/>
      <c r="G785" s="340"/>
      <c r="H785" s="340"/>
      <c r="I785" s="340"/>
      <c r="J785" s="340"/>
      <c r="K785" s="340"/>
      <c r="L785" s="340"/>
      <c r="M785" s="340"/>
      <c r="N785" s="340"/>
      <c r="O785" s="340"/>
      <c r="P785" s="340"/>
      <c r="Q785" s="340"/>
      <c r="R785" s="340"/>
      <c r="S785" s="340"/>
      <c r="T785" s="340"/>
      <c r="U785" s="340"/>
      <c r="V785" s="340"/>
      <c r="W785" s="340"/>
      <c r="X785" s="340"/>
      <c r="Y785" s="340"/>
      <c r="Z785" s="340"/>
      <c r="AA785" s="340"/>
      <c r="AB785" s="340"/>
      <c r="AC785" s="340"/>
      <c r="AD785" s="340"/>
      <c r="AE785" s="340"/>
      <c r="AF785" s="340"/>
      <c r="AG785" s="340"/>
      <c r="AH785" s="340"/>
      <c r="AI785" s="340"/>
      <c r="AJ785" s="340"/>
      <c r="AK785" s="340"/>
      <c r="AL785" s="340"/>
      <c r="AM785" s="340"/>
      <c r="AN785" s="340"/>
      <c r="AO785" s="340"/>
      <c r="AP785" s="340"/>
      <c r="AQ785" s="340"/>
      <c r="AR785" s="340"/>
      <c r="AS785" s="340"/>
      <c r="AT785" s="340"/>
      <c r="AU785" s="340"/>
      <c r="AV785" s="340"/>
      <c r="AW785" s="340"/>
      <c r="AX785" s="340"/>
      <c r="AY785" s="340"/>
      <c r="AZ785" s="340"/>
      <c r="BA785" s="340"/>
      <c r="BB785" s="340"/>
      <c r="BC785" s="340"/>
      <c r="BD785" s="340"/>
    </row>
    <row r="786" spans="3:56">
      <c r="C786" s="340"/>
      <c r="D786" s="340"/>
      <c r="E786" s="340"/>
      <c r="F786" s="340"/>
      <c r="G786" s="340"/>
      <c r="H786" s="340"/>
      <c r="I786" s="340"/>
      <c r="J786" s="340"/>
      <c r="K786" s="340"/>
      <c r="L786" s="340"/>
      <c r="M786" s="340"/>
      <c r="N786" s="340"/>
      <c r="O786" s="340"/>
      <c r="P786" s="340"/>
      <c r="Q786" s="340"/>
      <c r="R786" s="340"/>
      <c r="S786" s="340"/>
      <c r="T786" s="340"/>
      <c r="U786" s="340"/>
      <c r="V786" s="340"/>
      <c r="W786" s="340"/>
      <c r="X786" s="340"/>
      <c r="Y786" s="340"/>
      <c r="Z786" s="340"/>
      <c r="AA786" s="340"/>
      <c r="AB786" s="340"/>
      <c r="AC786" s="340"/>
      <c r="AD786" s="340"/>
      <c r="AE786" s="340"/>
      <c r="AF786" s="340"/>
      <c r="AG786" s="340"/>
      <c r="AH786" s="340"/>
      <c r="AI786" s="340"/>
      <c r="AJ786" s="340"/>
      <c r="AK786" s="340"/>
      <c r="AL786" s="340"/>
      <c r="AM786" s="340"/>
      <c r="AN786" s="340"/>
      <c r="AO786" s="340"/>
      <c r="AP786" s="340"/>
      <c r="AQ786" s="340"/>
      <c r="AR786" s="340"/>
      <c r="AS786" s="340"/>
      <c r="AT786" s="340"/>
      <c r="AU786" s="340"/>
      <c r="AV786" s="340"/>
      <c r="AW786" s="340"/>
      <c r="AX786" s="340"/>
      <c r="AY786" s="340"/>
      <c r="AZ786" s="340"/>
      <c r="BA786" s="340"/>
      <c r="BB786" s="340"/>
      <c r="BC786" s="340"/>
      <c r="BD786" s="340"/>
    </row>
    <row r="787" spans="3:56">
      <c r="C787" s="340"/>
      <c r="D787" s="340"/>
      <c r="E787" s="340"/>
      <c r="F787" s="340"/>
      <c r="G787" s="340"/>
      <c r="H787" s="340"/>
      <c r="I787" s="340"/>
      <c r="J787" s="340"/>
      <c r="K787" s="340"/>
      <c r="L787" s="340"/>
      <c r="M787" s="340"/>
      <c r="N787" s="340"/>
      <c r="O787" s="340"/>
      <c r="P787" s="340"/>
      <c r="Q787" s="340"/>
      <c r="R787" s="340"/>
      <c r="S787" s="340"/>
      <c r="T787" s="340"/>
      <c r="U787" s="340"/>
      <c r="V787" s="340"/>
      <c r="W787" s="340"/>
      <c r="X787" s="340"/>
      <c r="Y787" s="340"/>
      <c r="Z787" s="340"/>
      <c r="AA787" s="340"/>
      <c r="AB787" s="340"/>
      <c r="AC787" s="340"/>
      <c r="AD787" s="340"/>
      <c r="AE787" s="340"/>
      <c r="AF787" s="340"/>
      <c r="AG787" s="340"/>
      <c r="AH787" s="340"/>
      <c r="AI787" s="340"/>
      <c r="AJ787" s="340"/>
      <c r="AK787" s="340"/>
      <c r="AL787" s="340"/>
      <c r="AM787" s="340"/>
      <c r="AN787" s="340"/>
      <c r="AO787" s="340"/>
      <c r="AP787" s="340"/>
      <c r="AQ787" s="340"/>
      <c r="AR787" s="340"/>
      <c r="AS787" s="340"/>
      <c r="AT787" s="340"/>
      <c r="AU787" s="340"/>
      <c r="AV787" s="340"/>
      <c r="AW787" s="340"/>
      <c r="AX787" s="340"/>
      <c r="AY787" s="340"/>
      <c r="AZ787" s="340"/>
      <c r="BA787" s="340"/>
      <c r="BB787" s="340"/>
      <c r="BC787" s="340"/>
      <c r="BD787" s="340"/>
    </row>
    <row r="788" spans="3:56">
      <c r="C788" s="340"/>
      <c r="D788" s="340"/>
      <c r="E788" s="340"/>
      <c r="F788" s="340"/>
      <c r="G788" s="340"/>
      <c r="H788" s="340"/>
      <c r="I788" s="340"/>
      <c r="J788" s="340"/>
      <c r="K788" s="340"/>
      <c r="L788" s="340"/>
      <c r="M788" s="340"/>
      <c r="N788" s="340"/>
      <c r="O788" s="340"/>
      <c r="P788" s="340"/>
      <c r="Q788" s="340"/>
      <c r="R788" s="340"/>
      <c r="S788" s="340"/>
      <c r="T788" s="340"/>
      <c r="U788" s="340"/>
      <c r="V788" s="340"/>
      <c r="W788" s="340"/>
      <c r="X788" s="340"/>
      <c r="Y788" s="340"/>
      <c r="Z788" s="340"/>
      <c r="AA788" s="340"/>
      <c r="AB788" s="340"/>
      <c r="AC788" s="340"/>
      <c r="AD788" s="340"/>
      <c r="AE788" s="340"/>
      <c r="AF788" s="340"/>
      <c r="AG788" s="340"/>
      <c r="AH788" s="340"/>
      <c r="AI788" s="340"/>
      <c r="AJ788" s="340"/>
      <c r="AK788" s="340"/>
      <c r="AL788" s="340"/>
      <c r="AM788" s="340"/>
      <c r="AN788" s="340"/>
      <c r="AO788" s="340"/>
      <c r="AP788" s="340"/>
      <c r="AQ788" s="340"/>
      <c r="AR788" s="340"/>
      <c r="AS788" s="340"/>
      <c r="AT788" s="340"/>
      <c r="AU788" s="340"/>
      <c r="AV788" s="340"/>
      <c r="AW788" s="340"/>
      <c r="AX788" s="340"/>
      <c r="AY788" s="340"/>
      <c r="AZ788" s="340"/>
      <c r="BA788" s="340"/>
      <c r="BB788" s="340"/>
      <c r="BC788" s="340"/>
      <c r="BD788" s="340"/>
    </row>
    <row r="789" spans="3:56">
      <c r="C789" s="340"/>
      <c r="D789" s="340"/>
      <c r="E789" s="340"/>
      <c r="F789" s="340"/>
      <c r="G789" s="340"/>
      <c r="H789" s="340"/>
      <c r="I789" s="340"/>
      <c r="J789" s="340"/>
      <c r="K789" s="340"/>
      <c r="L789" s="340"/>
      <c r="M789" s="340"/>
      <c r="N789" s="340"/>
      <c r="O789" s="340"/>
      <c r="P789" s="340"/>
      <c r="Q789" s="340"/>
      <c r="R789" s="340"/>
      <c r="S789" s="340"/>
      <c r="T789" s="340"/>
      <c r="U789" s="340"/>
      <c r="V789" s="340"/>
      <c r="W789" s="340"/>
      <c r="X789" s="340"/>
      <c r="Y789" s="340"/>
      <c r="Z789" s="340"/>
      <c r="AA789" s="340"/>
      <c r="AB789" s="340"/>
      <c r="AC789" s="340"/>
      <c r="AD789" s="340"/>
      <c r="AE789" s="340"/>
      <c r="AF789" s="340"/>
      <c r="AG789" s="340"/>
      <c r="AH789" s="340"/>
      <c r="AI789" s="340"/>
      <c r="AJ789" s="340"/>
      <c r="AK789" s="340"/>
      <c r="AL789" s="340"/>
      <c r="AM789" s="340"/>
      <c r="AN789" s="340"/>
      <c r="AO789" s="340"/>
      <c r="AP789" s="340"/>
      <c r="AQ789" s="340"/>
      <c r="AR789" s="340"/>
      <c r="AS789" s="340"/>
      <c r="AT789" s="340"/>
      <c r="AU789" s="340"/>
      <c r="AV789" s="340"/>
      <c r="AW789" s="340"/>
      <c r="AX789" s="340"/>
      <c r="AY789" s="340"/>
      <c r="AZ789" s="340"/>
      <c r="BA789" s="340"/>
      <c r="BB789" s="340"/>
      <c r="BC789" s="340"/>
      <c r="BD789" s="340"/>
    </row>
    <row r="790" spans="3:56">
      <c r="C790" s="340"/>
      <c r="D790" s="340"/>
      <c r="E790" s="340"/>
      <c r="F790" s="340"/>
      <c r="G790" s="340"/>
      <c r="H790" s="340"/>
      <c r="I790" s="340"/>
      <c r="J790" s="340"/>
      <c r="K790" s="340"/>
      <c r="L790" s="340"/>
      <c r="M790" s="340"/>
      <c r="N790" s="340"/>
      <c r="O790" s="340"/>
      <c r="P790" s="340"/>
      <c r="Q790" s="340"/>
      <c r="R790" s="340"/>
      <c r="S790" s="340"/>
      <c r="T790" s="340"/>
      <c r="U790" s="340"/>
      <c r="V790" s="340"/>
      <c r="W790" s="340"/>
      <c r="X790" s="340"/>
      <c r="Y790" s="340"/>
      <c r="Z790" s="340"/>
      <c r="AA790" s="340"/>
      <c r="AB790" s="340"/>
      <c r="AC790" s="340"/>
      <c r="AD790" s="340"/>
      <c r="AE790" s="340"/>
      <c r="AF790" s="340"/>
      <c r="AG790" s="340"/>
      <c r="AH790" s="340"/>
      <c r="AI790" s="340"/>
      <c r="AJ790" s="340"/>
      <c r="AK790" s="340"/>
      <c r="AL790" s="340"/>
      <c r="AM790" s="340"/>
      <c r="AN790" s="340"/>
      <c r="AO790" s="340"/>
      <c r="AP790" s="340"/>
      <c r="AQ790" s="340"/>
      <c r="AR790" s="340"/>
      <c r="AS790" s="340"/>
      <c r="AT790" s="340"/>
      <c r="AU790" s="340"/>
      <c r="AV790" s="340"/>
      <c r="AW790" s="340"/>
      <c r="AX790" s="340"/>
      <c r="AY790" s="340"/>
      <c r="AZ790" s="340"/>
      <c r="BA790" s="340"/>
      <c r="BB790" s="340"/>
      <c r="BC790" s="340"/>
      <c r="BD790" s="340"/>
    </row>
    <row r="791" spans="3:56">
      <c r="C791" s="340"/>
      <c r="D791" s="340"/>
      <c r="E791" s="340"/>
      <c r="F791" s="340"/>
      <c r="G791" s="340"/>
      <c r="H791" s="340"/>
      <c r="I791" s="340"/>
      <c r="J791" s="340"/>
      <c r="K791" s="340"/>
      <c r="L791" s="340"/>
      <c r="M791" s="340"/>
      <c r="N791" s="340"/>
      <c r="O791" s="340"/>
      <c r="P791" s="340"/>
      <c r="Q791" s="340"/>
      <c r="R791" s="340"/>
      <c r="S791" s="340"/>
      <c r="T791" s="340"/>
      <c r="U791" s="340"/>
      <c r="V791" s="340"/>
      <c r="W791" s="340"/>
      <c r="X791" s="340"/>
      <c r="Y791" s="340"/>
      <c r="Z791" s="340"/>
      <c r="AA791" s="340"/>
      <c r="AB791" s="340"/>
      <c r="AC791" s="340"/>
      <c r="AD791" s="340"/>
      <c r="AE791" s="340"/>
      <c r="AF791" s="340"/>
      <c r="AG791" s="340"/>
      <c r="AH791" s="340"/>
      <c r="AI791" s="340"/>
      <c r="AJ791" s="340"/>
      <c r="AK791" s="340"/>
      <c r="AL791" s="340"/>
      <c r="AM791" s="340"/>
      <c r="AN791" s="340"/>
      <c r="AO791" s="340"/>
      <c r="AP791" s="340"/>
      <c r="AQ791" s="340"/>
      <c r="AR791" s="340"/>
      <c r="AS791" s="340"/>
      <c r="AT791" s="340"/>
      <c r="AU791" s="340"/>
      <c r="AV791" s="340"/>
      <c r="AW791" s="340"/>
      <c r="AX791" s="340"/>
      <c r="AY791" s="340"/>
      <c r="AZ791" s="340"/>
      <c r="BA791" s="340"/>
      <c r="BB791" s="340"/>
      <c r="BC791" s="340"/>
      <c r="BD791" s="340"/>
    </row>
    <row r="792" spans="3:56">
      <c r="C792" s="340"/>
      <c r="D792" s="340"/>
      <c r="E792" s="340"/>
      <c r="F792" s="340"/>
      <c r="G792" s="340"/>
      <c r="H792" s="340"/>
      <c r="I792" s="340"/>
      <c r="J792" s="340"/>
      <c r="K792" s="340"/>
      <c r="L792" s="340"/>
      <c r="M792" s="340"/>
      <c r="N792" s="340"/>
      <c r="O792" s="340"/>
      <c r="P792" s="340"/>
      <c r="Q792" s="340"/>
      <c r="R792" s="340"/>
      <c r="S792" s="340"/>
      <c r="T792" s="340"/>
      <c r="U792" s="340"/>
      <c r="V792" s="340"/>
      <c r="W792" s="340"/>
      <c r="X792" s="340"/>
      <c r="Y792" s="340"/>
      <c r="Z792" s="340"/>
      <c r="AA792" s="340"/>
      <c r="AB792" s="340"/>
      <c r="AC792" s="340"/>
      <c r="AD792" s="340"/>
      <c r="AE792" s="340"/>
      <c r="AF792" s="340"/>
      <c r="AG792" s="340"/>
      <c r="AH792" s="340"/>
      <c r="AI792" s="340"/>
      <c r="AJ792" s="340"/>
      <c r="AK792" s="340"/>
      <c r="AL792" s="340"/>
      <c r="AM792" s="340"/>
      <c r="AN792" s="340"/>
      <c r="AO792" s="340"/>
      <c r="AP792" s="340"/>
      <c r="AQ792" s="340"/>
      <c r="AR792" s="340"/>
      <c r="AS792" s="340"/>
      <c r="AT792" s="340"/>
      <c r="AU792" s="340"/>
      <c r="AV792" s="340"/>
      <c r="AW792" s="340"/>
      <c r="AX792" s="340"/>
      <c r="AY792" s="340"/>
      <c r="AZ792" s="340"/>
      <c r="BA792" s="340"/>
      <c r="BB792" s="340"/>
      <c r="BC792" s="340"/>
      <c r="BD792" s="340"/>
    </row>
    <row r="793" spans="3:56">
      <c r="C793" s="340"/>
      <c r="D793" s="340"/>
      <c r="E793" s="340"/>
      <c r="F793" s="340"/>
      <c r="G793" s="340"/>
      <c r="H793" s="340"/>
      <c r="I793" s="340"/>
      <c r="J793" s="340"/>
      <c r="K793" s="340"/>
      <c r="L793" s="340"/>
      <c r="M793" s="340"/>
      <c r="N793" s="340"/>
      <c r="O793" s="340"/>
      <c r="P793" s="340"/>
      <c r="Q793" s="340"/>
      <c r="R793" s="340"/>
      <c r="S793" s="340"/>
      <c r="T793" s="340"/>
      <c r="U793" s="340"/>
      <c r="V793" s="340"/>
      <c r="W793" s="340"/>
      <c r="X793" s="340"/>
      <c r="Y793" s="340"/>
      <c r="Z793" s="340"/>
      <c r="AA793" s="340"/>
      <c r="AB793" s="340"/>
      <c r="AC793" s="340"/>
      <c r="AD793" s="340"/>
      <c r="AE793" s="340"/>
      <c r="AF793" s="340"/>
      <c r="AG793" s="340"/>
      <c r="AH793" s="340"/>
      <c r="AI793" s="340"/>
      <c r="AJ793" s="340"/>
      <c r="AK793" s="340"/>
      <c r="AL793" s="340"/>
      <c r="AM793" s="340"/>
      <c r="AN793" s="340"/>
      <c r="AO793" s="340"/>
      <c r="AP793" s="340"/>
      <c r="AQ793" s="340"/>
      <c r="AR793" s="340"/>
      <c r="AS793" s="340"/>
      <c r="AT793" s="340"/>
      <c r="AU793" s="340"/>
      <c r="AV793" s="340"/>
      <c r="AW793" s="340"/>
      <c r="AX793" s="340"/>
      <c r="AY793" s="340"/>
      <c r="AZ793" s="340"/>
      <c r="BA793" s="340"/>
      <c r="BB793" s="340"/>
      <c r="BC793" s="340"/>
      <c r="BD793" s="340"/>
    </row>
    <row r="794" spans="3:56">
      <c r="C794" s="340"/>
      <c r="D794" s="340"/>
      <c r="E794" s="340"/>
      <c r="F794" s="340"/>
      <c r="G794" s="340"/>
      <c r="H794" s="340"/>
      <c r="I794" s="340"/>
      <c r="J794" s="340"/>
      <c r="K794" s="340"/>
      <c r="L794" s="340"/>
      <c r="M794" s="340"/>
      <c r="N794" s="340"/>
      <c r="O794" s="340"/>
      <c r="P794" s="340"/>
      <c r="Q794" s="340"/>
      <c r="R794" s="340"/>
      <c r="S794" s="340"/>
      <c r="T794" s="340"/>
      <c r="U794" s="340"/>
      <c r="V794" s="340"/>
      <c r="W794" s="340"/>
      <c r="X794" s="340"/>
      <c r="Y794" s="340"/>
      <c r="Z794" s="340"/>
      <c r="AA794" s="340"/>
      <c r="AB794" s="340"/>
      <c r="AC794" s="340"/>
      <c r="AD794" s="340"/>
      <c r="AE794" s="340"/>
      <c r="AF794" s="340"/>
      <c r="AG794" s="340"/>
      <c r="AH794" s="340"/>
      <c r="AI794" s="340"/>
      <c r="AJ794" s="340"/>
      <c r="AK794" s="340"/>
      <c r="AL794" s="340"/>
      <c r="AM794" s="340"/>
      <c r="AN794" s="340"/>
      <c r="AO794" s="340"/>
      <c r="AP794" s="340"/>
      <c r="AQ794" s="340"/>
      <c r="AR794" s="340"/>
      <c r="AS794" s="340"/>
      <c r="AT794" s="340"/>
      <c r="AU794" s="340"/>
      <c r="AV794" s="340"/>
      <c r="AW794" s="340"/>
      <c r="AX794" s="340"/>
      <c r="AY794" s="340"/>
      <c r="AZ794" s="340"/>
      <c r="BA794" s="340"/>
      <c r="BB794" s="340"/>
      <c r="BC794" s="340"/>
      <c r="BD794" s="340"/>
    </row>
    <row r="795" spans="3:56">
      <c r="C795" s="340"/>
      <c r="D795" s="340"/>
      <c r="E795" s="340"/>
      <c r="F795" s="340"/>
      <c r="G795" s="340"/>
      <c r="H795" s="340"/>
      <c r="I795" s="340"/>
      <c r="J795" s="340"/>
      <c r="K795" s="340"/>
      <c r="L795" s="340"/>
      <c r="M795" s="340"/>
      <c r="N795" s="340"/>
      <c r="O795" s="340"/>
      <c r="P795" s="340"/>
      <c r="Q795" s="340"/>
      <c r="R795" s="340"/>
      <c r="S795" s="340"/>
      <c r="T795" s="340"/>
      <c r="U795" s="340"/>
      <c r="V795" s="340"/>
      <c r="W795" s="340"/>
      <c r="X795" s="340"/>
      <c r="Y795" s="340"/>
      <c r="Z795" s="340"/>
      <c r="AA795" s="340"/>
      <c r="AB795" s="340"/>
      <c r="AC795" s="340"/>
      <c r="AD795" s="340"/>
      <c r="AE795" s="340"/>
      <c r="AF795" s="340"/>
      <c r="AG795" s="340"/>
      <c r="AH795" s="340"/>
      <c r="AI795" s="340"/>
      <c r="AJ795" s="340"/>
      <c r="AK795" s="340"/>
      <c r="AL795" s="340"/>
      <c r="AM795" s="340"/>
      <c r="AN795" s="340"/>
      <c r="AO795" s="340"/>
      <c r="AP795" s="340"/>
      <c r="AQ795" s="340"/>
      <c r="AR795" s="340"/>
      <c r="AS795" s="340"/>
      <c r="AT795" s="340"/>
      <c r="AU795" s="340"/>
      <c r="AV795" s="340"/>
      <c r="AW795" s="340"/>
      <c r="AX795" s="340"/>
      <c r="AY795" s="340"/>
      <c r="AZ795" s="340"/>
      <c r="BA795" s="340"/>
      <c r="BB795" s="340"/>
      <c r="BC795" s="340"/>
      <c r="BD795" s="340"/>
    </row>
    <row r="796" spans="3:56">
      <c r="C796" s="340"/>
      <c r="D796" s="340"/>
      <c r="E796" s="340"/>
      <c r="F796" s="340"/>
      <c r="G796" s="340"/>
      <c r="H796" s="340"/>
      <c r="I796" s="340"/>
      <c r="J796" s="340"/>
      <c r="K796" s="340"/>
      <c r="L796" s="340"/>
      <c r="M796" s="340"/>
      <c r="N796" s="340"/>
      <c r="O796" s="340"/>
      <c r="P796" s="340"/>
      <c r="Q796" s="340"/>
      <c r="R796" s="340"/>
      <c r="S796" s="340"/>
      <c r="T796" s="340"/>
      <c r="U796" s="340"/>
      <c r="V796" s="340"/>
      <c r="W796" s="340"/>
      <c r="X796" s="340"/>
      <c r="Y796" s="340"/>
      <c r="Z796" s="340"/>
      <c r="AA796" s="340"/>
      <c r="AB796" s="340"/>
      <c r="AC796" s="340"/>
      <c r="AD796" s="340"/>
      <c r="AE796" s="340"/>
      <c r="AF796" s="340"/>
      <c r="AG796" s="340"/>
      <c r="AH796" s="340"/>
      <c r="AI796" s="340"/>
      <c r="AJ796" s="340"/>
      <c r="AK796" s="340"/>
      <c r="AL796" s="340"/>
      <c r="AM796" s="340"/>
      <c r="AN796" s="340"/>
      <c r="AO796" s="340"/>
      <c r="AP796" s="340"/>
      <c r="AQ796" s="340"/>
      <c r="AR796" s="340"/>
      <c r="AS796" s="340"/>
      <c r="AT796" s="340"/>
      <c r="AU796" s="340"/>
      <c r="AV796" s="340"/>
      <c r="AW796" s="340"/>
      <c r="AX796" s="340"/>
      <c r="AY796" s="340"/>
      <c r="AZ796" s="340"/>
      <c r="BA796" s="340"/>
      <c r="BB796" s="340"/>
      <c r="BC796" s="340"/>
      <c r="BD796" s="340"/>
    </row>
    <row r="797" spans="3:56">
      <c r="C797" s="340"/>
      <c r="D797" s="340"/>
      <c r="E797" s="340"/>
      <c r="F797" s="340"/>
      <c r="G797" s="340"/>
      <c r="H797" s="340"/>
      <c r="I797" s="340"/>
      <c r="J797" s="340"/>
      <c r="K797" s="340"/>
      <c r="L797" s="340"/>
      <c r="M797" s="340"/>
      <c r="N797" s="340"/>
      <c r="O797" s="340"/>
      <c r="P797" s="340"/>
      <c r="Q797" s="340"/>
      <c r="R797" s="340"/>
      <c r="S797" s="340"/>
      <c r="T797" s="340"/>
      <c r="U797" s="340"/>
      <c r="V797" s="340"/>
      <c r="W797" s="340"/>
      <c r="X797" s="340"/>
      <c r="Y797" s="340"/>
      <c r="Z797" s="340"/>
      <c r="AA797" s="340"/>
      <c r="AB797" s="340"/>
      <c r="AC797" s="340"/>
      <c r="AD797" s="340"/>
      <c r="AE797" s="340"/>
      <c r="AF797" s="340"/>
      <c r="AG797" s="340"/>
      <c r="AH797" s="340"/>
      <c r="AI797" s="340"/>
      <c r="AJ797" s="340"/>
      <c r="AK797" s="340"/>
      <c r="AL797" s="340"/>
      <c r="AM797" s="340"/>
      <c r="AN797" s="340"/>
      <c r="AO797" s="340"/>
      <c r="AP797" s="340"/>
      <c r="AQ797" s="340"/>
      <c r="AR797" s="340"/>
      <c r="AS797" s="340"/>
      <c r="AT797" s="340"/>
      <c r="AU797" s="340"/>
      <c r="AV797" s="340"/>
      <c r="AW797" s="340"/>
      <c r="AX797" s="340"/>
      <c r="AY797" s="340"/>
      <c r="AZ797" s="340"/>
      <c r="BA797" s="340"/>
      <c r="BB797" s="340"/>
      <c r="BC797" s="340"/>
      <c r="BD797" s="340"/>
    </row>
    <row r="798" spans="3:56">
      <c r="C798" s="340"/>
      <c r="D798" s="340"/>
      <c r="E798" s="340"/>
      <c r="F798" s="340"/>
      <c r="G798" s="340"/>
      <c r="H798" s="340"/>
      <c r="I798" s="340"/>
      <c r="J798" s="340"/>
      <c r="K798" s="340"/>
      <c r="L798" s="340"/>
      <c r="M798" s="340"/>
      <c r="N798" s="340"/>
      <c r="O798" s="340"/>
      <c r="P798" s="340"/>
      <c r="Q798" s="340"/>
      <c r="R798" s="340"/>
      <c r="S798" s="340"/>
      <c r="T798" s="340"/>
      <c r="U798" s="340"/>
      <c r="V798" s="340"/>
      <c r="W798" s="340"/>
      <c r="X798" s="340"/>
      <c r="Y798" s="340"/>
      <c r="Z798" s="340"/>
      <c r="AA798" s="340"/>
      <c r="AB798" s="340"/>
      <c r="AC798" s="340"/>
      <c r="AD798" s="340"/>
      <c r="AE798" s="340"/>
      <c r="AF798" s="340"/>
      <c r="AG798" s="340"/>
      <c r="AH798" s="340"/>
      <c r="AI798" s="340"/>
      <c r="AJ798" s="340"/>
      <c r="AK798" s="340"/>
      <c r="AL798" s="340"/>
      <c r="AM798" s="340"/>
      <c r="AN798" s="340"/>
      <c r="AO798" s="340"/>
      <c r="AP798" s="340"/>
      <c r="AQ798" s="340"/>
      <c r="AR798" s="340"/>
      <c r="AS798" s="340"/>
      <c r="AT798" s="340"/>
      <c r="AU798" s="340"/>
      <c r="AV798" s="340"/>
      <c r="AW798" s="340"/>
      <c r="AX798" s="340"/>
      <c r="AY798" s="340"/>
      <c r="AZ798" s="340"/>
      <c r="BA798" s="340"/>
      <c r="BB798" s="340"/>
      <c r="BC798" s="340"/>
      <c r="BD798" s="340"/>
    </row>
    <row r="799" spans="3:56">
      <c r="C799" s="340"/>
      <c r="D799" s="340"/>
      <c r="E799" s="340"/>
      <c r="F799" s="340"/>
      <c r="G799" s="340"/>
      <c r="H799" s="340"/>
      <c r="I799" s="340"/>
      <c r="J799" s="340"/>
      <c r="K799" s="340"/>
      <c r="L799" s="340"/>
      <c r="M799" s="340"/>
      <c r="N799" s="340"/>
      <c r="O799" s="340"/>
      <c r="P799" s="340"/>
      <c r="Q799" s="340"/>
      <c r="R799" s="340"/>
      <c r="S799" s="340"/>
      <c r="T799" s="340"/>
      <c r="U799" s="340"/>
      <c r="V799" s="340"/>
      <c r="W799" s="340"/>
      <c r="X799" s="340"/>
      <c r="Y799" s="340"/>
      <c r="Z799" s="340"/>
      <c r="AA799" s="340"/>
      <c r="AB799" s="340"/>
      <c r="AC799" s="340"/>
      <c r="AD799" s="340"/>
      <c r="AE799" s="340"/>
      <c r="AF799" s="340"/>
      <c r="AG799" s="340"/>
      <c r="AH799" s="340"/>
      <c r="AI799" s="340"/>
      <c r="AJ799" s="340"/>
      <c r="AK799" s="340"/>
      <c r="AL799" s="340"/>
      <c r="AM799" s="340"/>
      <c r="AN799" s="340"/>
      <c r="AO799" s="340"/>
      <c r="AP799" s="340"/>
      <c r="AQ799" s="340"/>
      <c r="AR799" s="340"/>
      <c r="AS799" s="340"/>
      <c r="AT799" s="340"/>
      <c r="AU799" s="340"/>
      <c r="AV799" s="340"/>
      <c r="AW799" s="340"/>
      <c r="AX799" s="340"/>
      <c r="AY799" s="340"/>
      <c r="AZ799" s="340"/>
      <c r="BA799" s="340"/>
      <c r="BB799" s="340"/>
      <c r="BC799" s="340"/>
      <c r="BD799" s="340"/>
    </row>
    <row r="800" spans="3:56">
      <c r="C800" s="340"/>
      <c r="D800" s="340"/>
      <c r="E800" s="340"/>
      <c r="F800" s="340"/>
      <c r="G800" s="340"/>
      <c r="H800" s="340"/>
      <c r="I800" s="340"/>
      <c r="J800" s="340"/>
      <c r="K800" s="340"/>
      <c r="L800" s="340"/>
      <c r="M800" s="340"/>
      <c r="N800" s="340"/>
      <c r="O800" s="340"/>
      <c r="P800" s="340"/>
      <c r="Q800" s="340"/>
      <c r="R800" s="340"/>
      <c r="S800" s="340"/>
      <c r="T800" s="340"/>
      <c r="U800" s="340"/>
      <c r="V800" s="340"/>
      <c r="W800" s="340"/>
      <c r="X800" s="340"/>
      <c r="Y800" s="340"/>
      <c r="Z800" s="340"/>
      <c r="AA800" s="340"/>
      <c r="AB800" s="340"/>
      <c r="AC800" s="340"/>
      <c r="AD800" s="340"/>
      <c r="AE800" s="340"/>
      <c r="AF800" s="340"/>
      <c r="AG800" s="340"/>
      <c r="AH800" s="340"/>
      <c r="AI800" s="340"/>
      <c r="AJ800" s="340"/>
      <c r="AK800" s="340"/>
      <c r="AL800" s="340"/>
      <c r="AM800" s="340"/>
      <c r="AN800" s="340"/>
      <c r="AO800" s="340"/>
      <c r="AP800" s="340"/>
      <c r="AQ800" s="340"/>
      <c r="AR800" s="340"/>
      <c r="AS800" s="340"/>
      <c r="AT800" s="340"/>
      <c r="AU800" s="340"/>
      <c r="AV800" s="340"/>
      <c r="AW800" s="340"/>
      <c r="AX800" s="340"/>
      <c r="AY800" s="340"/>
      <c r="AZ800" s="340"/>
      <c r="BA800" s="340"/>
      <c r="BB800" s="340"/>
      <c r="BC800" s="340"/>
      <c r="BD800" s="340"/>
    </row>
    <row r="801" spans="3:56">
      <c r="C801" s="340"/>
      <c r="D801" s="340"/>
      <c r="E801" s="340"/>
      <c r="F801" s="340"/>
      <c r="G801" s="340"/>
      <c r="H801" s="340"/>
      <c r="I801" s="340"/>
      <c r="J801" s="340"/>
      <c r="K801" s="340"/>
      <c r="L801" s="340"/>
      <c r="M801" s="340"/>
      <c r="N801" s="340"/>
      <c r="O801" s="340"/>
      <c r="P801" s="340"/>
      <c r="Q801" s="340"/>
      <c r="R801" s="340"/>
      <c r="S801" s="340"/>
      <c r="T801" s="340"/>
      <c r="U801" s="340"/>
      <c r="V801" s="340"/>
      <c r="W801" s="340"/>
      <c r="X801" s="340"/>
      <c r="Y801" s="340"/>
      <c r="Z801" s="340"/>
      <c r="AA801" s="340"/>
      <c r="AB801" s="340"/>
      <c r="AC801" s="340"/>
      <c r="AD801" s="340"/>
      <c r="AE801" s="340"/>
      <c r="AF801" s="340"/>
      <c r="AG801" s="340"/>
      <c r="AH801" s="340"/>
      <c r="AI801" s="340"/>
      <c r="AJ801" s="340"/>
      <c r="AK801" s="340"/>
      <c r="AL801" s="340"/>
      <c r="AM801" s="340"/>
      <c r="AN801" s="340"/>
      <c r="AO801" s="340"/>
      <c r="AP801" s="340"/>
      <c r="AQ801" s="340"/>
      <c r="AR801" s="340"/>
      <c r="AS801" s="340"/>
      <c r="AT801" s="340"/>
      <c r="AU801" s="340"/>
      <c r="AV801" s="340"/>
      <c r="AW801" s="340"/>
      <c r="AX801" s="340"/>
      <c r="AY801" s="340"/>
      <c r="AZ801" s="340"/>
      <c r="BA801" s="340"/>
      <c r="BB801" s="340"/>
      <c r="BC801" s="340"/>
      <c r="BD801" s="340"/>
    </row>
    <row r="802" spans="3:56">
      <c r="C802" s="340"/>
      <c r="D802" s="340"/>
      <c r="E802" s="340"/>
      <c r="F802" s="340"/>
      <c r="G802" s="340"/>
      <c r="H802" s="340"/>
      <c r="I802" s="340"/>
      <c r="J802" s="340"/>
      <c r="K802" s="340"/>
      <c r="L802" s="340"/>
      <c r="M802" s="340"/>
      <c r="N802" s="340"/>
      <c r="O802" s="340"/>
      <c r="P802" s="340"/>
      <c r="Q802" s="340"/>
      <c r="R802" s="340"/>
      <c r="S802" s="340"/>
      <c r="T802" s="340"/>
      <c r="U802" s="340"/>
      <c r="V802" s="340"/>
      <c r="W802" s="340"/>
      <c r="X802" s="340"/>
      <c r="Y802" s="340"/>
      <c r="Z802" s="340"/>
      <c r="AA802" s="340"/>
      <c r="AB802" s="340"/>
      <c r="AC802" s="340"/>
      <c r="AD802" s="340"/>
      <c r="AE802" s="340"/>
      <c r="AF802" s="340"/>
      <c r="AG802" s="340"/>
      <c r="AH802" s="340"/>
      <c r="AI802" s="340"/>
      <c r="AJ802" s="340"/>
      <c r="AK802" s="340"/>
      <c r="AL802" s="340"/>
      <c r="AM802" s="340"/>
      <c r="AN802" s="340"/>
      <c r="AO802" s="340"/>
      <c r="AP802" s="340"/>
      <c r="AQ802" s="340"/>
      <c r="AR802" s="340"/>
      <c r="AS802" s="340"/>
      <c r="AT802" s="340"/>
      <c r="AU802" s="340"/>
      <c r="AV802" s="340"/>
      <c r="AW802" s="340"/>
      <c r="AX802" s="340"/>
      <c r="AY802" s="340"/>
      <c r="AZ802" s="340"/>
      <c r="BA802" s="340"/>
      <c r="BB802" s="340"/>
      <c r="BC802" s="340"/>
      <c r="BD802" s="340"/>
    </row>
    <row r="803" spans="3:56">
      <c r="C803" s="340"/>
      <c r="D803" s="340"/>
      <c r="E803" s="340"/>
      <c r="F803" s="340"/>
      <c r="G803" s="340"/>
      <c r="H803" s="340"/>
      <c r="I803" s="340"/>
      <c r="J803" s="340"/>
      <c r="K803" s="340"/>
      <c r="L803" s="340"/>
      <c r="M803" s="340"/>
      <c r="N803" s="340"/>
      <c r="O803" s="340"/>
      <c r="P803" s="340"/>
      <c r="Q803" s="340"/>
      <c r="R803" s="340"/>
      <c r="S803" s="340"/>
      <c r="T803" s="340"/>
      <c r="U803" s="340"/>
      <c r="V803" s="340"/>
      <c r="W803" s="340"/>
      <c r="X803" s="340"/>
      <c r="Y803" s="340"/>
      <c r="Z803" s="340"/>
      <c r="AA803" s="340"/>
      <c r="AB803" s="340"/>
      <c r="AC803" s="340"/>
      <c r="AD803" s="340"/>
      <c r="AE803" s="340"/>
      <c r="AF803" s="340"/>
      <c r="AG803" s="340"/>
      <c r="AH803" s="340"/>
      <c r="AI803" s="340"/>
      <c r="AJ803" s="340"/>
      <c r="AK803" s="340"/>
      <c r="AL803" s="340"/>
      <c r="AM803" s="340"/>
      <c r="AN803" s="340"/>
      <c r="AO803" s="340"/>
      <c r="AP803" s="340"/>
      <c r="AQ803" s="340"/>
      <c r="AR803" s="340"/>
      <c r="AS803" s="340"/>
      <c r="AT803" s="340"/>
      <c r="AU803" s="340"/>
      <c r="AV803" s="340"/>
      <c r="AW803" s="340"/>
      <c r="AX803" s="340"/>
      <c r="AY803" s="340"/>
      <c r="AZ803" s="340"/>
      <c r="BA803" s="340"/>
      <c r="BB803" s="340"/>
      <c r="BC803" s="340"/>
      <c r="BD803" s="340"/>
    </row>
    <row r="804" spans="3:56">
      <c r="C804" s="340"/>
      <c r="D804" s="340"/>
      <c r="E804" s="340"/>
      <c r="F804" s="340"/>
      <c r="G804" s="340"/>
      <c r="H804" s="340"/>
      <c r="I804" s="340"/>
      <c r="J804" s="340"/>
      <c r="K804" s="340"/>
      <c r="L804" s="340"/>
      <c r="M804" s="340"/>
      <c r="N804" s="340"/>
      <c r="O804" s="340"/>
      <c r="P804" s="340"/>
      <c r="Q804" s="340"/>
      <c r="R804" s="340"/>
      <c r="S804" s="340"/>
      <c r="T804" s="340"/>
      <c r="U804" s="340"/>
      <c r="V804" s="340"/>
      <c r="W804" s="340"/>
      <c r="X804" s="340"/>
      <c r="Y804" s="340"/>
      <c r="Z804" s="340"/>
      <c r="AA804" s="340"/>
      <c r="AB804" s="340"/>
      <c r="AC804" s="340"/>
      <c r="AD804" s="340"/>
      <c r="AE804" s="340"/>
      <c r="AF804" s="340"/>
      <c r="AG804" s="340"/>
      <c r="AH804" s="340"/>
      <c r="AI804" s="340"/>
      <c r="AJ804" s="340"/>
      <c r="AK804" s="340"/>
      <c r="AL804" s="340"/>
      <c r="AM804" s="340"/>
      <c r="AN804" s="340"/>
      <c r="AO804" s="340"/>
      <c r="AP804" s="340"/>
      <c r="AQ804" s="340"/>
      <c r="AR804" s="340"/>
      <c r="AS804" s="340"/>
      <c r="AT804" s="340"/>
      <c r="AU804" s="340"/>
      <c r="AV804" s="340"/>
      <c r="AW804" s="340"/>
      <c r="AX804" s="340"/>
      <c r="AY804" s="340"/>
      <c r="AZ804" s="340"/>
      <c r="BA804" s="340"/>
      <c r="BB804" s="340"/>
      <c r="BC804" s="340"/>
      <c r="BD804" s="340"/>
    </row>
    <row r="805" spans="3:56">
      <c r="C805" s="340"/>
      <c r="D805" s="340"/>
      <c r="E805" s="340"/>
      <c r="F805" s="340"/>
      <c r="G805" s="340"/>
      <c r="H805" s="340"/>
      <c r="I805" s="340"/>
      <c r="J805" s="340"/>
      <c r="K805" s="340"/>
      <c r="L805" s="340"/>
      <c r="M805" s="340"/>
      <c r="N805" s="340"/>
      <c r="O805" s="340"/>
      <c r="P805" s="340"/>
      <c r="Q805" s="340"/>
      <c r="R805" s="340"/>
      <c r="S805" s="340"/>
      <c r="T805" s="340"/>
      <c r="U805" s="340"/>
      <c r="V805" s="340"/>
      <c r="W805" s="340"/>
      <c r="X805" s="340"/>
      <c r="Y805" s="340"/>
      <c r="Z805" s="340"/>
      <c r="AA805" s="340"/>
      <c r="AB805" s="340"/>
      <c r="AC805" s="340"/>
      <c r="AD805" s="340"/>
      <c r="AE805" s="340"/>
      <c r="AF805" s="340"/>
      <c r="AG805" s="340"/>
      <c r="AH805" s="340"/>
      <c r="AI805" s="340"/>
      <c r="AJ805" s="340"/>
      <c r="AK805" s="340"/>
      <c r="AL805" s="340"/>
      <c r="AM805" s="340"/>
      <c r="AN805" s="340"/>
      <c r="AO805" s="340"/>
      <c r="AP805" s="340"/>
      <c r="AQ805" s="340"/>
      <c r="AR805" s="340"/>
      <c r="AS805" s="340"/>
      <c r="AT805" s="340"/>
      <c r="AU805" s="340"/>
      <c r="AV805" s="340"/>
      <c r="AW805" s="340"/>
      <c r="AX805" s="340"/>
      <c r="AY805" s="340"/>
      <c r="AZ805" s="340"/>
      <c r="BA805" s="340"/>
      <c r="BB805" s="340"/>
      <c r="BC805" s="340"/>
      <c r="BD805" s="340"/>
    </row>
    <row r="806" spans="3:56">
      <c r="C806" s="340"/>
      <c r="D806" s="340"/>
      <c r="E806" s="340"/>
      <c r="F806" s="340"/>
      <c r="G806" s="340"/>
      <c r="H806" s="340"/>
      <c r="I806" s="340"/>
      <c r="J806" s="340"/>
      <c r="K806" s="340"/>
      <c r="L806" s="340"/>
      <c r="M806" s="340"/>
      <c r="N806" s="340"/>
      <c r="O806" s="340"/>
      <c r="P806" s="340"/>
      <c r="Q806" s="340"/>
      <c r="R806" s="340"/>
      <c r="S806" s="340"/>
      <c r="T806" s="340"/>
      <c r="U806" s="340"/>
      <c r="V806" s="340"/>
      <c r="W806" s="340"/>
      <c r="X806" s="340"/>
      <c r="Y806" s="340"/>
      <c r="Z806" s="340"/>
      <c r="AA806" s="340"/>
      <c r="AB806" s="340"/>
      <c r="AC806" s="340"/>
      <c r="AD806" s="340"/>
      <c r="AE806" s="340"/>
      <c r="AF806" s="340"/>
      <c r="AG806" s="340"/>
      <c r="AH806" s="340"/>
      <c r="AI806" s="340"/>
      <c r="AJ806" s="340"/>
      <c r="AK806" s="340"/>
      <c r="AL806" s="340"/>
      <c r="AM806" s="340"/>
      <c r="AN806" s="340"/>
      <c r="AO806" s="340"/>
      <c r="AP806" s="340"/>
      <c r="AQ806" s="340"/>
      <c r="AR806" s="340"/>
      <c r="AS806" s="340"/>
      <c r="AT806" s="340"/>
      <c r="AU806" s="340"/>
      <c r="AV806" s="340"/>
      <c r="AW806" s="340"/>
      <c r="AX806" s="340"/>
      <c r="AY806" s="340"/>
      <c r="AZ806" s="340"/>
      <c r="BA806" s="340"/>
      <c r="BB806" s="340"/>
      <c r="BC806" s="340"/>
      <c r="BD806" s="340"/>
    </row>
    <row r="807" spans="3:56">
      <c r="C807" s="340"/>
      <c r="D807" s="340"/>
      <c r="E807" s="340"/>
      <c r="F807" s="340"/>
      <c r="G807" s="340"/>
      <c r="H807" s="340"/>
      <c r="I807" s="340"/>
      <c r="J807" s="340"/>
      <c r="K807" s="340"/>
      <c r="L807" s="340"/>
      <c r="M807" s="340"/>
      <c r="N807" s="340"/>
      <c r="O807" s="340"/>
      <c r="P807" s="340"/>
      <c r="Q807" s="340"/>
      <c r="R807" s="340"/>
      <c r="S807" s="340"/>
      <c r="T807" s="340"/>
      <c r="U807" s="340"/>
      <c r="V807" s="340"/>
      <c r="W807" s="340"/>
      <c r="X807" s="340"/>
      <c r="Y807" s="340"/>
      <c r="Z807" s="340"/>
      <c r="AA807" s="340"/>
      <c r="AB807" s="340"/>
      <c r="AC807" s="340"/>
      <c r="AD807" s="340"/>
      <c r="AE807" s="340"/>
      <c r="AF807" s="340"/>
      <c r="AG807" s="340"/>
      <c r="AH807" s="340"/>
      <c r="AI807" s="340"/>
      <c r="AJ807" s="340"/>
      <c r="AK807" s="340"/>
      <c r="AL807" s="340"/>
      <c r="AM807" s="340"/>
      <c r="AN807" s="340"/>
      <c r="AO807" s="340"/>
      <c r="AP807" s="340"/>
      <c r="AQ807" s="340"/>
      <c r="AR807" s="340"/>
      <c r="AS807" s="340"/>
      <c r="AT807" s="340"/>
      <c r="AU807" s="340"/>
      <c r="AV807" s="340"/>
      <c r="AW807" s="340"/>
      <c r="AX807" s="340"/>
      <c r="AY807" s="340"/>
      <c r="AZ807" s="340"/>
      <c r="BA807" s="340"/>
      <c r="BB807" s="340"/>
      <c r="BC807" s="340"/>
      <c r="BD807" s="340"/>
    </row>
    <row r="808" spans="3:56">
      <c r="C808" s="340"/>
      <c r="D808" s="340"/>
      <c r="E808" s="340"/>
      <c r="F808" s="340"/>
      <c r="G808" s="340"/>
      <c r="H808" s="340"/>
      <c r="I808" s="340"/>
      <c r="J808" s="340"/>
      <c r="K808" s="340"/>
      <c r="L808" s="340"/>
      <c r="M808" s="340"/>
      <c r="N808" s="340"/>
      <c r="O808" s="340"/>
      <c r="P808" s="340"/>
      <c r="Q808" s="340"/>
      <c r="R808" s="340"/>
      <c r="S808" s="340"/>
      <c r="T808" s="340"/>
      <c r="U808" s="340"/>
      <c r="V808" s="340"/>
      <c r="W808" s="340"/>
      <c r="X808" s="340"/>
      <c r="Y808" s="340"/>
      <c r="Z808" s="340"/>
      <c r="AA808" s="340"/>
      <c r="AB808" s="340"/>
      <c r="AC808" s="340"/>
      <c r="AD808" s="340"/>
      <c r="AE808" s="340"/>
      <c r="AF808" s="340"/>
      <c r="AG808" s="340"/>
      <c r="AH808" s="340"/>
      <c r="AI808" s="340"/>
      <c r="AJ808" s="340"/>
      <c r="AK808" s="340"/>
      <c r="AL808" s="340"/>
      <c r="AM808" s="340"/>
      <c r="AN808" s="340"/>
      <c r="AO808" s="340"/>
      <c r="AP808" s="340"/>
      <c r="AQ808" s="340"/>
      <c r="AR808" s="340"/>
      <c r="AS808" s="340"/>
      <c r="AT808" s="340"/>
      <c r="AU808" s="340"/>
      <c r="AV808" s="340"/>
      <c r="AW808" s="340"/>
      <c r="AX808" s="340"/>
      <c r="AY808" s="340"/>
      <c r="AZ808" s="340"/>
      <c r="BA808" s="340"/>
      <c r="BB808" s="340"/>
      <c r="BC808" s="340"/>
      <c r="BD808" s="340"/>
    </row>
    <row r="809" spans="3:56">
      <c r="C809" s="340"/>
      <c r="D809" s="340"/>
      <c r="E809" s="340"/>
      <c r="F809" s="340"/>
      <c r="G809" s="340"/>
      <c r="H809" s="340"/>
      <c r="I809" s="340"/>
      <c r="J809" s="340"/>
      <c r="K809" s="340"/>
      <c r="L809" s="340"/>
      <c r="M809" s="340"/>
      <c r="N809" s="340"/>
      <c r="O809" s="340"/>
      <c r="P809" s="340"/>
      <c r="Q809" s="340"/>
      <c r="R809" s="340"/>
      <c r="S809" s="340"/>
      <c r="T809" s="340"/>
      <c r="U809" s="340"/>
      <c r="V809" s="340"/>
      <c r="W809" s="340"/>
      <c r="X809" s="340"/>
      <c r="Y809" s="340"/>
      <c r="Z809" s="340"/>
      <c r="AA809" s="340"/>
      <c r="AB809" s="340"/>
      <c r="AC809" s="340"/>
      <c r="AD809" s="340"/>
      <c r="AE809" s="340"/>
      <c r="AF809" s="340"/>
      <c r="AG809" s="340"/>
      <c r="AH809" s="340"/>
      <c r="AI809" s="340"/>
      <c r="AJ809" s="340"/>
      <c r="AK809" s="340"/>
      <c r="AL809" s="340"/>
      <c r="AM809" s="340"/>
      <c r="AN809" s="340"/>
      <c r="AO809" s="340"/>
      <c r="AP809" s="340"/>
      <c r="AQ809" s="340"/>
      <c r="AR809" s="340"/>
      <c r="AS809" s="340"/>
      <c r="AT809" s="340"/>
      <c r="AU809" s="340"/>
      <c r="AV809" s="340"/>
      <c r="AW809" s="340"/>
      <c r="AX809" s="340"/>
      <c r="AY809" s="340"/>
      <c r="AZ809" s="340"/>
      <c r="BA809" s="340"/>
      <c r="BB809" s="340"/>
      <c r="BC809" s="340"/>
      <c r="BD809" s="340"/>
    </row>
    <row r="810" spans="3:56">
      <c r="C810" s="340"/>
      <c r="D810" s="340"/>
      <c r="E810" s="340"/>
      <c r="F810" s="340"/>
      <c r="G810" s="340"/>
      <c r="H810" s="340"/>
      <c r="I810" s="340"/>
      <c r="J810" s="340"/>
      <c r="K810" s="340"/>
      <c r="L810" s="340"/>
      <c r="M810" s="340"/>
      <c r="N810" s="340"/>
      <c r="O810" s="340"/>
      <c r="P810" s="340"/>
      <c r="Q810" s="340"/>
      <c r="R810" s="340"/>
      <c r="S810" s="340"/>
      <c r="T810" s="340"/>
      <c r="U810" s="340"/>
      <c r="V810" s="340"/>
      <c r="W810" s="340"/>
      <c r="X810" s="340"/>
      <c r="Y810" s="340"/>
      <c r="Z810" s="340"/>
      <c r="AA810" s="340"/>
      <c r="AB810" s="340"/>
      <c r="AC810" s="340"/>
      <c r="AD810" s="340"/>
      <c r="AE810" s="340"/>
      <c r="AF810" s="340"/>
      <c r="AG810" s="340"/>
      <c r="AH810" s="340"/>
      <c r="AI810" s="340"/>
      <c r="AJ810" s="340"/>
      <c r="AK810" s="340"/>
      <c r="AL810" s="340"/>
      <c r="AM810" s="340"/>
      <c r="AN810" s="340"/>
      <c r="AO810" s="340"/>
      <c r="AP810" s="340"/>
      <c r="AQ810" s="340"/>
      <c r="AR810" s="340"/>
      <c r="AS810" s="340"/>
      <c r="AT810" s="340"/>
      <c r="AU810" s="340"/>
      <c r="AV810" s="340"/>
      <c r="AW810" s="340"/>
      <c r="AX810" s="340"/>
      <c r="AY810" s="340"/>
      <c r="AZ810" s="340"/>
      <c r="BA810" s="340"/>
      <c r="BB810" s="340"/>
      <c r="BC810" s="340"/>
      <c r="BD810" s="340"/>
    </row>
    <row r="811" spans="3:56">
      <c r="C811" s="340"/>
      <c r="D811" s="340"/>
      <c r="E811" s="340"/>
      <c r="F811" s="340"/>
      <c r="G811" s="340"/>
      <c r="H811" s="340"/>
      <c r="I811" s="340"/>
      <c r="J811" s="340"/>
      <c r="K811" s="340"/>
      <c r="L811" s="340"/>
      <c r="M811" s="340"/>
      <c r="N811" s="340"/>
      <c r="O811" s="340"/>
      <c r="P811" s="340"/>
      <c r="Q811" s="340"/>
      <c r="R811" s="340"/>
      <c r="S811" s="340"/>
      <c r="T811" s="340"/>
      <c r="U811" s="340"/>
      <c r="V811" s="340"/>
      <c r="W811" s="340"/>
      <c r="X811" s="340"/>
      <c r="Y811" s="340"/>
      <c r="Z811" s="340"/>
      <c r="AA811" s="340"/>
      <c r="AB811" s="340"/>
      <c r="AC811" s="340"/>
      <c r="AD811" s="340"/>
      <c r="AE811" s="340"/>
      <c r="AF811" s="340"/>
      <c r="AG811" s="340"/>
      <c r="AH811" s="340"/>
      <c r="AI811" s="340"/>
      <c r="AJ811" s="340"/>
      <c r="AK811" s="340"/>
      <c r="AL811" s="340"/>
      <c r="AM811" s="340"/>
      <c r="AN811" s="340"/>
      <c r="AO811" s="340"/>
      <c r="AP811" s="340"/>
      <c r="AQ811" s="340"/>
      <c r="AR811" s="340"/>
      <c r="AS811" s="340"/>
      <c r="AT811" s="340"/>
      <c r="AU811" s="340"/>
      <c r="AV811" s="340"/>
      <c r="AW811" s="340"/>
      <c r="AX811" s="340"/>
      <c r="AY811" s="340"/>
      <c r="AZ811" s="340"/>
      <c r="BA811" s="340"/>
      <c r="BB811" s="340"/>
      <c r="BC811" s="340"/>
      <c r="BD811" s="340"/>
    </row>
    <row r="812" spans="3:56">
      <c r="C812" s="340"/>
      <c r="D812" s="340"/>
      <c r="E812" s="340"/>
      <c r="F812" s="340"/>
      <c r="G812" s="340"/>
      <c r="H812" s="340"/>
      <c r="I812" s="340"/>
      <c r="J812" s="340"/>
      <c r="K812" s="340"/>
      <c r="L812" s="340"/>
      <c r="M812" s="340"/>
      <c r="N812" s="340"/>
      <c r="O812" s="340"/>
      <c r="P812" s="340"/>
      <c r="Q812" s="340"/>
      <c r="R812" s="340"/>
      <c r="S812" s="340"/>
      <c r="T812" s="340"/>
      <c r="U812" s="340"/>
      <c r="V812" s="340"/>
      <c r="W812" s="340"/>
      <c r="X812" s="340"/>
      <c r="Y812" s="340"/>
      <c r="Z812" s="340"/>
      <c r="AA812" s="340"/>
      <c r="AB812" s="340"/>
      <c r="AC812" s="340"/>
      <c r="AD812" s="340"/>
      <c r="AE812" s="340"/>
      <c r="AF812" s="340"/>
      <c r="AG812" s="340"/>
      <c r="AH812" s="340"/>
      <c r="AI812" s="340"/>
      <c r="AJ812" s="340"/>
      <c r="AK812" s="340"/>
      <c r="AL812" s="340"/>
      <c r="AM812" s="340"/>
      <c r="AN812" s="340"/>
      <c r="AO812" s="340"/>
      <c r="AP812" s="340"/>
      <c r="AQ812" s="340"/>
      <c r="AR812" s="340"/>
      <c r="AS812" s="340"/>
      <c r="AT812" s="340"/>
      <c r="AU812" s="340"/>
      <c r="AV812" s="340"/>
      <c r="AW812" s="340"/>
      <c r="AX812" s="340"/>
      <c r="AY812" s="340"/>
      <c r="AZ812" s="340"/>
      <c r="BA812" s="340"/>
      <c r="BB812" s="340"/>
      <c r="BC812" s="340"/>
      <c r="BD812" s="340"/>
    </row>
    <row r="813" spans="3:56">
      <c r="C813" s="340"/>
      <c r="D813" s="340"/>
      <c r="E813" s="340"/>
      <c r="F813" s="340"/>
      <c r="G813" s="340"/>
      <c r="H813" s="340"/>
      <c r="I813" s="340"/>
      <c r="J813" s="340"/>
      <c r="K813" s="340"/>
      <c r="L813" s="340"/>
      <c r="M813" s="340"/>
      <c r="N813" s="340"/>
      <c r="O813" s="340"/>
      <c r="P813" s="340"/>
      <c r="Q813" s="340"/>
      <c r="R813" s="340"/>
      <c r="S813" s="340"/>
      <c r="T813" s="340"/>
      <c r="U813" s="340"/>
      <c r="V813" s="340"/>
      <c r="W813" s="340"/>
      <c r="X813" s="340"/>
      <c r="Y813" s="340"/>
      <c r="Z813" s="340"/>
      <c r="AA813" s="340"/>
      <c r="AB813" s="340"/>
      <c r="AC813" s="340"/>
      <c r="AD813" s="340"/>
      <c r="AE813" s="340"/>
      <c r="AF813" s="340"/>
      <c r="AG813" s="340"/>
      <c r="AH813" s="340"/>
      <c r="AI813" s="340"/>
      <c r="AJ813" s="340"/>
      <c r="AK813" s="340"/>
      <c r="AL813" s="340"/>
      <c r="AM813" s="340"/>
      <c r="AN813" s="340"/>
      <c r="AO813" s="340"/>
      <c r="AP813" s="340"/>
      <c r="AQ813" s="340"/>
      <c r="AR813" s="340"/>
      <c r="AS813" s="340"/>
      <c r="AT813" s="340"/>
      <c r="AU813" s="340"/>
      <c r="AV813" s="340"/>
      <c r="AW813" s="340"/>
      <c r="AX813" s="340"/>
      <c r="AY813" s="340"/>
      <c r="AZ813" s="340"/>
      <c r="BA813" s="340"/>
      <c r="BB813" s="340"/>
      <c r="BC813" s="340"/>
      <c r="BD813" s="340"/>
    </row>
    <row r="814" spans="3:56">
      <c r="C814" s="340"/>
      <c r="D814" s="340"/>
      <c r="E814" s="340"/>
      <c r="F814" s="340"/>
      <c r="G814" s="340"/>
      <c r="H814" s="340"/>
      <c r="I814" s="340"/>
      <c r="J814" s="340"/>
      <c r="K814" s="340"/>
      <c r="L814" s="340"/>
      <c r="M814" s="340"/>
      <c r="N814" s="340"/>
      <c r="O814" s="340"/>
      <c r="P814" s="340"/>
      <c r="Q814" s="340"/>
      <c r="R814" s="340"/>
      <c r="S814" s="340"/>
      <c r="T814" s="340"/>
      <c r="U814" s="340"/>
      <c r="V814" s="340"/>
      <c r="W814" s="340"/>
      <c r="X814" s="340"/>
      <c r="Y814" s="340"/>
      <c r="Z814" s="340"/>
      <c r="AA814" s="340"/>
      <c r="AB814" s="340"/>
      <c r="AC814" s="340"/>
      <c r="AD814" s="340"/>
      <c r="AE814" s="340"/>
      <c r="AF814" s="340"/>
      <c r="AG814" s="340"/>
      <c r="AH814" s="340"/>
      <c r="AI814" s="340"/>
      <c r="AJ814" s="340"/>
      <c r="AK814" s="340"/>
      <c r="AL814" s="340"/>
      <c r="AM814" s="340"/>
      <c r="AN814" s="340"/>
      <c r="AO814" s="340"/>
      <c r="AP814" s="340"/>
      <c r="AQ814" s="340"/>
      <c r="AR814" s="340"/>
      <c r="AS814" s="340"/>
      <c r="AT814" s="340"/>
      <c r="AU814" s="340"/>
      <c r="AV814" s="340"/>
      <c r="AW814" s="340"/>
      <c r="AX814" s="340"/>
      <c r="AY814" s="340"/>
      <c r="AZ814" s="340"/>
      <c r="BA814" s="340"/>
      <c r="BB814" s="340"/>
      <c r="BC814" s="340"/>
      <c r="BD814" s="340"/>
    </row>
    <row r="815" spans="3:56">
      <c r="C815" s="340"/>
      <c r="D815" s="340"/>
      <c r="E815" s="340"/>
      <c r="F815" s="340"/>
      <c r="G815" s="340"/>
      <c r="H815" s="340"/>
      <c r="I815" s="340"/>
      <c r="J815" s="340"/>
      <c r="K815" s="340"/>
      <c r="L815" s="340"/>
      <c r="M815" s="340"/>
      <c r="N815" s="340"/>
      <c r="O815" s="340"/>
      <c r="P815" s="340"/>
      <c r="Q815" s="340"/>
      <c r="R815" s="340"/>
      <c r="S815" s="340"/>
      <c r="T815" s="340"/>
      <c r="U815" s="340"/>
      <c r="V815" s="340"/>
      <c r="W815" s="340"/>
      <c r="X815" s="340"/>
      <c r="Y815" s="340"/>
      <c r="Z815" s="340"/>
      <c r="AA815" s="340"/>
      <c r="AB815" s="340"/>
      <c r="AC815" s="340"/>
      <c r="AD815" s="340"/>
      <c r="AE815" s="340"/>
      <c r="AF815" s="340"/>
      <c r="AG815" s="340"/>
      <c r="AH815" s="340"/>
      <c r="AI815" s="340"/>
      <c r="AJ815" s="340"/>
      <c r="AK815" s="340"/>
      <c r="AL815" s="340"/>
      <c r="AM815" s="340"/>
      <c r="AN815" s="340"/>
      <c r="AO815" s="340"/>
      <c r="AP815" s="340"/>
      <c r="AQ815" s="340"/>
      <c r="AR815" s="340"/>
      <c r="AS815" s="340"/>
      <c r="AT815" s="340"/>
      <c r="AU815" s="340"/>
      <c r="AV815" s="340"/>
      <c r="AW815" s="340"/>
      <c r="AX815" s="340"/>
      <c r="AY815" s="340"/>
      <c r="AZ815" s="340"/>
      <c r="BA815" s="340"/>
      <c r="BB815" s="340"/>
      <c r="BC815" s="340"/>
      <c r="BD815" s="340"/>
    </row>
    <row r="816" spans="3:56">
      <c r="C816" s="340"/>
      <c r="D816" s="340"/>
      <c r="E816" s="340"/>
      <c r="F816" s="340"/>
      <c r="G816" s="340"/>
      <c r="H816" s="340"/>
      <c r="I816" s="340"/>
      <c r="J816" s="340"/>
      <c r="K816" s="340"/>
      <c r="L816" s="340"/>
      <c r="M816" s="340"/>
      <c r="N816" s="340"/>
      <c r="O816" s="340"/>
      <c r="P816" s="340"/>
      <c r="Q816" s="340"/>
      <c r="R816" s="340"/>
      <c r="S816" s="340"/>
      <c r="T816" s="340"/>
      <c r="U816" s="340"/>
      <c r="V816" s="340"/>
      <c r="W816" s="340"/>
      <c r="X816" s="340"/>
      <c r="Y816" s="340"/>
      <c r="Z816" s="340"/>
      <c r="AA816" s="340"/>
      <c r="AB816" s="340"/>
      <c r="AC816" s="340"/>
      <c r="AD816" s="340"/>
      <c r="AE816" s="340"/>
      <c r="AF816" s="340"/>
      <c r="AG816" s="340"/>
      <c r="AH816" s="340"/>
      <c r="AI816" s="340"/>
      <c r="AJ816" s="340"/>
      <c r="AK816" s="340"/>
      <c r="AL816" s="340"/>
      <c r="AM816" s="340"/>
      <c r="AN816" s="340"/>
      <c r="AO816" s="340"/>
      <c r="AP816" s="340"/>
      <c r="AQ816" s="340"/>
      <c r="AR816" s="340"/>
      <c r="AS816" s="340"/>
      <c r="AT816" s="340"/>
      <c r="AU816" s="340"/>
      <c r="AV816" s="340"/>
      <c r="AW816" s="340"/>
      <c r="AX816" s="340"/>
      <c r="AY816" s="340"/>
      <c r="AZ816" s="340"/>
      <c r="BA816" s="340"/>
      <c r="BB816" s="340"/>
      <c r="BC816" s="340"/>
      <c r="BD816" s="340"/>
    </row>
    <row r="817" spans="3:56">
      <c r="C817" s="340"/>
      <c r="D817" s="340"/>
      <c r="E817" s="340"/>
      <c r="F817" s="340"/>
      <c r="G817" s="340"/>
      <c r="H817" s="340"/>
      <c r="I817" s="340"/>
      <c r="J817" s="340"/>
      <c r="K817" s="340"/>
      <c r="L817" s="340"/>
      <c r="M817" s="340"/>
      <c r="N817" s="340"/>
      <c r="O817" s="340"/>
      <c r="P817" s="340"/>
      <c r="Q817" s="340"/>
      <c r="R817" s="340"/>
      <c r="S817" s="340"/>
      <c r="T817" s="340"/>
      <c r="U817" s="340"/>
      <c r="V817" s="340"/>
      <c r="W817" s="340"/>
      <c r="X817" s="340"/>
      <c r="Y817" s="340"/>
      <c r="Z817" s="340"/>
      <c r="AA817" s="340"/>
      <c r="AB817" s="340"/>
      <c r="AC817" s="340"/>
      <c r="AD817" s="340"/>
      <c r="AE817" s="340"/>
      <c r="AF817" s="340"/>
      <c r="AG817" s="340"/>
      <c r="AH817" s="340"/>
      <c r="AI817" s="340"/>
      <c r="AJ817" s="340"/>
      <c r="AK817" s="340"/>
      <c r="AL817" s="340"/>
      <c r="AM817" s="340"/>
      <c r="AN817" s="340"/>
      <c r="AO817" s="340"/>
      <c r="AP817" s="340"/>
      <c r="AQ817" s="340"/>
      <c r="AR817" s="340"/>
      <c r="AS817" s="340"/>
      <c r="AT817" s="340"/>
      <c r="AU817" s="340"/>
      <c r="AV817" s="340"/>
      <c r="AW817" s="340"/>
      <c r="AX817" s="340"/>
      <c r="AY817" s="340"/>
      <c r="AZ817" s="340"/>
      <c r="BA817" s="340"/>
      <c r="BB817" s="340"/>
      <c r="BC817" s="340"/>
      <c r="BD817" s="340"/>
    </row>
    <row r="818" spans="3:56">
      <c r="C818" s="340"/>
      <c r="D818" s="340"/>
      <c r="E818" s="340"/>
      <c r="F818" s="340"/>
      <c r="G818" s="340"/>
      <c r="H818" s="340"/>
      <c r="I818" s="340"/>
      <c r="J818" s="340"/>
      <c r="K818" s="340"/>
      <c r="L818" s="340"/>
      <c r="M818" s="340"/>
      <c r="N818" s="340"/>
      <c r="O818" s="340"/>
      <c r="P818" s="340"/>
      <c r="Q818" s="340"/>
      <c r="R818" s="340"/>
      <c r="S818" s="340"/>
      <c r="T818" s="340"/>
      <c r="U818" s="340"/>
      <c r="V818" s="340"/>
      <c r="W818" s="340"/>
      <c r="X818" s="340"/>
      <c r="Y818" s="340"/>
      <c r="Z818" s="340"/>
      <c r="AA818" s="340"/>
      <c r="AB818" s="340"/>
      <c r="AC818" s="340"/>
      <c r="AD818" s="340"/>
      <c r="AE818" s="340"/>
      <c r="AF818" s="340"/>
      <c r="AG818" s="340"/>
      <c r="AH818" s="340"/>
      <c r="AI818" s="340"/>
      <c r="AJ818" s="340"/>
      <c r="AK818" s="340"/>
      <c r="AL818" s="340"/>
      <c r="AM818" s="340"/>
      <c r="AN818" s="340"/>
      <c r="AO818" s="340"/>
      <c r="AP818" s="340"/>
      <c r="AQ818" s="340"/>
      <c r="AR818" s="340"/>
      <c r="AS818" s="340"/>
      <c r="AT818" s="340"/>
      <c r="AU818" s="340"/>
      <c r="AV818" s="340"/>
      <c r="AW818" s="340"/>
      <c r="AX818" s="340"/>
      <c r="AY818" s="340"/>
      <c r="AZ818" s="340"/>
      <c r="BA818" s="340"/>
      <c r="BB818" s="340"/>
      <c r="BC818" s="340"/>
      <c r="BD818" s="340"/>
    </row>
    <row r="819" spans="3:56">
      <c r="C819" s="340"/>
      <c r="D819" s="340"/>
      <c r="E819" s="340"/>
      <c r="F819" s="340"/>
      <c r="G819" s="340"/>
      <c r="H819" s="340"/>
      <c r="I819" s="340"/>
      <c r="J819" s="340"/>
      <c r="K819" s="340"/>
      <c r="L819" s="340"/>
      <c r="M819" s="340"/>
      <c r="N819" s="340"/>
      <c r="O819" s="340"/>
      <c r="P819" s="340"/>
      <c r="Q819" s="340"/>
      <c r="R819" s="340"/>
      <c r="S819" s="340"/>
      <c r="T819" s="340"/>
      <c r="U819" s="340"/>
      <c r="V819" s="340"/>
      <c r="W819" s="340"/>
      <c r="X819" s="340"/>
      <c r="Y819" s="340"/>
      <c r="Z819" s="340"/>
      <c r="AA819" s="340"/>
      <c r="AB819" s="340"/>
      <c r="AC819" s="340"/>
      <c r="AD819" s="340"/>
      <c r="AE819" s="340"/>
      <c r="AF819" s="340"/>
      <c r="AG819" s="340"/>
      <c r="AH819" s="340"/>
      <c r="AI819" s="340"/>
      <c r="AJ819" s="340"/>
      <c r="AK819" s="340"/>
      <c r="AL819" s="340"/>
      <c r="AM819" s="340"/>
      <c r="AN819" s="340"/>
      <c r="AO819" s="340"/>
      <c r="AP819" s="340"/>
      <c r="AQ819" s="340"/>
      <c r="AR819" s="340"/>
      <c r="AS819" s="340"/>
      <c r="AT819" s="340"/>
      <c r="AU819" s="340"/>
      <c r="AV819" s="340"/>
      <c r="AW819" s="340"/>
      <c r="AX819" s="340"/>
      <c r="AY819" s="340"/>
      <c r="AZ819" s="340"/>
      <c r="BA819" s="340"/>
      <c r="BB819" s="340"/>
      <c r="BC819" s="340"/>
      <c r="BD819" s="340"/>
    </row>
    <row r="820" spans="3:56">
      <c r="C820" s="340"/>
      <c r="D820" s="340"/>
      <c r="E820" s="340"/>
      <c r="F820" s="340"/>
      <c r="G820" s="340"/>
      <c r="H820" s="340"/>
      <c r="I820" s="340"/>
      <c r="J820" s="340"/>
      <c r="K820" s="340"/>
      <c r="L820" s="340"/>
      <c r="M820" s="340"/>
      <c r="N820" s="340"/>
      <c r="O820" s="340"/>
      <c r="P820" s="340"/>
      <c r="Q820" s="340"/>
      <c r="R820" s="340"/>
      <c r="S820" s="340"/>
      <c r="T820" s="340"/>
      <c r="U820" s="340"/>
      <c r="V820" s="340"/>
      <c r="W820" s="340"/>
      <c r="X820" s="340"/>
      <c r="Y820" s="340"/>
      <c r="Z820" s="340"/>
      <c r="AA820" s="340"/>
      <c r="AB820" s="340"/>
      <c r="AC820" s="340"/>
      <c r="AD820" s="340"/>
      <c r="AE820" s="340"/>
      <c r="AF820" s="340"/>
      <c r="AG820" s="340"/>
      <c r="AH820" s="340"/>
      <c r="AI820" s="340"/>
      <c r="AJ820" s="340"/>
      <c r="AK820" s="340"/>
      <c r="AL820" s="340"/>
      <c r="AM820" s="340"/>
      <c r="AN820" s="340"/>
      <c r="AO820" s="340"/>
      <c r="AP820" s="340"/>
      <c r="AQ820" s="340"/>
      <c r="AR820" s="340"/>
      <c r="AS820" s="340"/>
      <c r="AT820" s="340"/>
      <c r="AU820" s="340"/>
      <c r="AV820" s="340"/>
      <c r="AW820" s="340"/>
      <c r="AX820" s="340"/>
      <c r="AY820" s="340"/>
      <c r="AZ820" s="340"/>
      <c r="BA820" s="340"/>
      <c r="BB820" s="340"/>
      <c r="BC820" s="340"/>
      <c r="BD820" s="340"/>
    </row>
    <row r="821" spans="3:56">
      <c r="C821" s="340"/>
      <c r="D821" s="340"/>
      <c r="E821" s="340"/>
      <c r="F821" s="340"/>
      <c r="G821" s="340"/>
      <c r="H821" s="340"/>
      <c r="I821" s="340"/>
      <c r="J821" s="340"/>
      <c r="K821" s="340"/>
      <c r="L821" s="340"/>
      <c r="M821" s="340"/>
      <c r="N821" s="340"/>
      <c r="O821" s="340"/>
      <c r="P821" s="340"/>
      <c r="Q821" s="340"/>
      <c r="R821" s="340"/>
      <c r="S821" s="340"/>
      <c r="T821" s="340"/>
      <c r="U821" s="340"/>
      <c r="V821" s="340"/>
      <c r="W821" s="340"/>
      <c r="X821" s="340"/>
      <c r="Y821" s="340"/>
      <c r="Z821" s="340"/>
      <c r="AA821" s="340"/>
      <c r="AB821" s="340"/>
      <c r="AC821" s="340"/>
      <c r="AD821" s="340"/>
      <c r="AE821" s="340"/>
      <c r="AF821" s="340"/>
      <c r="AG821" s="340"/>
      <c r="AH821" s="340"/>
      <c r="AI821" s="340"/>
      <c r="AJ821" s="340"/>
      <c r="AK821" s="340"/>
      <c r="AL821" s="340"/>
      <c r="AM821" s="340"/>
      <c r="AN821" s="340"/>
      <c r="AO821" s="340"/>
      <c r="AP821" s="340"/>
      <c r="AQ821" s="340"/>
      <c r="AR821" s="340"/>
      <c r="AS821" s="340"/>
      <c r="AT821" s="340"/>
      <c r="AU821" s="340"/>
      <c r="AV821" s="340"/>
      <c r="AW821" s="340"/>
      <c r="AX821" s="340"/>
      <c r="AY821" s="340"/>
      <c r="AZ821" s="340"/>
      <c r="BA821" s="340"/>
      <c r="BB821" s="340"/>
      <c r="BC821" s="340"/>
      <c r="BD821" s="340"/>
    </row>
    <row r="822" spans="3:56">
      <c r="C822" s="340"/>
      <c r="D822" s="340"/>
      <c r="E822" s="340"/>
      <c r="F822" s="340"/>
      <c r="G822" s="340"/>
      <c r="H822" s="340"/>
      <c r="I822" s="340"/>
      <c r="J822" s="340"/>
      <c r="K822" s="340"/>
      <c r="L822" s="340"/>
      <c r="M822" s="340"/>
      <c r="N822" s="340"/>
      <c r="O822" s="340"/>
      <c r="P822" s="340"/>
      <c r="Q822" s="340"/>
      <c r="R822" s="340"/>
      <c r="S822" s="340"/>
      <c r="T822" s="340"/>
      <c r="U822" s="340"/>
      <c r="V822" s="340"/>
      <c r="W822" s="340"/>
      <c r="X822" s="340"/>
      <c r="Y822" s="340"/>
      <c r="Z822" s="340"/>
      <c r="AA822" s="340"/>
      <c r="AB822" s="340"/>
      <c r="AC822" s="340"/>
      <c r="AD822" s="340"/>
      <c r="AE822" s="340"/>
      <c r="AF822" s="340"/>
      <c r="AG822" s="340"/>
      <c r="AH822" s="340"/>
      <c r="AI822" s="340"/>
      <c r="AJ822" s="340"/>
      <c r="AK822" s="340"/>
      <c r="AL822" s="340"/>
      <c r="AM822" s="340"/>
      <c r="AN822" s="340"/>
      <c r="AO822" s="340"/>
      <c r="AP822" s="340"/>
      <c r="AQ822" s="340"/>
      <c r="AR822" s="340"/>
      <c r="AS822" s="340"/>
      <c r="AT822" s="340"/>
      <c r="AU822" s="340"/>
      <c r="AV822" s="340"/>
      <c r="AW822" s="340"/>
      <c r="AX822" s="340"/>
      <c r="AY822" s="340"/>
      <c r="AZ822" s="340"/>
      <c r="BA822" s="340"/>
      <c r="BB822" s="340"/>
      <c r="BC822" s="340"/>
      <c r="BD822" s="340"/>
    </row>
    <row r="823" spans="3:56">
      <c r="C823" s="340"/>
      <c r="D823" s="340"/>
      <c r="E823" s="340"/>
      <c r="F823" s="340"/>
      <c r="G823" s="340"/>
      <c r="H823" s="340"/>
      <c r="I823" s="340"/>
      <c r="J823" s="340"/>
      <c r="K823" s="340"/>
      <c r="L823" s="340"/>
      <c r="M823" s="340"/>
      <c r="N823" s="340"/>
      <c r="O823" s="340"/>
      <c r="P823" s="340"/>
      <c r="Q823" s="340"/>
      <c r="R823" s="340"/>
      <c r="S823" s="340"/>
      <c r="T823" s="340"/>
      <c r="U823" s="340"/>
      <c r="V823" s="340"/>
      <c r="W823" s="340"/>
      <c r="X823" s="340"/>
      <c r="Y823" s="340"/>
      <c r="Z823" s="340"/>
      <c r="AA823" s="340"/>
      <c r="AB823" s="340"/>
      <c r="AC823" s="340"/>
      <c r="AD823" s="340"/>
      <c r="AE823" s="340"/>
      <c r="AF823" s="340"/>
      <c r="AG823" s="340"/>
      <c r="AH823" s="340"/>
      <c r="AI823" s="340"/>
      <c r="AJ823" s="340"/>
      <c r="AK823" s="340"/>
      <c r="AL823" s="340"/>
      <c r="AM823" s="340"/>
      <c r="AN823" s="340"/>
      <c r="AO823" s="340"/>
      <c r="AP823" s="340"/>
      <c r="AQ823" s="340"/>
      <c r="AR823" s="340"/>
      <c r="AS823" s="340"/>
      <c r="AT823" s="340"/>
      <c r="AU823" s="340"/>
      <c r="AV823" s="340"/>
      <c r="AW823" s="340"/>
      <c r="AX823" s="340"/>
      <c r="AY823" s="340"/>
      <c r="AZ823" s="340"/>
      <c r="BA823" s="340"/>
      <c r="BB823" s="340"/>
      <c r="BC823" s="340"/>
      <c r="BD823" s="340"/>
    </row>
    <row r="824" spans="3:56">
      <c r="C824" s="340"/>
      <c r="D824" s="340"/>
      <c r="E824" s="340"/>
      <c r="F824" s="340"/>
      <c r="G824" s="340"/>
      <c r="H824" s="340"/>
      <c r="I824" s="340"/>
      <c r="J824" s="340"/>
      <c r="K824" s="340"/>
      <c r="L824" s="340"/>
      <c r="M824" s="340"/>
      <c r="N824" s="340"/>
      <c r="O824" s="340"/>
      <c r="P824" s="340"/>
      <c r="Q824" s="340"/>
      <c r="R824" s="340"/>
      <c r="S824" s="340"/>
      <c r="T824" s="340"/>
      <c r="U824" s="340"/>
      <c r="V824" s="340"/>
      <c r="W824" s="340"/>
      <c r="X824" s="340"/>
      <c r="Y824" s="340"/>
      <c r="Z824" s="340"/>
      <c r="AA824" s="340"/>
      <c r="AB824" s="340"/>
      <c r="AC824" s="340"/>
      <c r="AD824" s="340"/>
      <c r="AE824" s="340"/>
      <c r="AF824" s="340"/>
      <c r="AG824" s="340"/>
      <c r="AH824" s="340"/>
      <c r="AI824" s="340"/>
      <c r="AJ824" s="340"/>
      <c r="AK824" s="340"/>
      <c r="AL824" s="340"/>
      <c r="AM824" s="340"/>
      <c r="AN824" s="340"/>
      <c r="AO824" s="340"/>
      <c r="AP824" s="340"/>
      <c r="AQ824" s="340"/>
      <c r="AR824" s="340"/>
      <c r="AS824" s="340"/>
      <c r="AT824" s="340"/>
      <c r="AU824" s="340"/>
      <c r="AV824" s="340"/>
      <c r="AW824" s="340"/>
      <c r="AX824" s="340"/>
      <c r="AY824" s="340"/>
      <c r="AZ824" s="340"/>
      <c r="BA824" s="340"/>
      <c r="BB824" s="340"/>
      <c r="BC824" s="340"/>
      <c r="BD824" s="340"/>
    </row>
    <row r="825" spans="3:56">
      <c r="C825" s="340"/>
      <c r="D825" s="340"/>
      <c r="E825" s="340"/>
      <c r="F825" s="340"/>
      <c r="G825" s="340"/>
      <c r="H825" s="340"/>
      <c r="I825" s="340"/>
      <c r="J825" s="340"/>
      <c r="K825" s="340"/>
      <c r="L825" s="340"/>
      <c r="M825" s="340"/>
      <c r="N825" s="340"/>
      <c r="O825" s="340"/>
      <c r="P825" s="340"/>
      <c r="Q825" s="340"/>
      <c r="R825" s="340"/>
      <c r="S825" s="340"/>
      <c r="T825" s="340"/>
      <c r="U825" s="340"/>
      <c r="V825" s="340"/>
      <c r="W825" s="340"/>
      <c r="X825" s="340"/>
      <c r="Y825" s="340"/>
      <c r="Z825" s="340"/>
      <c r="AA825" s="340"/>
      <c r="AB825" s="340"/>
      <c r="AC825" s="340"/>
      <c r="AD825" s="340"/>
      <c r="AE825" s="340"/>
      <c r="AF825" s="340"/>
      <c r="AG825" s="340"/>
      <c r="AH825" s="340"/>
      <c r="AI825" s="340"/>
      <c r="AJ825" s="340"/>
      <c r="AK825" s="340"/>
      <c r="AL825" s="340"/>
      <c r="AM825" s="340"/>
      <c r="AN825" s="340"/>
      <c r="AO825" s="340"/>
      <c r="AP825" s="340"/>
      <c r="AQ825" s="340"/>
      <c r="AR825" s="340"/>
      <c r="AS825" s="340"/>
      <c r="AT825" s="340"/>
      <c r="AU825" s="340"/>
      <c r="AV825" s="340"/>
      <c r="AW825" s="340"/>
      <c r="AX825" s="340"/>
      <c r="AY825" s="340"/>
      <c r="AZ825" s="340"/>
      <c r="BA825" s="340"/>
      <c r="BB825" s="340"/>
      <c r="BC825" s="340"/>
      <c r="BD825" s="340"/>
    </row>
    <row r="826" spans="3:56">
      <c r="C826" s="340"/>
      <c r="D826" s="340"/>
      <c r="E826" s="340"/>
      <c r="F826" s="340"/>
      <c r="G826" s="340"/>
      <c r="H826" s="340"/>
      <c r="I826" s="340"/>
      <c r="J826" s="340"/>
      <c r="K826" s="340"/>
      <c r="L826" s="340"/>
      <c r="M826" s="340"/>
      <c r="N826" s="340"/>
      <c r="O826" s="340"/>
      <c r="P826" s="340"/>
      <c r="Q826" s="340"/>
      <c r="R826" s="340"/>
      <c r="S826" s="340"/>
      <c r="T826" s="340"/>
      <c r="U826" s="340"/>
      <c r="V826" s="340"/>
      <c r="W826" s="340"/>
      <c r="X826" s="340"/>
      <c r="Y826" s="340"/>
      <c r="Z826" s="340"/>
      <c r="AA826" s="340"/>
      <c r="AB826" s="340"/>
      <c r="AC826" s="340"/>
      <c r="AD826" s="340"/>
      <c r="AE826" s="340"/>
      <c r="AF826" s="340"/>
      <c r="AG826" s="340"/>
      <c r="AH826" s="340"/>
      <c r="AI826" s="340"/>
      <c r="AJ826" s="340"/>
      <c r="AK826" s="340"/>
      <c r="AL826" s="340"/>
      <c r="AM826" s="340"/>
      <c r="AN826" s="340"/>
      <c r="AO826" s="340"/>
      <c r="AP826" s="340"/>
      <c r="AQ826" s="340"/>
      <c r="AR826" s="340"/>
      <c r="AS826" s="340"/>
      <c r="AT826" s="340"/>
      <c r="AU826" s="340"/>
      <c r="AV826" s="340"/>
      <c r="AW826" s="340"/>
      <c r="AX826" s="340"/>
      <c r="AY826" s="340"/>
      <c r="AZ826" s="340"/>
      <c r="BA826" s="340"/>
      <c r="BB826" s="340"/>
      <c r="BC826" s="340"/>
      <c r="BD826" s="340"/>
    </row>
    <row r="827" spans="3:56">
      <c r="C827" s="340"/>
      <c r="D827" s="340"/>
      <c r="E827" s="340"/>
      <c r="F827" s="340"/>
      <c r="G827" s="340"/>
      <c r="H827" s="340"/>
      <c r="I827" s="340"/>
      <c r="J827" s="340"/>
      <c r="K827" s="340"/>
      <c r="L827" s="340"/>
      <c r="M827" s="340"/>
      <c r="N827" s="340"/>
      <c r="O827" s="340"/>
      <c r="P827" s="340"/>
      <c r="Q827" s="340"/>
      <c r="R827" s="340"/>
      <c r="S827" s="340"/>
      <c r="T827" s="340"/>
      <c r="U827" s="340"/>
      <c r="V827" s="340"/>
      <c r="W827" s="340"/>
      <c r="X827" s="340"/>
      <c r="Y827" s="340"/>
      <c r="Z827" s="340"/>
      <c r="AA827" s="340"/>
      <c r="AB827" s="340"/>
      <c r="AC827" s="340"/>
      <c r="AD827" s="340"/>
      <c r="AE827" s="340"/>
      <c r="AF827" s="340"/>
      <c r="AG827" s="340"/>
      <c r="AH827" s="340"/>
      <c r="AI827" s="340"/>
      <c r="AJ827" s="340"/>
      <c r="AK827" s="340"/>
      <c r="AL827" s="340"/>
      <c r="AM827" s="340"/>
      <c r="AN827" s="340"/>
      <c r="AO827" s="340"/>
      <c r="AP827" s="340"/>
      <c r="AQ827" s="340"/>
      <c r="AR827" s="340"/>
      <c r="AS827" s="340"/>
      <c r="AT827" s="340"/>
      <c r="AU827" s="340"/>
      <c r="AV827" s="340"/>
      <c r="AW827" s="340"/>
      <c r="AX827" s="340"/>
      <c r="AY827" s="340"/>
      <c r="AZ827" s="340"/>
      <c r="BA827" s="340"/>
      <c r="BB827" s="340"/>
      <c r="BC827" s="340"/>
      <c r="BD827" s="340"/>
    </row>
    <row r="828" spans="3:56">
      <c r="C828" s="340"/>
      <c r="D828" s="340"/>
      <c r="E828" s="340"/>
      <c r="F828" s="340"/>
      <c r="G828" s="340"/>
      <c r="H828" s="340"/>
      <c r="I828" s="340"/>
      <c r="J828" s="340"/>
      <c r="K828" s="340"/>
      <c r="L828" s="340"/>
      <c r="M828" s="340"/>
      <c r="N828" s="340"/>
      <c r="O828" s="340"/>
      <c r="P828" s="340"/>
      <c r="Q828" s="340"/>
      <c r="R828" s="340"/>
      <c r="S828" s="340"/>
      <c r="T828" s="340"/>
      <c r="U828" s="340"/>
      <c r="V828" s="340"/>
      <c r="W828" s="340"/>
      <c r="X828" s="340"/>
      <c r="Y828" s="340"/>
      <c r="Z828" s="340"/>
      <c r="AA828" s="340"/>
      <c r="AB828" s="340"/>
      <c r="AC828" s="340"/>
      <c r="AD828" s="340"/>
      <c r="AE828" s="340"/>
      <c r="AF828" s="340"/>
      <c r="AG828" s="340"/>
      <c r="AH828" s="340"/>
      <c r="AI828" s="340"/>
      <c r="AJ828" s="340"/>
      <c r="AK828" s="340"/>
      <c r="AL828" s="340"/>
      <c r="AM828" s="340"/>
      <c r="AN828" s="340"/>
      <c r="AO828" s="340"/>
      <c r="AP828" s="340"/>
      <c r="AQ828" s="340"/>
      <c r="AR828" s="340"/>
      <c r="AS828" s="340"/>
      <c r="AT828" s="340"/>
      <c r="AU828" s="340"/>
      <c r="AV828" s="340"/>
      <c r="AW828" s="340"/>
      <c r="AX828" s="340"/>
      <c r="AY828" s="340"/>
      <c r="AZ828" s="340"/>
      <c r="BA828" s="340"/>
      <c r="BB828" s="340"/>
      <c r="BC828" s="340"/>
      <c r="BD828" s="340"/>
    </row>
    <row r="829" spans="3:56">
      <c r="C829" s="340"/>
      <c r="D829" s="340"/>
      <c r="E829" s="340"/>
      <c r="F829" s="340"/>
      <c r="G829" s="340"/>
      <c r="H829" s="340"/>
      <c r="I829" s="340"/>
      <c r="J829" s="340"/>
      <c r="K829" s="340"/>
      <c r="L829" s="340"/>
      <c r="M829" s="340"/>
      <c r="N829" s="340"/>
      <c r="O829" s="340"/>
      <c r="P829" s="340"/>
      <c r="Q829" s="340"/>
      <c r="R829" s="340"/>
      <c r="S829" s="340"/>
      <c r="T829" s="340"/>
      <c r="U829" s="340"/>
      <c r="V829" s="340"/>
      <c r="W829" s="340"/>
      <c r="X829" s="340"/>
      <c r="Y829" s="340"/>
      <c r="Z829" s="340"/>
      <c r="AA829" s="340"/>
      <c r="AB829" s="340"/>
      <c r="AC829" s="340"/>
      <c r="AD829" s="340"/>
      <c r="AE829" s="340"/>
      <c r="AF829" s="340"/>
      <c r="AG829" s="340"/>
      <c r="AH829" s="340"/>
      <c r="AI829" s="340"/>
      <c r="AJ829" s="340"/>
      <c r="AK829" s="340"/>
      <c r="AL829" s="340"/>
      <c r="AM829" s="340"/>
      <c r="AN829" s="340"/>
      <c r="AO829" s="340"/>
      <c r="AP829" s="340"/>
      <c r="AQ829" s="340"/>
      <c r="AR829" s="340"/>
      <c r="AS829" s="340"/>
      <c r="AT829" s="340"/>
      <c r="AU829" s="340"/>
      <c r="AV829" s="340"/>
      <c r="AW829" s="340"/>
      <c r="AX829" s="340"/>
      <c r="AY829" s="340"/>
      <c r="AZ829" s="340"/>
      <c r="BA829" s="340"/>
      <c r="BB829" s="340"/>
      <c r="BC829" s="340"/>
      <c r="BD829" s="340"/>
    </row>
    <row r="830" spans="3:56">
      <c r="C830" s="340"/>
      <c r="D830" s="340"/>
      <c r="E830" s="340"/>
      <c r="F830" s="340"/>
      <c r="G830" s="340"/>
      <c r="H830" s="340"/>
      <c r="I830" s="340"/>
      <c r="J830" s="340"/>
      <c r="K830" s="340"/>
      <c r="L830" s="340"/>
      <c r="M830" s="340"/>
      <c r="N830" s="340"/>
      <c r="O830" s="340"/>
      <c r="P830" s="340"/>
      <c r="Q830" s="340"/>
      <c r="R830" s="340"/>
      <c r="S830" s="340"/>
      <c r="T830" s="340"/>
      <c r="U830" s="340"/>
      <c r="V830" s="340"/>
      <c r="W830" s="340"/>
      <c r="X830" s="340"/>
      <c r="Y830" s="340"/>
      <c r="Z830" s="340"/>
      <c r="AA830" s="340"/>
      <c r="AB830" s="340"/>
      <c r="AC830" s="340"/>
      <c r="AD830" s="340"/>
      <c r="AE830" s="340"/>
      <c r="AF830" s="340"/>
      <c r="AG830" s="340"/>
      <c r="AH830" s="340"/>
      <c r="AI830" s="340"/>
      <c r="AJ830" s="340"/>
      <c r="AK830" s="340"/>
      <c r="AL830" s="340"/>
      <c r="AM830" s="340"/>
      <c r="AN830" s="340"/>
      <c r="AO830" s="340"/>
      <c r="AP830" s="340"/>
      <c r="AQ830" s="340"/>
      <c r="AR830" s="340"/>
      <c r="AS830" s="340"/>
      <c r="AT830" s="340"/>
      <c r="AU830" s="340"/>
      <c r="AV830" s="340"/>
      <c r="AW830" s="340"/>
      <c r="AX830" s="340"/>
      <c r="AY830" s="340"/>
      <c r="AZ830" s="340"/>
      <c r="BA830" s="340"/>
      <c r="BB830" s="340"/>
      <c r="BC830" s="340"/>
      <c r="BD830" s="340"/>
    </row>
    <row r="831" spans="3:56">
      <c r="C831" s="340"/>
      <c r="D831" s="340"/>
      <c r="E831" s="340"/>
      <c r="F831" s="340"/>
      <c r="G831" s="340"/>
      <c r="H831" s="340"/>
      <c r="I831" s="340"/>
      <c r="J831" s="340"/>
      <c r="K831" s="340"/>
      <c r="L831" s="340"/>
      <c r="M831" s="340"/>
      <c r="N831" s="340"/>
      <c r="O831" s="340"/>
      <c r="P831" s="340"/>
      <c r="Q831" s="340"/>
      <c r="R831" s="340"/>
      <c r="S831" s="340"/>
      <c r="T831" s="340"/>
      <c r="U831" s="340"/>
      <c r="V831" s="340"/>
      <c r="W831" s="340"/>
      <c r="X831" s="340"/>
      <c r="Y831" s="340"/>
      <c r="Z831" s="340"/>
      <c r="AA831" s="340"/>
      <c r="AB831" s="340"/>
      <c r="AC831" s="340"/>
      <c r="AD831" s="340"/>
      <c r="AE831" s="340"/>
      <c r="AF831" s="340"/>
      <c r="AG831" s="340"/>
      <c r="AH831" s="340"/>
      <c r="AI831" s="340"/>
      <c r="AJ831" s="340"/>
      <c r="AK831" s="340"/>
      <c r="AL831" s="340"/>
      <c r="AM831" s="340"/>
      <c r="AN831" s="340"/>
      <c r="AO831" s="340"/>
      <c r="AP831" s="340"/>
      <c r="AQ831" s="340"/>
      <c r="AR831" s="340"/>
      <c r="AS831" s="340"/>
      <c r="AT831" s="340"/>
      <c r="AU831" s="340"/>
      <c r="AV831" s="340"/>
      <c r="AW831" s="340"/>
      <c r="AX831" s="340"/>
      <c r="AY831" s="340"/>
      <c r="AZ831" s="340"/>
      <c r="BA831" s="340"/>
      <c r="BB831" s="340"/>
      <c r="BC831" s="340"/>
      <c r="BD831" s="340"/>
    </row>
    <row r="832" spans="3:56">
      <c r="C832" s="340"/>
      <c r="D832" s="340"/>
      <c r="E832" s="340"/>
      <c r="F832" s="340"/>
      <c r="G832" s="340"/>
      <c r="H832" s="340"/>
      <c r="I832" s="340"/>
      <c r="J832" s="340"/>
      <c r="K832" s="340"/>
      <c r="L832" s="340"/>
      <c r="M832" s="340"/>
      <c r="N832" s="340"/>
      <c r="O832" s="340"/>
      <c r="P832" s="340"/>
      <c r="Q832" s="340"/>
      <c r="R832" s="340"/>
      <c r="S832" s="340"/>
      <c r="T832" s="340"/>
      <c r="U832" s="340"/>
      <c r="V832" s="340"/>
      <c r="W832" s="340"/>
      <c r="X832" s="340"/>
      <c r="Y832" s="340"/>
      <c r="Z832" s="340"/>
      <c r="AA832" s="340"/>
      <c r="AB832" s="340"/>
      <c r="AC832" s="340"/>
      <c r="AD832" s="340"/>
      <c r="AE832" s="340"/>
      <c r="AF832" s="340"/>
      <c r="AG832" s="340"/>
      <c r="AH832" s="340"/>
      <c r="AI832" s="340"/>
      <c r="AJ832" s="340"/>
      <c r="AK832" s="340"/>
      <c r="AL832" s="340"/>
      <c r="AM832" s="340"/>
      <c r="AN832" s="340"/>
      <c r="AO832" s="340"/>
      <c r="AP832" s="340"/>
      <c r="AQ832" s="340"/>
      <c r="AR832" s="340"/>
      <c r="AS832" s="340"/>
      <c r="AT832" s="340"/>
      <c r="AU832" s="340"/>
      <c r="AV832" s="340"/>
      <c r="AW832" s="340"/>
      <c r="AX832" s="340"/>
      <c r="AY832" s="340"/>
      <c r="AZ832" s="340"/>
      <c r="BA832" s="340"/>
      <c r="BB832" s="340"/>
      <c r="BC832" s="340"/>
      <c r="BD832" s="340"/>
    </row>
    <row r="833" spans="3:56">
      <c r="C833" s="340"/>
      <c r="D833" s="340"/>
      <c r="E833" s="340"/>
      <c r="F833" s="340"/>
      <c r="G833" s="340"/>
      <c r="H833" s="340"/>
      <c r="I833" s="340"/>
      <c r="J833" s="340"/>
      <c r="K833" s="340"/>
      <c r="L833" s="340"/>
      <c r="M833" s="340"/>
      <c r="N833" s="340"/>
      <c r="O833" s="340"/>
      <c r="P833" s="340"/>
      <c r="Q833" s="340"/>
      <c r="R833" s="340"/>
      <c r="S833" s="340"/>
      <c r="T833" s="340"/>
      <c r="U833" s="340"/>
      <c r="V833" s="340"/>
      <c r="W833" s="340"/>
      <c r="X833" s="340"/>
      <c r="Y833" s="340"/>
      <c r="Z833" s="340"/>
      <c r="AA833" s="340"/>
      <c r="AB833" s="340"/>
      <c r="AC833" s="340"/>
      <c r="AD833" s="340"/>
      <c r="AE833" s="340"/>
      <c r="AF833" s="340"/>
      <c r="AG833" s="340"/>
      <c r="AH833" s="340"/>
      <c r="AI833" s="340"/>
      <c r="AJ833" s="340"/>
      <c r="AK833" s="340"/>
      <c r="AL833" s="340"/>
      <c r="AM833" s="340"/>
      <c r="AN833" s="340"/>
      <c r="AO833" s="340"/>
      <c r="AP833" s="340"/>
      <c r="AQ833" s="340"/>
      <c r="AR833" s="340"/>
      <c r="AS833" s="340"/>
      <c r="AT833" s="340"/>
      <c r="AU833" s="340"/>
      <c r="AV833" s="340"/>
      <c r="AW833" s="340"/>
      <c r="AX833" s="340"/>
      <c r="AY833" s="340"/>
      <c r="AZ833" s="340"/>
      <c r="BA833" s="340"/>
      <c r="BB833" s="340"/>
      <c r="BC833" s="340"/>
      <c r="BD833" s="340"/>
    </row>
    <row r="834" spans="3:56">
      <c r="C834" s="340"/>
      <c r="D834" s="340"/>
      <c r="E834" s="340"/>
      <c r="F834" s="340"/>
      <c r="G834" s="340"/>
      <c r="H834" s="340"/>
      <c r="I834" s="340"/>
      <c r="J834" s="340"/>
      <c r="K834" s="340"/>
      <c r="L834" s="340"/>
      <c r="M834" s="340"/>
      <c r="N834" s="340"/>
      <c r="O834" s="340"/>
      <c r="P834" s="340"/>
      <c r="Q834" s="340"/>
      <c r="R834" s="340"/>
      <c r="S834" s="340"/>
      <c r="T834" s="340"/>
      <c r="U834" s="340"/>
      <c r="V834" s="340"/>
      <c r="W834" s="340"/>
      <c r="X834" s="340"/>
      <c r="Y834" s="340"/>
      <c r="Z834" s="340"/>
      <c r="AA834" s="340"/>
      <c r="AB834" s="340"/>
      <c r="AC834" s="340"/>
      <c r="AD834" s="340"/>
      <c r="AE834" s="340"/>
      <c r="AF834" s="340"/>
      <c r="AG834" s="340"/>
      <c r="AH834" s="340"/>
      <c r="AI834" s="340"/>
      <c r="AJ834" s="340"/>
      <c r="AK834" s="340"/>
      <c r="AL834" s="340"/>
      <c r="AM834" s="340"/>
      <c r="AN834" s="340"/>
      <c r="AO834" s="340"/>
      <c r="AP834" s="340"/>
      <c r="AQ834" s="340"/>
      <c r="AR834" s="340"/>
      <c r="AS834" s="340"/>
      <c r="AT834" s="340"/>
      <c r="AU834" s="340"/>
      <c r="AV834" s="340"/>
      <c r="AW834" s="340"/>
      <c r="AX834" s="340"/>
      <c r="AY834" s="340"/>
      <c r="AZ834" s="340"/>
      <c r="BA834" s="340"/>
      <c r="BB834" s="340"/>
      <c r="BC834" s="340"/>
      <c r="BD834" s="340"/>
    </row>
    <row r="835" spans="3:56">
      <c r="C835" s="340"/>
      <c r="D835" s="340"/>
      <c r="E835" s="340"/>
      <c r="F835" s="340"/>
      <c r="G835" s="340"/>
      <c r="H835" s="340"/>
      <c r="I835" s="340"/>
      <c r="J835" s="340"/>
      <c r="K835" s="340"/>
      <c r="L835" s="340"/>
      <c r="M835" s="340"/>
      <c r="N835" s="340"/>
      <c r="O835" s="340"/>
      <c r="P835" s="340"/>
      <c r="Q835" s="340"/>
      <c r="R835" s="340"/>
      <c r="S835" s="340"/>
      <c r="T835" s="340"/>
      <c r="U835" s="340"/>
      <c r="V835" s="340"/>
      <c r="W835" s="340"/>
      <c r="X835" s="340"/>
      <c r="Y835" s="340"/>
      <c r="Z835" s="340"/>
      <c r="AA835" s="340"/>
      <c r="AB835" s="340"/>
      <c r="AC835" s="340"/>
      <c r="AD835" s="340"/>
      <c r="AE835" s="340"/>
      <c r="AF835" s="340"/>
      <c r="AG835" s="340"/>
      <c r="AH835" s="340"/>
      <c r="AI835" s="340"/>
      <c r="AJ835" s="340"/>
      <c r="AK835" s="340"/>
      <c r="AL835" s="340"/>
      <c r="AM835" s="340"/>
      <c r="AN835" s="340"/>
      <c r="AO835" s="340"/>
      <c r="AP835" s="340"/>
      <c r="AQ835" s="340"/>
      <c r="AR835" s="340"/>
      <c r="AS835" s="340"/>
      <c r="AT835" s="340"/>
      <c r="AU835" s="340"/>
      <c r="AV835" s="340"/>
      <c r="AW835" s="340"/>
      <c r="AX835" s="340"/>
      <c r="AY835" s="340"/>
      <c r="AZ835" s="340"/>
      <c r="BA835" s="340"/>
      <c r="BB835" s="340"/>
      <c r="BC835" s="340"/>
      <c r="BD835" s="340"/>
    </row>
    <row r="836" spans="3:56">
      <c r="C836" s="340"/>
      <c r="D836" s="340"/>
      <c r="E836" s="340"/>
      <c r="F836" s="340"/>
      <c r="G836" s="340"/>
      <c r="H836" s="340"/>
      <c r="I836" s="340"/>
      <c r="J836" s="340"/>
      <c r="K836" s="340"/>
      <c r="L836" s="340"/>
      <c r="M836" s="340"/>
      <c r="N836" s="340"/>
      <c r="O836" s="340"/>
      <c r="P836" s="340"/>
      <c r="Q836" s="340"/>
      <c r="R836" s="340"/>
      <c r="S836" s="340"/>
      <c r="T836" s="340"/>
      <c r="U836" s="340"/>
      <c r="V836" s="340"/>
      <c r="W836" s="340"/>
      <c r="X836" s="340"/>
      <c r="Y836" s="340"/>
      <c r="Z836" s="340"/>
      <c r="AA836" s="340"/>
      <c r="AB836" s="340"/>
      <c r="AC836" s="340"/>
      <c r="AD836" s="340"/>
      <c r="AE836" s="340"/>
      <c r="AF836" s="340"/>
      <c r="AG836" s="340"/>
      <c r="AH836" s="340"/>
      <c r="AI836" s="340"/>
      <c r="AJ836" s="340"/>
      <c r="AK836" s="340"/>
      <c r="AL836" s="340"/>
      <c r="AM836" s="340"/>
      <c r="AN836" s="340"/>
      <c r="AO836" s="340"/>
      <c r="AP836" s="340"/>
      <c r="AQ836" s="340"/>
      <c r="AR836" s="340"/>
      <c r="AS836" s="340"/>
      <c r="AT836" s="340"/>
      <c r="AU836" s="340"/>
      <c r="AV836" s="340"/>
      <c r="AW836" s="340"/>
      <c r="AX836" s="340"/>
      <c r="AY836" s="340"/>
      <c r="AZ836" s="340"/>
      <c r="BA836" s="340"/>
      <c r="BB836" s="340"/>
      <c r="BC836" s="340"/>
      <c r="BD836" s="340"/>
    </row>
    <row r="837" spans="3:56">
      <c r="C837" s="340"/>
      <c r="D837" s="340"/>
      <c r="E837" s="340"/>
      <c r="F837" s="340"/>
      <c r="G837" s="340"/>
      <c r="H837" s="340"/>
      <c r="I837" s="340"/>
      <c r="J837" s="340"/>
      <c r="K837" s="340"/>
      <c r="L837" s="340"/>
      <c r="M837" s="340"/>
      <c r="N837" s="340"/>
      <c r="O837" s="340"/>
      <c r="P837" s="340"/>
      <c r="Q837" s="340"/>
      <c r="R837" s="340"/>
      <c r="S837" s="340"/>
      <c r="T837" s="340"/>
      <c r="U837" s="340"/>
      <c r="V837" s="340"/>
      <c r="W837" s="340"/>
      <c r="X837" s="340"/>
      <c r="Y837" s="340"/>
      <c r="Z837" s="340"/>
      <c r="AA837" s="340"/>
      <c r="AB837" s="340"/>
      <c r="AC837" s="340"/>
      <c r="AD837" s="340"/>
      <c r="AE837" s="340"/>
      <c r="AF837" s="340"/>
      <c r="AG837" s="340"/>
      <c r="AH837" s="340"/>
      <c r="AI837" s="340"/>
      <c r="AJ837" s="340"/>
      <c r="AK837" s="340"/>
      <c r="AL837" s="340"/>
      <c r="AM837" s="340"/>
      <c r="AN837" s="340"/>
      <c r="AO837" s="340"/>
      <c r="AP837" s="340"/>
      <c r="AQ837" s="340"/>
      <c r="AR837" s="340"/>
      <c r="AS837" s="340"/>
      <c r="AT837" s="340"/>
      <c r="AU837" s="340"/>
      <c r="AV837" s="340"/>
      <c r="AW837" s="340"/>
      <c r="AX837" s="340"/>
      <c r="AY837" s="340"/>
      <c r="AZ837" s="340"/>
      <c r="BA837" s="340"/>
      <c r="BB837" s="340"/>
      <c r="BC837" s="340"/>
      <c r="BD837" s="340"/>
    </row>
    <row r="838" spans="3:56">
      <c r="C838" s="340"/>
      <c r="D838" s="340"/>
      <c r="E838" s="340"/>
      <c r="F838" s="340"/>
      <c r="G838" s="340"/>
      <c r="H838" s="340"/>
      <c r="I838" s="340"/>
      <c r="J838" s="340"/>
      <c r="K838" s="340"/>
      <c r="L838" s="340"/>
      <c r="M838" s="340"/>
      <c r="N838" s="340"/>
      <c r="O838" s="340"/>
      <c r="P838" s="340"/>
      <c r="Q838" s="340"/>
      <c r="R838" s="340"/>
      <c r="S838" s="340"/>
      <c r="T838" s="340"/>
      <c r="U838" s="340"/>
      <c r="V838" s="340"/>
      <c r="W838" s="340"/>
      <c r="X838" s="340"/>
      <c r="Y838" s="340"/>
      <c r="Z838" s="340"/>
      <c r="AA838" s="340"/>
      <c r="AB838" s="340"/>
      <c r="AC838" s="340"/>
      <c r="AD838" s="340"/>
      <c r="AE838" s="340"/>
      <c r="AF838" s="340"/>
      <c r="AG838" s="340"/>
      <c r="AH838" s="340"/>
      <c r="AI838" s="340"/>
      <c r="AJ838" s="340"/>
      <c r="AK838" s="340"/>
      <c r="AL838" s="340"/>
      <c r="AM838" s="340"/>
      <c r="AN838" s="340"/>
      <c r="AO838" s="340"/>
      <c r="AP838" s="340"/>
      <c r="AQ838" s="340"/>
      <c r="AR838" s="340"/>
      <c r="AS838" s="340"/>
      <c r="AT838" s="340"/>
      <c r="AU838" s="340"/>
      <c r="AV838" s="340"/>
      <c r="AW838" s="340"/>
      <c r="AX838" s="340"/>
      <c r="AY838" s="340"/>
      <c r="AZ838" s="340"/>
      <c r="BA838" s="340"/>
      <c r="BB838" s="340"/>
      <c r="BC838" s="340"/>
      <c r="BD838" s="340"/>
    </row>
    <row r="839" spans="3:56">
      <c r="C839" s="340"/>
      <c r="D839" s="340"/>
      <c r="E839" s="340"/>
      <c r="F839" s="340"/>
      <c r="G839" s="340"/>
      <c r="H839" s="340"/>
      <c r="I839" s="340"/>
      <c r="J839" s="340"/>
      <c r="K839" s="340"/>
      <c r="L839" s="340"/>
      <c r="M839" s="340"/>
      <c r="N839" s="340"/>
      <c r="O839" s="340"/>
      <c r="P839" s="340"/>
      <c r="Q839" s="340"/>
      <c r="R839" s="340"/>
      <c r="S839" s="340"/>
      <c r="T839" s="340"/>
      <c r="U839" s="340"/>
      <c r="V839" s="340"/>
      <c r="W839" s="340"/>
      <c r="X839" s="340"/>
      <c r="Y839" s="340"/>
      <c r="Z839" s="340"/>
      <c r="AA839" s="340"/>
      <c r="AB839" s="340"/>
      <c r="AC839" s="340"/>
      <c r="AD839" s="340"/>
      <c r="AE839" s="340"/>
      <c r="AF839" s="340"/>
      <c r="AG839" s="340"/>
      <c r="AH839" s="340"/>
      <c r="AI839" s="340"/>
      <c r="AJ839" s="340"/>
      <c r="AK839" s="340"/>
      <c r="AL839" s="340"/>
      <c r="AM839" s="340"/>
      <c r="AN839" s="340"/>
      <c r="AO839" s="340"/>
      <c r="AP839" s="340"/>
      <c r="AQ839" s="340"/>
      <c r="AR839" s="340"/>
      <c r="AS839" s="340"/>
      <c r="AT839" s="340"/>
      <c r="AU839" s="340"/>
      <c r="AV839" s="340"/>
      <c r="AW839" s="340"/>
      <c r="AX839" s="340"/>
      <c r="AY839" s="340"/>
      <c r="AZ839" s="340"/>
      <c r="BA839" s="340"/>
      <c r="BB839" s="340"/>
      <c r="BC839" s="340"/>
      <c r="BD839" s="340"/>
    </row>
    <row r="840" spans="3:56">
      <c r="C840" s="340"/>
      <c r="D840" s="340"/>
      <c r="E840" s="340"/>
      <c r="F840" s="340"/>
      <c r="G840" s="340"/>
      <c r="H840" s="340"/>
      <c r="I840" s="340"/>
      <c r="J840" s="340"/>
      <c r="K840" s="340"/>
      <c r="L840" s="340"/>
      <c r="M840" s="340"/>
      <c r="N840" s="340"/>
      <c r="O840" s="340"/>
      <c r="P840" s="340"/>
      <c r="Q840" s="340"/>
      <c r="R840" s="340"/>
      <c r="S840" s="340"/>
      <c r="T840" s="340"/>
      <c r="U840" s="340"/>
      <c r="V840" s="340"/>
      <c r="W840" s="340"/>
      <c r="X840" s="340"/>
      <c r="Y840" s="340"/>
      <c r="Z840" s="340"/>
      <c r="AA840" s="340"/>
      <c r="AB840" s="340"/>
      <c r="AC840" s="340"/>
      <c r="AD840" s="340"/>
      <c r="AE840" s="340"/>
      <c r="AF840" s="340"/>
      <c r="AG840" s="340"/>
      <c r="AH840" s="340"/>
      <c r="AI840" s="340"/>
      <c r="AJ840" s="340"/>
      <c r="AK840" s="340"/>
      <c r="AL840" s="340"/>
      <c r="AM840" s="340"/>
      <c r="AN840" s="340"/>
      <c r="AO840" s="340"/>
      <c r="AP840" s="340"/>
      <c r="AQ840" s="340"/>
      <c r="AR840" s="340"/>
      <c r="AS840" s="340"/>
      <c r="AT840" s="340"/>
      <c r="AU840" s="340"/>
      <c r="AV840" s="340"/>
      <c r="AW840" s="340"/>
      <c r="AX840" s="340"/>
      <c r="AY840" s="340"/>
      <c r="AZ840" s="340"/>
      <c r="BA840" s="340"/>
      <c r="BB840" s="340"/>
      <c r="BC840" s="340"/>
      <c r="BD840" s="340"/>
    </row>
    <row r="841" spans="3:56">
      <c r="C841" s="340"/>
      <c r="D841" s="340"/>
      <c r="E841" s="340"/>
      <c r="F841" s="340"/>
      <c r="G841" s="340"/>
      <c r="H841" s="340"/>
      <c r="I841" s="340"/>
      <c r="J841" s="340"/>
      <c r="K841" s="340"/>
      <c r="L841" s="340"/>
      <c r="M841" s="340"/>
      <c r="N841" s="340"/>
      <c r="O841" s="340"/>
      <c r="P841" s="340"/>
      <c r="Q841" s="340"/>
      <c r="R841" s="340"/>
      <c r="S841" s="340"/>
      <c r="T841" s="340"/>
      <c r="U841" s="340"/>
      <c r="V841" s="340"/>
      <c r="W841" s="340"/>
      <c r="X841" s="340"/>
      <c r="Y841" s="340"/>
      <c r="Z841" s="340"/>
      <c r="AA841" s="340"/>
      <c r="AB841" s="340"/>
      <c r="AC841" s="340"/>
      <c r="AD841" s="340"/>
      <c r="AE841" s="340"/>
      <c r="AF841" s="340"/>
      <c r="AG841" s="340"/>
      <c r="AH841" s="340"/>
      <c r="AI841" s="340"/>
      <c r="AJ841" s="340"/>
      <c r="AK841" s="340"/>
      <c r="AL841" s="340"/>
      <c r="AM841" s="340"/>
      <c r="AN841" s="340"/>
      <c r="AO841" s="340"/>
      <c r="AP841" s="340"/>
      <c r="AQ841" s="340"/>
      <c r="AR841" s="340"/>
      <c r="AS841" s="340"/>
      <c r="AT841" s="340"/>
      <c r="AU841" s="340"/>
      <c r="AV841" s="340"/>
      <c r="AW841" s="340"/>
      <c r="AX841" s="340"/>
      <c r="AY841" s="340"/>
      <c r="AZ841" s="340"/>
      <c r="BA841" s="340"/>
      <c r="BB841" s="340"/>
      <c r="BC841" s="340"/>
      <c r="BD841" s="340"/>
    </row>
    <row r="842" spans="3:56">
      <c r="C842" s="340"/>
      <c r="D842" s="340"/>
      <c r="E842" s="340"/>
      <c r="F842" s="340"/>
      <c r="G842" s="340"/>
      <c r="H842" s="340"/>
      <c r="I842" s="340"/>
      <c r="J842" s="340"/>
      <c r="K842" s="340"/>
      <c r="L842" s="340"/>
      <c r="M842" s="340"/>
      <c r="N842" s="340"/>
      <c r="O842" s="340"/>
      <c r="P842" s="340"/>
      <c r="Q842" s="340"/>
      <c r="R842" s="340"/>
      <c r="S842" s="340"/>
      <c r="T842" s="340"/>
      <c r="U842" s="340"/>
      <c r="V842" s="340"/>
      <c r="W842" s="340"/>
      <c r="X842" s="340"/>
      <c r="Y842" s="340"/>
      <c r="Z842" s="340"/>
      <c r="AA842" s="340"/>
      <c r="AB842" s="340"/>
      <c r="AC842" s="340"/>
      <c r="AD842" s="340"/>
      <c r="AE842" s="340"/>
      <c r="AF842" s="340"/>
      <c r="AG842" s="340"/>
      <c r="AH842" s="340"/>
      <c r="AI842" s="340"/>
      <c r="AJ842" s="340"/>
      <c r="AK842" s="340"/>
      <c r="AL842" s="340"/>
      <c r="AM842" s="340"/>
      <c r="AN842" s="340"/>
      <c r="AO842" s="340"/>
      <c r="AP842" s="340"/>
      <c r="AQ842" s="340"/>
      <c r="AR842" s="340"/>
      <c r="AS842" s="340"/>
      <c r="AT842" s="340"/>
      <c r="AU842" s="340"/>
      <c r="AV842" s="340"/>
      <c r="AW842" s="340"/>
      <c r="AX842" s="340"/>
      <c r="AY842" s="340"/>
      <c r="AZ842" s="340"/>
      <c r="BA842" s="340"/>
      <c r="BB842" s="340"/>
      <c r="BC842" s="340"/>
      <c r="BD842" s="340"/>
    </row>
    <row r="843" spans="3:56">
      <c r="C843" s="340"/>
      <c r="D843" s="340"/>
      <c r="E843" s="340"/>
      <c r="F843" s="340"/>
      <c r="G843" s="340"/>
      <c r="H843" s="340"/>
      <c r="I843" s="340"/>
      <c r="J843" s="340"/>
      <c r="K843" s="340"/>
      <c r="L843" s="340"/>
      <c r="M843" s="340"/>
      <c r="N843" s="340"/>
      <c r="O843" s="340"/>
      <c r="P843" s="340"/>
      <c r="Q843" s="340"/>
      <c r="R843" s="340"/>
      <c r="S843" s="340"/>
      <c r="T843" s="340"/>
      <c r="U843" s="340"/>
      <c r="V843" s="340"/>
      <c r="W843" s="340"/>
      <c r="X843" s="340"/>
      <c r="Y843" s="340"/>
      <c r="Z843" s="340"/>
      <c r="AA843" s="340"/>
      <c r="AB843" s="340"/>
      <c r="AC843" s="340"/>
      <c r="AD843" s="340"/>
      <c r="AE843" s="340"/>
      <c r="AF843" s="340"/>
      <c r="AG843" s="340"/>
      <c r="AH843" s="340"/>
      <c r="AI843" s="340"/>
      <c r="AJ843" s="340"/>
      <c r="AK843" s="340"/>
      <c r="AL843" s="340"/>
      <c r="AM843" s="340"/>
      <c r="AN843" s="340"/>
      <c r="AO843" s="340"/>
      <c r="AP843" s="340"/>
      <c r="AQ843" s="340"/>
      <c r="AR843" s="340"/>
      <c r="AS843" s="340"/>
      <c r="AT843" s="340"/>
      <c r="AU843" s="340"/>
      <c r="AV843" s="340"/>
      <c r="AW843" s="340"/>
      <c r="AX843" s="340"/>
      <c r="AY843" s="340"/>
      <c r="AZ843" s="340"/>
      <c r="BA843" s="340"/>
      <c r="BB843" s="340"/>
      <c r="BC843" s="340"/>
      <c r="BD843" s="340"/>
    </row>
    <row r="844" spans="3:56">
      <c r="C844" s="340"/>
      <c r="D844" s="340"/>
      <c r="E844" s="340"/>
      <c r="F844" s="340"/>
      <c r="G844" s="340"/>
      <c r="H844" s="340"/>
      <c r="I844" s="340"/>
      <c r="J844" s="340"/>
      <c r="K844" s="340"/>
      <c r="L844" s="340"/>
      <c r="M844" s="340"/>
      <c r="N844" s="340"/>
      <c r="O844" s="340"/>
      <c r="P844" s="340"/>
      <c r="Q844" s="340"/>
      <c r="R844" s="340"/>
      <c r="S844" s="340"/>
      <c r="T844" s="340"/>
      <c r="U844" s="340"/>
      <c r="V844" s="340"/>
      <c r="W844" s="340"/>
      <c r="X844" s="340"/>
      <c r="Y844" s="340"/>
      <c r="Z844" s="340"/>
      <c r="AA844" s="340"/>
      <c r="AB844" s="340"/>
      <c r="AC844" s="340"/>
      <c r="AD844" s="340"/>
      <c r="AE844" s="340"/>
      <c r="AF844" s="340"/>
      <c r="AG844" s="340"/>
      <c r="AH844" s="340"/>
      <c r="AI844" s="340"/>
      <c r="AJ844" s="340"/>
      <c r="AK844" s="340"/>
      <c r="AL844" s="340"/>
      <c r="AM844" s="340"/>
      <c r="AN844" s="340"/>
      <c r="AO844" s="340"/>
      <c r="AP844" s="340"/>
      <c r="AQ844" s="340"/>
      <c r="AR844" s="340"/>
      <c r="AS844" s="340"/>
      <c r="AT844" s="340"/>
      <c r="AU844" s="340"/>
      <c r="AV844" s="340"/>
      <c r="AW844" s="340"/>
      <c r="AX844" s="340"/>
      <c r="AY844" s="340"/>
      <c r="AZ844" s="340"/>
      <c r="BA844" s="340"/>
      <c r="BB844" s="340"/>
      <c r="BC844" s="340"/>
      <c r="BD844" s="340"/>
    </row>
    <row r="845" spans="3:56">
      <c r="C845" s="340"/>
      <c r="D845" s="340"/>
      <c r="E845" s="340"/>
      <c r="F845" s="340"/>
      <c r="G845" s="340"/>
      <c r="H845" s="340"/>
      <c r="I845" s="340"/>
      <c r="J845" s="340"/>
      <c r="K845" s="340"/>
      <c r="L845" s="340"/>
      <c r="M845" s="340"/>
      <c r="N845" s="340"/>
      <c r="O845" s="340"/>
      <c r="P845" s="340"/>
      <c r="Q845" s="340"/>
      <c r="R845" s="340"/>
      <c r="S845" s="340"/>
      <c r="T845" s="340"/>
      <c r="U845" s="340"/>
      <c r="V845" s="340"/>
      <c r="W845" s="340"/>
      <c r="X845" s="340"/>
      <c r="Y845" s="340"/>
      <c r="Z845" s="340"/>
      <c r="AA845" s="340"/>
      <c r="AB845" s="340"/>
      <c r="AC845" s="340"/>
      <c r="AD845" s="340"/>
      <c r="AE845" s="340"/>
      <c r="AF845" s="340"/>
      <c r="AG845" s="340"/>
      <c r="AH845" s="340"/>
      <c r="AI845" s="340"/>
      <c r="AJ845" s="340"/>
      <c r="AK845" s="340"/>
      <c r="AL845" s="340"/>
      <c r="AM845" s="340"/>
      <c r="AN845" s="340"/>
      <c r="AO845" s="340"/>
      <c r="AP845" s="340"/>
      <c r="AQ845" s="340"/>
      <c r="AR845" s="340"/>
      <c r="AS845" s="340"/>
      <c r="AT845" s="340"/>
      <c r="AU845" s="340"/>
      <c r="AV845" s="340"/>
      <c r="AW845" s="340"/>
      <c r="AX845" s="340"/>
      <c r="AY845" s="340"/>
      <c r="AZ845" s="340"/>
      <c r="BA845" s="340"/>
      <c r="BB845" s="340"/>
      <c r="BC845" s="340"/>
      <c r="BD845" s="340"/>
    </row>
    <row r="846" spans="3:56">
      <c r="C846" s="340"/>
      <c r="D846" s="340"/>
      <c r="E846" s="340"/>
      <c r="F846" s="340"/>
      <c r="G846" s="340"/>
      <c r="H846" s="340"/>
      <c r="I846" s="340"/>
      <c r="J846" s="340"/>
      <c r="K846" s="340"/>
      <c r="L846" s="340"/>
      <c r="M846" s="340"/>
      <c r="N846" s="340"/>
      <c r="O846" s="340"/>
      <c r="P846" s="340"/>
      <c r="Q846" s="340"/>
      <c r="R846" s="340"/>
      <c r="S846" s="340"/>
      <c r="T846" s="340"/>
      <c r="U846" s="340"/>
      <c r="V846" s="340"/>
      <c r="W846" s="340"/>
      <c r="X846" s="340"/>
      <c r="Y846" s="340"/>
      <c r="Z846" s="340"/>
      <c r="AA846" s="340"/>
      <c r="AB846" s="340"/>
      <c r="AC846" s="340"/>
      <c r="AD846" s="340"/>
      <c r="AE846" s="340"/>
      <c r="AF846" s="340"/>
      <c r="AG846" s="340"/>
      <c r="AH846" s="340"/>
      <c r="AI846" s="340"/>
      <c r="AJ846" s="340"/>
      <c r="AK846" s="340"/>
      <c r="AL846" s="340"/>
      <c r="AM846" s="340"/>
      <c r="AN846" s="340"/>
      <c r="AO846" s="340"/>
      <c r="AP846" s="340"/>
      <c r="AQ846" s="340"/>
      <c r="AR846" s="340"/>
      <c r="AS846" s="340"/>
      <c r="AT846" s="340"/>
      <c r="AU846" s="340"/>
      <c r="AV846" s="340"/>
      <c r="AW846" s="340"/>
      <c r="AX846" s="340"/>
      <c r="AY846" s="340"/>
      <c r="AZ846" s="340"/>
      <c r="BA846" s="340"/>
      <c r="BB846" s="340"/>
      <c r="BC846" s="340"/>
      <c r="BD846" s="340"/>
    </row>
    <row r="847" spans="3:56">
      <c r="C847" s="340"/>
      <c r="D847" s="340"/>
      <c r="E847" s="340"/>
      <c r="F847" s="340"/>
      <c r="G847" s="340"/>
      <c r="H847" s="340"/>
      <c r="I847" s="340"/>
      <c r="J847" s="340"/>
      <c r="K847" s="340"/>
      <c r="L847" s="340"/>
      <c r="M847" s="340"/>
      <c r="N847" s="340"/>
      <c r="O847" s="340"/>
      <c r="P847" s="340"/>
      <c r="Q847" s="340"/>
      <c r="R847" s="340"/>
      <c r="S847" s="340"/>
      <c r="T847" s="340"/>
      <c r="U847" s="340"/>
      <c r="V847" s="340"/>
      <c r="W847" s="340"/>
      <c r="X847" s="340"/>
      <c r="Y847" s="340"/>
      <c r="Z847" s="340"/>
      <c r="AA847" s="340"/>
      <c r="AB847" s="340"/>
      <c r="AC847" s="340"/>
      <c r="AD847" s="340"/>
      <c r="AE847" s="340"/>
      <c r="AF847" s="340"/>
      <c r="AG847" s="340"/>
      <c r="AH847" s="340"/>
      <c r="AI847" s="340"/>
      <c r="AJ847" s="340"/>
      <c r="AK847" s="340"/>
      <c r="AL847" s="340"/>
      <c r="AM847" s="340"/>
      <c r="AN847" s="340"/>
      <c r="AO847" s="340"/>
      <c r="AP847" s="340"/>
      <c r="AQ847" s="340"/>
      <c r="AR847" s="340"/>
      <c r="AS847" s="340"/>
      <c r="AT847" s="340"/>
      <c r="AU847" s="340"/>
      <c r="AV847" s="340"/>
      <c r="AW847" s="340"/>
      <c r="AX847" s="340"/>
      <c r="AY847" s="340"/>
      <c r="AZ847" s="340"/>
      <c r="BA847" s="340"/>
      <c r="BB847" s="340"/>
      <c r="BC847" s="340"/>
      <c r="BD847" s="340"/>
    </row>
    <row r="848" spans="3:56">
      <c r="C848" s="340"/>
      <c r="D848" s="340"/>
      <c r="E848" s="340"/>
      <c r="F848" s="340"/>
      <c r="G848" s="340"/>
      <c r="H848" s="340"/>
      <c r="I848" s="340"/>
      <c r="J848" s="340"/>
      <c r="K848" s="340"/>
      <c r="L848" s="340"/>
      <c r="M848" s="340"/>
      <c r="N848" s="340"/>
      <c r="O848" s="340"/>
      <c r="P848" s="340"/>
      <c r="Q848" s="340"/>
      <c r="R848" s="340"/>
      <c r="S848" s="340"/>
      <c r="T848" s="340"/>
      <c r="U848" s="340"/>
      <c r="V848" s="340"/>
      <c r="W848" s="340"/>
      <c r="X848" s="340"/>
      <c r="Y848" s="340"/>
      <c r="Z848" s="340"/>
      <c r="AA848" s="340"/>
      <c r="AB848" s="340"/>
      <c r="AC848" s="340"/>
      <c r="AD848" s="340"/>
      <c r="AE848" s="340"/>
      <c r="AF848" s="340"/>
      <c r="AG848" s="340"/>
      <c r="AH848" s="340"/>
      <c r="AI848" s="340"/>
      <c r="AJ848" s="340"/>
      <c r="AK848" s="340"/>
      <c r="AL848" s="340"/>
      <c r="AM848" s="340"/>
      <c r="AN848" s="340"/>
      <c r="AO848" s="340"/>
      <c r="AP848" s="340"/>
      <c r="AQ848" s="340"/>
      <c r="AR848" s="340"/>
      <c r="AS848" s="340"/>
      <c r="AT848" s="340"/>
      <c r="AU848" s="340"/>
      <c r="AV848" s="340"/>
      <c r="AW848" s="340"/>
      <c r="AX848" s="340"/>
      <c r="AY848" s="340"/>
      <c r="AZ848" s="340"/>
      <c r="BA848" s="340"/>
      <c r="BB848" s="340"/>
      <c r="BC848" s="340"/>
      <c r="BD848" s="340"/>
    </row>
    <row r="849" spans="3:56">
      <c r="C849" s="340"/>
      <c r="D849" s="340"/>
      <c r="E849" s="340"/>
      <c r="F849" s="340"/>
      <c r="G849" s="340"/>
      <c r="H849" s="340"/>
      <c r="I849" s="340"/>
      <c r="J849" s="340"/>
      <c r="K849" s="340"/>
      <c r="L849" s="340"/>
      <c r="M849" s="340"/>
      <c r="N849" s="340"/>
      <c r="O849" s="340"/>
      <c r="P849" s="340"/>
      <c r="Q849" s="340"/>
      <c r="R849" s="340"/>
      <c r="S849" s="340"/>
      <c r="T849" s="340"/>
      <c r="U849" s="340"/>
      <c r="V849" s="340"/>
      <c r="W849" s="340"/>
      <c r="X849" s="340"/>
      <c r="Y849" s="340"/>
      <c r="Z849" s="340"/>
      <c r="AA849" s="340"/>
      <c r="AB849" s="340"/>
      <c r="AC849" s="340"/>
      <c r="AD849" s="340"/>
      <c r="AE849" s="340"/>
      <c r="AF849" s="340"/>
      <c r="AG849" s="340"/>
      <c r="AH849" s="340"/>
      <c r="AI849" s="340"/>
      <c r="AJ849" s="340"/>
      <c r="AK849" s="340"/>
      <c r="AL849" s="340"/>
      <c r="AM849" s="340"/>
      <c r="AN849" s="340"/>
      <c r="AO849" s="340"/>
      <c r="AP849" s="340"/>
      <c r="AQ849" s="340"/>
      <c r="AR849" s="340"/>
      <c r="AS849" s="340"/>
      <c r="AT849" s="340"/>
      <c r="AU849" s="340"/>
      <c r="AV849" s="340"/>
      <c r="AW849" s="340"/>
      <c r="AX849" s="340"/>
      <c r="AY849" s="340"/>
      <c r="AZ849" s="340"/>
      <c r="BA849" s="340"/>
      <c r="BB849" s="340"/>
      <c r="BC849" s="340"/>
      <c r="BD849" s="340"/>
    </row>
    <row r="850" spans="3:56">
      <c r="C850" s="340"/>
      <c r="D850" s="340"/>
      <c r="E850" s="340"/>
      <c r="F850" s="340"/>
      <c r="G850" s="340"/>
      <c r="H850" s="340"/>
      <c r="I850" s="340"/>
      <c r="J850" s="340"/>
      <c r="K850" s="340"/>
      <c r="L850" s="340"/>
      <c r="M850" s="340"/>
      <c r="N850" s="340"/>
      <c r="O850" s="340"/>
      <c r="P850" s="340"/>
      <c r="Q850" s="340"/>
      <c r="R850" s="340"/>
      <c r="S850" s="340"/>
      <c r="T850" s="340"/>
      <c r="U850" s="340"/>
      <c r="V850" s="340"/>
      <c r="W850" s="340"/>
      <c r="X850" s="340"/>
      <c r="Y850" s="340"/>
      <c r="Z850" s="340"/>
      <c r="AA850" s="340"/>
      <c r="AB850" s="340"/>
      <c r="AC850" s="340"/>
      <c r="AD850" s="340"/>
      <c r="AE850" s="340"/>
      <c r="AF850" s="340"/>
      <c r="AG850" s="340"/>
      <c r="AH850" s="340"/>
      <c r="AI850" s="340"/>
      <c r="AJ850" s="340"/>
      <c r="AK850" s="340"/>
      <c r="AL850" s="340"/>
      <c r="AM850" s="340"/>
      <c r="AN850" s="340"/>
      <c r="AO850" s="340"/>
      <c r="AP850" s="340"/>
      <c r="AQ850" s="340"/>
      <c r="AR850" s="340"/>
      <c r="AS850" s="340"/>
      <c r="AT850" s="340"/>
      <c r="AU850" s="340"/>
      <c r="AV850" s="340"/>
      <c r="AW850" s="340"/>
      <c r="AX850" s="340"/>
      <c r="AY850" s="340"/>
      <c r="AZ850" s="340"/>
      <c r="BA850" s="340"/>
      <c r="BB850" s="340"/>
      <c r="BC850" s="340"/>
      <c r="BD850" s="340"/>
    </row>
    <row r="851" spans="3:56">
      <c r="C851" s="340"/>
      <c r="D851" s="340"/>
      <c r="E851" s="340"/>
      <c r="F851" s="340"/>
      <c r="G851" s="340"/>
      <c r="H851" s="340"/>
      <c r="I851" s="340"/>
      <c r="J851" s="340"/>
      <c r="K851" s="340"/>
      <c r="L851" s="340"/>
      <c r="M851" s="340"/>
      <c r="N851" s="340"/>
      <c r="O851" s="340"/>
      <c r="P851" s="340"/>
      <c r="Q851" s="340"/>
      <c r="R851" s="340"/>
      <c r="S851" s="340"/>
      <c r="T851" s="340"/>
      <c r="U851" s="340"/>
      <c r="V851" s="340"/>
      <c r="W851" s="340"/>
      <c r="X851" s="340"/>
      <c r="Y851" s="340"/>
      <c r="Z851" s="340"/>
      <c r="AA851" s="340"/>
      <c r="AB851" s="340"/>
      <c r="AC851" s="340"/>
      <c r="AD851" s="340"/>
      <c r="AE851" s="340"/>
      <c r="AF851" s="340"/>
      <c r="AG851" s="340"/>
      <c r="AH851" s="340"/>
      <c r="AI851" s="340"/>
      <c r="AJ851" s="340"/>
      <c r="AK851" s="340"/>
      <c r="AL851" s="340"/>
      <c r="AM851" s="340"/>
      <c r="AN851" s="340"/>
      <c r="AO851" s="340"/>
      <c r="AP851" s="340"/>
      <c r="AQ851" s="340"/>
      <c r="AR851" s="340"/>
      <c r="AS851" s="340"/>
      <c r="AT851" s="340"/>
      <c r="AU851" s="340"/>
      <c r="AV851" s="340"/>
      <c r="AW851" s="340"/>
      <c r="AX851" s="340"/>
      <c r="AY851" s="340"/>
      <c r="AZ851" s="340"/>
      <c r="BA851" s="340"/>
      <c r="BB851" s="340"/>
      <c r="BC851" s="340"/>
      <c r="BD851" s="340"/>
    </row>
    <row r="852" spans="3:56">
      <c r="C852" s="340"/>
      <c r="D852" s="340"/>
      <c r="E852" s="340"/>
      <c r="F852" s="340"/>
      <c r="G852" s="340"/>
      <c r="H852" s="340"/>
      <c r="I852" s="340"/>
      <c r="J852" s="340"/>
      <c r="K852" s="340"/>
      <c r="L852" s="340"/>
      <c r="M852" s="340"/>
      <c r="N852" s="340"/>
      <c r="O852" s="340"/>
      <c r="P852" s="340"/>
      <c r="Q852" s="340"/>
      <c r="R852" s="340"/>
      <c r="S852" s="340"/>
      <c r="T852" s="340"/>
      <c r="U852" s="340"/>
      <c r="V852" s="340"/>
      <c r="W852" s="340"/>
      <c r="X852" s="340"/>
      <c r="Y852" s="340"/>
      <c r="Z852" s="340"/>
      <c r="AA852" s="340"/>
      <c r="AB852" s="340"/>
      <c r="AC852" s="340"/>
      <c r="AD852" s="340"/>
      <c r="AE852" s="340"/>
      <c r="AF852" s="340"/>
      <c r="AG852" s="340"/>
      <c r="AH852" s="340"/>
      <c r="AI852" s="340"/>
      <c r="AJ852" s="340"/>
      <c r="AK852" s="340"/>
      <c r="AL852" s="340"/>
      <c r="AM852" s="340"/>
      <c r="AN852" s="340"/>
      <c r="AO852" s="340"/>
      <c r="AP852" s="340"/>
      <c r="AQ852" s="340"/>
      <c r="AR852" s="340"/>
      <c r="AS852" s="340"/>
      <c r="AT852" s="340"/>
      <c r="AU852" s="340"/>
      <c r="AV852" s="340"/>
      <c r="AW852" s="340"/>
      <c r="AX852" s="340"/>
      <c r="AY852" s="340"/>
      <c r="AZ852" s="340"/>
      <c r="BA852" s="340"/>
      <c r="BB852" s="340"/>
      <c r="BC852" s="340"/>
      <c r="BD852" s="340"/>
    </row>
    <row r="853" spans="3:56">
      <c r="C853" s="340"/>
      <c r="D853" s="340"/>
      <c r="E853" s="340"/>
      <c r="F853" s="340"/>
      <c r="G853" s="340"/>
      <c r="H853" s="340"/>
      <c r="I853" s="340"/>
      <c r="J853" s="340"/>
      <c r="K853" s="340"/>
      <c r="L853" s="340"/>
      <c r="M853" s="340"/>
      <c r="N853" s="340"/>
      <c r="O853" s="340"/>
      <c r="P853" s="340"/>
      <c r="Q853" s="340"/>
      <c r="R853" s="340"/>
      <c r="S853" s="340"/>
      <c r="T853" s="340"/>
      <c r="U853" s="340"/>
      <c r="V853" s="340"/>
      <c r="W853" s="340"/>
      <c r="X853" s="340"/>
      <c r="Y853" s="340"/>
      <c r="Z853" s="340"/>
      <c r="AA853" s="340"/>
      <c r="AB853" s="340"/>
      <c r="AC853" s="340"/>
      <c r="AD853" s="340"/>
      <c r="AE853" s="340"/>
      <c r="AF853" s="340"/>
      <c r="AG853" s="340"/>
      <c r="AH853" s="340"/>
      <c r="AI853" s="340"/>
      <c r="AJ853" s="340"/>
      <c r="AK853" s="340"/>
      <c r="AL853" s="340"/>
      <c r="AM853" s="340"/>
      <c r="AN853" s="340"/>
      <c r="AO853" s="340"/>
      <c r="AP853" s="340"/>
      <c r="AQ853" s="340"/>
      <c r="AR853" s="340"/>
      <c r="AS853" s="340"/>
      <c r="AT853" s="340"/>
      <c r="AU853" s="340"/>
      <c r="AV853" s="340"/>
      <c r="AW853" s="340"/>
      <c r="AX853" s="340"/>
      <c r="AY853" s="340"/>
      <c r="AZ853" s="340"/>
      <c r="BA853" s="340"/>
      <c r="BB853" s="340"/>
      <c r="BC853" s="340"/>
      <c r="BD853" s="340"/>
    </row>
    <row r="854" spans="3:56">
      <c r="C854" s="340"/>
      <c r="D854" s="340"/>
      <c r="E854" s="340"/>
      <c r="F854" s="340"/>
      <c r="G854" s="340"/>
      <c r="H854" s="340"/>
      <c r="I854" s="340"/>
      <c r="J854" s="340"/>
      <c r="K854" s="340"/>
      <c r="L854" s="340"/>
      <c r="M854" s="340"/>
      <c r="N854" s="340"/>
      <c r="O854" s="340"/>
      <c r="P854" s="340"/>
      <c r="Q854" s="340"/>
      <c r="R854" s="340"/>
      <c r="S854" s="340"/>
      <c r="T854" s="340"/>
      <c r="U854" s="340"/>
      <c r="V854" s="340"/>
      <c r="W854" s="340"/>
      <c r="X854" s="340"/>
      <c r="Y854" s="340"/>
      <c r="Z854" s="340"/>
      <c r="AA854" s="340"/>
      <c r="AB854" s="340"/>
      <c r="AC854" s="340"/>
      <c r="AD854" s="340"/>
      <c r="AE854" s="340"/>
      <c r="AF854" s="340"/>
      <c r="AG854" s="340"/>
      <c r="AH854" s="340"/>
      <c r="AI854" s="340"/>
      <c r="AJ854" s="340"/>
      <c r="AK854" s="340"/>
      <c r="AL854" s="340"/>
      <c r="AM854" s="340"/>
      <c r="AN854" s="340"/>
      <c r="AO854" s="340"/>
      <c r="AP854" s="340"/>
      <c r="AQ854" s="340"/>
      <c r="AR854" s="340"/>
      <c r="AS854" s="340"/>
      <c r="AT854" s="340"/>
      <c r="AU854" s="340"/>
      <c r="AV854" s="340"/>
      <c r="AW854" s="340"/>
      <c r="AX854" s="340"/>
      <c r="AY854" s="340"/>
      <c r="AZ854" s="340"/>
      <c r="BA854" s="340"/>
      <c r="BB854" s="340"/>
      <c r="BC854" s="340"/>
      <c r="BD854" s="340"/>
    </row>
    <row r="855" spans="3:56">
      <c r="C855" s="340"/>
      <c r="D855" s="340"/>
      <c r="E855" s="340"/>
      <c r="F855" s="340"/>
      <c r="G855" s="340"/>
      <c r="H855" s="340"/>
      <c r="I855" s="340"/>
      <c r="J855" s="340"/>
      <c r="K855" s="340"/>
      <c r="L855" s="340"/>
      <c r="M855" s="340"/>
      <c r="N855" s="340"/>
      <c r="O855" s="340"/>
      <c r="P855" s="340"/>
      <c r="Q855" s="340"/>
      <c r="R855" s="340"/>
      <c r="S855" s="340"/>
      <c r="T855" s="340"/>
      <c r="U855" s="340"/>
      <c r="V855" s="340"/>
      <c r="W855" s="340"/>
      <c r="X855" s="340"/>
      <c r="Y855" s="340"/>
      <c r="Z855" s="340"/>
      <c r="AA855" s="340"/>
      <c r="AB855" s="340"/>
      <c r="AC855" s="340"/>
      <c r="AD855" s="340"/>
      <c r="AE855" s="340"/>
      <c r="AF855" s="340"/>
      <c r="AG855" s="340"/>
      <c r="AH855" s="340"/>
      <c r="AI855" s="340"/>
      <c r="AJ855" s="340"/>
      <c r="AK855" s="340"/>
      <c r="AL855" s="340"/>
      <c r="AM855" s="340"/>
      <c r="AN855" s="340"/>
      <c r="AO855" s="340"/>
      <c r="AP855" s="340"/>
      <c r="AQ855" s="340"/>
      <c r="AR855" s="340"/>
      <c r="AS855" s="340"/>
      <c r="AT855" s="340"/>
      <c r="AU855" s="340"/>
      <c r="AV855" s="340"/>
      <c r="AW855" s="340"/>
      <c r="AX855" s="340"/>
      <c r="AY855" s="340"/>
      <c r="AZ855" s="340"/>
      <c r="BA855" s="340"/>
      <c r="BB855" s="340"/>
      <c r="BC855" s="340"/>
      <c r="BD855" s="340"/>
    </row>
    <row r="856" spans="3:56">
      <c r="C856" s="340"/>
      <c r="D856" s="340"/>
      <c r="E856" s="340"/>
      <c r="F856" s="340"/>
      <c r="G856" s="340"/>
      <c r="H856" s="340"/>
      <c r="I856" s="340"/>
      <c r="J856" s="340"/>
      <c r="K856" s="340"/>
      <c r="L856" s="340"/>
      <c r="M856" s="340"/>
      <c r="N856" s="340"/>
      <c r="O856" s="340"/>
      <c r="P856" s="340"/>
      <c r="Q856" s="340"/>
      <c r="R856" s="340"/>
      <c r="S856" s="340"/>
      <c r="T856" s="340"/>
      <c r="U856" s="340"/>
      <c r="V856" s="340"/>
      <c r="W856" s="340"/>
      <c r="X856" s="340"/>
      <c r="Y856" s="340"/>
      <c r="Z856" s="340"/>
      <c r="AA856" s="340"/>
      <c r="AB856" s="340"/>
      <c r="AC856" s="340"/>
      <c r="AD856" s="340"/>
      <c r="AE856" s="340"/>
      <c r="AF856" s="340"/>
      <c r="AG856" s="340"/>
      <c r="AH856" s="340"/>
      <c r="AI856" s="340"/>
      <c r="AJ856" s="340"/>
      <c r="AK856" s="340"/>
      <c r="AL856" s="340"/>
      <c r="AM856" s="340"/>
      <c r="AN856" s="340"/>
      <c r="AO856" s="340"/>
      <c r="AP856" s="340"/>
      <c r="AQ856" s="340"/>
      <c r="AR856" s="340"/>
      <c r="AS856" s="340"/>
      <c r="AT856" s="340"/>
      <c r="AU856" s="340"/>
      <c r="AV856" s="340"/>
      <c r="AW856" s="340"/>
      <c r="AX856" s="340"/>
      <c r="AY856" s="340"/>
      <c r="AZ856" s="340"/>
      <c r="BA856" s="340"/>
      <c r="BB856" s="340"/>
      <c r="BC856" s="340"/>
      <c r="BD856" s="340"/>
    </row>
    <row r="857" spans="3:56">
      <c r="C857" s="340"/>
      <c r="D857" s="340"/>
      <c r="E857" s="340"/>
      <c r="F857" s="340"/>
      <c r="G857" s="340"/>
      <c r="H857" s="340"/>
      <c r="I857" s="340"/>
      <c r="J857" s="340"/>
      <c r="K857" s="340"/>
      <c r="L857" s="340"/>
      <c r="M857" s="340"/>
      <c r="N857" s="340"/>
      <c r="O857" s="340"/>
      <c r="P857" s="340"/>
      <c r="Q857" s="340"/>
      <c r="R857" s="340"/>
      <c r="S857" s="340"/>
      <c r="T857" s="340"/>
      <c r="U857" s="340"/>
      <c r="V857" s="340"/>
      <c r="W857" s="340"/>
      <c r="X857" s="340"/>
      <c r="Y857" s="340"/>
      <c r="Z857" s="340"/>
      <c r="AA857" s="340"/>
      <c r="AB857" s="340"/>
      <c r="AC857" s="340"/>
      <c r="AD857" s="340"/>
      <c r="AE857" s="340"/>
      <c r="AF857" s="340"/>
      <c r="AG857" s="340"/>
      <c r="AH857" s="340"/>
      <c r="AI857" s="340"/>
      <c r="AJ857" s="340"/>
      <c r="AK857" s="340"/>
      <c r="AL857" s="340"/>
      <c r="AM857" s="340"/>
      <c r="AN857" s="340"/>
      <c r="AO857" s="340"/>
      <c r="AP857" s="340"/>
      <c r="AQ857" s="340"/>
      <c r="AR857" s="340"/>
      <c r="AS857" s="340"/>
      <c r="AT857" s="340"/>
      <c r="AU857" s="340"/>
      <c r="AV857" s="340"/>
      <c r="AW857" s="340"/>
      <c r="AX857" s="340"/>
      <c r="AY857" s="340"/>
      <c r="AZ857" s="340"/>
      <c r="BA857" s="340"/>
      <c r="BB857" s="340"/>
      <c r="BC857" s="340"/>
      <c r="BD857" s="340"/>
    </row>
    <row r="858" spans="3:56">
      <c r="C858" s="340"/>
      <c r="D858" s="340"/>
      <c r="E858" s="340"/>
      <c r="F858" s="340"/>
      <c r="G858" s="340"/>
      <c r="H858" s="340"/>
      <c r="I858" s="340"/>
      <c r="J858" s="340"/>
      <c r="K858" s="340"/>
      <c r="L858" s="340"/>
      <c r="M858" s="340"/>
      <c r="N858" s="340"/>
      <c r="O858" s="340"/>
      <c r="P858" s="340"/>
      <c r="Q858" s="340"/>
      <c r="R858" s="340"/>
      <c r="S858" s="340"/>
      <c r="T858" s="340"/>
      <c r="U858" s="340"/>
      <c r="V858" s="340"/>
      <c r="W858" s="340"/>
      <c r="X858" s="340"/>
      <c r="Y858" s="340"/>
      <c r="Z858" s="340"/>
      <c r="AA858" s="340"/>
      <c r="AB858" s="340"/>
      <c r="AC858" s="340"/>
      <c r="AD858" s="340"/>
      <c r="AE858" s="340"/>
      <c r="AF858" s="340"/>
      <c r="AG858" s="340"/>
      <c r="AH858" s="340"/>
      <c r="AI858" s="340"/>
      <c r="AJ858" s="340"/>
      <c r="AK858" s="340"/>
      <c r="AL858" s="340"/>
      <c r="AM858" s="340"/>
      <c r="AN858" s="340"/>
      <c r="AO858" s="340"/>
      <c r="AP858" s="340"/>
      <c r="AQ858" s="340"/>
      <c r="AR858" s="340"/>
      <c r="AS858" s="340"/>
      <c r="AT858" s="340"/>
      <c r="AU858" s="340"/>
      <c r="AV858" s="340"/>
      <c r="AW858" s="340"/>
      <c r="AX858" s="340"/>
      <c r="AY858" s="340"/>
      <c r="AZ858" s="340"/>
      <c r="BA858" s="340"/>
      <c r="BB858" s="340"/>
      <c r="BC858" s="340"/>
      <c r="BD858" s="340"/>
    </row>
    <row r="859" spans="3:56">
      <c r="C859" s="340"/>
      <c r="D859" s="340"/>
      <c r="E859" s="340"/>
      <c r="F859" s="340"/>
      <c r="G859" s="340"/>
      <c r="H859" s="340"/>
      <c r="I859" s="340"/>
      <c r="J859" s="340"/>
      <c r="K859" s="340"/>
      <c r="L859" s="340"/>
      <c r="M859" s="340"/>
      <c r="N859" s="340"/>
      <c r="O859" s="340"/>
      <c r="P859" s="340"/>
      <c r="Q859" s="340"/>
      <c r="R859" s="340"/>
      <c r="S859" s="340"/>
      <c r="T859" s="340"/>
      <c r="U859" s="340"/>
      <c r="V859" s="340"/>
      <c r="W859" s="340"/>
      <c r="X859" s="340"/>
      <c r="Y859" s="340"/>
      <c r="Z859" s="340"/>
      <c r="AA859" s="340"/>
      <c r="AB859" s="340"/>
      <c r="AC859" s="340"/>
      <c r="AD859" s="340"/>
      <c r="AE859" s="340"/>
      <c r="AF859" s="340"/>
      <c r="AG859" s="340"/>
      <c r="AH859" s="340"/>
      <c r="AI859" s="340"/>
      <c r="AJ859" s="340"/>
      <c r="AK859" s="340"/>
      <c r="AL859" s="340"/>
      <c r="AM859" s="340"/>
      <c r="AN859" s="340"/>
      <c r="AO859" s="340"/>
      <c r="AP859" s="340"/>
      <c r="AQ859" s="340"/>
      <c r="AR859" s="340"/>
      <c r="AS859" s="340"/>
      <c r="AT859" s="340"/>
      <c r="AU859" s="340"/>
      <c r="AV859" s="340"/>
      <c r="AW859" s="340"/>
      <c r="AX859" s="340"/>
      <c r="AY859" s="340"/>
      <c r="AZ859" s="340"/>
      <c r="BA859" s="340"/>
      <c r="BB859" s="340"/>
      <c r="BC859" s="340"/>
      <c r="BD859" s="340"/>
    </row>
    <row r="860" spans="3:56">
      <c r="C860" s="340"/>
      <c r="D860" s="340"/>
      <c r="E860" s="340"/>
      <c r="F860" s="340"/>
      <c r="G860" s="340"/>
      <c r="H860" s="340"/>
      <c r="I860" s="340"/>
      <c r="J860" s="340"/>
      <c r="K860" s="340"/>
      <c r="L860" s="340"/>
      <c r="M860" s="340"/>
      <c r="N860" s="340"/>
      <c r="O860" s="340"/>
      <c r="P860" s="340"/>
      <c r="Q860" s="340"/>
      <c r="R860" s="340"/>
      <c r="S860" s="340"/>
      <c r="T860" s="340"/>
      <c r="U860" s="340"/>
      <c r="V860" s="340"/>
      <c r="W860" s="340"/>
      <c r="X860" s="340"/>
      <c r="Y860" s="340"/>
      <c r="Z860" s="340"/>
      <c r="AA860" s="340"/>
      <c r="AB860" s="340"/>
      <c r="AC860" s="340"/>
      <c r="AD860" s="340"/>
      <c r="AE860" s="340"/>
      <c r="AF860" s="340"/>
      <c r="AG860" s="340"/>
      <c r="AH860" s="340"/>
      <c r="AI860" s="340"/>
      <c r="AJ860" s="340"/>
      <c r="AK860" s="340"/>
      <c r="AL860" s="340"/>
      <c r="AM860" s="340"/>
      <c r="AN860" s="340"/>
      <c r="AO860" s="340"/>
      <c r="AP860" s="340"/>
      <c r="AQ860" s="340"/>
      <c r="AR860" s="340"/>
      <c r="AS860" s="340"/>
      <c r="AT860" s="340"/>
      <c r="AU860" s="340"/>
      <c r="AV860" s="340"/>
      <c r="AW860" s="340"/>
      <c r="AX860" s="340"/>
      <c r="AY860" s="340"/>
      <c r="AZ860" s="340"/>
      <c r="BA860" s="340"/>
      <c r="BB860" s="340"/>
      <c r="BC860" s="340"/>
      <c r="BD860" s="340"/>
    </row>
    <row r="861" spans="3:56">
      <c r="C861" s="340"/>
      <c r="D861" s="340"/>
      <c r="E861" s="340"/>
      <c r="F861" s="340"/>
      <c r="G861" s="340"/>
      <c r="H861" s="340"/>
      <c r="I861" s="340"/>
      <c r="J861" s="340"/>
      <c r="K861" s="340"/>
      <c r="L861" s="340"/>
      <c r="M861" s="340"/>
      <c r="N861" s="340"/>
      <c r="O861" s="340"/>
      <c r="P861" s="340"/>
      <c r="Q861" s="340"/>
      <c r="R861" s="340"/>
      <c r="S861" s="340"/>
      <c r="T861" s="340"/>
      <c r="U861" s="340"/>
      <c r="V861" s="340"/>
      <c r="W861" s="340"/>
      <c r="X861" s="340"/>
      <c r="Y861" s="340"/>
      <c r="Z861" s="340"/>
      <c r="AA861" s="340"/>
      <c r="AB861" s="340"/>
      <c r="AC861" s="340"/>
      <c r="AD861" s="340"/>
      <c r="AE861" s="340"/>
      <c r="AF861" s="340"/>
      <c r="AG861" s="340"/>
      <c r="AH861" s="340"/>
      <c r="AI861" s="340"/>
      <c r="AJ861" s="340"/>
      <c r="AK861" s="340"/>
      <c r="AL861" s="340"/>
      <c r="AM861" s="340"/>
      <c r="AN861" s="340"/>
      <c r="AO861" s="340"/>
      <c r="AP861" s="340"/>
      <c r="AQ861" s="340"/>
      <c r="AR861" s="340"/>
      <c r="AS861" s="340"/>
      <c r="AT861" s="340"/>
      <c r="AU861" s="340"/>
      <c r="AV861" s="340"/>
      <c r="AW861" s="340"/>
      <c r="AX861" s="340"/>
      <c r="AY861" s="340"/>
      <c r="AZ861" s="340"/>
      <c r="BA861" s="340"/>
      <c r="BB861" s="340"/>
      <c r="BC861" s="340"/>
      <c r="BD861" s="340"/>
    </row>
    <row r="862" spans="3:56">
      <c r="C862" s="340"/>
      <c r="D862" s="340"/>
      <c r="E862" s="340"/>
      <c r="F862" s="340"/>
      <c r="G862" s="340"/>
      <c r="H862" s="340"/>
      <c r="I862" s="340"/>
      <c r="J862" s="340"/>
      <c r="K862" s="340"/>
      <c r="L862" s="340"/>
      <c r="M862" s="340"/>
      <c r="N862" s="340"/>
      <c r="O862" s="340"/>
      <c r="P862" s="340"/>
      <c r="Q862" s="340"/>
      <c r="R862" s="340"/>
      <c r="S862" s="340"/>
      <c r="T862" s="340"/>
      <c r="U862" s="340"/>
      <c r="V862" s="340"/>
      <c r="W862" s="340"/>
      <c r="X862" s="340"/>
      <c r="Y862" s="340"/>
      <c r="Z862" s="340"/>
      <c r="AA862" s="340"/>
      <c r="AB862" s="340"/>
      <c r="AC862" s="340"/>
      <c r="AD862" s="340"/>
      <c r="AE862" s="340"/>
      <c r="AF862" s="340"/>
      <c r="AG862" s="340"/>
      <c r="AH862" s="340"/>
      <c r="AI862" s="340"/>
      <c r="AJ862" s="340"/>
      <c r="AK862" s="340"/>
      <c r="AL862" s="340"/>
      <c r="AM862" s="340"/>
      <c r="AN862" s="340"/>
      <c r="AO862" s="340"/>
      <c r="AP862" s="340"/>
      <c r="AQ862" s="340"/>
      <c r="AR862" s="340"/>
      <c r="AS862" s="340"/>
      <c r="AT862" s="340"/>
      <c r="AU862" s="340"/>
      <c r="AV862" s="340"/>
      <c r="AW862" s="340"/>
      <c r="AX862" s="340"/>
      <c r="AY862" s="340"/>
      <c r="AZ862" s="340"/>
      <c r="BA862" s="340"/>
      <c r="BB862" s="340"/>
      <c r="BC862" s="340"/>
      <c r="BD862" s="340"/>
    </row>
    <row r="863" spans="3:56">
      <c r="C863" s="340"/>
      <c r="D863" s="340"/>
      <c r="E863" s="340"/>
      <c r="F863" s="340"/>
      <c r="G863" s="340"/>
      <c r="H863" s="340"/>
      <c r="I863" s="340"/>
      <c r="J863" s="340"/>
      <c r="K863" s="340"/>
      <c r="L863" s="340"/>
      <c r="M863" s="340"/>
      <c r="N863" s="340"/>
      <c r="O863" s="340"/>
      <c r="P863" s="340"/>
      <c r="Q863" s="340"/>
      <c r="R863" s="340"/>
      <c r="S863" s="340"/>
      <c r="T863" s="340"/>
      <c r="U863" s="340"/>
      <c r="V863" s="340"/>
      <c r="W863" s="340"/>
      <c r="X863" s="340"/>
      <c r="Y863" s="340"/>
      <c r="Z863" s="340"/>
      <c r="AA863" s="340"/>
      <c r="AB863" s="340"/>
      <c r="AC863" s="340"/>
      <c r="AD863" s="340"/>
      <c r="AE863" s="340"/>
      <c r="AF863" s="340"/>
      <c r="AG863" s="340"/>
      <c r="AH863" s="340"/>
      <c r="AI863" s="340"/>
      <c r="AJ863" s="340"/>
      <c r="AK863" s="340"/>
      <c r="AL863" s="340"/>
      <c r="AM863" s="340"/>
      <c r="AN863" s="340"/>
      <c r="AO863" s="340"/>
      <c r="AP863" s="340"/>
      <c r="AQ863" s="340"/>
      <c r="AR863" s="340"/>
      <c r="AS863" s="340"/>
      <c r="AT863" s="340"/>
      <c r="AU863" s="340"/>
      <c r="AV863" s="340"/>
      <c r="AW863" s="340"/>
      <c r="AX863" s="340"/>
      <c r="AY863" s="340"/>
      <c r="AZ863" s="340"/>
      <c r="BA863" s="340"/>
      <c r="BB863" s="340"/>
      <c r="BC863" s="340"/>
      <c r="BD863" s="340"/>
    </row>
    <row r="864" spans="3:56">
      <c r="C864" s="340"/>
      <c r="D864" s="340"/>
      <c r="E864" s="340"/>
      <c r="F864" s="340"/>
      <c r="G864" s="340"/>
      <c r="H864" s="340"/>
      <c r="I864" s="340"/>
      <c r="J864" s="340"/>
      <c r="K864" s="340"/>
      <c r="L864" s="340"/>
      <c r="M864" s="340"/>
      <c r="N864" s="340"/>
      <c r="O864" s="340"/>
      <c r="P864" s="340"/>
      <c r="Q864" s="340"/>
      <c r="R864" s="340"/>
      <c r="S864" s="340"/>
      <c r="T864" s="340"/>
      <c r="U864" s="340"/>
      <c r="V864" s="340"/>
      <c r="W864" s="340"/>
      <c r="X864" s="340"/>
      <c r="Y864" s="340"/>
      <c r="Z864" s="340"/>
      <c r="AA864" s="340"/>
      <c r="AB864" s="340"/>
      <c r="AC864" s="340"/>
      <c r="AD864" s="340"/>
      <c r="AE864" s="340"/>
      <c r="AF864" s="340"/>
      <c r="AG864" s="340"/>
      <c r="AH864" s="340"/>
      <c r="AI864" s="340"/>
      <c r="AJ864" s="340"/>
      <c r="AK864" s="340"/>
      <c r="AL864" s="340"/>
      <c r="AM864" s="340"/>
      <c r="AN864" s="340"/>
      <c r="AO864" s="340"/>
      <c r="AP864" s="340"/>
      <c r="AQ864" s="340"/>
      <c r="AR864" s="340"/>
      <c r="AS864" s="340"/>
      <c r="AT864" s="340"/>
      <c r="AU864" s="340"/>
      <c r="AV864" s="340"/>
      <c r="AW864" s="340"/>
      <c r="AX864" s="340"/>
      <c r="AY864" s="340"/>
      <c r="AZ864" s="340"/>
      <c r="BA864" s="340"/>
      <c r="BB864" s="340"/>
      <c r="BC864" s="340"/>
      <c r="BD864" s="340"/>
    </row>
    <row r="865" spans="3:56">
      <c r="C865" s="340"/>
      <c r="D865" s="340"/>
      <c r="E865" s="340"/>
      <c r="F865" s="340"/>
      <c r="G865" s="340"/>
      <c r="H865" s="340"/>
      <c r="I865" s="340"/>
      <c r="J865" s="340"/>
      <c r="K865" s="340"/>
      <c r="L865" s="340"/>
      <c r="M865" s="340"/>
      <c r="N865" s="340"/>
      <c r="O865" s="340"/>
      <c r="P865" s="340"/>
      <c r="Q865" s="340"/>
      <c r="R865" s="340"/>
      <c r="S865" s="340"/>
      <c r="T865" s="340"/>
      <c r="U865" s="340"/>
      <c r="V865" s="340"/>
      <c r="W865" s="340"/>
      <c r="X865" s="340"/>
      <c r="Y865" s="340"/>
      <c r="Z865" s="340"/>
      <c r="AA865" s="340"/>
      <c r="AB865" s="340"/>
      <c r="AC865" s="340"/>
      <c r="AD865" s="340"/>
      <c r="AE865" s="340"/>
      <c r="AF865" s="340"/>
      <c r="AG865" s="340"/>
      <c r="AH865" s="340"/>
      <c r="AI865" s="340"/>
      <c r="AJ865" s="340"/>
      <c r="AK865" s="340"/>
      <c r="AL865" s="340"/>
      <c r="AM865" s="340"/>
      <c r="AN865" s="340"/>
      <c r="AO865" s="340"/>
      <c r="AP865" s="340"/>
      <c r="AQ865" s="340"/>
      <c r="AR865" s="340"/>
      <c r="AS865" s="340"/>
      <c r="AT865" s="340"/>
      <c r="AU865" s="340"/>
      <c r="AV865" s="340"/>
      <c r="AW865" s="340"/>
      <c r="AX865" s="340"/>
      <c r="AY865" s="340"/>
      <c r="AZ865" s="340"/>
      <c r="BA865" s="340"/>
      <c r="BB865" s="340"/>
      <c r="BC865" s="340"/>
      <c r="BD865" s="340"/>
    </row>
    <row r="866" spans="3:56">
      <c r="C866" s="340"/>
      <c r="D866" s="340"/>
      <c r="E866" s="340"/>
      <c r="F866" s="340"/>
      <c r="G866" s="340"/>
      <c r="H866" s="340"/>
      <c r="I866" s="340"/>
      <c r="J866" s="340"/>
      <c r="K866" s="340"/>
      <c r="L866" s="340"/>
      <c r="M866" s="340"/>
      <c r="N866" s="340"/>
      <c r="O866" s="340"/>
      <c r="P866" s="340"/>
      <c r="Q866" s="340"/>
      <c r="R866" s="340"/>
      <c r="S866" s="340"/>
      <c r="T866" s="340"/>
      <c r="U866" s="340"/>
      <c r="V866" s="340"/>
      <c r="W866" s="340"/>
      <c r="X866" s="340"/>
      <c r="Y866" s="340"/>
      <c r="Z866" s="340"/>
      <c r="AA866" s="340"/>
      <c r="AB866" s="340"/>
      <c r="AC866" s="340"/>
      <c r="AD866" s="340"/>
      <c r="AE866" s="340"/>
      <c r="AF866" s="340"/>
      <c r="AG866" s="340"/>
      <c r="AH866" s="340"/>
      <c r="AI866" s="340"/>
      <c r="AJ866" s="340"/>
      <c r="AK866" s="340"/>
      <c r="AL866" s="340"/>
      <c r="AM866" s="340"/>
      <c r="AN866" s="340"/>
      <c r="AO866" s="340"/>
      <c r="AP866" s="340"/>
      <c r="AQ866" s="340"/>
      <c r="AR866" s="340"/>
      <c r="AS866" s="340"/>
      <c r="AT866" s="340"/>
      <c r="AU866" s="340"/>
      <c r="AV866" s="340"/>
      <c r="AW866" s="340"/>
      <c r="AX866" s="340"/>
      <c r="AY866" s="340"/>
      <c r="AZ866" s="340"/>
      <c r="BA866" s="340"/>
      <c r="BB866" s="340"/>
      <c r="BC866" s="340"/>
      <c r="BD866" s="340"/>
    </row>
    <row r="867" spans="3:56">
      <c r="C867" s="340"/>
      <c r="D867" s="340"/>
      <c r="E867" s="340"/>
      <c r="F867" s="340"/>
      <c r="G867" s="340"/>
      <c r="H867" s="340"/>
      <c r="I867" s="340"/>
      <c r="J867" s="340"/>
      <c r="K867" s="340"/>
      <c r="L867" s="340"/>
      <c r="M867" s="340"/>
      <c r="N867" s="340"/>
      <c r="O867" s="340"/>
      <c r="P867" s="340"/>
      <c r="Q867" s="340"/>
      <c r="R867" s="340"/>
      <c r="S867" s="340"/>
      <c r="T867" s="340"/>
      <c r="U867" s="340"/>
      <c r="V867" s="340"/>
      <c r="W867" s="340"/>
      <c r="X867" s="340"/>
      <c r="Y867" s="340"/>
      <c r="Z867" s="340"/>
      <c r="AA867" s="340"/>
      <c r="AB867" s="340"/>
      <c r="AC867" s="340"/>
      <c r="AD867" s="340"/>
      <c r="AE867" s="340"/>
      <c r="AF867" s="340"/>
      <c r="AG867" s="340"/>
      <c r="AH867" s="340"/>
      <c r="AI867" s="340"/>
      <c r="AJ867" s="340"/>
      <c r="AK867" s="340"/>
      <c r="AL867" s="340"/>
      <c r="AM867" s="340"/>
      <c r="AN867" s="340"/>
      <c r="AO867" s="340"/>
      <c r="AP867" s="340"/>
      <c r="AQ867" s="340"/>
      <c r="AR867" s="340"/>
      <c r="AS867" s="340"/>
      <c r="AT867" s="340"/>
      <c r="AU867" s="340"/>
      <c r="AV867" s="340"/>
      <c r="AW867" s="340"/>
      <c r="AX867" s="340"/>
      <c r="AY867" s="340"/>
      <c r="AZ867" s="340"/>
      <c r="BA867" s="340"/>
      <c r="BB867" s="340"/>
      <c r="BC867" s="340"/>
      <c r="BD867" s="340"/>
    </row>
    <row r="868" spans="3:56">
      <c r="C868" s="340"/>
      <c r="D868" s="340"/>
      <c r="E868" s="340"/>
      <c r="F868" s="340"/>
      <c r="G868" s="340"/>
      <c r="H868" s="340"/>
      <c r="I868" s="340"/>
      <c r="J868" s="340"/>
      <c r="K868" s="340"/>
      <c r="L868" s="340"/>
      <c r="M868" s="340"/>
      <c r="N868" s="340"/>
      <c r="O868" s="340"/>
      <c r="P868" s="340"/>
      <c r="Q868" s="340"/>
      <c r="R868" s="340"/>
      <c r="S868" s="340"/>
      <c r="T868" s="340"/>
      <c r="U868" s="340"/>
      <c r="V868" s="340"/>
      <c r="W868" s="340"/>
      <c r="X868" s="340"/>
      <c r="Y868" s="340"/>
      <c r="Z868" s="340"/>
      <c r="AA868" s="340"/>
      <c r="AB868" s="340"/>
      <c r="AC868" s="340"/>
      <c r="AD868" s="340"/>
      <c r="AE868" s="340"/>
      <c r="AF868" s="340"/>
      <c r="AG868" s="340"/>
      <c r="AH868" s="340"/>
      <c r="AI868" s="340"/>
      <c r="AJ868" s="340"/>
      <c r="AK868" s="340"/>
      <c r="AL868" s="340"/>
      <c r="AM868" s="340"/>
      <c r="AN868" s="340"/>
      <c r="AO868" s="340"/>
      <c r="AP868" s="340"/>
      <c r="AQ868" s="340"/>
      <c r="AR868" s="340"/>
      <c r="AS868" s="340"/>
      <c r="AT868" s="340"/>
      <c r="AU868" s="340"/>
      <c r="AV868" s="340"/>
      <c r="AW868" s="340"/>
      <c r="AX868" s="340"/>
      <c r="AY868" s="340"/>
      <c r="AZ868" s="340"/>
      <c r="BA868" s="340"/>
      <c r="BB868" s="340"/>
      <c r="BC868" s="340"/>
      <c r="BD868" s="340"/>
    </row>
    <row r="869" spans="3:56">
      <c r="C869" s="340"/>
      <c r="D869" s="340"/>
      <c r="E869" s="340"/>
      <c r="F869" s="340"/>
      <c r="G869" s="340"/>
      <c r="H869" s="340"/>
      <c r="I869" s="340"/>
      <c r="J869" s="340"/>
      <c r="K869" s="340"/>
      <c r="L869" s="340"/>
      <c r="M869" s="340"/>
      <c r="N869" s="340"/>
      <c r="O869" s="340"/>
      <c r="P869" s="340"/>
      <c r="Q869" s="340"/>
      <c r="R869" s="340"/>
      <c r="S869" s="340"/>
      <c r="T869" s="340"/>
      <c r="U869" s="340"/>
      <c r="V869" s="340"/>
      <c r="W869" s="340"/>
      <c r="X869" s="340"/>
      <c r="Y869" s="340"/>
      <c r="Z869" s="340"/>
      <c r="AA869" s="340"/>
      <c r="AB869" s="340"/>
      <c r="AC869" s="340"/>
      <c r="AD869" s="340"/>
      <c r="AE869" s="340"/>
      <c r="AF869" s="340"/>
      <c r="AG869" s="340"/>
      <c r="AH869" s="340"/>
      <c r="AI869" s="340"/>
      <c r="AJ869" s="340"/>
      <c r="AK869" s="340"/>
      <c r="AL869" s="340"/>
      <c r="AM869" s="340"/>
      <c r="AN869" s="340"/>
      <c r="AO869" s="340"/>
      <c r="AP869" s="340"/>
      <c r="AQ869" s="340"/>
      <c r="AR869" s="340"/>
      <c r="AS869" s="340"/>
      <c r="AT869" s="340"/>
      <c r="AU869" s="340"/>
      <c r="AV869" s="340"/>
      <c r="AW869" s="340"/>
      <c r="AX869" s="340"/>
      <c r="AY869" s="340"/>
      <c r="AZ869" s="340"/>
      <c r="BA869" s="340"/>
      <c r="BB869" s="340"/>
      <c r="BC869" s="340"/>
      <c r="BD869" s="340"/>
    </row>
    <row r="870" spans="3:56">
      <c r="C870" s="340"/>
      <c r="D870" s="340"/>
      <c r="E870" s="340"/>
      <c r="F870" s="340"/>
      <c r="G870" s="340"/>
      <c r="H870" s="340"/>
      <c r="I870" s="340"/>
      <c r="J870" s="340"/>
      <c r="K870" s="340"/>
      <c r="L870" s="340"/>
      <c r="M870" s="340"/>
      <c r="N870" s="340"/>
      <c r="O870" s="340"/>
      <c r="P870" s="340"/>
      <c r="Q870" s="340"/>
      <c r="R870" s="340"/>
      <c r="S870" s="340"/>
      <c r="T870" s="340"/>
      <c r="U870" s="340"/>
      <c r="V870" s="340"/>
      <c r="W870" s="340"/>
      <c r="X870" s="340"/>
      <c r="Y870" s="340"/>
      <c r="Z870" s="340"/>
      <c r="AA870" s="340"/>
      <c r="AB870" s="340"/>
      <c r="AC870" s="340"/>
      <c r="AD870" s="340"/>
      <c r="AE870" s="340"/>
      <c r="AF870" s="340"/>
      <c r="AG870" s="340"/>
      <c r="AH870" s="340"/>
      <c r="AI870" s="340"/>
      <c r="AJ870" s="340"/>
      <c r="AK870" s="340"/>
      <c r="AL870" s="340"/>
      <c r="AM870" s="340"/>
      <c r="AN870" s="340"/>
      <c r="AO870" s="340"/>
      <c r="AP870" s="340"/>
      <c r="AQ870" s="340"/>
      <c r="AR870" s="340"/>
      <c r="AS870" s="340"/>
      <c r="AT870" s="340"/>
      <c r="AU870" s="340"/>
      <c r="AV870" s="340"/>
      <c r="AW870" s="340"/>
      <c r="AX870" s="340"/>
      <c r="AY870" s="340"/>
      <c r="AZ870" s="340"/>
      <c r="BA870" s="340"/>
      <c r="BB870" s="340"/>
      <c r="BC870" s="340"/>
      <c r="BD870" s="340"/>
    </row>
    <row r="871" spans="3:56">
      <c r="C871" s="340"/>
      <c r="D871" s="340"/>
      <c r="E871" s="340"/>
      <c r="F871" s="340"/>
      <c r="G871" s="340"/>
      <c r="H871" s="340"/>
      <c r="I871" s="340"/>
      <c r="J871" s="340"/>
      <c r="K871" s="340"/>
      <c r="L871" s="340"/>
      <c r="M871" s="340"/>
      <c r="N871" s="340"/>
      <c r="O871" s="340"/>
      <c r="P871" s="340"/>
      <c r="Q871" s="340"/>
      <c r="R871" s="340"/>
      <c r="S871" s="340"/>
      <c r="T871" s="340"/>
      <c r="U871" s="340"/>
      <c r="V871" s="340"/>
      <c r="W871" s="340"/>
      <c r="X871" s="340"/>
      <c r="Y871" s="340"/>
      <c r="Z871" s="340"/>
      <c r="AA871" s="340"/>
      <c r="AB871" s="340"/>
      <c r="AC871" s="340"/>
      <c r="AD871" s="340"/>
      <c r="AE871" s="340"/>
      <c r="AF871" s="340"/>
      <c r="AG871" s="340"/>
      <c r="AH871" s="340"/>
      <c r="AI871" s="340"/>
      <c r="AJ871" s="340"/>
      <c r="AK871" s="340"/>
      <c r="AL871" s="340"/>
      <c r="AM871" s="340"/>
      <c r="AN871" s="340"/>
      <c r="AO871" s="340"/>
      <c r="AP871" s="340"/>
      <c r="AQ871" s="340"/>
      <c r="AR871" s="340"/>
      <c r="AS871" s="340"/>
      <c r="AT871" s="340"/>
      <c r="AU871" s="340"/>
      <c r="AV871" s="340"/>
      <c r="AW871" s="340"/>
      <c r="AX871" s="340"/>
      <c r="AY871" s="340"/>
      <c r="AZ871" s="340"/>
      <c r="BA871" s="340"/>
      <c r="BB871" s="340"/>
      <c r="BC871" s="340"/>
      <c r="BD871" s="340"/>
    </row>
    <row r="872" spans="3:56">
      <c r="C872" s="340"/>
      <c r="D872" s="340"/>
      <c r="E872" s="340"/>
      <c r="F872" s="340"/>
      <c r="G872" s="340"/>
      <c r="H872" s="340"/>
      <c r="I872" s="340"/>
      <c r="J872" s="340"/>
      <c r="K872" s="340"/>
      <c r="L872" s="340"/>
      <c r="M872" s="340"/>
      <c r="N872" s="340"/>
      <c r="O872" s="340"/>
      <c r="P872" s="340"/>
      <c r="Q872" s="340"/>
      <c r="R872" s="340"/>
      <c r="S872" s="340"/>
      <c r="T872" s="340"/>
      <c r="U872" s="340"/>
      <c r="V872" s="340"/>
      <c r="W872" s="340"/>
      <c r="X872" s="340"/>
      <c r="Y872" s="340"/>
      <c r="Z872" s="340"/>
      <c r="AA872" s="340"/>
      <c r="AB872" s="340"/>
      <c r="AC872" s="340"/>
      <c r="AD872" s="340"/>
      <c r="AE872" s="340"/>
      <c r="AF872" s="340"/>
      <c r="AG872" s="340"/>
      <c r="AH872" s="340"/>
      <c r="AI872" s="340"/>
      <c r="AJ872" s="340"/>
      <c r="AK872" s="340"/>
      <c r="AL872" s="340"/>
      <c r="AM872" s="340"/>
      <c r="AN872" s="340"/>
      <c r="AO872" s="340"/>
      <c r="AP872" s="340"/>
      <c r="AQ872" s="340"/>
      <c r="AR872" s="340"/>
      <c r="AS872" s="340"/>
      <c r="AT872" s="340"/>
      <c r="AU872" s="340"/>
      <c r="AV872" s="340"/>
      <c r="AW872" s="340"/>
      <c r="AX872" s="340"/>
      <c r="AY872" s="340"/>
      <c r="AZ872" s="340"/>
      <c r="BA872" s="340"/>
      <c r="BB872" s="340"/>
      <c r="BC872" s="340"/>
      <c r="BD872" s="340"/>
    </row>
    <row r="873" spans="3:56">
      <c r="C873" s="340"/>
      <c r="D873" s="340"/>
      <c r="E873" s="340"/>
      <c r="F873" s="340"/>
      <c r="G873" s="340"/>
      <c r="H873" s="340"/>
      <c r="I873" s="340"/>
      <c r="J873" s="340"/>
      <c r="K873" s="340"/>
      <c r="L873" s="340"/>
      <c r="M873" s="340"/>
      <c r="N873" s="340"/>
      <c r="O873" s="340"/>
      <c r="P873" s="340"/>
      <c r="Q873" s="340"/>
      <c r="R873" s="340"/>
      <c r="S873" s="340"/>
      <c r="T873" s="340"/>
      <c r="U873" s="340"/>
      <c r="V873" s="340"/>
      <c r="W873" s="340"/>
      <c r="X873" s="340"/>
      <c r="Y873" s="340"/>
      <c r="Z873" s="340"/>
      <c r="AA873" s="340"/>
      <c r="AB873" s="340"/>
      <c r="AC873" s="340"/>
      <c r="AD873" s="340"/>
      <c r="AE873" s="340"/>
      <c r="AF873" s="340"/>
      <c r="AG873" s="340"/>
      <c r="AH873" s="340"/>
      <c r="AI873" s="340"/>
      <c r="AJ873" s="340"/>
      <c r="AK873" s="340"/>
      <c r="AL873" s="340"/>
      <c r="AM873" s="340"/>
      <c r="AN873" s="340"/>
      <c r="AO873" s="340"/>
      <c r="AP873" s="340"/>
      <c r="AQ873" s="340"/>
      <c r="AR873" s="340"/>
      <c r="AS873" s="340"/>
      <c r="AT873" s="340"/>
      <c r="AU873" s="340"/>
      <c r="AV873" s="340"/>
      <c r="AW873" s="340"/>
      <c r="AX873" s="340"/>
      <c r="AY873" s="340"/>
      <c r="AZ873" s="340"/>
      <c r="BA873" s="340"/>
      <c r="BB873" s="340"/>
      <c r="BC873" s="340"/>
      <c r="BD873" s="340"/>
    </row>
    <row r="874" spans="3:56">
      <c r="C874" s="340"/>
      <c r="D874" s="340"/>
      <c r="E874" s="340"/>
      <c r="F874" s="340"/>
      <c r="G874" s="340"/>
      <c r="H874" s="340"/>
      <c r="I874" s="340"/>
      <c r="J874" s="340"/>
      <c r="K874" s="340"/>
      <c r="L874" s="340"/>
      <c r="M874" s="340"/>
      <c r="N874" s="340"/>
      <c r="O874" s="340"/>
      <c r="P874" s="340"/>
      <c r="Q874" s="340"/>
      <c r="R874" s="340"/>
      <c r="S874" s="340"/>
      <c r="T874" s="340"/>
      <c r="U874" s="340"/>
      <c r="V874" s="340"/>
      <c r="W874" s="340"/>
      <c r="X874" s="340"/>
      <c r="Y874" s="340"/>
      <c r="Z874" s="340"/>
      <c r="AA874" s="340"/>
      <c r="AB874" s="340"/>
      <c r="AC874" s="340"/>
      <c r="AD874" s="340"/>
      <c r="AE874" s="340"/>
      <c r="AF874" s="340"/>
      <c r="AG874" s="340"/>
      <c r="AH874" s="340"/>
      <c r="AI874" s="340"/>
      <c r="AJ874" s="340"/>
      <c r="AK874" s="340"/>
      <c r="AL874" s="340"/>
      <c r="AM874" s="340"/>
      <c r="AN874" s="340"/>
      <c r="AO874" s="340"/>
      <c r="AP874" s="340"/>
      <c r="AQ874" s="340"/>
      <c r="AR874" s="340"/>
      <c r="AS874" s="340"/>
      <c r="AT874" s="340"/>
      <c r="AU874" s="340"/>
      <c r="AV874" s="340"/>
      <c r="AW874" s="340"/>
      <c r="AX874" s="340"/>
      <c r="AY874" s="340"/>
      <c r="AZ874" s="340"/>
      <c r="BA874" s="340"/>
      <c r="BB874" s="340"/>
      <c r="BC874" s="340"/>
      <c r="BD874" s="340"/>
    </row>
    <row r="875" spans="3:56">
      <c r="C875" s="340"/>
      <c r="D875" s="340"/>
      <c r="E875" s="340"/>
      <c r="F875" s="340"/>
      <c r="G875" s="340"/>
      <c r="H875" s="340"/>
      <c r="I875" s="340"/>
      <c r="J875" s="340"/>
      <c r="K875" s="340"/>
      <c r="L875" s="340"/>
      <c r="M875" s="340"/>
      <c r="N875" s="340"/>
      <c r="O875" s="340"/>
      <c r="P875" s="340"/>
      <c r="Q875" s="340"/>
      <c r="R875" s="340"/>
      <c r="S875" s="340"/>
      <c r="T875" s="340"/>
      <c r="U875" s="340"/>
      <c r="V875" s="340"/>
      <c r="W875" s="340"/>
      <c r="X875" s="340"/>
      <c r="Y875" s="340"/>
      <c r="Z875" s="340"/>
      <c r="AA875" s="340"/>
      <c r="AB875" s="340"/>
      <c r="AC875" s="340"/>
      <c r="AD875" s="340"/>
      <c r="AE875" s="340"/>
      <c r="AF875" s="340"/>
      <c r="AG875" s="340"/>
      <c r="AH875" s="340"/>
      <c r="AI875" s="340"/>
      <c r="AJ875" s="340"/>
      <c r="AK875" s="340"/>
      <c r="AL875" s="340"/>
      <c r="AM875" s="340"/>
      <c r="AN875" s="340"/>
      <c r="AO875" s="340"/>
      <c r="AP875" s="340"/>
      <c r="AQ875" s="340"/>
      <c r="AR875" s="340"/>
      <c r="AS875" s="340"/>
      <c r="AT875" s="340"/>
      <c r="AU875" s="340"/>
      <c r="AV875" s="340"/>
      <c r="AW875" s="340"/>
      <c r="AX875" s="340"/>
      <c r="AY875" s="340"/>
      <c r="AZ875" s="340"/>
      <c r="BA875" s="340"/>
      <c r="BB875" s="340"/>
      <c r="BC875" s="340"/>
      <c r="BD875" s="340"/>
    </row>
    <row r="876" spans="3:56">
      <c r="C876" s="340"/>
      <c r="D876" s="340"/>
      <c r="E876" s="340"/>
      <c r="F876" s="340"/>
      <c r="G876" s="340"/>
      <c r="H876" s="340"/>
      <c r="I876" s="340"/>
      <c r="J876" s="340"/>
      <c r="K876" s="340"/>
      <c r="L876" s="340"/>
      <c r="M876" s="340"/>
      <c r="N876" s="340"/>
      <c r="O876" s="340"/>
      <c r="P876" s="340"/>
      <c r="Q876" s="340"/>
      <c r="R876" s="340"/>
      <c r="S876" s="340"/>
      <c r="T876" s="340"/>
      <c r="U876" s="340"/>
      <c r="V876" s="340"/>
      <c r="W876" s="340"/>
      <c r="X876" s="340"/>
      <c r="Y876" s="340"/>
      <c r="Z876" s="340"/>
      <c r="AA876" s="340"/>
      <c r="AB876" s="340"/>
      <c r="AC876" s="340"/>
      <c r="AD876" s="340"/>
      <c r="AE876" s="340"/>
      <c r="AF876" s="340"/>
      <c r="AG876" s="340"/>
      <c r="AH876" s="340"/>
      <c r="AI876" s="340"/>
      <c r="AJ876" s="340"/>
      <c r="AK876" s="340"/>
      <c r="AL876" s="340"/>
      <c r="AM876" s="340"/>
      <c r="AN876" s="340"/>
      <c r="AO876" s="340"/>
      <c r="AP876" s="340"/>
      <c r="AQ876" s="340"/>
      <c r="AR876" s="340"/>
      <c r="AS876" s="340"/>
      <c r="AT876" s="340"/>
      <c r="AU876" s="340"/>
      <c r="AV876" s="340"/>
      <c r="AW876" s="340"/>
      <c r="AX876" s="340"/>
      <c r="AY876" s="340"/>
      <c r="AZ876" s="340"/>
      <c r="BA876" s="340"/>
      <c r="BB876" s="340"/>
      <c r="BC876" s="340"/>
      <c r="BD876" s="340"/>
    </row>
    <row r="877" spans="3:56">
      <c r="C877" s="340"/>
      <c r="D877" s="340"/>
      <c r="E877" s="340"/>
      <c r="F877" s="340"/>
      <c r="G877" s="340"/>
      <c r="H877" s="340"/>
      <c r="I877" s="340"/>
      <c r="J877" s="340"/>
      <c r="K877" s="340"/>
      <c r="L877" s="340"/>
      <c r="M877" s="340"/>
      <c r="N877" s="340"/>
      <c r="O877" s="340"/>
      <c r="P877" s="340"/>
      <c r="Q877" s="340"/>
      <c r="R877" s="340"/>
      <c r="S877" s="340"/>
      <c r="T877" s="340"/>
      <c r="U877" s="340"/>
      <c r="V877" s="340"/>
      <c r="W877" s="340"/>
      <c r="X877" s="340"/>
      <c r="Y877" s="340"/>
      <c r="Z877" s="340"/>
      <c r="AA877" s="340"/>
      <c r="AB877" s="340"/>
      <c r="AC877" s="340"/>
      <c r="AD877" s="340"/>
      <c r="AE877" s="340"/>
      <c r="AF877" s="340"/>
      <c r="AG877" s="340"/>
      <c r="AH877" s="340"/>
      <c r="AI877" s="340"/>
      <c r="AJ877" s="340"/>
      <c r="AK877" s="340"/>
      <c r="AL877" s="340"/>
      <c r="AM877" s="340"/>
      <c r="AN877" s="340"/>
      <c r="AO877" s="340"/>
      <c r="AP877" s="340"/>
      <c r="AQ877" s="340"/>
      <c r="AR877" s="340"/>
      <c r="AS877" s="340"/>
      <c r="AT877" s="340"/>
      <c r="AU877" s="340"/>
      <c r="AV877" s="340"/>
      <c r="AW877" s="340"/>
      <c r="AX877" s="340"/>
      <c r="AY877" s="340"/>
      <c r="AZ877" s="340"/>
      <c r="BA877" s="340"/>
      <c r="BB877" s="340"/>
      <c r="BC877" s="340"/>
      <c r="BD877" s="340"/>
    </row>
    <row r="878" spans="3:56">
      <c r="C878" s="340"/>
      <c r="D878" s="340"/>
      <c r="E878" s="340"/>
      <c r="F878" s="340"/>
      <c r="G878" s="340"/>
      <c r="H878" s="340"/>
      <c r="I878" s="340"/>
      <c r="J878" s="340"/>
      <c r="K878" s="340"/>
      <c r="L878" s="340"/>
      <c r="M878" s="340"/>
      <c r="N878" s="340"/>
      <c r="O878" s="340"/>
      <c r="P878" s="340"/>
      <c r="Q878" s="340"/>
      <c r="R878" s="340"/>
      <c r="S878" s="340"/>
      <c r="T878" s="340"/>
      <c r="U878" s="340"/>
      <c r="V878" s="340"/>
      <c r="W878" s="340"/>
      <c r="X878" s="340"/>
      <c r="Y878" s="340"/>
      <c r="Z878" s="340"/>
      <c r="AA878" s="340"/>
      <c r="AB878" s="340"/>
      <c r="AC878" s="340"/>
      <c r="AD878" s="340"/>
      <c r="AE878" s="340"/>
      <c r="AF878" s="340"/>
      <c r="AG878" s="340"/>
      <c r="AH878" s="340"/>
      <c r="AI878" s="340"/>
      <c r="AJ878" s="340"/>
      <c r="AK878" s="340"/>
      <c r="AL878" s="340"/>
      <c r="AM878" s="340"/>
      <c r="AN878" s="340"/>
      <c r="AO878" s="340"/>
      <c r="AP878" s="340"/>
      <c r="AQ878" s="340"/>
      <c r="AR878" s="340"/>
      <c r="AS878" s="340"/>
      <c r="AT878" s="340"/>
      <c r="AU878" s="340"/>
      <c r="AV878" s="340"/>
      <c r="AW878" s="340"/>
      <c r="AX878" s="340"/>
      <c r="AY878" s="340"/>
      <c r="AZ878" s="340"/>
      <c r="BA878" s="340"/>
      <c r="BB878" s="340"/>
      <c r="BC878" s="340"/>
      <c r="BD878" s="340"/>
    </row>
    <row r="879" spans="3:56">
      <c r="C879" s="340"/>
      <c r="D879" s="340"/>
      <c r="E879" s="340"/>
      <c r="F879" s="340"/>
      <c r="G879" s="340"/>
      <c r="H879" s="340"/>
      <c r="I879" s="340"/>
      <c r="J879" s="340"/>
      <c r="K879" s="340"/>
      <c r="L879" s="340"/>
      <c r="M879" s="340"/>
      <c r="N879" s="340"/>
      <c r="O879" s="340"/>
      <c r="P879" s="340"/>
      <c r="Q879" s="340"/>
      <c r="R879" s="340"/>
      <c r="S879" s="340"/>
      <c r="T879" s="340"/>
      <c r="U879" s="340"/>
      <c r="V879" s="340"/>
      <c r="W879" s="340"/>
      <c r="X879" s="340"/>
      <c r="Y879" s="340"/>
      <c r="Z879" s="340"/>
      <c r="AA879" s="340"/>
      <c r="AB879" s="340"/>
      <c r="AC879" s="340"/>
      <c r="AD879" s="340"/>
      <c r="AE879" s="340"/>
      <c r="AF879" s="340"/>
      <c r="AG879" s="340"/>
      <c r="AH879" s="340"/>
      <c r="AI879" s="340"/>
      <c r="AJ879" s="340"/>
      <c r="AK879" s="340"/>
      <c r="AL879" s="340"/>
      <c r="AM879" s="340"/>
      <c r="AN879" s="340"/>
      <c r="AO879" s="340"/>
      <c r="AP879" s="340"/>
      <c r="AQ879" s="340"/>
      <c r="AR879" s="340"/>
      <c r="AS879" s="340"/>
      <c r="AT879" s="340"/>
      <c r="AU879" s="340"/>
      <c r="AV879" s="340"/>
      <c r="AW879" s="340"/>
      <c r="AX879" s="340"/>
      <c r="AY879" s="340"/>
      <c r="AZ879" s="340"/>
      <c r="BA879" s="340"/>
      <c r="BB879" s="340"/>
      <c r="BC879" s="340"/>
      <c r="BD879" s="340"/>
    </row>
    <row r="880" spans="3:56">
      <c r="C880" s="340"/>
      <c r="D880" s="340"/>
      <c r="E880" s="340"/>
      <c r="F880" s="340"/>
      <c r="G880" s="340"/>
      <c r="H880" s="340"/>
      <c r="I880" s="340"/>
      <c r="J880" s="340"/>
      <c r="K880" s="340"/>
      <c r="L880" s="340"/>
      <c r="M880" s="340"/>
      <c r="N880" s="340"/>
      <c r="O880" s="340"/>
      <c r="P880" s="340"/>
      <c r="Q880" s="340"/>
      <c r="R880" s="340"/>
      <c r="S880" s="340"/>
      <c r="T880" s="340"/>
      <c r="U880" s="340"/>
      <c r="V880" s="340"/>
      <c r="W880" s="340"/>
      <c r="X880" s="340"/>
      <c r="Y880" s="340"/>
      <c r="Z880" s="340"/>
      <c r="AA880" s="340"/>
      <c r="AB880" s="340"/>
      <c r="AC880" s="340"/>
      <c r="AD880" s="340"/>
      <c r="AE880" s="340"/>
      <c r="AF880" s="340"/>
      <c r="AG880" s="340"/>
      <c r="AH880" s="340"/>
      <c r="AI880" s="340"/>
      <c r="AJ880" s="340"/>
      <c r="AK880" s="340"/>
      <c r="AL880" s="340"/>
      <c r="AM880" s="340"/>
      <c r="AN880" s="340"/>
      <c r="AO880" s="340"/>
      <c r="AP880" s="340"/>
      <c r="AQ880" s="340"/>
      <c r="AR880" s="340"/>
      <c r="AS880" s="340"/>
      <c r="AT880" s="340"/>
      <c r="AU880" s="340"/>
      <c r="AV880" s="340"/>
      <c r="AW880" s="340"/>
      <c r="AX880" s="340"/>
      <c r="AY880" s="340"/>
      <c r="AZ880" s="340"/>
      <c r="BA880" s="340"/>
      <c r="BB880" s="340"/>
      <c r="BC880" s="340"/>
      <c r="BD880" s="340"/>
    </row>
    <row r="881" spans="3:56">
      <c r="C881" s="340"/>
      <c r="D881" s="340"/>
      <c r="E881" s="340"/>
      <c r="F881" s="340"/>
      <c r="G881" s="340"/>
      <c r="H881" s="340"/>
      <c r="I881" s="340"/>
      <c r="J881" s="340"/>
      <c r="K881" s="340"/>
      <c r="L881" s="340"/>
      <c r="M881" s="340"/>
      <c r="N881" s="340"/>
      <c r="O881" s="340"/>
      <c r="P881" s="340"/>
      <c r="Q881" s="340"/>
      <c r="R881" s="340"/>
      <c r="S881" s="340"/>
      <c r="T881" s="340"/>
      <c r="U881" s="340"/>
      <c r="V881" s="340"/>
      <c r="W881" s="340"/>
      <c r="X881" s="340"/>
      <c r="Y881" s="340"/>
      <c r="Z881" s="340"/>
      <c r="AA881" s="340"/>
      <c r="AB881" s="340"/>
      <c r="AC881" s="340"/>
      <c r="AD881" s="340"/>
      <c r="AE881" s="340"/>
      <c r="AF881" s="340"/>
      <c r="AG881" s="340"/>
      <c r="AH881" s="340"/>
      <c r="AI881" s="340"/>
      <c r="AJ881" s="340"/>
      <c r="AK881" s="340"/>
      <c r="AL881" s="340"/>
      <c r="AM881" s="340"/>
      <c r="AN881" s="340"/>
      <c r="AO881" s="340"/>
      <c r="AP881" s="340"/>
      <c r="AQ881" s="340"/>
      <c r="AR881" s="340"/>
      <c r="AS881" s="340"/>
      <c r="AT881" s="340"/>
      <c r="AU881" s="340"/>
      <c r="AV881" s="340"/>
      <c r="AW881" s="340"/>
      <c r="AX881" s="340"/>
      <c r="AY881" s="340"/>
      <c r="AZ881" s="340"/>
      <c r="BA881" s="340"/>
      <c r="BB881" s="340"/>
      <c r="BC881" s="340"/>
      <c r="BD881" s="340"/>
    </row>
    <row r="882" spans="3:56">
      <c r="C882" s="340"/>
      <c r="D882" s="340"/>
      <c r="E882" s="340"/>
      <c r="F882" s="340"/>
      <c r="G882" s="340"/>
      <c r="H882" s="340"/>
      <c r="I882" s="340"/>
      <c r="J882" s="340"/>
      <c r="K882" s="340"/>
      <c r="L882" s="340"/>
      <c r="M882" s="340"/>
      <c r="N882" s="340"/>
      <c r="O882" s="340"/>
      <c r="P882" s="340"/>
      <c r="Q882" s="340"/>
      <c r="R882" s="340"/>
      <c r="S882" s="340"/>
      <c r="T882" s="340"/>
      <c r="U882" s="340"/>
      <c r="V882" s="340"/>
      <c r="W882" s="340"/>
      <c r="X882" s="340"/>
      <c r="Y882" s="340"/>
      <c r="Z882" s="340"/>
      <c r="AA882" s="340"/>
      <c r="AB882" s="340"/>
      <c r="AC882" s="340"/>
      <c r="AD882" s="340"/>
      <c r="AE882" s="340"/>
      <c r="AF882" s="340"/>
      <c r="AG882" s="340"/>
      <c r="AH882" s="340"/>
      <c r="AI882" s="340"/>
      <c r="AJ882" s="340"/>
      <c r="AK882" s="340"/>
      <c r="AL882" s="340"/>
      <c r="AM882" s="340"/>
      <c r="AN882" s="340"/>
      <c r="AO882" s="340"/>
      <c r="AP882" s="340"/>
      <c r="AQ882" s="340"/>
      <c r="AR882" s="340"/>
      <c r="AS882" s="340"/>
      <c r="AT882" s="340"/>
      <c r="AU882" s="340"/>
      <c r="AV882" s="340"/>
      <c r="AW882" s="340"/>
      <c r="AX882" s="340"/>
      <c r="AY882" s="340"/>
      <c r="AZ882" s="340"/>
      <c r="BA882" s="340"/>
      <c r="BB882" s="340"/>
      <c r="BC882" s="340"/>
      <c r="BD882" s="340"/>
    </row>
    <row r="883" spans="3:56">
      <c r="C883" s="340"/>
      <c r="D883" s="340"/>
      <c r="E883" s="340"/>
      <c r="F883" s="340"/>
      <c r="G883" s="340"/>
      <c r="H883" s="340"/>
      <c r="I883" s="340"/>
      <c r="J883" s="340"/>
      <c r="K883" s="340"/>
      <c r="L883" s="340"/>
      <c r="M883" s="340"/>
      <c r="N883" s="340"/>
      <c r="O883" s="340"/>
      <c r="P883" s="340"/>
      <c r="Q883" s="340"/>
      <c r="R883" s="340"/>
      <c r="S883" s="340"/>
      <c r="T883" s="340"/>
      <c r="U883" s="340"/>
      <c r="V883" s="340"/>
      <c r="W883" s="340"/>
      <c r="X883" s="340"/>
      <c r="Y883" s="340"/>
      <c r="Z883" s="340"/>
      <c r="AA883" s="340"/>
      <c r="AB883" s="340"/>
      <c r="AC883" s="340"/>
      <c r="AD883" s="340"/>
      <c r="AE883" s="340"/>
      <c r="AF883" s="340"/>
      <c r="AG883" s="340"/>
      <c r="AH883" s="340"/>
      <c r="AI883" s="340"/>
      <c r="AJ883" s="340"/>
      <c r="AK883" s="340"/>
      <c r="AL883" s="340"/>
      <c r="AM883" s="340"/>
      <c r="AN883" s="340"/>
      <c r="AO883" s="340"/>
      <c r="AP883" s="340"/>
      <c r="AQ883" s="340"/>
      <c r="AR883" s="340"/>
      <c r="AS883" s="340"/>
      <c r="AT883" s="340"/>
      <c r="AU883" s="340"/>
      <c r="AV883" s="340"/>
      <c r="AW883" s="340"/>
      <c r="AX883" s="340"/>
      <c r="AY883" s="340"/>
      <c r="AZ883" s="340"/>
      <c r="BA883" s="340"/>
      <c r="BB883" s="340"/>
      <c r="BC883" s="340"/>
      <c r="BD883" s="340"/>
    </row>
    <row r="884" spans="3:56">
      <c r="C884" s="340"/>
      <c r="D884" s="340"/>
      <c r="E884" s="340"/>
      <c r="F884" s="340"/>
      <c r="G884" s="340"/>
      <c r="H884" s="340"/>
      <c r="I884" s="340"/>
      <c r="J884" s="340"/>
      <c r="K884" s="340"/>
      <c r="L884" s="340"/>
      <c r="M884" s="340"/>
      <c r="N884" s="340"/>
      <c r="O884" s="340"/>
      <c r="P884" s="340"/>
      <c r="Q884" s="340"/>
      <c r="R884" s="340"/>
      <c r="S884" s="340"/>
      <c r="T884" s="340"/>
      <c r="U884" s="340"/>
      <c r="V884" s="340"/>
      <c r="W884" s="340"/>
      <c r="X884" s="340"/>
      <c r="Y884" s="340"/>
      <c r="Z884" s="340"/>
      <c r="AA884" s="340"/>
      <c r="AB884" s="340"/>
      <c r="AC884" s="340"/>
      <c r="AD884" s="340"/>
      <c r="AE884" s="340"/>
      <c r="AF884" s="340"/>
      <c r="AG884" s="340"/>
      <c r="AH884" s="340"/>
      <c r="AI884" s="340"/>
      <c r="AJ884" s="340"/>
      <c r="AK884" s="340"/>
      <c r="AL884" s="340"/>
      <c r="AM884" s="340"/>
      <c r="AN884" s="340"/>
      <c r="AO884" s="340"/>
      <c r="AP884" s="340"/>
      <c r="AQ884" s="340"/>
      <c r="AR884" s="340"/>
      <c r="AS884" s="340"/>
      <c r="AT884" s="340"/>
      <c r="AU884" s="340"/>
      <c r="AV884" s="340"/>
      <c r="AW884" s="340"/>
      <c r="AX884" s="340"/>
      <c r="AY884" s="340"/>
      <c r="AZ884" s="340"/>
      <c r="BA884" s="340"/>
      <c r="BB884" s="340"/>
      <c r="BC884" s="340"/>
      <c r="BD884" s="340"/>
    </row>
    <row r="885" spans="3:56">
      <c r="C885" s="340"/>
      <c r="D885" s="340"/>
      <c r="E885" s="340"/>
      <c r="F885" s="340"/>
      <c r="G885" s="340"/>
      <c r="H885" s="340"/>
      <c r="I885" s="340"/>
      <c r="J885" s="340"/>
      <c r="K885" s="340"/>
      <c r="L885" s="340"/>
      <c r="M885" s="340"/>
      <c r="N885" s="340"/>
      <c r="O885" s="340"/>
      <c r="P885" s="340"/>
      <c r="Q885" s="340"/>
      <c r="R885" s="340"/>
      <c r="S885" s="340"/>
      <c r="T885" s="340"/>
      <c r="U885" s="340"/>
      <c r="V885" s="340"/>
      <c r="W885" s="340"/>
      <c r="X885" s="340"/>
      <c r="Y885" s="340"/>
      <c r="Z885" s="340"/>
      <c r="AA885" s="340"/>
      <c r="AB885" s="340"/>
      <c r="AC885" s="340"/>
      <c r="AD885" s="340"/>
      <c r="AE885" s="340"/>
      <c r="AF885" s="340"/>
      <c r="AG885" s="340"/>
      <c r="AH885" s="340"/>
      <c r="AI885" s="340"/>
      <c r="AJ885" s="340"/>
      <c r="AK885" s="340"/>
      <c r="AL885" s="340"/>
      <c r="AM885" s="340"/>
      <c r="AN885" s="340"/>
      <c r="AO885" s="340"/>
      <c r="AP885" s="340"/>
      <c r="AQ885" s="340"/>
      <c r="AR885" s="340"/>
      <c r="AS885" s="340"/>
      <c r="AT885" s="340"/>
      <c r="AU885" s="340"/>
      <c r="AV885" s="340"/>
      <c r="AW885" s="340"/>
      <c r="AX885" s="340"/>
      <c r="AY885" s="340"/>
      <c r="AZ885" s="340"/>
      <c r="BA885" s="340"/>
      <c r="BB885" s="340"/>
      <c r="BC885" s="340"/>
      <c r="BD885" s="340"/>
    </row>
    <row r="886" spans="3:56">
      <c r="C886" s="340"/>
      <c r="D886" s="340"/>
      <c r="E886" s="340"/>
      <c r="F886" s="340"/>
      <c r="G886" s="340"/>
      <c r="H886" s="340"/>
      <c r="I886" s="340"/>
      <c r="J886" s="340"/>
      <c r="K886" s="340"/>
      <c r="L886" s="340"/>
      <c r="M886" s="340"/>
      <c r="N886" s="340"/>
      <c r="O886" s="340"/>
      <c r="P886" s="340"/>
      <c r="Q886" s="340"/>
      <c r="R886" s="340"/>
      <c r="S886" s="340"/>
      <c r="T886" s="340"/>
      <c r="U886" s="340"/>
      <c r="V886" s="340"/>
      <c r="W886" s="340"/>
      <c r="X886" s="340"/>
      <c r="Y886" s="340"/>
      <c r="Z886" s="340"/>
      <c r="AA886" s="340"/>
      <c r="AB886" s="340"/>
      <c r="AC886" s="340"/>
      <c r="AD886" s="340"/>
      <c r="AE886" s="340"/>
      <c r="AF886" s="340"/>
      <c r="AG886" s="340"/>
      <c r="AH886" s="340"/>
      <c r="AI886" s="340"/>
      <c r="AJ886" s="340"/>
      <c r="AK886" s="340"/>
      <c r="AL886" s="340"/>
      <c r="AM886" s="340"/>
      <c r="AN886" s="340"/>
      <c r="AO886" s="340"/>
      <c r="AP886" s="340"/>
      <c r="AQ886" s="340"/>
      <c r="AR886" s="340"/>
      <c r="AS886" s="340"/>
      <c r="AT886" s="340"/>
      <c r="AU886" s="340"/>
      <c r="AV886" s="340"/>
      <c r="AW886" s="340"/>
      <c r="AX886" s="340"/>
      <c r="AY886" s="340"/>
      <c r="AZ886" s="340"/>
      <c r="BA886" s="340"/>
      <c r="BB886" s="340"/>
      <c r="BC886" s="340"/>
      <c r="BD886" s="340"/>
    </row>
    <row r="887" spans="3:56">
      <c r="C887" s="340"/>
      <c r="D887" s="340"/>
      <c r="E887" s="340"/>
      <c r="F887" s="340"/>
      <c r="G887" s="340"/>
      <c r="H887" s="340"/>
      <c r="I887" s="340"/>
      <c r="J887" s="340"/>
      <c r="K887" s="340"/>
      <c r="L887" s="340"/>
      <c r="M887" s="340"/>
      <c r="N887" s="340"/>
      <c r="O887" s="340"/>
      <c r="P887" s="340"/>
      <c r="Q887" s="340"/>
      <c r="R887" s="340"/>
      <c r="S887" s="340"/>
      <c r="T887" s="340"/>
      <c r="U887" s="340"/>
      <c r="V887" s="340"/>
      <c r="W887" s="340"/>
      <c r="X887" s="340"/>
      <c r="Y887" s="340"/>
      <c r="Z887" s="340"/>
      <c r="AA887" s="340"/>
      <c r="AB887" s="340"/>
      <c r="AC887" s="340"/>
      <c r="AD887" s="340"/>
      <c r="AE887" s="340"/>
      <c r="AF887" s="340"/>
      <c r="AG887" s="340"/>
      <c r="AH887" s="340"/>
      <c r="AI887" s="340"/>
      <c r="AJ887" s="340"/>
      <c r="AK887" s="340"/>
      <c r="AL887" s="340"/>
      <c r="AM887" s="340"/>
      <c r="AN887" s="340"/>
      <c r="AO887" s="340"/>
      <c r="AP887" s="340"/>
      <c r="AQ887" s="340"/>
      <c r="AR887" s="340"/>
      <c r="AS887" s="340"/>
      <c r="AT887" s="340"/>
      <c r="AU887" s="340"/>
      <c r="AV887" s="340"/>
      <c r="AW887" s="340"/>
      <c r="AX887" s="340"/>
      <c r="AY887" s="340"/>
      <c r="AZ887" s="340"/>
      <c r="BA887" s="340"/>
      <c r="BB887" s="340"/>
      <c r="BC887" s="340"/>
      <c r="BD887" s="340"/>
    </row>
    <row r="888" spans="3:56">
      <c r="C888" s="340"/>
      <c r="D888" s="340"/>
      <c r="E888" s="340"/>
      <c r="F888" s="340"/>
      <c r="G888" s="340"/>
      <c r="H888" s="340"/>
      <c r="I888" s="340"/>
      <c r="J888" s="340"/>
      <c r="K888" s="340"/>
      <c r="L888" s="340"/>
      <c r="M888" s="340"/>
      <c r="N888" s="340"/>
      <c r="O888" s="340"/>
      <c r="P888" s="340"/>
      <c r="Q888" s="340"/>
      <c r="R888" s="340"/>
      <c r="S888" s="340"/>
      <c r="T888" s="340"/>
      <c r="U888" s="340"/>
      <c r="V888" s="340"/>
      <c r="W888" s="340"/>
      <c r="X888" s="340"/>
      <c r="Y888" s="340"/>
      <c r="Z888" s="340"/>
      <c r="AA888" s="340"/>
      <c r="AB888" s="340"/>
      <c r="AC888" s="340"/>
      <c r="AD888" s="340"/>
      <c r="AE888" s="340"/>
      <c r="AF888" s="340"/>
      <c r="AG888" s="340"/>
      <c r="AH888" s="340"/>
      <c r="AI888" s="340"/>
      <c r="AJ888" s="340"/>
      <c r="AK888" s="340"/>
      <c r="AL888" s="340"/>
      <c r="AM888" s="340"/>
      <c r="AN888" s="340"/>
      <c r="AO888" s="340"/>
      <c r="AP888" s="340"/>
      <c r="AQ888" s="340"/>
      <c r="AR888" s="340"/>
      <c r="AS888" s="340"/>
      <c r="AT888" s="340"/>
      <c r="AU888" s="340"/>
      <c r="AV888" s="340"/>
      <c r="AW888" s="340"/>
      <c r="AX888" s="340"/>
      <c r="AY888" s="340"/>
      <c r="AZ888" s="340"/>
      <c r="BA888" s="340"/>
      <c r="BB888" s="340"/>
      <c r="BC888" s="340"/>
      <c r="BD888" s="340"/>
    </row>
    <row r="889" spans="3:56">
      <c r="C889" s="340"/>
      <c r="D889" s="340"/>
      <c r="E889" s="340"/>
      <c r="F889" s="340"/>
      <c r="G889" s="340"/>
      <c r="H889" s="340"/>
      <c r="I889" s="340"/>
      <c r="J889" s="340"/>
      <c r="K889" s="340"/>
      <c r="L889" s="340"/>
      <c r="M889" s="340"/>
      <c r="N889" s="340"/>
      <c r="O889" s="340"/>
      <c r="P889" s="340"/>
      <c r="Q889" s="340"/>
      <c r="R889" s="340"/>
      <c r="S889" s="340"/>
      <c r="T889" s="340"/>
      <c r="U889" s="340"/>
      <c r="V889" s="340"/>
      <c r="W889" s="340"/>
      <c r="X889" s="340"/>
      <c r="Y889" s="340"/>
      <c r="Z889" s="340"/>
      <c r="AA889" s="340"/>
      <c r="AB889" s="340"/>
      <c r="AC889" s="340"/>
      <c r="AD889" s="340"/>
      <c r="AE889" s="340"/>
      <c r="AF889" s="340"/>
      <c r="AG889" s="340"/>
      <c r="AH889" s="340"/>
      <c r="AI889" s="340"/>
      <c r="AJ889" s="340"/>
      <c r="AK889" s="340"/>
      <c r="AL889" s="340"/>
      <c r="AM889" s="340"/>
      <c r="AN889" s="340"/>
      <c r="AO889" s="340"/>
      <c r="AP889" s="340"/>
      <c r="AQ889" s="340"/>
      <c r="AR889" s="340"/>
      <c r="AS889" s="340"/>
      <c r="AT889" s="340"/>
      <c r="AU889" s="340"/>
      <c r="AV889" s="340"/>
      <c r="AW889" s="340"/>
      <c r="AX889" s="340"/>
      <c r="AY889" s="340"/>
      <c r="AZ889" s="340"/>
      <c r="BA889" s="340"/>
      <c r="BB889" s="340"/>
      <c r="BC889" s="340"/>
      <c r="BD889" s="340"/>
    </row>
    <row r="890" spans="3:56">
      <c r="C890" s="340"/>
      <c r="D890" s="340"/>
      <c r="E890" s="340"/>
      <c r="F890" s="340"/>
      <c r="G890" s="340"/>
      <c r="H890" s="340"/>
      <c r="I890" s="340"/>
      <c r="J890" s="340"/>
      <c r="K890" s="340"/>
      <c r="L890" s="340"/>
      <c r="M890" s="340"/>
      <c r="N890" s="340"/>
      <c r="O890" s="340"/>
      <c r="P890" s="340"/>
      <c r="Q890" s="340"/>
      <c r="R890" s="340"/>
      <c r="S890" s="340"/>
      <c r="T890" s="340"/>
      <c r="U890" s="340"/>
      <c r="V890" s="340"/>
      <c r="W890" s="340"/>
      <c r="X890" s="340"/>
      <c r="Y890" s="340"/>
      <c r="Z890" s="340"/>
      <c r="AA890" s="340"/>
      <c r="AB890" s="340"/>
      <c r="AC890" s="340"/>
      <c r="AD890" s="340"/>
      <c r="AE890" s="340"/>
      <c r="AF890" s="340"/>
      <c r="AG890" s="340"/>
      <c r="AH890" s="340"/>
      <c r="AI890" s="340"/>
      <c r="AJ890" s="340"/>
      <c r="AK890" s="340"/>
      <c r="AL890" s="340"/>
      <c r="AM890" s="340"/>
      <c r="AN890" s="340"/>
      <c r="AO890" s="340"/>
      <c r="AP890" s="340"/>
      <c r="AQ890" s="340"/>
      <c r="AR890" s="340"/>
      <c r="AS890" s="340"/>
      <c r="AT890" s="340"/>
      <c r="AU890" s="340"/>
      <c r="AV890" s="340"/>
      <c r="AW890" s="340"/>
      <c r="AX890" s="340"/>
      <c r="AY890" s="340"/>
      <c r="AZ890" s="340"/>
      <c r="BA890" s="340"/>
      <c r="BB890" s="340"/>
      <c r="BC890" s="340"/>
      <c r="BD890" s="340"/>
    </row>
    <row r="891" spans="3:56">
      <c r="C891" s="340"/>
      <c r="D891" s="340"/>
      <c r="E891" s="340"/>
      <c r="F891" s="340"/>
      <c r="G891" s="340"/>
      <c r="H891" s="340"/>
      <c r="I891" s="340"/>
      <c r="J891" s="340"/>
      <c r="K891" s="340"/>
      <c r="L891" s="340"/>
      <c r="M891" s="340"/>
      <c r="N891" s="340"/>
      <c r="O891" s="340"/>
      <c r="P891" s="340"/>
      <c r="Q891" s="340"/>
      <c r="R891" s="340"/>
      <c r="S891" s="340"/>
      <c r="T891" s="340"/>
      <c r="U891" s="340"/>
      <c r="V891" s="340"/>
      <c r="W891" s="340"/>
      <c r="X891" s="340"/>
      <c r="Y891" s="340"/>
      <c r="Z891" s="340"/>
      <c r="AA891" s="340"/>
      <c r="AB891" s="340"/>
      <c r="AC891" s="340"/>
      <c r="AD891" s="340"/>
      <c r="AE891" s="340"/>
      <c r="AF891" s="340"/>
      <c r="AG891" s="340"/>
      <c r="AH891" s="340"/>
      <c r="AI891" s="340"/>
      <c r="AJ891" s="340"/>
      <c r="AK891" s="340"/>
      <c r="AL891" s="340"/>
      <c r="AM891" s="340"/>
      <c r="AN891" s="340"/>
      <c r="AO891" s="340"/>
      <c r="AP891" s="340"/>
      <c r="AQ891" s="340"/>
      <c r="AR891" s="340"/>
      <c r="AS891" s="340"/>
      <c r="AT891" s="340"/>
      <c r="AU891" s="340"/>
      <c r="AV891" s="340"/>
      <c r="AW891" s="340"/>
      <c r="AX891" s="340"/>
      <c r="AY891" s="340"/>
      <c r="AZ891" s="340"/>
      <c r="BA891" s="340"/>
      <c r="BB891" s="340"/>
      <c r="BC891" s="340"/>
      <c r="BD891" s="340"/>
    </row>
    <row r="892" spans="3:56">
      <c r="C892" s="340"/>
      <c r="D892" s="340"/>
      <c r="E892" s="340"/>
      <c r="F892" s="340"/>
      <c r="G892" s="340"/>
      <c r="H892" s="340"/>
      <c r="I892" s="340"/>
      <c r="J892" s="340"/>
      <c r="K892" s="340"/>
      <c r="L892" s="340"/>
      <c r="M892" s="340"/>
      <c r="N892" s="340"/>
      <c r="O892" s="340"/>
      <c r="P892" s="340"/>
      <c r="Q892" s="340"/>
      <c r="R892" s="340"/>
      <c r="S892" s="340"/>
      <c r="T892" s="340"/>
      <c r="U892" s="340"/>
      <c r="V892" s="340"/>
      <c r="W892" s="340"/>
      <c r="X892" s="340"/>
      <c r="Y892" s="340"/>
      <c r="Z892" s="340"/>
      <c r="AA892" s="340"/>
      <c r="AB892" s="340"/>
      <c r="AC892" s="340"/>
      <c r="AD892" s="340"/>
      <c r="AE892" s="340"/>
      <c r="AF892" s="340"/>
      <c r="AG892" s="340"/>
      <c r="AH892" s="340"/>
      <c r="AI892" s="340"/>
      <c r="AJ892" s="340"/>
      <c r="AK892" s="340"/>
      <c r="AL892" s="340"/>
      <c r="AM892" s="340"/>
      <c r="AN892" s="340"/>
      <c r="AO892" s="340"/>
      <c r="AP892" s="340"/>
      <c r="AQ892" s="340"/>
      <c r="AR892" s="340"/>
      <c r="AS892" s="340"/>
      <c r="AT892" s="340"/>
      <c r="AU892" s="340"/>
      <c r="AV892" s="340"/>
      <c r="AW892" s="340"/>
      <c r="AX892" s="340"/>
      <c r="AY892" s="340"/>
      <c r="AZ892" s="340"/>
      <c r="BA892" s="340"/>
      <c r="BB892" s="340"/>
      <c r="BC892" s="340"/>
      <c r="BD892" s="340"/>
    </row>
    <row r="893" spans="3:56">
      <c r="C893" s="340"/>
      <c r="D893" s="340"/>
      <c r="E893" s="340"/>
      <c r="F893" s="340"/>
      <c r="G893" s="340"/>
      <c r="H893" s="340"/>
      <c r="I893" s="340"/>
      <c r="J893" s="340"/>
      <c r="K893" s="340"/>
      <c r="L893" s="340"/>
      <c r="M893" s="340"/>
      <c r="N893" s="340"/>
      <c r="O893" s="340"/>
      <c r="P893" s="340"/>
      <c r="Q893" s="340"/>
      <c r="R893" s="340"/>
      <c r="S893" s="340"/>
      <c r="T893" s="340"/>
      <c r="U893" s="340"/>
      <c r="V893" s="340"/>
      <c r="W893" s="340"/>
      <c r="X893" s="340"/>
      <c r="Y893" s="340"/>
      <c r="Z893" s="340"/>
      <c r="AA893" s="340"/>
      <c r="AB893" s="340"/>
      <c r="AC893" s="340"/>
      <c r="AD893" s="340"/>
      <c r="AE893" s="340"/>
      <c r="AF893" s="340"/>
      <c r="AG893" s="340"/>
      <c r="AH893" s="340"/>
      <c r="AI893" s="340"/>
      <c r="AJ893" s="340"/>
      <c r="AK893" s="340"/>
      <c r="AL893" s="340"/>
      <c r="AM893" s="340"/>
      <c r="AN893" s="340"/>
      <c r="AO893" s="340"/>
      <c r="AP893" s="340"/>
      <c r="AQ893" s="340"/>
      <c r="AR893" s="340"/>
      <c r="AS893" s="340"/>
      <c r="AT893" s="340"/>
      <c r="AU893" s="340"/>
      <c r="AV893" s="340"/>
      <c r="AW893" s="340"/>
      <c r="AX893" s="340"/>
      <c r="AY893" s="340"/>
      <c r="AZ893" s="340"/>
      <c r="BA893" s="340"/>
      <c r="BB893" s="340"/>
      <c r="BC893" s="340"/>
      <c r="BD893" s="340"/>
    </row>
    <row r="894" spans="3:56">
      <c r="C894" s="340"/>
      <c r="D894" s="340"/>
      <c r="E894" s="340"/>
      <c r="F894" s="340"/>
      <c r="G894" s="340"/>
      <c r="H894" s="340"/>
      <c r="I894" s="340"/>
      <c r="J894" s="340"/>
      <c r="K894" s="340"/>
      <c r="L894" s="340"/>
      <c r="M894" s="340"/>
      <c r="N894" s="340"/>
      <c r="O894" s="340"/>
      <c r="P894" s="340"/>
      <c r="Q894" s="340"/>
      <c r="R894" s="340"/>
      <c r="S894" s="340"/>
      <c r="T894" s="340"/>
      <c r="U894" s="340"/>
      <c r="V894" s="340"/>
      <c r="W894" s="340"/>
      <c r="X894" s="340"/>
      <c r="Y894" s="340"/>
      <c r="Z894" s="340"/>
      <c r="AA894" s="340"/>
      <c r="AB894" s="340"/>
      <c r="AC894" s="340"/>
      <c r="AD894" s="340"/>
      <c r="AE894" s="340"/>
      <c r="AF894" s="340"/>
      <c r="AG894" s="340"/>
      <c r="AH894" s="340"/>
      <c r="AI894" s="340"/>
      <c r="AJ894" s="340"/>
      <c r="AK894" s="340"/>
      <c r="AL894" s="340"/>
      <c r="AM894" s="340"/>
      <c r="AN894" s="340"/>
      <c r="AO894" s="340"/>
      <c r="AP894" s="340"/>
      <c r="AQ894" s="340"/>
      <c r="AR894" s="340"/>
      <c r="AS894" s="340"/>
      <c r="AT894" s="340"/>
      <c r="AU894" s="340"/>
      <c r="AV894" s="340"/>
      <c r="AW894" s="340"/>
      <c r="AX894" s="340"/>
      <c r="AY894" s="340"/>
      <c r="AZ894" s="340"/>
      <c r="BA894" s="340"/>
      <c r="BB894" s="340"/>
      <c r="BC894" s="340"/>
      <c r="BD894" s="340"/>
    </row>
    <row r="895" spans="3:56">
      <c r="C895" s="340"/>
      <c r="D895" s="340"/>
      <c r="E895" s="340"/>
      <c r="F895" s="340"/>
      <c r="G895" s="340"/>
      <c r="H895" s="340"/>
      <c r="I895" s="340"/>
      <c r="J895" s="340"/>
      <c r="K895" s="340"/>
      <c r="L895" s="340"/>
      <c r="M895" s="340"/>
      <c r="N895" s="340"/>
      <c r="O895" s="340"/>
      <c r="P895" s="340"/>
      <c r="Q895" s="340"/>
      <c r="R895" s="340"/>
      <c r="S895" s="340"/>
      <c r="T895" s="340"/>
      <c r="U895" s="340"/>
      <c r="V895" s="340"/>
      <c r="W895" s="340"/>
      <c r="X895" s="340"/>
      <c r="Y895" s="340"/>
      <c r="Z895" s="340"/>
      <c r="AA895" s="340"/>
      <c r="AB895" s="340"/>
      <c r="AC895" s="340"/>
      <c r="AD895" s="340"/>
      <c r="AE895" s="340"/>
      <c r="AF895" s="340"/>
      <c r="AG895" s="340"/>
      <c r="AH895" s="340"/>
      <c r="AI895" s="340"/>
      <c r="AJ895" s="340"/>
      <c r="AK895" s="340"/>
      <c r="AL895" s="340"/>
      <c r="AM895" s="340"/>
      <c r="AN895" s="340"/>
      <c r="AO895" s="340"/>
      <c r="AP895" s="340"/>
      <c r="AQ895" s="340"/>
      <c r="AR895" s="340"/>
      <c r="AS895" s="340"/>
      <c r="AT895" s="340"/>
      <c r="AU895" s="340"/>
      <c r="AV895" s="340"/>
      <c r="AW895" s="340"/>
      <c r="AX895" s="340"/>
      <c r="AY895" s="340"/>
      <c r="AZ895" s="340"/>
      <c r="BA895" s="340"/>
      <c r="BB895" s="340"/>
      <c r="BC895" s="340"/>
      <c r="BD895" s="340"/>
    </row>
    <row r="896" spans="3:56">
      <c r="C896" s="340"/>
      <c r="D896" s="340"/>
      <c r="E896" s="340"/>
      <c r="F896" s="340"/>
      <c r="G896" s="340"/>
      <c r="H896" s="340"/>
      <c r="I896" s="340"/>
      <c r="J896" s="340"/>
      <c r="K896" s="340"/>
      <c r="L896" s="340"/>
      <c r="M896" s="340"/>
      <c r="N896" s="340"/>
      <c r="O896" s="340"/>
      <c r="P896" s="340"/>
      <c r="Q896" s="340"/>
      <c r="R896" s="340"/>
      <c r="S896" s="340"/>
      <c r="T896" s="340"/>
      <c r="U896" s="340"/>
      <c r="V896" s="340"/>
      <c r="W896" s="340"/>
      <c r="X896" s="340"/>
      <c r="Y896" s="340"/>
      <c r="Z896" s="340"/>
      <c r="AA896" s="340"/>
      <c r="AB896" s="340"/>
      <c r="AC896" s="340"/>
      <c r="AD896" s="340"/>
      <c r="AE896" s="340"/>
      <c r="AF896" s="340"/>
      <c r="AG896" s="340"/>
      <c r="AH896" s="340"/>
      <c r="AI896" s="340"/>
      <c r="AJ896" s="340"/>
      <c r="AK896" s="340"/>
      <c r="AL896" s="340"/>
      <c r="AM896" s="340"/>
      <c r="AN896" s="340"/>
      <c r="AO896" s="340"/>
      <c r="AP896" s="340"/>
      <c r="AQ896" s="340"/>
      <c r="AR896" s="340"/>
      <c r="AS896" s="340"/>
      <c r="AT896" s="340"/>
      <c r="AU896" s="340"/>
      <c r="AV896" s="340"/>
      <c r="AW896" s="340"/>
      <c r="AX896" s="340"/>
      <c r="AY896" s="340"/>
      <c r="AZ896" s="340"/>
      <c r="BA896" s="340"/>
      <c r="BB896" s="340"/>
      <c r="BC896" s="340"/>
      <c r="BD896" s="340"/>
    </row>
    <row r="897" spans="3:56">
      <c r="C897" s="340"/>
      <c r="D897" s="340"/>
      <c r="E897" s="340"/>
      <c r="F897" s="340"/>
      <c r="G897" s="340"/>
      <c r="H897" s="340"/>
      <c r="I897" s="340"/>
      <c r="J897" s="340"/>
      <c r="K897" s="340"/>
      <c r="L897" s="340"/>
      <c r="M897" s="340"/>
      <c r="N897" s="340"/>
      <c r="O897" s="340"/>
      <c r="P897" s="340"/>
      <c r="Q897" s="340"/>
      <c r="R897" s="340"/>
      <c r="S897" s="340"/>
      <c r="T897" s="340"/>
      <c r="U897" s="340"/>
      <c r="V897" s="340"/>
      <c r="W897" s="340"/>
      <c r="X897" s="340"/>
      <c r="Y897" s="340"/>
      <c r="Z897" s="340"/>
      <c r="AA897" s="340"/>
      <c r="AB897" s="340"/>
      <c r="AC897" s="340"/>
      <c r="AD897" s="340"/>
      <c r="AE897" s="340"/>
      <c r="AF897" s="340"/>
      <c r="AG897" s="340"/>
      <c r="AH897" s="340"/>
      <c r="AI897" s="340"/>
      <c r="AJ897" s="340"/>
      <c r="AK897" s="340"/>
      <c r="AL897" s="340"/>
      <c r="AM897" s="340"/>
      <c r="AN897" s="340"/>
      <c r="AO897" s="340"/>
      <c r="AP897" s="340"/>
      <c r="AQ897" s="340"/>
      <c r="AR897" s="340"/>
      <c r="AS897" s="340"/>
      <c r="AT897" s="340"/>
      <c r="AU897" s="340"/>
      <c r="AV897" s="340"/>
      <c r="AW897" s="340"/>
      <c r="AX897" s="340"/>
      <c r="AY897" s="340"/>
      <c r="AZ897" s="340"/>
      <c r="BA897" s="340"/>
      <c r="BB897" s="340"/>
      <c r="BC897" s="340"/>
      <c r="BD897" s="340"/>
    </row>
    <row r="898" spans="3:56">
      <c r="C898" s="340"/>
      <c r="D898" s="340"/>
      <c r="E898" s="340"/>
      <c r="F898" s="340"/>
      <c r="G898" s="340"/>
      <c r="H898" s="340"/>
      <c r="I898" s="340"/>
      <c r="J898" s="340"/>
      <c r="K898" s="340"/>
      <c r="L898" s="340"/>
      <c r="M898" s="340"/>
      <c r="N898" s="340"/>
      <c r="O898" s="340"/>
      <c r="P898" s="340"/>
      <c r="Q898" s="340"/>
      <c r="R898" s="340"/>
      <c r="S898" s="340"/>
      <c r="T898" s="340"/>
      <c r="U898" s="340"/>
      <c r="V898" s="340"/>
      <c r="W898" s="340"/>
      <c r="X898" s="340"/>
      <c r="Y898" s="340"/>
      <c r="Z898" s="340"/>
      <c r="AA898" s="340"/>
      <c r="AB898" s="340"/>
      <c r="AC898" s="340"/>
      <c r="AD898" s="340"/>
      <c r="AE898" s="340"/>
      <c r="AF898" s="340"/>
      <c r="AG898" s="340"/>
      <c r="AH898" s="340"/>
      <c r="AI898" s="340"/>
      <c r="AJ898" s="340"/>
      <c r="AK898" s="340"/>
      <c r="AL898" s="340"/>
      <c r="AM898" s="340"/>
      <c r="AN898" s="340"/>
      <c r="AO898" s="340"/>
      <c r="AP898" s="340"/>
      <c r="AQ898" s="340"/>
      <c r="AR898" s="340"/>
      <c r="AS898" s="340"/>
      <c r="AT898" s="340"/>
      <c r="AU898" s="340"/>
      <c r="AV898" s="340"/>
      <c r="AW898" s="340"/>
      <c r="AX898" s="340"/>
      <c r="AY898" s="340"/>
      <c r="AZ898" s="340"/>
      <c r="BA898" s="340"/>
      <c r="BB898" s="340"/>
      <c r="BC898" s="340"/>
      <c r="BD898" s="340"/>
    </row>
    <row r="899" spans="3:56">
      <c r="C899" s="340"/>
      <c r="D899" s="340"/>
      <c r="E899" s="340"/>
      <c r="F899" s="340"/>
      <c r="G899" s="340"/>
      <c r="H899" s="340"/>
      <c r="I899" s="340"/>
      <c r="J899" s="340"/>
      <c r="K899" s="340"/>
      <c r="L899" s="340"/>
      <c r="M899" s="340"/>
      <c r="N899" s="340"/>
      <c r="O899" s="340"/>
      <c r="P899" s="340"/>
      <c r="Q899" s="340"/>
      <c r="R899" s="340"/>
      <c r="S899" s="340"/>
      <c r="T899" s="340"/>
      <c r="U899" s="340"/>
      <c r="V899" s="340"/>
      <c r="W899" s="340"/>
      <c r="X899" s="340"/>
      <c r="Y899" s="340"/>
      <c r="Z899" s="340"/>
      <c r="AA899" s="340"/>
      <c r="AB899" s="340"/>
      <c r="AC899" s="340"/>
      <c r="AD899" s="340"/>
      <c r="AE899" s="340"/>
      <c r="AF899" s="340"/>
      <c r="AG899" s="340"/>
      <c r="AH899" s="340"/>
      <c r="AI899" s="340"/>
      <c r="AJ899" s="340"/>
      <c r="AK899" s="340"/>
      <c r="AL899" s="340"/>
      <c r="AM899" s="340"/>
      <c r="AN899" s="340"/>
      <c r="AO899" s="340"/>
      <c r="AP899" s="340"/>
      <c r="AQ899" s="340"/>
      <c r="AR899" s="340"/>
      <c r="AS899" s="340"/>
      <c r="AT899" s="340"/>
      <c r="AU899" s="340"/>
      <c r="AV899" s="340"/>
      <c r="AW899" s="340"/>
      <c r="AX899" s="340"/>
      <c r="AY899" s="340"/>
      <c r="AZ899" s="340"/>
      <c r="BA899" s="340"/>
      <c r="BB899" s="340"/>
      <c r="BC899" s="340"/>
      <c r="BD899" s="340"/>
    </row>
    <row r="900" spans="3:56">
      <c r="C900" s="340"/>
      <c r="D900" s="340"/>
      <c r="E900" s="340"/>
      <c r="F900" s="340"/>
      <c r="G900" s="340"/>
      <c r="H900" s="340"/>
      <c r="I900" s="340"/>
      <c r="J900" s="340"/>
      <c r="K900" s="340"/>
      <c r="L900" s="340"/>
      <c r="M900" s="340"/>
      <c r="N900" s="340"/>
      <c r="O900" s="340"/>
      <c r="P900" s="340"/>
      <c r="Q900" s="340"/>
      <c r="R900" s="340"/>
      <c r="S900" s="340"/>
      <c r="T900" s="340"/>
      <c r="U900" s="340"/>
      <c r="V900" s="340"/>
      <c r="W900" s="340"/>
      <c r="X900" s="340"/>
      <c r="Y900" s="340"/>
      <c r="Z900" s="340"/>
      <c r="AA900" s="340"/>
      <c r="AB900" s="340"/>
      <c r="AC900" s="340"/>
      <c r="AD900" s="340"/>
      <c r="AE900" s="340"/>
      <c r="AF900" s="340"/>
      <c r="AG900" s="340"/>
      <c r="AH900" s="340"/>
      <c r="AI900" s="340"/>
      <c r="AJ900" s="340"/>
      <c r="AK900" s="340"/>
      <c r="AL900" s="340"/>
      <c r="AM900" s="340"/>
      <c r="AN900" s="340"/>
      <c r="AO900" s="340"/>
      <c r="AP900" s="340"/>
      <c r="AQ900" s="340"/>
      <c r="AR900" s="340"/>
      <c r="AS900" s="340"/>
      <c r="AT900" s="340"/>
      <c r="AU900" s="340"/>
      <c r="AV900" s="340"/>
      <c r="AW900" s="340"/>
      <c r="AX900" s="340"/>
      <c r="AY900" s="340"/>
      <c r="AZ900" s="340"/>
      <c r="BA900" s="340"/>
      <c r="BB900" s="340"/>
      <c r="BC900" s="340"/>
      <c r="BD900" s="340"/>
    </row>
    <row r="901" spans="3:56">
      <c r="C901" s="340"/>
      <c r="D901" s="340"/>
      <c r="E901" s="340"/>
      <c r="F901" s="340"/>
      <c r="G901" s="340"/>
      <c r="H901" s="340"/>
      <c r="I901" s="340"/>
      <c r="J901" s="340"/>
      <c r="K901" s="340"/>
      <c r="L901" s="340"/>
      <c r="M901" s="340"/>
      <c r="N901" s="340"/>
      <c r="O901" s="340"/>
      <c r="P901" s="340"/>
      <c r="Q901" s="340"/>
      <c r="R901" s="340"/>
      <c r="S901" s="340"/>
      <c r="T901" s="340"/>
      <c r="U901" s="340"/>
      <c r="V901" s="340"/>
      <c r="W901" s="340"/>
      <c r="X901" s="340"/>
      <c r="Y901" s="340"/>
      <c r="Z901" s="340"/>
      <c r="AA901" s="340"/>
      <c r="AB901" s="340"/>
      <c r="AC901" s="340"/>
      <c r="AD901" s="340"/>
      <c r="AE901" s="340"/>
      <c r="AF901" s="340"/>
      <c r="AG901" s="340"/>
      <c r="AH901" s="340"/>
      <c r="AI901" s="340"/>
      <c r="AJ901" s="340"/>
      <c r="AK901" s="340"/>
      <c r="AL901" s="340"/>
      <c r="AM901" s="340"/>
      <c r="AN901" s="340"/>
      <c r="AO901" s="340"/>
      <c r="AP901" s="340"/>
      <c r="AQ901" s="340"/>
      <c r="AR901" s="340"/>
      <c r="AS901" s="340"/>
      <c r="AT901" s="340"/>
      <c r="AU901" s="340"/>
      <c r="AV901" s="340"/>
      <c r="AW901" s="340"/>
      <c r="AX901" s="340"/>
      <c r="AY901" s="340"/>
      <c r="AZ901" s="340"/>
      <c r="BA901" s="340"/>
      <c r="BB901" s="340"/>
      <c r="BC901" s="340"/>
      <c r="BD901" s="340"/>
    </row>
    <row r="902" spans="3:56">
      <c r="C902" s="340"/>
      <c r="D902" s="340"/>
      <c r="E902" s="340"/>
      <c r="F902" s="340"/>
      <c r="G902" s="340"/>
      <c r="H902" s="340"/>
      <c r="I902" s="340"/>
      <c r="J902" s="340"/>
      <c r="K902" s="340"/>
      <c r="L902" s="340"/>
      <c r="M902" s="340"/>
      <c r="N902" s="340"/>
      <c r="O902" s="340"/>
      <c r="P902" s="340"/>
      <c r="Q902" s="340"/>
      <c r="R902" s="340"/>
      <c r="S902" s="340"/>
      <c r="T902" s="340"/>
      <c r="U902" s="340"/>
      <c r="V902" s="340"/>
      <c r="W902" s="340"/>
      <c r="X902" s="340"/>
      <c r="Y902" s="340"/>
      <c r="Z902" s="340"/>
      <c r="AA902" s="340"/>
      <c r="AB902" s="340"/>
      <c r="AC902" s="340"/>
      <c r="AD902" s="340"/>
      <c r="AE902" s="340"/>
      <c r="AF902" s="340"/>
      <c r="AG902" s="340"/>
      <c r="AH902" s="340"/>
      <c r="AI902" s="340"/>
      <c r="AJ902" s="340"/>
      <c r="AK902" s="340"/>
      <c r="AL902" s="340"/>
      <c r="AM902" s="340"/>
      <c r="AN902" s="340"/>
      <c r="AO902" s="340"/>
      <c r="AP902" s="340"/>
      <c r="AQ902" s="340"/>
      <c r="AR902" s="340"/>
      <c r="AS902" s="340"/>
      <c r="AT902" s="340"/>
      <c r="AU902" s="340"/>
      <c r="AV902" s="340"/>
      <c r="AW902" s="340"/>
      <c r="AX902" s="340"/>
      <c r="AY902" s="340"/>
      <c r="AZ902" s="340"/>
      <c r="BA902" s="340"/>
      <c r="BB902" s="340"/>
      <c r="BC902" s="340"/>
      <c r="BD902" s="340"/>
    </row>
    <row r="903" spans="3:56">
      <c r="C903" s="340"/>
      <c r="D903" s="340"/>
      <c r="E903" s="340"/>
      <c r="F903" s="340"/>
      <c r="G903" s="340"/>
      <c r="H903" s="340"/>
      <c r="I903" s="340"/>
      <c r="J903" s="340"/>
      <c r="K903" s="340"/>
      <c r="L903" s="340"/>
      <c r="M903" s="340"/>
      <c r="N903" s="340"/>
      <c r="O903" s="340"/>
      <c r="P903" s="340"/>
      <c r="Q903" s="340"/>
      <c r="R903" s="340"/>
      <c r="S903" s="340"/>
      <c r="T903" s="340"/>
      <c r="U903" s="340"/>
      <c r="V903" s="340"/>
      <c r="W903" s="340"/>
      <c r="X903" s="340"/>
      <c r="Y903" s="340"/>
      <c r="Z903" s="340"/>
      <c r="AA903" s="340"/>
      <c r="AB903" s="340"/>
      <c r="AC903" s="340"/>
      <c r="AD903" s="340"/>
      <c r="AE903" s="340"/>
      <c r="AF903" s="340"/>
      <c r="AG903" s="340"/>
      <c r="AH903" s="340"/>
      <c r="AI903" s="340"/>
      <c r="AJ903" s="340"/>
      <c r="AK903" s="340"/>
      <c r="AL903" s="340"/>
      <c r="AM903" s="340"/>
      <c r="AN903" s="340"/>
      <c r="AO903" s="340"/>
      <c r="AP903" s="340"/>
      <c r="AQ903" s="340"/>
      <c r="AR903" s="340"/>
      <c r="AS903" s="340"/>
      <c r="AT903" s="340"/>
      <c r="AU903" s="340"/>
      <c r="AV903" s="340"/>
      <c r="AW903" s="340"/>
      <c r="AX903" s="340"/>
      <c r="AY903" s="340"/>
      <c r="AZ903" s="340"/>
      <c r="BA903" s="340"/>
      <c r="BB903" s="340"/>
      <c r="BC903" s="340"/>
      <c r="BD903" s="340"/>
    </row>
    <row r="904" spans="3:56">
      <c r="C904" s="340"/>
      <c r="D904" s="340"/>
      <c r="E904" s="340"/>
      <c r="F904" s="340"/>
      <c r="G904" s="340"/>
      <c r="H904" s="340"/>
      <c r="I904" s="340"/>
      <c r="J904" s="340"/>
      <c r="K904" s="340"/>
      <c r="L904" s="340"/>
      <c r="M904" s="340"/>
      <c r="N904" s="340"/>
      <c r="O904" s="340"/>
      <c r="P904" s="340"/>
      <c r="Q904" s="340"/>
      <c r="R904" s="340"/>
      <c r="S904" s="340"/>
      <c r="T904" s="340"/>
      <c r="U904" s="340"/>
      <c r="V904" s="340"/>
      <c r="W904" s="340"/>
      <c r="X904" s="340"/>
      <c r="Y904" s="340"/>
      <c r="Z904" s="340"/>
      <c r="AA904" s="340"/>
      <c r="AB904" s="340"/>
      <c r="AC904" s="340"/>
      <c r="AD904" s="340"/>
      <c r="AE904" s="340"/>
      <c r="AF904" s="340"/>
      <c r="AG904" s="340"/>
      <c r="AH904" s="340"/>
      <c r="AI904" s="340"/>
      <c r="AJ904" s="340"/>
      <c r="AK904" s="340"/>
      <c r="AL904" s="340"/>
      <c r="AM904" s="340"/>
      <c r="AN904" s="340"/>
      <c r="AO904" s="340"/>
      <c r="AP904" s="340"/>
      <c r="AQ904" s="340"/>
      <c r="AR904" s="340"/>
      <c r="AS904" s="340"/>
      <c r="AT904" s="340"/>
      <c r="AU904" s="340"/>
      <c r="AV904" s="340"/>
      <c r="AW904" s="340"/>
      <c r="AX904" s="340"/>
      <c r="AY904" s="340"/>
      <c r="AZ904" s="340"/>
      <c r="BA904" s="340"/>
      <c r="BB904" s="340"/>
      <c r="BC904" s="340"/>
      <c r="BD904" s="340"/>
    </row>
    <row r="905" spans="3:56">
      <c r="C905" s="340"/>
      <c r="D905" s="340"/>
      <c r="E905" s="340"/>
      <c r="F905" s="340"/>
      <c r="G905" s="340"/>
      <c r="H905" s="340"/>
      <c r="I905" s="340"/>
      <c r="J905" s="340"/>
      <c r="K905" s="340"/>
      <c r="L905" s="340"/>
      <c r="M905" s="340"/>
      <c r="N905" s="340"/>
      <c r="O905" s="340"/>
      <c r="P905" s="340"/>
      <c r="Q905" s="340"/>
      <c r="R905" s="340"/>
      <c r="S905" s="340"/>
      <c r="T905" s="340"/>
      <c r="U905" s="340"/>
      <c r="V905" s="340"/>
      <c r="W905" s="340"/>
      <c r="X905" s="340"/>
      <c r="Y905" s="340"/>
      <c r="Z905" s="340"/>
      <c r="AA905" s="340"/>
      <c r="AB905" s="340"/>
      <c r="AC905" s="340"/>
      <c r="AD905" s="340"/>
      <c r="AE905" s="340"/>
      <c r="AF905" s="340"/>
      <c r="AG905" s="340"/>
      <c r="AH905" s="340"/>
      <c r="AI905" s="340"/>
      <c r="AJ905" s="340"/>
      <c r="AK905" s="340"/>
      <c r="AL905" s="340"/>
      <c r="AM905" s="340"/>
      <c r="AN905" s="340"/>
      <c r="AO905" s="340"/>
      <c r="AP905" s="340"/>
      <c r="AQ905" s="340"/>
      <c r="AR905" s="340"/>
      <c r="AS905" s="340"/>
      <c r="AT905" s="340"/>
      <c r="AU905" s="340"/>
      <c r="AV905" s="340"/>
      <c r="AW905" s="340"/>
      <c r="AX905" s="340"/>
      <c r="AY905" s="340"/>
      <c r="AZ905" s="340"/>
      <c r="BA905" s="340"/>
      <c r="BB905" s="340"/>
      <c r="BC905" s="340"/>
      <c r="BD905" s="340"/>
    </row>
    <row r="906" spans="3:56">
      <c r="C906" s="340"/>
      <c r="D906" s="340"/>
      <c r="E906" s="340"/>
      <c r="F906" s="340"/>
      <c r="G906" s="340"/>
      <c r="H906" s="340"/>
      <c r="I906" s="340"/>
      <c r="J906" s="340"/>
      <c r="K906" s="340"/>
      <c r="L906" s="340"/>
      <c r="M906" s="340"/>
      <c r="N906" s="340"/>
      <c r="O906" s="340"/>
      <c r="P906" s="340"/>
      <c r="Q906" s="340"/>
      <c r="R906" s="340"/>
      <c r="S906" s="340"/>
      <c r="T906" s="340"/>
      <c r="U906" s="340"/>
      <c r="V906" s="340"/>
      <c r="W906" s="340"/>
      <c r="X906" s="340"/>
      <c r="Y906" s="340"/>
      <c r="Z906" s="340"/>
      <c r="AA906" s="340"/>
      <c r="AB906" s="340"/>
      <c r="AC906" s="340"/>
      <c r="AD906" s="340"/>
      <c r="AE906" s="340"/>
      <c r="AF906" s="340"/>
      <c r="AG906" s="340"/>
      <c r="AH906" s="340"/>
      <c r="AI906" s="340"/>
      <c r="AJ906" s="340"/>
      <c r="AK906" s="340"/>
      <c r="AL906" s="340"/>
      <c r="AM906" s="340"/>
      <c r="AN906" s="340"/>
      <c r="AO906" s="340"/>
      <c r="AP906" s="340"/>
      <c r="AQ906" s="340"/>
      <c r="AR906" s="340"/>
      <c r="AS906" s="340"/>
      <c r="AT906" s="340"/>
      <c r="AU906" s="340"/>
      <c r="AV906" s="340"/>
      <c r="AW906" s="340"/>
      <c r="AX906" s="340"/>
      <c r="AY906" s="340"/>
      <c r="AZ906" s="340"/>
      <c r="BA906" s="340"/>
      <c r="BB906" s="340"/>
      <c r="BC906" s="340"/>
      <c r="BD906" s="340"/>
    </row>
    <row r="907" spans="3:56">
      <c r="C907" s="340"/>
      <c r="D907" s="340"/>
      <c r="E907" s="340"/>
      <c r="F907" s="340"/>
      <c r="G907" s="340"/>
      <c r="H907" s="340"/>
      <c r="I907" s="340"/>
      <c r="J907" s="340"/>
      <c r="K907" s="340"/>
      <c r="L907" s="340"/>
      <c r="M907" s="340"/>
      <c r="N907" s="340"/>
      <c r="O907" s="340"/>
      <c r="P907" s="340"/>
      <c r="Q907" s="340"/>
      <c r="R907" s="340"/>
      <c r="S907" s="340"/>
      <c r="T907" s="340"/>
      <c r="U907" s="340"/>
      <c r="V907" s="340"/>
      <c r="W907" s="340"/>
      <c r="X907" s="340"/>
      <c r="Y907" s="340"/>
      <c r="Z907" s="340"/>
      <c r="AA907" s="340"/>
      <c r="AB907" s="340"/>
      <c r="AC907" s="340"/>
      <c r="AD907" s="340"/>
      <c r="AE907" s="340"/>
      <c r="AF907" s="340"/>
      <c r="AG907" s="340"/>
      <c r="AH907" s="340"/>
      <c r="AI907" s="340"/>
      <c r="AJ907" s="340"/>
      <c r="AK907" s="340"/>
      <c r="AL907" s="340"/>
      <c r="AM907" s="340"/>
      <c r="AN907" s="340"/>
      <c r="AO907" s="340"/>
      <c r="AP907" s="340"/>
      <c r="AQ907" s="340"/>
      <c r="AR907" s="340"/>
      <c r="AS907" s="340"/>
      <c r="AT907" s="340"/>
      <c r="AU907" s="340"/>
      <c r="AV907" s="340"/>
      <c r="AW907" s="340"/>
      <c r="AX907" s="340"/>
      <c r="AY907" s="340"/>
      <c r="AZ907" s="340"/>
      <c r="BA907" s="340"/>
      <c r="BB907" s="340"/>
      <c r="BC907" s="340"/>
      <c r="BD907" s="340"/>
    </row>
    <row r="908" spans="3:56">
      <c r="C908" s="340"/>
      <c r="D908" s="340"/>
      <c r="E908" s="340"/>
      <c r="F908" s="340"/>
      <c r="G908" s="340"/>
      <c r="H908" s="340"/>
      <c r="I908" s="340"/>
      <c r="J908" s="340"/>
      <c r="K908" s="340"/>
      <c r="L908" s="340"/>
      <c r="M908" s="340"/>
      <c r="N908" s="340"/>
      <c r="O908" s="340"/>
      <c r="P908" s="340"/>
      <c r="Q908" s="340"/>
      <c r="R908" s="340"/>
      <c r="S908" s="340"/>
      <c r="T908" s="340"/>
      <c r="U908" s="340"/>
      <c r="V908" s="340"/>
      <c r="W908" s="340"/>
      <c r="X908" s="340"/>
      <c r="Y908" s="340"/>
      <c r="Z908" s="340"/>
      <c r="AA908" s="340"/>
      <c r="AB908" s="340"/>
      <c r="AC908" s="340"/>
      <c r="AD908" s="340"/>
      <c r="AE908" s="340"/>
      <c r="AF908" s="340"/>
      <c r="AG908" s="340"/>
      <c r="AH908" s="340"/>
      <c r="AI908" s="340"/>
      <c r="AJ908" s="340"/>
      <c r="AK908" s="340"/>
      <c r="AL908" s="340"/>
      <c r="AM908" s="340"/>
      <c r="AN908" s="340"/>
      <c r="AO908" s="340"/>
      <c r="AP908" s="340"/>
      <c r="AQ908" s="340"/>
      <c r="AR908" s="340"/>
      <c r="AS908" s="340"/>
      <c r="AT908" s="340"/>
      <c r="AU908" s="340"/>
      <c r="AV908" s="340"/>
      <c r="AW908" s="340"/>
      <c r="AX908" s="340"/>
      <c r="AY908" s="340"/>
      <c r="AZ908" s="340"/>
      <c r="BA908" s="340"/>
      <c r="BB908" s="340"/>
      <c r="BC908" s="340"/>
      <c r="BD908" s="340"/>
    </row>
    <row r="909" spans="3:56">
      <c r="C909" s="340"/>
      <c r="D909" s="340"/>
      <c r="E909" s="340"/>
      <c r="F909" s="340"/>
      <c r="G909" s="340"/>
      <c r="H909" s="340"/>
      <c r="I909" s="340"/>
      <c r="J909" s="340"/>
      <c r="K909" s="340"/>
      <c r="L909" s="340"/>
      <c r="M909" s="340"/>
      <c r="N909" s="340"/>
      <c r="O909" s="340"/>
      <c r="P909" s="340"/>
      <c r="Q909" s="340"/>
      <c r="R909" s="340"/>
      <c r="S909" s="340"/>
      <c r="T909" s="340"/>
      <c r="U909" s="340"/>
      <c r="V909" s="340"/>
      <c r="W909" s="340"/>
      <c r="X909" s="340"/>
      <c r="Y909" s="340"/>
      <c r="Z909" s="340"/>
      <c r="AA909" s="340"/>
      <c r="AB909" s="340"/>
      <c r="AC909" s="340"/>
      <c r="AD909" s="340"/>
      <c r="AE909" s="340"/>
      <c r="AF909" s="340"/>
      <c r="AG909" s="340"/>
      <c r="AH909" s="340"/>
      <c r="AI909" s="340"/>
      <c r="AJ909" s="340"/>
      <c r="AK909" s="340"/>
      <c r="AL909" s="340"/>
      <c r="AM909" s="340"/>
      <c r="AN909" s="340"/>
      <c r="AO909" s="340"/>
      <c r="AP909" s="340"/>
      <c r="AQ909" s="340"/>
      <c r="AR909" s="340"/>
      <c r="AS909" s="340"/>
      <c r="AT909" s="340"/>
      <c r="AU909" s="340"/>
      <c r="AV909" s="340"/>
      <c r="AW909" s="340"/>
      <c r="AX909" s="340"/>
      <c r="AY909" s="340"/>
      <c r="AZ909" s="340"/>
      <c r="BA909" s="340"/>
      <c r="BB909" s="340"/>
      <c r="BC909" s="340"/>
      <c r="BD909" s="340"/>
    </row>
    <row r="910" spans="3:56">
      <c r="C910" s="340"/>
      <c r="D910" s="340"/>
      <c r="E910" s="340"/>
      <c r="F910" s="340"/>
      <c r="G910" s="340"/>
      <c r="H910" s="340"/>
      <c r="I910" s="340"/>
      <c r="J910" s="340"/>
      <c r="K910" s="340"/>
      <c r="L910" s="340"/>
      <c r="M910" s="340"/>
      <c r="N910" s="340"/>
      <c r="O910" s="340"/>
      <c r="P910" s="340"/>
      <c r="Q910" s="340"/>
      <c r="R910" s="340"/>
      <c r="S910" s="340"/>
      <c r="T910" s="340"/>
      <c r="U910" s="340"/>
      <c r="V910" s="340"/>
      <c r="W910" s="340"/>
      <c r="X910" s="340"/>
      <c r="Y910" s="340"/>
      <c r="Z910" s="340"/>
      <c r="AA910" s="340"/>
      <c r="AB910" s="340"/>
      <c r="AC910" s="340"/>
      <c r="AD910" s="340"/>
      <c r="AE910" s="340"/>
      <c r="AF910" s="340"/>
      <c r="AG910" s="340"/>
      <c r="AH910" s="340"/>
      <c r="AI910" s="340"/>
      <c r="AJ910" s="340"/>
      <c r="AK910" s="340"/>
      <c r="AL910" s="340"/>
      <c r="AM910" s="340"/>
      <c r="AN910" s="340"/>
      <c r="AO910" s="340"/>
      <c r="AP910" s="340"/>
      <c r="AQ910" s="340"/>
      <c r="AR910" s="340"/>
      <c r="AS910" s="340"/>
      <c r="AT910" s="340"/>
      <c r="AU910" s="340"/>
      <c r="AV910" s="340"/>
      <c r="AW910" s="340"/>
      <c r="AX910" s="340"/>
      <c r="AY910" s="340"/>
      <c r="AZ910" s="340"/>
      <c r="BA910" s="340"/>
      <c r="BB910" s="340"/>
      <c r="BC910" s="340"/>
      <c r="BD910" s="340"/>
    </row>
    <row r="911" spans="3:56">
      <c r="C911" s="340"/>
      <c r="D911" s="340"/>
      <c r="E911" s="340"/>
      <c r="F911" s="340"/>
      <c r="G911" s="340"/>
      <c r="H911" s="340"/>
      <c r="I911" s="340"/>
      <c r="J911" s="340"/>
      <c r="K911" s="340"/>
      <c r="L911" s="340"/>
      <c r="M911" s="340"/>
      <c r="N911" s="340"/>
      <c r="O911" s="340"/>
      <c r="P911" s="340"/>
      <c r="Q911" s="340"/>
      <c r="R911" s="340"/>
      <c r="S911" s="340"/>
      <c r="T911" s="340"/>
      <c r="U911" s="340"/>
      <c r="V911" s="340"/>
      <c r="W911" s="340"/>
      <c r="X911" s="340"/>
      <c r="Y911" s="340"/>
      <c r="Z911" s="340"/>
      <c r="AA911" s="340"/>
      <c r="AB911" s="340"/>
      <c r="AC911" s="340"/>
      <c r="AD911" s="340"/>
      <c r="AE911" s="340"/>
      <c r="AF911" s="340"/>
      <c r="AG911" s="340"/>
      <c r="AH911" s="340"/>
      <c r="AI911" s="340"/>
      <c r="AJ911" s="340"/>
      <c r="AK911" s="340"/>
      <c r="AL911" s="340"/>
      <c r="AM911" s="340"/>
      <c r="AN911" s="340"/>
      <c r="AO911" s="340"/>
      <c r="AP911" s="340"/>
      <c r="AQ911" s="340"/>
      <c r="AR911" s="340"/>
      <c r="AS911" s="340"/>
      <c r="AT911" s="340"/>
      <c r="AU911" s="340"/>
      <c r="AV911" s="340"/>
      <c r="AW911" s="340"/>
      <c r="AX911" s="340"/>
      <c r="AY911" s="340"/>
      <c r="AZ911" s="340"/>
      <c r="BA911" s="340"/>
      <c r="BB911" s="340"/>
      <c r="BC911" s="340"/>
      <c r="BD911" s="340"/>
    </row>
    <row r="912" spans="3:56">
      <c r="C912" s="340"/>
      <c r="D912" s="340"/>
      <c r="E912" s="340"/>
      <c r="F912" s="340"/>
      <c r="G912" s="340"/>
      <c r="H912" s="340"/>
      <c r="I912" s="340"/>
      <c r="J912" s="340"/>
      <c r="K912" s="340"/>
      <c r="L912" s="340"/>
      <c r="M912" s="340"/>
      <c r="N912" s="340"/>
      <c r="O912" s="340"/>
      <c r="P912" s="340"/>
      <c r="Q912" s="340"/>
      <c r="R912" s="340"/>
      <c r="S912" s="340"/>
      <c r="T912" s="340"/>
      <c r="U912" s="340"/>
      <c r="V912" s="340"/>
      <c r="W912" s="340"/>
      <c r="X912" s="340"/>
      <c r="Y912" s="340"/>
      <c r="Z912" s="340"/>
      <c r="AA912" s="340"/>
      <c r="AB912" s="340"/>
      <c r="AC912" s="340"/>
      <c r="AD912" s="340"/>
      <c r="AE912" s="340"/>
      <c r="AF912" s="340"/>
      <c r="AG912" s="340"/>
      <c r="AH912" s="340"/>
      <c r="AI912" s="340"/>
      <c r="AJ912" s="340"/>
      <c r="AK912" s="340"/>
      <c r="AL912" s="340"/>
      <c r="AM912" s="340"/>
      <c r="AN912" s="340"/>
      <c r="AO912" s="340"/>
      <c r="AP912" s="340"/>
      <c r="AQ912" s="340"/>
      <c r="AR912" s="340"/>
      <c r="AS912" s="340"/>
      <c r="AT912" s="340"/>
      <c r="AU912" s="340"/>
      <c r="AV912" s="340"/>
      <c r="AW912" s="340"/>
      <c r="AX912" s="340"/>
      <c r="AY912" s="340"/>
      <c r="AZ912" s="340"/>
      <c r="BA912" s="340"/>
      <c r="BB912" s="340"/>
      <c r="BC912" s="340"/>
      <c r="BD912" s="340"/>
    </row>
    <row r="913" spans="3:56">
      <c r="C913" s="340"/>
      <c r="D913" s="340"/>
      <c r="E913" s="340"/>
      <c r="F913" s="340"/>
      <c r="G913" s="340"/>
      <c r="H913" s="340"/>
      <c r="I913" s="340"/>
      <c r="J913" s="340"/>
      <c r="K913" s="340"/>
      <c r="L913" s="340"/>
      <c r="M913" s="340"/>
      <c r="N913" s="340"/>
      <c r="O913" s="340"/>
      <c r="P913" s="340"/>
      <c r="Q913" s="340"/>
      <c r="R913" s="340"/>
      <c r="S913" s="340"/>
      <c r="T913" s="340"/>
      <c r="U913" s="340"/>
      <c r="V913" s="340"/>
      <c r="W913" s="340"/>
      <c r="X913" s="340"/>
      <c r="Y913" s="340"/>
      <c r="Z913" s="340"/>
      <c r="AA913" s="340"/>
      <c r="AB913" s="340"/>
      <c r="AC913" s="340"/>
      <c r="AD913" s="340"/>
      <c r="AE913" s="340"/>
      <c r="AF913" s="340"/>
      <c r="AG913" s="340"/>
      <c r="AH913" s="340"/>
      <c r="AI913" s="340"/>
      <c r="AJ913" s="340"/>
      <c r="AK913" s="340"/>
      <c r="AL913" s="340"/>
      <c r="AM913" s="340"/>
      <c r="AN913" s="340"/>
      <c r="AO913" s="340"/>
      <c r="AP913" s="340"/>
      <c r="AQ913" s="340"/>
      <c r="AR913" s="340"/>
      <c r="AS913" s="340"/>
      <c r="AT913" s="340"/>
      <c r="AU913" s="340"/>
      <c r="AV913" s="340"/>
      <c r="AW913" s="340"/>
      <c r="AX913" s="340"/>
      <c r="AY913" s="340"/>
      <c r="AZ913" s="340"/>
      <c r="BA913" s="340"/>
      <c r="BB913" s="340"/>
      <c r="BC913" s="340"/>
      <c r="BD913" s="340"/>
    </row>
    <row r="914" spans="3:56">
      <c r="C914" s="340"/>
      <c r="D914" s="340"/>
      <c r="E914" s="340"/>
      <c r="F914" s="340"/>
      <c r="G914" s="340"/>
      <c r="H914" s="340"/>
      <c r="I914" s="340"/>
      <c r="J914" s="340"/>
      <c r="K914" s="340"/>
      <c r="L914" s="340"/>
      <c r="M914" s="340"/>
      <c r="N914" s="340"/>
      <c r="O914" s="340"/>
      <c r="P914" s="340"/>
      <c r="Q914" s="340"/>
      <c r="R914" s="340"/>
      <c r="S914" s="340"/>
      <c r="T914" s="340"/>
      <c r="U914" s="340"/>
      <c r="V914" s="340"/>
      <c r="W914" s="340"/>
      <c r="X914" s="340"/>
      <c r="Y914" s="340"/>
      <c r="Z914" s="340"/>
      <c r="AA914" s="340"/>
      <c r="AB914" s="340"/>
      <c r="AC914" s="340"/>
      <c r="AD914" s="340"/>
      <c r="AE914" s="340"/>
      <c r="AF914" s="340"/>
      <c r="AG914" s="340"/>
      <c r="AH914" s="340"/>
      <c r="AI914" s="340"/>
      <c r="AJ914" s="340"/>
      <c r="AK914" s="340"/>
      <c r="AL914" s="340"/>
      <c r="AM914" s="340"/>
      <c r="AN914" s="340"/>
      <c r="AO914" s="340"/>
      <c r="AP914" s="340"/>
      <c r="AQ914" s="340"/>
      <c r="AR914" s="340"/>
      <c r="AS914" s="340"/>
      <c r="AT914" s="340"/>
      <c r="AU914" s="340"/>
      <c r="AV914" s="340"/>
      <c r="AW914" s="340"/>
      <c r="AX914" s="340"/>
      <c r="AY914" s="340"/>
      <c r="AZ914" s="340"/>
      <c r="BA914" s="340"/>
      <c r="BB914" s="340"/>
      <c r="BC914" s="340"/>
      <c r="BD914" s="340"/>
    </row>
    <row r="915" spans="3:56">
      <c r="C915" s="340"/>
      <c r="D915" s="340"/>
      <c r="E915" s="340"/>
      <c r="F915" s="340"/>
      <c r="G915" s="340"/>
      <c r="H915" s="340"/>
      <c r="I915" s="340"/>
      <c r="J915" s="340"/>
      <c r="K915" s="340"/>
      <c r="L915" s="340"/>
      <c r="M915" s="340"/>
      <c r="N915" s="340"/>
      <c r="O915" s="340"/>
      <c r="P915" s="340"/>
      <c r="Q915" s="340"/>
      <c r="R915" s="340"/>
      <c r="S915" s="340"/>
      <c r="T915" s="340"/>
      <c r="U915" s="340"/>
      <c r="V915" s="340"/>
      <c r="W915" s="340"/>
      <c r="X915" s="340"/>
      <c r="Y915" s="340"/>
      <c r="Z915" s="340"/>
      <c r="AA915" s="340"/>
      <c r="AB915" s="340"/>
      <c r="AC915" s="340"/>
      <c r="AD915" s="340"/>
      <c r="AE915" s="340"/>
      <c r="AF915" s="340"/>
      <c r="AG915" s="340"/>
      <c r="AH915" s="340"/>
      <c r="AI915" s="340"/>
      <c r="AJ915" s="340"/>
      <c r="AK915" s="340"/>
      <c r="AL915" s="340"/>
      <c r="AM915" s="340"/>
      <c r="AN915" s="340"/>
      <c r="AO915" s="340"/>
      <c r="AP915" s="340"/>
      <c r="AQ915" s="340"/>
      <c r="AR915" s="340"/>
      <c r="AS915" s="340"/>
      <c r="AT915" s="340"/>
      <c r="AU915" s="340"/>
      <c r="AV915" s="340"/>
      <c r="AW915" s="340"/>
      <c r="AX915" s="340"/>
      <c r="AY915" s="340"/>
      <c r="AZ915" s="340"/>
      <c r="BA915" s="340"/>
      <c r="BB915" s="340"/>
      <c r="BC915" s="340"/>
      <c r="BD915" s="340"/>
    </row>
    <row r="916" spans="3:56">
      <c r="C916" s="340"/>
      <c r="D916" s="340"/>
      <c r="E916" s="340"/>
      <c r="F916" s="340"/>
      <c r="G916" s="340"/>
      <c r="H916" s="340"/>
      <c r="I916" s="340"/>
      <c r="J916" s="340"/>
      <c r="K916" s="340"/>
      <c r="L916" s="340"/>
      <c r="M916" s="340"/>
      <c r="N916" s="340"/>
      <c r="O916" s="340"/>
      <c r="P916" s="340"/>
      <c r="Q916" s="340"/>
      <c r="R916" s="340"/>
      <c r="S916" s="340"/>
      <c r="T916" s="340"/>
      <c r="U916" s="340"/>
      <c r="V916" s="340"/>
      <c r="W916" s="340"/>
      <c r="X916" s="340"/>
      <c r="Y916" s="340"/>
      <c r="Z916" s="340"/>
      <c r="AA916" s="340"/>
      <c r="AB916" s="340"/>
      <c r="AC916" s="340"/>
      <c r="AD916" s="340"/>
      <c r="AE916" s="340"/>
      <c r="AF916" s="340"/>
      <c r="AG916" s="340"/>
      <c r="AH916" s="340"/>
      <c r="AI916" s="340"/>
      <c r="AJ916" s="340"/>
      <c r="AK916" s="340"/>
      <c r="AL916" s="340"/>
      <c r="AM916" s="340"/>
      <c r="AN916" s="340"/>
      <c r="AO916" s="340"/>
      <c r="AP916" s="340"/>
      <c r="AQ916" s="340"/>
      <c r="AR916" s="340"/>
      <c r="AS916" s="340"/>
      <c r="AT916" s="340"/>
      <c r="AU916" s="340"/>
      <c r="AV916" s="340"/>
      <c r="AW916" s="340"/>
      <c r="AX916" s="340"/>
      <c r="AY916" s="340"/>
      <c r="AZ916" s="340"/>
      <c r="BA916" s="340"/>
      <c r="BB916" s="340"/>
      <c r="BC916" s="340"/>
      <c r="BD916" s="340"/>
    </row>
    <row r="917" spans="3:56">
      <c r="C917" s="340"/>
      <c r="D917" s="340"/>
      <c r="E917" s="340"/>
      <c r="F917" s="340"/>
      <c r="G917" s="340"/>
      <c r="H917" s="340"/>
      <c r="I917" s="340"/>
      <c r="J917" s="340"/>
      <c r="K917" s="340"/>
      <c r="L917" s="340"/>
      <c r="M917" s="340"/>
      <c r="N917" s="340"/>
      <c r="O917" s="340"/>
      <c r="P917" s="340"/>
      <c r="Q917" s="340"/>
      <c r="R917" s="340"/>
      <c r="S917" s="340"/>
      <c r="T917" s="340"/>
      <c r="U917" s="340"/>
      <c r="V917" s="340"/>
      <c r="W917" s="340"/>
      <c r="X917" s="340"/>
      <c r="Y917" s="340"/>
      <c r="Z917" s="340"/>
      <c r="AA917" s="340"/>
      <c r="AB917" s="340"/>
      <c r="AC917" s="340"/>
      <c r="AD917" s="340"/>
      <c r="AE917" s="340"/>
      <c r="AF917" s="340"/>
      <c r="AG917" s="340"/>
      <c r="AH917" s="340"/>
      <c r="AI917" s="340"/>
      <c r="AJ917" s="340"/>
      <c r="AK917" s="340"/>
      <c r="AL917" s="340"/>
      <c r="AM917" s="340"/>
      <c r="AN917" s="340"/>
      <c r="AO917" s="340"/>
      <c r="AP917" s="340"/>
      <c r="AQ917" s="340"/>
      <c r="AR917" s="340"/>
      <c r="AS917" s="340"/>
      <c r="AT917" s="340"/>
      <c r="AU917" s="340"/>
      <c r="AV917" s="340"/>
      <c r="AW917" s="340"/>
      <c r="AX917" s="340"/>
      <c r="AY917" s="340"/>
      <c r="AZ917" s="340"/>
      <c r="BA917" s="340"/>
      <c r="BB917" s="340"/>
      <c r="BC917" s="340"/>
      <c r="BD917" s="340"/>
    </row>
    <row r="918" spans="3:56">
      <c r="C918" s="340"/>
      <c r="D918" s="340"/>
      <c r="E918" s="340"/>
      <c r="F918" s="340"/>
      <c r="G918" s="340"/>
      <c r="H918" s="340"/>
      <c r="I918" s="340"/>
      <c r="J918" s="340"/>
      <c r="K918" s="340"/>
      <c r="L918" s="340"/>
      <c r="M918" s="340"/>
      <c r="N918" s="340"/>
      <c r="O918" s="340"/>
      <c r="P918" s="340"/>
      <c r="Q918" s="340"/>
      <c r="R918" s="340"/>
      <c r="S918" s="340"/>
      <c r="T918" s="340"/>
      <c r="U918" s="340"/>
      <c r="V918" s="340"/>
      <c r="W918" s="340"/>
      <c r="X918" s="340"/>
      <c r="Y918" s="340"/>
      <c r="Z918" s="340"/>
      <c r="AA918" s="340"/>
      <c r="AB918" s="340"/>
      <c r="AC918" s="340"/>
      <c r="AD918" s="340"/>
      <c r="AE918" s="340"/>
      <c r="AF918" s="340"/>
      <c r="AG918" s="340"/>
      <c r="AH918" s="340"/>
      <c r="AI918" s="340"/>
      <c r="AJ918" s="340"/>
      <c r="AK918" s="340"/>
      <c r="AL918" s="340"/>
      <c r="AM918" s="340"/>
      <c r="AN918" s="340"/>
      <c r="AO918" s="340"/>
      <c r="AP918" s="340"/>
      <c r="AQ918" s="340"/>
      <c r="AR918" s="340"/>
      <c r="AS918" s="340"/>
      <c r="AT918" s="340"/>
      <c r="AU918" s="340"/>
      <c r="AV918" s="340"/>
      <c r="AW918" s="340"/>
      <c r="AX918" s="340"/>
      <c r="AY918" s="340"/>
      <c r="AZ918" s="340"/>
      <c r="BA918" s="340"/>
      <c r="BB918" s="340"/>
      <c r="BC918" s="340"/>
      <c r="BD918" s="340"/>
    </row>
    <row r="919" spans="3:56">
      <c r="C919" s="340"/>
      <c r="D919" s="340"/>
      <c r="E919" s="340"/>
      <c r="F919" s="340"/>
      <c r="G919" s="340"/>
      <c r="H919" s="340"/>
      <c r="I919" s="340"/>
      <c r="J919" s="340"/>
      <c r="K919" s="340"/>
      <c r="L919" s="340"/>
      <c r="M919" s="340"/>
      <c r="N919" s="340"/>
      <c r="O919" s="340"/>
      <c r="P919" s="340"/>
      <c r="Q919" s="340"/>
      <c r="R919" s="340"/>
      <c r="S919" s="340"/>
      <c r="T919" s="340"/>
      <c r="U919" s="340"/>
      <c r="V919" s="340"/>
      <c r="W919" s="340"/>
      <c r="X919" s="340"/>
      <c r="Y919" s="340"/>
      <c r="Z919" s="340"/>
      <c r="AA919" s="340"/>
      <c r="AB919" s="340"/>
      <c r="AC919" s="340"/>
      <c r="AD919" s="340"/>
      <c r="AE919" s="340"/>
      <c r="AF919" s="340"/>
      <c r="AG919" s="340"/>
      <c r="AH919" s="340"/>
      <c r="AI919" s="340"/>
      <c r="AJ919" s="340"/>
      <c r="AK919" s="340"/>
      <c r="AL919" s="340"/>
      <c r="AM919" s="340"/>
      <c r="AN919" s="340"/>
      <c r="AO919" s="340"/>
      <c r="AP919" s="340"/>
      <c r="AQ919" s="340"/>
      <c r="AR919" s="340"/>
      <c r="AS919" s="340"/>
      <c r="AT919" s="340"/>
      <c r="AU919" s="340"/>
      <c r="AV919" s="340"/>
      <c r="AW919" s="340"/>
      <c r="AX919" s="340"/>
      <c r="AY919" s="340"/>
      <c r="AZ919" s="340"/>
      <c r="BA919" s="340"/>
      <c r="BB919" s="340"/>
      <c r="BC919" s="340"/>
      <c r="BD919" s="340"/>
    </row>
    <row r="920" spans="3:56">
      <c r="C920" s="340"/>
      <c r="D920" s="340"/>
      <c r="E920" s="340"/>
      <c r="F920" s="340"/>
      <c r="G920" s="340"/>
      <c r="H920" s="340"/>
      <c r="I920" s="340"/>
      <c r="J920" s="340"/>
      <c r="K920" s="340"/>
      <c r="L920" s="340"/>
      <c r="M920" s="340"/>
      <c r="N920" s="340"/>
      <c r="O920" s="340"/>
      <c r="P920" s="340"/>
      <c r="Q920" s="340"/>
      <c r="R920" s="340"/>
      <c r="S920" s="340"/>
      <c r="T920" s="340"/>
      <c r="U920" s="340"/>
      <c r="V920" s="340"/>
      <c r="W920" s="340"/>
      <c r="X920" s="340"/>
      <c r="Y920" s="340"/>
      <c r="Z920" s="340"/>
      <c r="AA920" s="340"/>
      <c r="AB920" s="340"/>
      <c r="AC920" s="340"/>
      <c r="AD920" s="340"/>
      <c r="AE920" s="340"/>
      <c r="AF920" s="340"/>
      <c r="AG920" s="340"/>
      <c r="AH920" s="340"/>
      <c r="AI920" s="340"/>
      <c r="AJ920" s="340"/>
      <c r="AK920" s="340"/>
      <c r="AL920" s="340"/>
      <c r="AM920" s="340"/>
      <c r="AN920" s="340"/>
      <c r="AO920" s="340"/>
      <c r="AP920" s="340"/>
      <c r="AQ920" s="340"/>
      <c r="AR920" s="340"/>
      <c r="AS920" s="340"/>
      <c r="AT920" s="340"/>
      <c r="AU920" s="340"/>
      <c r="AV920" s="340"/>
      <c r="AW920" s="340"/>
      <c r="AX920" s="340"/>
      <c r="AY920" s="340"/>
      <c r="AZ920" s="340"/>
      <c r="BA920" s="340"/>
      <c r="BB920" s="340"/>
      <c r="BC920" s="340"/>
      <c r="BD920" s="340"/>
    </row>
    <row r="921" spans="3:56">
      <c r="C921" s="340"/>
      <c r="D921" s="340"/>
      <c r="E921" s="340"/>
      <c r="F921" s="340"/>
      <c r="G921" s="340"/>
      <c r="H921" s="340"/>
      <c r="I921" s="340"/>
      <c r="J921" s="340"/>
      <c r="K921" s="340"/>
      <c r="L921" s="340"/>
      <c r="M921" s="340"/>
      <c r="N921" s="340"/>
      <c r="O921" s="340"/>
      <c r="P921" s="340"/>
      <c r="Q921" s="340"/>
      <c r="R921" s="340"/>
      <c r="S921" s="340"/>
      <c r="T921" s="340"/>
      <c r="U921" s="340"/>
      <c r="V921" s="340"/>
      <c r="W921" s="340"/>
      <c r="X921" s="340"/>
      <c r="Y921" s="340"/>
      <c r="Z921" s="340"/>
      <c r="AA921" s="340"/>
      <c r="AB921" s="340"/>
      <c r="AC921" s="340"/>
      <c r="AD921" s="340"/>
      <c r="AE921" s="340"/>
      <c r="AF921" s="340"/>
      <c r="AG921" s="340"/>
      <c r="AH921" s="340"/>
      <c r="AI921" s="340"/>
      <c r="AJ921" s="340"/>
      <c r="AK921" s="340"/>
      <c r="AL921" s="340"/>
      <c r="AM921" s="340"/>
      <c r="AN921" s="340"/>
      <c r="AO921" s="340"/>
      <c r="AP921" s="340"/>
      <c r="AQ921" s="340"/>
      <c r="AR921" s="340"/>
      <c r="AS921" s="340"/>
      <c r="AT921" s="340"/>
      <c r="AU921" s="340"/>
      <c r="AV921" s="340"/>
      <c r="AW921" s="340"/>
      <c r="AX921" s="340"/>
      <c r="AY921" s="340"/>
      <c r="AZ921" s="340"/>
      <c r="BA921" s="340"/>
      <c r="BB921" s="340"/>
      <c r="BC921" s="340"/>
      <c r="BD921" s="340"/>
    </row>
    <row r="922" spans="3:56">
      <c r="C922" s="340"/>
      <c r="D922" s="340"/>
      <c r="E922" s="340"/>
      <c r="F922" s="340"/>
      <c r="G922" s="340"/>
      <c r="H922" s="340"/>
      <c r="I922" s="340"/>
      <c r="J922" s="340"/>
      <c r="K922" s="340"/>
      <c r="L922" s="340"/>
      <c r="M922" s="340"/>
      <c r="N922" s="340"/>
      <c r="O922" s="340"/>
      <c r="P922" s="340"/>
      <c r="Q922" s="340"/>
      <c r="R922" s="340"/>
      <c r="S922" s="340"/>
      <c r="T922" s="340"/>
      <c r="U922" s="340"/>
      <c r="V922" s="340"/>
      <c r="W922" s="340"/>
      <c r="X922" s="340"/>
      <c r="Y922" s="340"/>
      <c r="Z922" s="340"/>
      <c r="AA922" s="340"/>
      <c r="AB922" s="340"/>
      <c r="AC922" s="340"/>
      <c r="AD922" s="340"/>
      <c r="AE922" s="340"/>
      <c r="AF922" s="340"/>
      <c r="AG922" s="340"/>
      <c r="AH922" s="340"/>
      <c r="AI922" s="340"/>
      <c r="AJ922" s="340"/>
      <c r="AK922" s="340"/>
      <c r="AL922" s="340"/>
      <c r="AM922" s="340"/>
      <c r="AN922" s="340"/>
      <c r="AO922" s="340"/>
      <c r="AP922" s="340"/>
      <c r="AQ922" s="340"/>
      <c r="AR922" s="340"/>
      <c r="AS922" s="340"/>
      <c r="AT922" s="340"/>
      <c r="AU922" s="340"/>
      <c r="AV922" s="340"/>
      <c r="AW922" s="340"/>
      <c r="AX922" s="340"/>
      <c r="AY922" s="340"/>
      <c r="AZ922" s="340"/>
      <c r="BA922" s="340"/>
      <c r="BB922" s="340"/>
      <c r="BC922" s="340"/>
      <c r="BD922" s="340"/>
    </row>
    <row r="923" spans="3:56">
      <c r="C923" s="340"/>
      <c r="D923" s="340"/>
      <c r="E923" s="340"/>
      <c r="F923" s="340"/>
      <c r="G923" s="340"/>
      <c r="H923" s="340"/>
      <c r="I923" s="340"/>
      <c r="J923" s="340"/>
      <c r="K923" s="340"/>
      <c r="L923" s="340"/>
      <c r="M923" s="340"/>
      <c r="N923" s="340"/>
      <c r="O923" s="340"/>
      <c r="P923" s="340"/>
      <c r="Q923" s="340"/>
      <c r="R923" s="340"/>
      <c r="S923" s="340"/>
      <c r="T923" s="340"/>
      <c r="U923" s="340"/>
      <c r="V923" s="340"/>
      <c r="W923" s="340"/>
      <c r="X923" s="340"/>
      <c r="Y923" s="340"/>
      <c r="Z923" s="340"/>
      <c r="AA923" s="340"/>
      <c r="AB923" s="340"/>
      <c r="AC923" s="340"/>
      <c r="AD923" s="340"/>
      <c r="AE923" s="340"/>
      <c r="AF923" s="340"/>
      <c r="AG923" s="340"/>
      <c r="AH923" s="340"/>
      <c r="AI923" s="340"/>
      <c r="AJ923" s="340"/>
      <c r="AK923" s="340"/>
      <c r="AL923" s="340"/>
      <c r="AM923" s="340"/>
      <c r="AN923" s="340"/>
      <c r="AO923" s="340"/>
      <c r="AP923" s="340"/>
      <c r="AQ923" s="340"/>
      <c r="AR923" s="340"/>
      <c r="AS923" s="340"/>
      <c r="AT923" s="340"/>
      <c r="AU923" s="340"/>
      <c r="AV923" s="340"/>
      <c r="AW923" s="340"/>
      <c r="AX923" s="340"/>
      <c r="AY923" s="340"/>
      <c r="AZ923" s="340"/>
      <c r="BA923" s="340"/>
      <c r="BB923" s="340"/>
      <c r="BC923" s="340"/>
      <c r="BD923" s="340"/>
    </row>
    <row r="924" spans="3:56">
      <c r="C924" s="340"/>
      <c r="D924" s="340"/>
      <c r="E924" s="340"/>
      <c r="F924" s="340"/>
      <c r="G924" s="340"/>
      <c r="H924" s="340"/>
      <c r="I924" s="340"/>
      <c r="J924" s="340"/>
      <c r="K924" s="340"/>
      <c r="L924" s="340"/>
      <c r="M924" s="340"/>
      <c r="N924" s="340"/>
      <c r="O924" s="340"/>
      <c r="P924" s="340"/>
      <c r="Q924" s="340"/>
      <c r="R924" s="340"/>
      <c r="S924" s="340"/>
      <c r="T924" s="340"/>
      <c r="U924" s="340"/>
      <c r="V924" s="340"/>
      <c r="W924" s="340"/>
      <c r="X924" s="340"/>
      <c r="Y924" s="340"/>
      <c r="Z924" s="340"/>
      <c r="AA924" s="340"/>
      <c r="AB924" s="340"/>
      <c r="AC924" s="340"/>
      <c r="AD924" s="340"/>
      <c r="AE924" s="340"/>
      <c r="AF924" s="340"/>
      <c r="AG924" s="340"/>
      <c r="AH924" s="340"/>
      <c r="AI924" s="340"/>
      <c r="AJ924" s="340"/>
      <c r="AK924" s="340"/>
      <c r="AL924" s="340"/>
      <c r="AM924" s="340"/>
      <c r="AN924" s="340"/>
      <c r="AO924" s="340"/>
      <c r="AP924" s="340"/>
      <c r="AQ924" s="340"/>
      <c r="AR924" s="340"/>
      <c r="AS924" s="340"/>
      <c r="AT924" s="340"/>
      <c r="AU924" s="340"/>
      <c r="AV924" s="340"/>
      <c r="AW924" s="340"/>
      <c r="AX924" s="340"/>
      <c r="AY924" s="340"/>
      <c r="AZ924" s="340"/>
      <c r="BA924" s="340"/>
      <c r="BB924" s="340"/>
      <c r="BC924" s="340"/>
      <c r="BD924" s="340"/>
    </row>
    <row r="925" spans="3:56">
      <c r="C925" s="340"/>
      <c r="D925" s="340"/>
      <c r="E925" s="340"/>
      <c r="F925" s="340"/>
      <c r="G925" s="340"/>
      <c r="H925" s="340"/>
      <c r="I925" s="340"/>
      <c r="J925" s="340"/>
      <c r="K925" s="340"/>
      <c r="L925" s="340"/>
      <c r="M925" s="340"/>
      <c r="N925" s="340"/>
      <c r="O925" s="340"/>
      <c r="P925" s="340"/>
      <c r="Q925" s="340"/>
      <c r="R925" s="340"/>
      <c r="S925" s="340"/>
      <c r="T925" s="340"/>
      <c r="U925" s="340"/>
      <c r="V925" s="340"/>
      <c r="W925" s="340"/>
      <c r="X925" s="340"/>
      <c r="Y925" s="340"/>
      <c r="Z925" s="340"/>
      <c r="AA925" s="340"/>
      <c r="AB925" s="340"/>
      <c r="AC925" s="340"/>
      <c r="AD925" s="340"/>
      <c r="AE925" s="340"/>
      <c r="AF925" s="340"/>
      <c r="AG925" s="340"/>
      <c r="AH925" s="340"/>
      <c r="AI925" s="340"/>
      <c r="AJ925" s="340"/>
      <c r="AK925" s="340"/>
      <c r="AL925" s="340"/>
      <c r="AM925" s="340"/>
      <c r="AN925" s="340"/>
      <c r="AO925" s="340"/>
      <c r="AP925" s="340"/>
      <c r="AQ925" s="340"/>
      <c r="AR925" s="340"/>
      <c r="AS925" s="340"/>
      <c r="AT925" s="340"/>
      <c r="AU925" s="340"/>
      <c r="AV925" s="340"/>
      <c r="AW925" s="340"/>
      <c r="AX925" s="340"/>
      <c r="AY925" s="340"/>
      <c r="AZ925" s="340"/>
      <c r="BA925" s="340"/>
      <c r="BB925" s="340"/>
      <c r="BC925" s="340"/>
      <c r="BD925" s="340"/>
    </row>
    <row r="926" spans="3:56">
      <c r="C926" s="340"/>
      <c r="D926" s="340"/>
      <c r="E926" s="340"/>
      <c r="F926" s="340"/>
      <c r="G926" s="340"/>
      <c r="H926" s="340"/>
      <c r="I926" s="340"/>
      <c r="J926" s="340"/>
      <c r="K926" s="340"/>
      <c r="L926" s="340"/>
      <c r="M926" s="340"/>
      <c r="N926" s="340"/>
      <c r="O926" s="340"/>
      <c r="P926" s="340"/>
      <c r="Q926" s="340"/>
      <c r="R926" s="340"/>
      <c r="S926" s="340"/>
      <c r="T926" s="340"/>
      <c r="U926" s="340"/>
      <c r="V926" s="340"/>
      <c r="W926" s="340"/>
      <c r="X926" s="340"/>
      <c r="Y926" s="340"/>
      <c r="Z926" s="340"/>
      <c r="AA926" s="340"/>
      <c r="AB926" s="340"/>
      <c r="AC926" s="340"/>
      <c r="AD926" s="340"/>
      <c r="AE926" s="340"/>
      <c r="AF926" s="340"/>
      <c r="AG926" s="340"/>
      <c r="AH926" s="340"/>
      <c r="AI926" s="340"/>
      <c r="AJ926" s="340"/>
      <c r="AK926" s="340"/>
      <c r="AL926" s="340"/>
      <c r="AM926" s="340"/>
      <c r="AN926" s="340"/>
      <c r="AO926" s="340"/>
      <c r="AP926" s="340"/>
      <c r="AQ926" s="340"/>
      <c r="AR926" s="340"/>
      <c r="AS926" s="340"/>
      <c r="AT926" s="340"/>
      <c r="AU926" s="340"/>
      <c r="AV926" s="340"/>
      <c r="AW926" s="340"/>
      <c r="AX926" s="340"/>
      <c r="AY926" s="340"/>
      <c r="AZ926" s="340"/>
      <c r="BA926" s="340"/>
      <c r="BB926" s="340"/>
      <c r="BC926" s="340"/>
      <c r="BD926" s="340"/>
    </row>
    <row r="927" spans="3:56">
      <c r="C927" s="340"/>
      <c r="D927" s="340"/>
      <c r="E927" s="340"/>
      <c r="F927" s="340"/>
      <c r="G927" s="340"/>
      <c r="H927" s="340"/>
      <c r="I927" s="340"/>
      <c r="J927" s="340"/>
      <c r="K927" s="340"/>
      <c r="L927" s="340"/>
      <c r="M927" s="340"/>
      <c r="N927" s="340"/>
      <c r="O927" s="340"/>
      <c r="P927" s="340"/>
      <c r="Q927" s="340"/>
      <c r="R927" s="340"/>
      <c r="S927" s="340"/>
      <c r="T927" s="340"/>
      <c r="U927" s="340"/>
      <c r="V927" s="340"/>
      <c r="W927" s="340"/>
      <c r="X927" s="340"/>
      <c r="Y927" s="340"/>
      <c r="Z927" s="340"/>
      <c r="AA927" s="340"/>
      <c r="AB927" s="340"/>
      <c r="AC927" s="340"/>
      <c r="AD927" s="340"/>
      <c r="AE927" s="340"/>
      <c r="AF927" s="340"/>
      <c r="AG927" s="340"/>
      <c r="AH927" s="340"/>
      <c r="AI927" s="340"/>
      <c r="AJ927" s="340"/>
      <c r="AK927" s="340"/>
      <c r="AL927" s="340"/>
      <c r="AM927" s="340"/>
      <c r="AN927" s="340"/>
      <c r="AO927" s="340"/>
      <c r="AP927" s="340"/>
      <c r="AQ927" s="340"/>
      <c r="AR927" s="340"/>
      <c r="AS927" s="340"/>
      <c r="AT927" s="340"/>
      <c r="AU927" s="340"/>
      <c r="AV927" s="340"/>
      <c r="AW927" s="340"/>
      <c r="AX927" s="340"/>
      <c r="AY927" s="340"/>
      <c r="AZ927" s="340"/>
      <c r="BA927" s="340"/>
      <c r="BB927" s="340"/>
      <c r="BC927" s="340"/>
      <c r="BD927" s="340"/>
    </row>
    <row r="928" spans="3:56">
      <c r="C928" s="340"/>
      <c r="D928" s="340"/>
      <c r="E928" s="340"/>
      <c r="F928" s="340"/>
      <c r="G928" s="340"/>
      <c r="H928" s="340"/>
      <c r="I928" s="340"/>
      <c r="J928" s="340"/>
      <c r="K928" s="340"/>
      <c r="L928" s="340"/>
      <c r="M928" s="340"/>
      <c r="N928" s="340"/>
      <c r="O928" s="340"/>
      <c r="P928" s="340"/>
      <c r="Q928" s="340"/>
      <c r="R928" s="340"/>
      <c r="S928" s="340"/>
      <c r="T928" s="340"/>
      <c r="U928" s="340"/>
      <c r="V928" s="340"/>
      <c r="W928" s="340"/>
      <c r="X928" s="340"/>
      <c r="Y928" s="340"/>
      <c r="Z928" s="340"/>
      <c r="AA928" s="340"/>
      <c r="AB928" s="340"/>
      <c r="AC928" s="340"/>
      <c r="AD928" s="340"/>
      <c r="AE928" s="340"/>
      <c r="AF928" s="340"/>
      <c r="AG928" s="340"/>
      <c r="AH928" s="340"/>
      <c r="AI928" s="340"/>
      <c r="AJ928" s="340"/>
      <c r="AK928" s="340"/>
      <c r="AL928" s="340"/>
      <c r="AM928" s="340"/>
      <c r="AN928" s="340"/>
      <c r="AO928" s="340"/>
      <c r="AP928" s="340"/>
      <c r="AQ928" s="340"/>
      <c r="AR928" s="340"/>
      <c r="AS928" s="340"/>
      <c r="AT928" s="340"/>
      <c r="AU928" s="340"/>
      <c r="AV928" s="340"/>
      <c r="AW928" s="340"/>
      <c r="AX928" s="340"/>
      <c r="AY928" s="340"/>
      <c r="AZ928" s="340"/>
      <c r="BA928" s="340"/>
      <c r="BB928" s="340"/>
      <c r="BC928" s="340"/>
      <c r="BD928" s="340"/>
    </row>
    <row r="929" spans="3:56">
      <c r="C929" s="340"/>
      <c r="D929" s="340"/>
      <c r="E929" s="340"/>
      <c r="F929" s="340"/>
      <c r="G929" s="340"/>
      <c r="H929" s="340"/>
      <c r="I929" s="340"/>
      <c r="J929" s="340"/>
      <c r="K929" s="340"/>
      <c r="L929" s="340"/>
      <c r="M929" s="340"/>
      <c r="N929" s="340"/>
      <c r="O929" s="340"/>
      <c r="P929" s="340"/>
      <c r="Q929" s="340"/>
      <c r="R929" s="340"/>
      <c r="S929" s="340"/>
      <c r="T929" s="340"/>
      <c r="U929" s="340"/>
      <c r="V929" s="340"/>
      <c r="W929" s="340"/>
      <c r="X929" s="340"/>
      <c r="Y929" s="340"/>
      <c r="Z929" s="340"/>
      <c r="AA929" s="340"/>
      <c r="AB929" s="340"/>
      <c r="AC929" s="340"/>
      <c r="AD929" s="340"/>
      <c r="AE929" s="340"/>
      <c r="AF929" s="340"/>
      <c r="AG929" s="340"/>
      <c r="AH929" s="340"/>
      <c r="AI929" s="340"/>
      <c r="AJ929" s="340"/>
      <c r="AK929" s="340"/>
      <c r="AL929" s="340"/>
      <c r="AM929" s="340"/>
      <c r="AN929" s="340"/>
      <c r="AO929" s="340"/>
      <c r="AP929" s="340"/>
      <c r="AQ929" s="340"/>
      <c r="AR929" s="340"/>
      <c r="AS929" s="340"/>
      <c r="AT929" s="340"/>
      <c r="AU929" s="340"/>
      <c r="AV929" s="340"/>
      <c r="AW929" s="340"/>
      <c r="AX929" s="340"/>
      <c r="AY929" s="340"/>
      <c r="AZ929" s="340"/>
      <c r="BA929" s="340"/>
      <c r="BB929" s="340"/>
      <c r="BC929" s="340"/>
      <c r="BD929" s="340"/>
    </row>
    <row r="930" spans="3:56">
      <c r="C930" s="340"/>
      <c r="D930" s="340"/>
      <c r="E930" s="340"/>
      <c r="F930" s="340"/>
      <c r="G930" s="340"/>
      <c r="H930" s="340"/>
      <c r="I930" s="340"/>
      <c r="J930" s="340"/>
      <c r="K930" s="340"/>
      <c r="L930" s="340"/>
      <c r="M930" s="340"/>
      <c r="N930" s="340"/>
      <c r="O930" s="340"/>
      <c r="P930" s="340"/>
      <c r="Q930" s="340"/>
      <c r="R930" s="340"/>
      <c r="S930" s="340"/>
      <c r="T930" s="340"/>
      <c r="U930" s="340"/>
      <c r="V930" s="340"/>
      <c r="W930" s="340"/>
      <c r="X930" s="340"/>
      <c r="Y930" s="340"/>
      <c r="Z930" s="340"/>
      <c r="AA930" s="340"/>
      <c r="AB930" s="340"/>
      <c r="AC930" s="340"/>
      <c r="AD930" s="340"/>
      <c r="AE930" s="340"/>
      <c r="AF930" s="340"/>
      <c r="AG930" s="340"/>
      <c r="AH930" s="340"/>
      <c r="AI930" s="340"/>
      <c r="AJ930" s="340"/>
      <c r="AK930" s="340"/>
      <c r="AL930" s="340"/>
      <c r="AM930" s="340"/>
      <c r="AN930" s="340"/>
      <c r="AO930" s="340"/>
      <c r="AP930" s="340"/>
      <c r="AQ930" s="340"/>
      <c r="AR930" s="340"/>
      <c r="AS930" s="340"/>
      <c r="AT930" s="340"/>
      <c r="AU930" s="340"/>
      <c r="AV930" s="340"/>
      <c r="AW930" s="340"/>
      <c r="AX930" s="340"/>
      <c r="AY930" s="340"/>
      <c r="AZ930" s="340"/>
      <c r="BA930" s="340"/>
      <c r="BB930" s="340"/>
      <c r="BC930" s="340"/>
      <c r="BD930" s="340"/>
    </row>
    <row r="931" spans="3:56">
      <c r="C931" s="340"/>
      <c r="D931" s="340"/>
      <c r="E931" s="340"/>
      <c r="F931" s="340"/>
      <c r="G931" s="340"/>
      <c r="H931" s="340"/>
      <c r="I931" s="340"/>
      <c r="J931" s="340"/>
      <c r="K931" s="340"/>
      <c r="L931" s="340"/>
      <c r="M931" s="340"/>
      <c r="N931" s="340"/>
      <c r="O931" s="340"/>
      <c r="P931" s="340"/>
      <c r="Q931" s="340"/>
      <c r="R931" s="340"/>
      <c r="S931" s="340"/>
      <c r="T931" s="340"/>
      <c r="U931" s="340"/>
      <c r="V931" s="340"/>
      <c r="W931" s="340"/>
      <c r="X931" s="340"/>
      <c r="Y931" s="340"/>
      <c r="Z931" s="340"/>
      <c r="AA931" s="340"/>
      <c r="AB931" s="340"/>
      <c r="AC931" s="340"/>
      <c r="AD931" s="340"/>
      <c r="AE931" s="340"/>
      <c r="AF931" s="340"/>
      <c r="AG931" s="340"/>
      <c r="AH931" s="340"/>
      <c r="AI931" s="340"/>
      <c r="AJ931" s="340"/>
      <c r="AK931" s="340"/>
      <c r="AL931" s="340"/>
      <c r="AM931" s="340"/>
      <c r="AN931" s="340"/>
      <c r="AO931" s="340"/>
      <c r="AP931" s="340"/>
      <c r="AQ931" s="340"/>
      <c r="AR931" s="340"/>
      <c r="AS931" s="340"/>
      <c r="AT931" s="340"/>
      <c r="AU931" s="340"/>
      <c r="AV931" s="340"/>
      <c r="AW931" s="340"/>
      <c r="AX931" s="340"/>
      <c r="AY931" s="340"/>
      <c r="AZ931" s="340"/>
      <c r="BA931" s="340"/>
      <c r="BB931" s="340"/>
      <c r="BC931" s="340"/>
      <c r="BD931" s="340"/>
    </row>
    <row r="932" spans="3:56">
      <c r="C932" s="340"/>
      <c r="D932" s="340"/>
      <c r="E932" s="340"/>
      <c r="F932" s="340"/>
      <c r="G932" s="340"/>
      <c r="H932" s="340"/>
      <c r="I932" s="340"/>
      <c r="J932" s="340"/>
      <c r="K932" s="340"/>
      <c r="L932" s="340"/>
      <c r="M932" s="340"/>
      <c r="N932" s="340"/>
      <c r="O932" s="340"/>
      <c r="P932" s="340"/>
      <c r="Q932" s="340"/>
      <c r="R932" s="340"/>
      <c r="S932" s="340"/>
      <c r="T932" s="340"/>
      <c r="U932" s="340"/>
      <c r="V932" s="340"/>
      <c r="W932" s="340"/>
      <c r="X932" s="340"/>
      <c r="Y932" s="340"/>
      <c r="Z932" s="340"/>
      <c r="AA932" s="340"/>
      <c r="AB932" s="340"/>
      <c r="AC932" s="340"/>
      <c r="AD932" s="340"/>
      <c r="AE932" s="340"/>
      <c r="AF932" s="340"/>
      <c r="AG932" s="340"/>
      <c r="AH932" s="340"/>
      <c r="AI932" s="340"/>
      <c r="AJ932" s="340"/>
      <c r="AK932" s="340"/>
      <c r="AL932" s="340"/>
      <c r="AM932" s="340"/>
      <c r="AN932" s="340"/>
      <c r="AO932" s="340"/>
      <c r="AP932" s="340"/>
      <c r="AQ932" s="340"/>
      <c r="AR932" s="340"/>
      <c r="AS932" s="340"/>
      <c r="AT932" s="340"/>
      <c r="AU932" s="340"/>
      <c r="AV932" s="340"/>
      <c r="AW932" s="340"/>
      <c r="AX932" s="340"/>
      <c r="AY932" s="340"/>
      <c r="AZ932" s="340"/>
      <c r="BA932" s="340"/>
      <c r="BB932" s="340"/>
      <c r="BC932" s="340"/>
      <c r="BD932" s="340"/>
    </row>
    <row r="933" spans="3:56">
      <c r="C933" s="340"/>
      <c r="D933" s="340"/>
      <c r="E933" s="340"/>
      <c r="F933" s="340"/>
      <c r="G933" s="340"/>
      <c r="H933" s="340"/>
      <c r="I933" s="340"/>
      <c r="J933" s="340"/>
      <c r="K933" s="340"/>
      <c r="L933" s="340"/>
      <c r="M933" s="340"/>
      <c r="N933" s="340"/>
      <c r="O933" s="340"/>
      <c r="P933" s="340"/>
      <c r="Q933" s="340"/>
      <c r="R933" s="340"/>
      <c r="S933" s="340"/>
      <c r="T933" s="340"/>
      <c r="U933" s="340"/>
      <c r="V933" s="340"/>
      <c r="W933" s="340"/>
      <c r="X933" s="340"/>
      <c r="Y933" s="340"/>
      <c r="Z933" s="340"/>
      <c r="AA933" s="340"/>
      <c r="AB933" s="340"/>
      <c r="AC933" s="340"/>
      <c r="AD933" s="340"/>
      <c r="AE933" s="340"/>
      <c r="AF933" s="340"/>
      <c r="AG933" s="340"/>
      <c r="AH933" s="340"/>
      <c r="AI933" s="340"/>
      <c r="AJ933" s="340"/>
      <c r="AK933" s="340"/>
      <c r="AL933" s="340"/>
      <c r="AM933" s="340"/>
      <c r="AN933" s="340"/>
      <c r="AO933" s="340"/>
      <c r="AP933" s="340"/>
      <c r="AQ933" s="340"/>
      <c r="AR933" s="340"/>
      <c r="AS933" s="340"/>
      <c r="AT933" s="340"/>
      <c r="AU933" s="340"/>
      <c r="AV933" s="340"/>
      <c r="AW933" s="340"/>
      <c r="AX933" s="340"/>
      <c r="AY933" s="340"/>
      <c r="AZ933" s="340"/>
      <c r="BA933" s="340"/>
      <c r="BB933" s="340"/>
      <c r="BC933" s="340"/>
      <c r="BD933" s="340"/>
    </row>
    <row r="934" spans="3:56">
      <c r="C934" s="340"/>
      <c r="D934" s="340"/>
      <c r="E934" s="340"/>
      <c r="F934" s="340"/>
      <c r="G934" s="340"/>
      <c r="H934" s="340"/>
      <c r="I934" s="340"/>
      <c r="J934" s="340"/>
      <c r="K934" s="340"/>
      <c r="L934" s="340"/>
      <c r="M934" s="340"/>
      <c r="N934" s="340"/>
      <c r="O934" s="340"/>
      <c r="P934" s="340"/>
      <c r="Q934" s="340"/>
      <c r="R934" s="340"/>
      <c r="S934" s="340"/>
      <c r="T934" s="340"/>
      <c r="U934" s="340"/>
      <c r="V934" s="340"/>
      <c r="W934" s="340"/>
      <c r="X934" s="340"/>
      <c r="Y934" s="340"/>
      <c r="Z934" s="340"/>
      <c r="AA934" s="340"/>
      <c r="AB934" s="340"/>
      <c r="AC934" s="340"/>
      <c r="AD934" s="340"/>
      <c r="AE934" s="340"/>
      <c r="AF934" s="340"/>
      <c r="AG934" s="340"/>
      <c r="AH934" s="340"/>
      <c r="AI934" s="340"/>
      <c r="AJ934" s="340"/>
      <c r="AK934" s="340"/>
      <c r="AL934" s="340"/>
      <c r="AM934" s="340"/>
      <c r="AN934" s="340"/>
      <c r="AO934" s="340"/>
      <c r="AP934" s="340"/>
      <c r="AQ934" s="340"/>
      <c r="AR934" s="340"/>
      <c r="AS934" s="340"/>
      <c r="AT934" s="340"/>
      <c r="AU934" s="340"/>
      <c r="AV934" s="340"/>
      <c r="AW934" s="340"/>
      <c r="AX934" s="340"/>
      <c r="AY934" s="340"/>
      <c r="AZ934" s="340"/>
      <c r="BA934" s="340"/>
      <c r="BB934" s="340"/>
      <c r="BC934" s="340"/>
      <c r="BD934" s="340"/>
    </row>
    <row r="935" spans="3:56">
      <c r="C935" s="340"/>
      <c r="D935" s="340"/>
      <c r="E935" s="340"/>
      <c r="F935" s="340"/>
      <c r="G935" s="340"/>
      <c r="H935" s="340"/>
      <c r="I935" s="340"/>
      <c r="J935" s="340"/>
      <c r="K935" s="340"/>
      <c r="L935" s="340"/>
      <c r="M935" s="340"/>
      <c r="N935" s="340"/>
      <c r="O935" s="340"/>
      <c r="P935" s="340"/>
      <c r="Q935" s="340"/>
      <c r="R935" s="340"/>
      <c r="S935" s="340"/>
      <c r="T935" s="340"/>
      <c r="U935" s="340"/>
      <c r="V935" s="340"/>
      <c r="W935" s="340"/>
      <c r="X935" s="340"/>
      <c r="Y935" s="340"/>
      <c r="Z935" s="340"/>
      <c r="AA935" s="340"/>
      <c r="AB935" s="340"/>
      <c r="AC935" s="340"/>
      <c r="AD935" s="340"/>
      <c r="AE935" s="340"/>
      <c r="AF935" s="340"/>
      <c r="AG935" s="340"/>
      <c r="AH935" s="340"/>
      <c r="AI935" s="340"/>
      <c r="AJ935" s="340"/>
      <c r="AK935" s="340"/>
      <c r="AL935" s="340"/>
      <c r="AM935" s="340"/>
      <c r="AN935" s="340"/>
      <c r="AO935" s="340"/>
      <c r="AP935" s="340"/>
      <c r="AQ935" s="340"/>
      <c r="AR935" s="340"/>
      <c r="AS935" s="340"/>
      <c r="AT935" s="340"/>
      <c r="AU935" s="340"/>
      <c r="AV935" s="340"/>
      <c r="AW935" s="340"/>
      <c r="AX935" s="340"/>
      <c r="AY935" s="340"/>
      <c r="AZ935" s="340"/>
      <c r="BA935" s="340"/>
      <c r="BB935" s="340"/>
      <c r="BC935" s="340"/>
      <c r="BD935" s="340"/>
    </row>
    <row r="936" spans="3:56">
      <c r="C936" s="340"/>
      <c r="D936" s="340"/>
      <c r="E936" s="340"/>
      <c r="F936" s="340"/>
      <c r="G936" s="340"/>
      <c r="H936" s="340"/>
      <c r="I936" s="340"/>
      <c r="J936" s="340"/>
      <c r="K936" s="340"/>
      <c r="L936" s="340"/>
      <c r="M936" s="340"/>
      <c r="N936" s="340"/>
      <c r="O936" s="340"/>
      <c r="P936" s="340"/>
      <c r="Q936" s="340"/>
      <c r="R936" s="340"/>
      <c r="S936" s="340"/>
      <c r="T936" s="340"/>
      <c r="U936" s="340"/>
      <c r="V936" s="340"/>
      <c r="W936" s="340"/>
      <c r="X936" s="340"/>
      <c r="Y936" s="340"/>
      <c r="Z936" s="340"/>
      <c r="AA936" s="340"/>
      <c r="AB936" s="340"/>
      <c r="AC936" s="340"/>
      <c r="AD936" s="340"/>
      <c r="AE936" s="340"/>
      <c r="AF936" s="340"/>
      <c r="AG936" s="340"/>
      <c r="AH936" s="340"/>
      <c r="AI936" s="340"/>
      <c r="AJ936" s="340"/>
      <c r="AK936" s="340"/>
      <c r="AL936" s="340"/>
      <c r="AM936" s="340"/>
      <c r="AN936" s="340"/>
      <c r="AO936" s="340"/>
      <c r="AP936" s="340"/>
      <c r="AQ936" s="340"/>
      <c r="AR936" s="340"/>
      <c r="AS936" s="340"/>
      <c r="AT936" s="340"/>
      <c r="AU936" s="340"/>
      <c r="AV936" s="340"/>
      <c r="AW936" s="340"/>
      <c r="AX936" s="340"/>
      <c r="AY936" s="340"/>
      <c r="AZ936" s="340"/>
      <c r="BA936" s="340"/>
      <c r="BB936" s="340"/>
      <c r="BC936" s="340"/>
      <c r="BD936" s="340"/>
    </row>
    <row r="937" spans="3:56">
      <c r="C937" s="340"/>
      <c r="D937" s="340"/>
      <c r="E937" s="340"/>
      <c r="F937" s="340"/>
      <c r="G937" s="340"/>
      <c r="H937" s="340"/>
      <c r="I937" s="340"/>
      <c r="J937" s="340"/>
      <c r="K937" s="340"/>
      <c r="L937" s="340"/>
      <c r="M937" s="340"/>
      <c r="N937" s="340"/>
      <c r="O937" s="340"/>
      <c r="P937" s="340"/>
      <c r="Q937" s="340"/>
      <c r="R937" s="340"/>
      <c r="S937" s="340"/>
      <c r="T937" s="340"/>
      <c r="U937" s="340"/>
      <c r="V937" s="340"/>
      <c r="W937" s="340"/>
      <c r="X937" s="340"/>
      <c r="Y937" s="340"/>
      <c r="Z937" s="340"/>
      <c r="AA937" s="340"/>
      <c r="AB937" s="340"/>
      <c r="AC937" s="340"/>
      <c r="AD937" s="340"/>
      <c r="AE937" s="340"/>
      <c r="AF937" s="340"/>
      <c r="AG937" s="340"/>
      <c r="AH937" s="340"/>
      <c r="AI937" s="340"/>
      <c r="AJ937" s="340"/>
      <c r="AK937" s="340"/>
      <c r="AL937" s="340"/>
      <c r="AM937" s="340"/>
      <c r="AN937" s="340"/>
      <c r="AO937" s="340"/>
      <c r="AP937" s="340"/>
      <c r="AQ937" s="340"/>
      <c r="AR937" s="340"/>
      <c r="AS937" s="340"/>
      <c r="AT937" s="340"/>
      <c r="AU937" s="340"/>
      <c r="AV937" s="340"/>
      <c r="AW937" s="340"/>
      <c r="AX937" s="340"/>
      <c r="AY937" s="340"/>
      <c r="AZ937" s="340"/>
      <c r="BA937" s="340"/>
      <c r="BB937" s="340"/>
      <c r="BC937" s="340"/>
      <c r="BD937" s="340"/>
    </row>
    <row r="938" spans="3:56">
      <c r="C938" s="340"/>
      <c r="D938" s="340"/>
      <c r="E938" s="340"/>
      <c r="F938" s="340"/>
      <c r="G938" s="340"/>
      <c r="H938" s="340"/>
      <c r="I938" s="340"/>
      <c r="J938" s="340"/>
      <c r="K938" s="340"/>
      <c r="L938" s="340"/>
      <c r="M938" s="340"/>
      <c r="N938" s="340"/>
      <c r="O938" s="340"/>
      <c r="P938" s="340"/>
      <c r="Q938" s="340"/>
      <c r="R938" s="340"/>
      <c r="S938" s="340"/>
      <c r="T938" s="340"/>
      <c r="U938" s="340"/>
      <c r="V938" s="340"/>
      <c r="W938" s="340"/>
      <c r="X938" s="340"/>
      <c r="Y938" s="340"/>
      <c r="Z938" s="340"/>
      <c r="AA938" s="340"/>
      <c r="AB938" s="340"/>
      <c r="AC938" s="340"/>
      <c r="AD938" s="340"/>
      <c r="AE938" s="340"/>
      <c r="AF938" s="340"/>
      <c r="AG938" s="340"/>
      <c r="AH938" s="340"/>
      <c r="AI938" s="340"/>
      <c r="AJ938" s="340"/>
      <c r="AK938" s="340"/>
      <c r="AL938" s="340"/>
      <c r="AM938" s="340"/>
      <c r="AN938" s="340"/>
      <c r="AO938" s="340"/>
      <c r="AP938" s="340"/>
      <c r="AQ938" s="340"/>
      <c r="AR938" s="340"/>
      <c r="AS938" s="340"/>
      <c r="AT938" s="340"/>
      <c r="AU938" s="340"/>
      <c r="AV938" s="340"/>
      <c r="AW938" s="340"/>
      <c r="AX938" s="340"/>
      <c r="AY938" s="340"/>
      <c r="AZ938" s="340"/>
      <c r="BA938" s="340"/>
      <c r="BB938" s="340"/>
      <c r="BC938" s="340"/>
      <c r="BD938" s="340"/>
    </row>
    <row r="939" spans="3:56">
      <c r="C939" s="340"/>
      <c r="D939" s="340"/>
      <c r="E939" s="340"/>
      <c r="F939" s="340"/>
      <c r="G939" s="340"/>
      <c r="H939" s="340"/>
      <c r="I939" s="340"/>
      <c r="J939" s="340"/>
      <c r="K939" s="340"/>
      <c r="L939" s="340"/>
      <c r="M939" s="340"/>
      <c r="N939" s="340"/>
      <c r="O939" s="340"/>
      <c r="P939" s="340"/>
      <c r="Q939" s="340"/>
      <c r="R939" s="340"/>
      <c r="S939" s="340"/>
      <c r="T939" s="340"/>
      <c r="U939" s="340"/>
      <c r="V939" s="340"/>
      <c r="W939" s="340"/>
      <c r="X939" s="340"/>
      <c r="Y939" s="340"/>
      <c r="Z939" s="340"/>
      <c r="AA939" s="340"/>
      <c r="AB939" s="340"/>
      <c r="AC939" s="340"/>
      <c r="AD939" s="340"/>
      <c r="AE939" s="340"/>
      <c r="AF939" s="340"/>
      <c r="AG939" s="340"/>
      <c r="AH939" s="340"/>
      <c r="AI939" s="340"/>
      <c r="AJ939" s="340"/>
      <c r="AK939" s="340"/>
      <c r="AL939" s="340"/>
      <c r="AM939" s="340"/>
      <c r="AN939" s="340"/>
      <c r="AO939" s="340"/>
      <c r="AP939" s="340"/>
      <c r="AQ939" s="340"/>
      <c r="AR939" s="340"/>
      <c r="AS939" s="340"/>
      <c r="AT939" s="340"/>
      <c r="AU939" s="340"/>
      <c r="AV939" s="340"/>
      <c r="AW939" s="340"/>
      <c r="AX939" s="340"/>
      <c r="AY939" s="340"/>
      <c r="AZ939" s="340"/>
      <c r="BA939" s="340"/>
      <c r="BB939" s="340"/>
      <c r="BC939" s="340"/>
      <c r="BD939" s="340"/>
    </row>
    <row r="940" spans="3:56">
      <c r="C940" s="340"/>
      <c r="D940" s="340"/>
      <c r="E940" s="340"/>
      <c r="F940" s="340"/>
      <c r="G940" s="340"/>
      <c r="H940" s="340"/>
      <c r="I940" s="340"/>
      <c r="J940" s="340"/>
      <c r="K940" s="340"/>
      <c r="L940" s="340"/>
      <c r="M940" s="340"/>
      <c r="N940" s="340"/>
      <c r="O940" s="340"/>
      <c r="P940" s="340"/>
      <c r="Q940" s="340"/>
      <c r="R940" s="340"/>
      <c r="S940" s="340"/>
      <c r="T940" s="340"/>
      <c r="U940" s="340"/>
      <c r="V940" s="340"/>
      <c r="W940" s="340"/>
      <c r="X940" s="340"/>
      <c r="Y940" s="340"/>
      <c r="Z940" s="340"/>
      <c r="AA940" s="340"/>
      <c r="AB940" s="340"/>
      <c r="AC940" s="340"/>
      <c r="AD940" s="340"/>
      <c r="AE940" s="340"/>
      <c r="AF940" s="340"/>
      <c r="AG940" s="340"/>
      <c r="AH940" s="340"/>
      <c r="AI940" s="340"/>
      <c r="AJ940" s="340"/>
      <c r="AK940" s="340"/>
      <c r="AL940" s="340"/>
      <c r="AM940" s="340"/>
      <c r="AN940" s="340"/>
      <c r="AO940" s="340"/>
      <c r="AP940" s="340"/>
      <c r="AQ940" s="340"/>
      <c r="AR940" s="340"/>
      <c r="AS940" s="340"/>
      <c r="AT940" s="340"/>
      <c r="AU940" s="340"/>
      <c r="AV940" s="340"/>
      <c r="AW940" s="340"/>
      <c r="AX940" s="340"/>
      <c r="AY940" s="340"/>
      <c r="AZ940" s="340"/>
      <c r="BA940" s="340"/>
      <c r="BB940" s="340"/>
      <c r="BC940" s="340"/>
      <c r="BD940" s="340"/>
    </row>
    <row r="941" spans="3:56">
      <c r="C941" s="340"/>
      <c r="D941" s="340"/>
      <c r="E941" s="340"/>
      <c r="F941" s="340"/>
      <c r="G941" s="340"/>
      <c r="H941" s="340"/>
      <c r="I941" s="340"/>
      <c r="J941" s="340"/>
      <c r="K941" s="340"/>
      <c r="L941" s="340"/>
      <c r="M941" s="340"/>
      <c r="N941" s="340"/>
      <c r="O941" s="340"/>
      <c r="P941" s="340"/>
      <c r="Q941" s="340"/>
      <c r="R941" s="340"/>
      <c r="S941" s="340"/>
      <c r="T941" s="340"/>
      <c r="U941" s="340"/>
      <c r="V941" s="340"/>
      <c r="W941" s="340"/>
      <c r="X941" s="340"/>
      <c r="Y941" s="340"/>
      <c r="Z941" s="340"/>
      <c r="AA941" s="340"/>
      <c r="AB941" s="340"/>
      <c r="AC941" s="340"/>
      <c r="AD941" s="340"/>
      <c r="AE941" s="340"/>
      <c r="AF941" s="340"/>
      <c r="AG941" s="340"/>
      <c r="AH941" s="340"/>
      <c r="AI941" s="340"/>
      <c r="AJ941" s="340"/>
      <c r="AK941" s="340"/>
      <c r="AL941" s="340"/>
      <c r="AM941" s="340"/>
      <c r="AN941" s="340"/>
      <c r="AO941" s="340"/>
      <c r="AP941" s="340"/>
      <c r="AQ941" s="340"/>
      <c r="AR941" s="340"/>
      <c r="AS941" s="340"/>
      <c r="AT941" s="340"/>
      <c r="AU941" s="340"/>
      <c r="AV941" s="340"/>
      <c r="AW941" s="340"/>
      <c r="AX941" s="340"/>
      <c r="AY941" s="340"/>
      <c r="AZ941" s="340"/>
      <c r="BA941" s="340"/>
      <c r="BB941" s="340"/>
      <c r="BC941" s="340"/>
      <c r="BD941" s="340"/>
    </row>
    <row r="942" spans="3:56">
      <c r="C942" s="340"/>
      <c r="D942" s="340"/>
      <c r="E942" s="340"/>
      <c r="F942" s="340"/>
      <c r="G942" s="340"/>
      <c r="H942" s="340"/>
      <c r="I942" s="340"/>
      <c r="J942" s="340"/>
      <c r="K942" s="340"/>
      <c r="L942" s="340"/>
      <c r="M942" s="340"/>
      <c r="N942" s="340"/>
      <c r="O942" s="340"/>
      <c r="P942" s="340"/>
      <c r="Q942" s="340"/>
      <c r="R942" s="340"/>
      <c r="S942" s="340"/>
      <c r="T942" s="340"/>
      <c r="U942" s="340"/>
      <c r="V942" s="340"/>
      <c r="W942" s="340"/>
      <c r="X942" s="340"/>
      <c r="Y942" s="340"/>
      <c r="Z942" s="340"/>
      <c r="AA942" s="340"/>
      <c r="AB942" s="340"/>
      <c r="AC942" s="340"/>
      <c r="AD942" s="340"/>
      <c r="AE942" s="340"/>
      <c r="AF942" s="340"/>
      <c r="AG942" s="340"/>
      <c r="AH942" s="340"/>
      <c r="AI942" s="340"/>
      <c r="AJ942" s="340"/>
      <c r="AK942" s="340"/>
      <c r="AL942" s="340"/>
      <c r="AM942" s="340"/>
      <c r="AN942" s="340"/>
      <c r="AO942" s="340"/>
      <c r="AP942" s="340"/>
      <c r="AQ942" s="340"/>
      <c r="AR942" s="340"/>
      <c r="AS942" s="340"/>
      <c r="AT942" s="340"/>
      <c r="AU942" s="340"/>
      <c r="AV942" s="340"/>
      <c r="AW942" s="340"/>
      <c r="AX942" s="340"/>
      <c r="AY942" s="340"/>
      <c r="AZ942" s="340"/>
      <c r="BA942" s="340"/>
      <c r="BB942" s="340"/>
      <c r="BC942" s="340"/>
      <c r="BD942" s="340"/>
    </row>
    <row r="943" spans="3:56">
      <c r="C943" s="340"/>
      <c r="D943" s="340"/>
      <c r="E943" s="340"/>
      <c r="F943" s="340"/>
      <c r="G943" s="340"/>
      <c r="H943" s="340"/>
      <c r="I943" s="340"/>
      <c r="J943" s="340"/>
      <c r="K943" s="340"/>
      <c r="L943" s="340"/>
      <c r="M943" s="340"/>
      <c r="N943" s="340"/>
      <c r="O943" s="340"/>
      <c r="P943" s="340"/>
      <c r="Q943" s="340"/>
      <c r="R943" s="340"/>
      <c r="S943" s="340"/>
      <c r="T943" s="340"/>
      <c r="U943" s="340"/>
      <c r="V943" s="340"/>
      <c r="W943" s="340"/>
      <c r="X943" s="340"/>
      <c r="Y943" s="340"/>
      <c r="Z943" s="340"/>
      <c r="AA943" s="340"/>
      <c r="AB943" s="340"/>
      <c r="AC943" s="340"/>
      <c r="AD943" s="340"/>
      <c r="AE943" s="340"/>
      <c r="AF943" s="340"/>
      <c r="AG943" s="340"/>
      <c r="AH943" s="340"/>
      <c r="AI943" s="340"/>
      <c r="AJ943" s="340"/>
      <c r="AK943" s="340"/>
      <c r="AL943" s="340"/>
      <c r="AM943" s="340"/>
      <c r="AN943" s="340"/>
      <c r="AO943" s="340"/>
      <c r="AP943" s="340"/>
      <c r="AQ943" s="340"/>
      <c r="AR943" s="340"/>
      <c r="AS943" s="340"/>
      <c r="AT943" s="340"/>
      <c r="AU943" s="340"/>
      <c r="AV943" s="340"/>
      <c r="AW943" s="340"/>
      <c r="AX943" s="340"/>
      <c r="AY943" s="340"/>
      <c r="AZ943" s="340"/>
      <c r="BA943" s="340"/>
      <c r="BB943" s="340"/>
      <c r="BC943" s="340"/>
      <c r="BD943" s="340"/>
    </row>
    <row r="944" spans="3:56">
      <c r="C944" s="340"/>
      <c r="D944" s="340"/>
      <c r="E944" s="340"/>
      <c r="F944" s="340"/>
      <c r="G944" s="340"/>
      <c r="H944" s="340"/>
      <c r="I944" s="340"/>
      <c r="J944" s="340"/>
      <c r="K944" s="340"/>
      <c r="L944" s="340"/>
      <c r="M944" s="340"/>
      <c r="N944" s="340"/>
      <c r="O944" s="340"/>
      <c r="P944" s="340"/>
      <c r="Q944" s="340"/>
      <c r="R944" s="340"/>
      <c r="S944" s="340"/>
      <c r="T944" s="340"/>
      <c r="U944" s="340"/>
      <c r="V944" s="340"/>
      <c r="W944" s="340"/>
      <c r="X944" s="340"/>
      <c r="Y944" s="340"/>
      <c r="Z944" s="340"/>
      <c r="AA944" s="340"/>
      <c r="AB944" s="340"/>
      <c r="AC944" s="340"/>
      <c r="AD944" s="340"/>
      <c r="AE944" s="340"/>
      <c r="AF944" s="340"/>
      <c r="AG944" s="340"/>
      <c r="AH944" s="340"/>
      <c r="AI944" s="340"/>
      <c r="AJ944" s="340"/>
      <c r="AK944" s="340"/>
      <c r="AL944" s="340"/>
      <c r="AM944" s="340"/>
      <c r="AN944" s="340"/>
      <c r="AO944" s="340"/>
      <c r="AP944" s="340"/>
      <c r="AQ944" s="340"/>
      <c r="AR944" s="340"/>
      <c r="AS944" s="340"/>
      <c r="AT944" s="340"/>
      <c r="AU944" s="340"/>
      <c r="AV944" s="340"/>
      <c r="AW944" s="340"/>
      <c r="AX944" s="340"/>
      <c r="AY944" s="340"/>
      <c r="AZ944" s="340"/>
      <c r="BA944" s="340"/>
      <c r="BB944" s="340"/>
      <c r="BC944" s="340"/>
      <c r="BD944" s="340"/>
    </row>
    <row r="945" spans="3:56">
      <c r="C945" s="340"/>
      <c r="D945" s="340"/>
      <c r="E945" s="340"/>
      <c r="F945" s="340"/>
      <c r="G945" s="340"/>
      <c r="H945" s="340"/>
      <c r="I945" s="340"/>
      <c r="J945" s="340"/>
      <c r="K945" s="340"/>
      <c r="L945" s="340"/>
      <c r="M945" s="340"/>
      <c r="N945" s="340"/>
      <c r="O945" s="340"/>
      <c r="P945" s="340"/>
      <c r="Q945" s="340"/>
      <c r="R945" s="340"/>
      <c r="S945" s="340"/>
      <c r="T945" s="340"/>
      <c r="U945" s="340"/>
      <c r="V945" s="340"/>
      <c r="W945" s="340"/>
      <c r="X945" s="340"/>
      <c r="Y945" s="340"/>
      <c r="Z945" s="340"/>
      <c r="AA945" s="340"/>
      <c r="AB945" s="340"/>
      <c r="AC945" s="340"/>
      <c r="AD945" s="340"/>
      <c r="AE945" s="340"/>
      <c r="AF945" s="340"/>
      <c r="AG945" s="340"/>
      <c r="AH945" s="340"/>
      <c r="AI945" s="340"/>
      <c r="AJ945" s="340"/>
      <c r="AK945" s="340"/>
      <c r="AL945" s="340"/>
      <c r="AM945" s="340"/>
      <c r="AN945" s="340"/>
      <c r="AO945" s="340"/>
      <c r="AP945" s="340"/>
      <c r="AQ945" s="340"/>
      <c r="AR945" s="340"/>
      <c r="AS945" s="340"/>
      <c r="AT945" s="340"/>
      <c r="AU945" s="340"/>
      <c r="AV945" s="340"/>
      <c r="AW945" s="340"/>
      <c r="AX945" s="340"/>
      <c r="AY945" s="340"/>
      <c r="AZ945" s="340"/>
      <c r="BA945" s="340"/>
      <c r="BB945" s="340"/>
      <c r="BC945" s="340"/>
      <c r="BD945" s="340"/>
    </row>
    <row r="946" spans="3:56">
      <c r="C946" s="340"/>
      <c r="D946" s="340"/>
      <c r="E946" s="340"/>
      <c r="F946" s="340"/>
      <c r="G946" s="340"/>
      <c r="H946" s="340"/>
      <c r="I946" s="340"/>
      <c r="J946" s="340"/>
      <c r="K946" s="340"/>
      <c r="L946" s="340"/>
      <c r="M946" s="340"/>
      <c r="N946" s="340"/>
      <c r="O946" s="340"/>
      <c r="P946" s="340"/>
      <c r="Q946" s="340"/>
      <c r="R946" s="340"/>
      <c r="S946" s="340"/>
      <c r="T946" s="340"/>
      <c r="U946" s="340"/>
      <c r="V946" s="340"/>
      <c r="W946" s="340"/>
      <c r="X946" s="340"/>
      <c r="Y946" s="340"/>
      <c r="Z946" s="340"/>
      <c r="AA946" s="340"/>
      <c r="AB946" s="340"/>
      <c r="AC946" s="340"/>
      <c r="AD946" s="340"/>
      <c r="AE946" s="340"/>
      <c r="AF946" s="340"/>
      <c r="AG946" s="340"/>
      <c r="AH946" s="340"/>
      <c r="AI946" s="340"/>
      <c r="AJ946" s="340"/>
      <c r="AK946" s="340"/>
      <c r="AL946" s="340"/>
      <c r="AM946" s="340"/>
      <c r="AN946" s="340"/>
      <c r="AO946" s="340"/>
      <c r="AP946" s="340"/>
      <c r="AQ946" s="340"/>
      <c r="AR946" s="340"/>
      <c r="AS946" s="340"/>
      <c r="AT946" s="340"/>
      <c r="AU946" s="340"/>
      <c r="AV946" s="340"/>
      <c r="AW946" s="340"/>
      <c r="AX946" s="340"/>
      <c r="AY946" s="340"/>
      <c r="AZ946" s="340"/>
      <c r="BA946" s="340"/>
      <c r="BB946" s="340"/>
      <c r="BC946" s="340"/>
      <c r="BD946" s="340"/>
    </row>
    <row r="947" spans="3:56">
      <c r="C947" s="340"/>
      <c r="D947" s="340"/>
      <c r="E947" s="340"/>
      <c r="F947" s="340"/>
      <c r="G947" s="340"/>
      <c r="H947" s="340"/>
      <c r="I947" s="340"/>
      <c r="J947" s="340"/>
      <c r="K947" s="340"/>
      <c r="L947" s="340"/>
      <c r="M947" s="340"/>
      <c r="N947" s="340"/>
      <c r="O947" s="340"/>
      <c r="P947" s="340"/>
      <c r="Q947" s="340"/>
      <c r="R947" s="340"/>
      <c r="S947" s="340"/>
      <c r="T947" s="340"/>
      <c r="U947" s="340"/>
      <c r="V947" s="340"/>
      <c r="W947" s="340"/>
      <c r="X947" s="340"/>
      <c r="Y947" s="340"/>
      <c r="Z947" s="340"/>
      <c r="AA947" s="340"/>
      <c r="AB947" s="340"/>
      <c r="AC947" s="340"/>
      <c r="AD947" s="340"/>
      <c r="AE947" s="340"/>
      <c r="AF947" s="340"/>
      <c r="AG947" s="340"/>
      <c r="AH947" s="340"/>
      <c r="AI947" s="340"/>
      <c r="AJ947" s="340"/>
      <c r="AK947" s="340"/>
      <c r="AL947" s="340"/>
      <c r="AM947" s="340"/>
      <c r="AN947" s="340"/>
      <c r="AO947" s="340"/>
      <c r="AP947" s="340"/>
      <c r="AQ947" s="340"/>
      <c r="AR947" s="340"/>
      <c r="AS947" s="340"/>
      <c r="AT947" s="340"/>
      <c r="AU947" s="340"/>
      <c r="AV947" s="340"/>
      <c r="AW947" s="340"/>
      <c r="AX947" s="340"/>
      <c r="AY947" s="340"/>
      <c r="AZ947" s="340"/>
      <c r="BA947" s="340"/>
      <c r="BB947" s="340"/>
      <c r="BC947" s="340"/>
      <c r="BD947" s="340"/>
    </row>
    <row r="948" spans="3:56">
      <c r="C948" s="340"/>
      <c r="D948" s="340"/>
      <c r="E948" s="340"/>
      <c r="F948" s="340"/>
      <c r="G948" s="340"/>
      <c r="H948" s="340"/>
      <c r="I948" s="340"/>
      <c r="J948" s="340"/>
      <c r="K948" s="340"/>
      <c r="L948" s="340"/>
      <c r="M948" s="340"/>
      <c r="N948" s="340"/>
      <c r="O948" s="340"/>
      <c r="P948" s="340"/>
      <c r="Q948" s="340"/>
      <c r="R948" s="340"/>
      <c r="S948" s="340"/>
      <c r="T948" s="340"/>
      <c r="U948" s="340"/>
      <c r="V948" s="340"/>
      <c r="W948" s="340"/>
      <c r="X948" s="340"/>
      <c r="Y948" s="340"/>
      <c r="Z948" s="340"/>
      <c r="AA948" s="340"/>
      <c r="AB948" s="340"/>
      <c r="AC948" s="340"/>
      <c r="AD948" s="340"/>
      <c r="AE948" s="340"/>
      <c r="AF948" s="340"/>
      <c r="AG948" s="340"/>
      <c r="AH948" s="340"/>
      <c r="AI948" s="340"/>
      <c r="AJ948" s="340"/>
      <c r="AK948" s="340"/>
      <c r="AL948" s="340"/>
      <c r="AM948" s="340"/>
      <c r="AN948" s="340"/>
      <c r="AO948" s="340"/>
      <c r="AP948" s="340"/>
      <c r="AQ948" s="340"/>
      <c r="AR948" s="340"/>
      <c r="AS948" s="340"/>
      <c r="AT948" s="340"/>
      <c r="AU948" s="340"/>
      <c r="AV948" s="340"/>
      <c r="AW948" s="340"/>
      <c r="AX948" s="340"/>
      <c r="AY948" s="340"/>
      <c r="AZ948" s="340"/>
      <c r="BA948" s="340"/>
      <c r="BB948" s="340"/>
      <c r="BC948" s="340"/>
      <c r="BD948" s="340"/>
    </row>
    <row r="949" spans="3:56">
      <c r="C949" s="340"/>
      <c r="D949" s="340"/>
      <c r="E949" s="340"/>
      <c r="F949" s="340"/>
      <c r="G949" s="340"/>
      <c r="H949" s="340"/>
      <c r="I949" s="340"/>
      <c r="J949" s="340"/>
      <c r="K949" s="340"/>
      <c r="L949" s="340"/>
      <c r="M949" s="340"/>
      <c r="N949" s="340"/>
      <c r="O949" s="340"/>
      <c r="P949" s="340"/>
      <c r="Q949" s="340"/>
      <c r="R949" s="340"/>
      <c r="S949" s="340"/>
      <c r="T949" s="340"/>
      <c r="U949" s="340"/>
      <c r="V949" s="340"/>
      <c r="W949" s="340"/>
      <c r="X949" s="340"/>
      <c r="Y949" s="340"/>
      <c r="Z949" s="340"/>
      <c r="AA949" s="340"/>
      <c r="AB949" s="340"/>
      <c r="AC949" s="340"/>
      <c r="AD949" s="340"/>
      <c r="AE949" s="340"/>
      <c r="AF949" s="340"/>
      <c r="AG949" s="340"/>
      <c r="AH949" s="340"/>
      <c r="AI949" s="340"/>
      <c r="AJ949" s="340"/>
      <c r="AK949" s="340"/>
      <c r="AL949" s="340"/>
      <c r="AM949" s="340"/>
      <c r="AN949" s="340"/>
      <c r="AO949" s="340"/>
      <c r="AP949" s="340"/>
      <c r="AQ949" s="340"/>
      <c r="AR949" s="340"/>
      <c r="AS949" s="340"/>
      <c r="AT949" s="340"/>
      <c r="AU949" s="340"/>
      <c r="AV949" s="340"/>
      <c r="AW949" s="340"/>
      <c r="AX949" s="340"/>
      <c r="AY949" s="340"/>
      <c r="AZ949" s="340"/>
      <c r="BA949" s="340"/>
      <c r="BB949" s="340"/>
      <c r="BC949" s="340"/>
      <c r="BD949" s="340"/>
    </row>
    <row r="950" spans="3:56">
      <c r="C950" s="340"/>
      <c r="D950" s="340"/>
      <c r="E950" s="340"/>
      <c r="F950" s="340"/>
      <c r="G950" s="340"/>
      <c r="H950" s="340"/>
      <c r="I950" s="340"/>
      <c r="J950" s="340"/>
      <c r="K950" s="340"/>
      <c r="L950" s="340"/>
      <c r="M950" s="340"/>
      <c r="N950" s="340"/>
      <c r="O950" s="340"/>
      <c r="P950" s="340"/>
      <c r="Q950" s="340"/>
      <c r="R950" s="340"/>
      <c r="S950" s="340"/>
      <c r="T950" s="340"/>
      <c r="U950" s="340"/>
      <c r="V950" s="340"/>
      <c r="W950" s="340"/>
      <c r="X950" s="340"/>
      <c r="Y950" s="340"/>
      <c r="Z950" s="340"/>
      <c r="AA950" s="340"/>
      <c r="AB950" s="340"/>
      <c r="AC950" s="340"/>
      <c r="AD950" s="340"/>
      <c r="AE950" s="340"/>
      <c r="AF950" s="340"/>
      <c r="AG950" s="340"/>
      <c r="AH950" s="340"/>
      <c r="AI950" s="340"/>
      <c r="AJ950" s="340"/>
      <c r="AK950" s="340"/>
      <c r="AL950" s="340"/>
      <c r="AM950" s="340"/>
      <c r="AN950" s="340"/>
      <c r="AO950" s="340"/>
      <c r="AP950" s="340"/>
      <c r="AQ950" s="340"/>
      <c r="AR950" s="340"/>
      <c r="AS950" s="340"/>
      <c r="AT950" s="340"/>
      <c r="AU950" s="340"/>
      <c r="AV950" s="340"/>
      <c r="AW950" s="340"/>
      <c r="AX950" s="340"/>
      <c r="AY950" s="340"/>
      <c r="AZ950" s="340"/>
      <c r="BA950" s="340"/>
      <c r="BB950" s="340"/>
      <c r="BC950" s="340"/>
      <c r="BD950" s="340"/>
    </row>
    <row r="951" spans="3:56">
      <c r="C951" s="340"/>
      <c r="D951" s="340"/>
      <c r="E951" s="340"/>
      <c r="F951" s="340"/>
      <c r="G951" s="340"/>
      <c r="H951" s="340"/>
      <c r="I951" s="340"/>
      <c r="J951" s="340"/>
      <c r="K951" s="340"/>
      <c r="L951" s="340"/>
      <c r="M951" s="340"/>
      <c r="N951" s="340"/>
      <c r="O951" s="340"/>
      <c r="P951" s="340"/>
      <c r="Q951" s="340"/>
      <c r="R951" s="340"/>
      <c r="S951" s="340"/>
      <c r="T951" s="340"/>
      <c r="U951" s="340"/>
      <c r="V951" s="340"/>
      <c r="W951" s="340"/>
      <c r="X951" s="340"/>
      <c r="Y951" s="340"/>
      <c r="Z951" s="340"/>
      <c r="AA951" s="340"/>
      <c r="AB951" s="340"/>
      <c r="AC951" s="340"/>
      <c r="AD951" s="340"/>
      <c r="AE951" s="340"/>
      <c r="AF951" s="340"/>
      <c r="AG951" s="340"/>
      <c r="AH951" s="340"/>
      <c r="AI951" s="340"/>
      <c r="AJ951" s="340"/>
      <c r="AK951" s="340"/>
      <c r="AL951" s="340"/>
      <c r="AM951" s="340"/>
      <c r="AN951" s="340"/>
      <c r="AO951" s="340"/>
      <c r="AP951" s="340"/>
      <c r="AQ951" s="340"/>
      <c r="AR951" s="340"/>
      <c r="AS951" s="340"/>
      <c r="AT951" s="340"/>
      <c r="AU951" s="340"/>
      <c r="AV951" s="340"/>
      <c r="AW951" s="340"/>
      <c r="AX951" s="340"/>
      <c r="AY951" s="340"/>
      <c r="AZ951" s="340"/>
      <c r="BA951" s="340"/>
      <c r="BB951" s="340"/>
      <c r="BC951" s="340"/>
      <c r="BD951" s="340"/>
    </row>
    <row r="952" spans="3:56">
      <c r="C952" s="340"/>
      <c r="D952" s="340"/>
      <c r="E952" s="340"/>
      <c r="F952" s="340"/>
      <c r="G952" s="340"/>
      <c r="H952" s="340"/>
      <c r="I952" s="340"/>
      <c r="J952" s="340"/>
      <c r="K952" s="340"/>
      <c r="L952" s="340"/>
      <c r="M952" s="340"/>
      <c r="N952" s="340"/>
      <c r="O952" s="340"/>
      <c r="P952" s="340"/>
      <c r="Q952" s="340"/>
      <c r="R952" s="340"/>
      <c r="S952" s="340"/>
      <c r="T952" s="340"/>
      <c r="U952" s="340"/>
      <c r="V952" s="340"/>
      <c r="W952" s="340"/>
      <c r="X952" s="340"/>
      <c r="Y952" s="340"/>
      <c r="Z952" s="340"/>
      <c r="AA952" s="340"/>
      <c r="AB952" s="340"/>
      <c r="AC952" s="340"/>
      <c r="AD952" s="340"/>
      <c r="AE952" s="340"/>
      <c r="AF952" s="340"/>
      <c r="AG952" s="340"/>
      <c r="AH952" s="340"/>
      <c r="AI952" s="340"/>
      <c r="AJ952" s="340"/>
      <c r="AK952" s="340"/>
      <c r="AL952" s="340"/>
      <c r="AM952" s="340"/>
      <c r="AN952" s="340"/>
      <c r="AO952" s="340"/>
      <c r="AP952" s="340"/>
      <c r="AQ952" s="340"/>
      <c r="AR952" s="340"/>
      <c r="AS952" s="340"/>
      <c r="AT952" s="340"/>
      <c r="AU952" s="340"/>
      <c r="AV952" s="340"/>
      <c r="AW952" s="340"/>
      <c r="AX952" s="340"/>
      <c r="AY952" s="340"/>
      <c r="AZ952" s="340"/>
      <c r="BA952" s="340"/>
      <c r="BB952" s="340"/>
      <c r="BC952" s="340"/>
      <c r="BD952" s="340"/>
    </row>
    <row r="953" spans="3:56">
      <c r="C953" s="340"/>
      <c r="D953" s="340"/>
      <c r="E953" s="340"/>
      <c r="F953" s="340"/>
      <c r="G953" s="340"/>
      <c r="H953" s="340"/>
      <c r="I953" s="340"/>
      <c r="J953" s="340"/>
      <c r="K953" s="340"/>
      <c r="L953" s="340"/>
      <c r="M953" s="340"/>
      <c r="N953" s="340"/>
      <c r="O953" s="340"/>
      <c r="P953" s="340"/>
      <c r="Q953" s="340"/>
      <c r="R953" s="340"/>
      <c r="S953" s="340"/>
      <c r="T953" s="340"/>
      <c r="U953" s="340"/>
      <c r="V953" s="340"/>
      <c r="W953" s="340"/>
      <c r="X953" s="340"/>
      <c r="Y953" s="340"/>
      <c r="Z953" s="340"/>
      <c r="AA953" s="340"/>
      <c r="AB953" s="340"/>
      <c r="AC953" s="340"/>
      <c r="AD953" s="340"/>
      <c r="AE953" s="340"/>
      <c r="AF953" s="340"/>
      <c r="AG953" s="340"/>
      <c r="AH953" s="340"/>
      <c r="AI953" s="340"/>
      <c r="AJ953" s="340"/>
      <c r="AK953" s="340"/>
      <c r="AL953" s="340"/>
      <c r="AM953" s="340"/>
      <c r="AN953" s="340"/>
      <c r="AO953" s="340"/>
      <c r="AP953" s="340"/>
      <c r="AQ953" s="340"/>
      <c r="AR953" s="340"/>
      <c r="AS953" s="340"/>
      <c r="AT953" s="340"/>
      <c r="AU953" s="340"/>
      <c r="AV953" s="340"/>
      <c r="AW953" s="340"/>
      <c r="AX953" s="340"/>
      <c r="AY953" s="340"/>
      <c r="AZ953" s="340"/>
      <c r="BA953" s="340"/>
      <c r="BB953" s="340"/>
      <c r="BC953" s="340"/>
      <c r="BD953" s="340"/>
    </row>
    <row r="954" spans="3:56">
      <c r="C954" s="340"/>
      <c r="D954" s="340"/>
      <c r="E954" s="340"/>
      <c r="F954" s="340"/>
      <c r="G954" s="340"/>
      <c r="H954" s="340"/>
      <c r="I954" s="340"/>
      <c r="J954" s="340"/>
      <c r="K954" s="340"/>
      <c r="L954" s="340"/>
      <c r="M954" s="340"/>
      <c r="N954" s="340"/>
      <c r="O954" s="340"/>
      <c r="P954" s="340"/>
      <c r="Q954" s="340"/>
      <c r="R954" s="340"/>
      <c r="S954" s="340"/>
      <c r="T954" s="340"/>
      <c r="U954" s="340"/>
      <c r="V954" s="340"/>
      <c r="W954" s="340"/>
      <c r="X954" s="340"/>
      <c r="Y954" s="340"/>
      <c r="Z954" s="340"/>
      <c r="AA954" s="340"/>
      <c r="AB954" s="340"/>
      <c r="AC954" s="340"/>
      <c r="AD954" s="340"/>
      <c r="AE954" s="340"/>
      <c r="AF954" s="340"/>
      <c r="AG954" s="340"/>
      <c r="AH954" s="340"/>
      <c r="AI954" s="340"/>
      <c r="AJ954" s="340"/>
      <c r="AK954" s="340"/>
      <c r="AL954" s="340"/>
      <c r="AM954" s="340"/>
      <c r="AN954" s="340"/>
      <c r="AO954" s="340"/>
      <c r="AP954" s="340"/>
      <c r="AQ954" s="340"/>
      <c r="AR954" s="340"/>
      <c r="AS954" s="340"/>
      <c r="AT954" s="340"/>
      <c r="AU954" s="340"/>
      <c r="AV954" s="340"/>
      <c r="AW954" s="340"/>
      <c r="AX954" s="340"/>
      <c r="AY954" s="340"/>
      <c r="AZ954" s="340"/>
      <c r="BA954" s="340"/>
      <c r="BB954" s="340"/>
      <c r="BC954" s="340"/>
      <c r="BD954" s="340"/>
    </row>
    <row r="955" spans="3:56">
      <c r="C955" s="340"/>
      <c r="D955" s="340"/>
      <c r="E955" s="340"/>
      <c r="F955" s="340"/>
      <c r="G955" s="340"/>
      <c r="H955" s="340"/>
      <c r="I955" s="340"/>
      <c r="J955" s="340"/>
      <c r="K955" s="340"/>
      <c r="L955" s="340"/>
      <c r="M955" s="340"/>
      <c r="N955" s="340"/>
      <c r="O955" s="340"/>
      <c r="P955" s="340"/>
      <c r="Q955" s="340"/>
      <c r="R955" s="340"/>
      <c r="S955" s="340"/>
      <c r="T955" s="340"/>
      <c r="U955" s="340"/>
      <c r="V955" s="340"/>
      <c r="W955" s="340"/>
      <c r="X955" s="340"/>
      <c r="Y955" s="340"/>
      <c r="Z955" s="340"/>
      <c r="AA955" s="340"/>
      <c r="AB955" s="340"/>
      <c r="AC955" s="340"/>
      <c r="AD955" s="340"/>
      <c r="AE955" s="340"/>
      <c r="AF955" s="340"/>
      <c r="AG955" s="340"/>
      <c r="AH955" s="340"/>
      <c r="AI955" s="340"/>
      <c r="AJ955" s="340"/>
      <c r="AK955" s="340"/>
      <c r="AL955" s="340"/>
      <c r="AM955" s="340"/>
      <c r="AN955" s="340"/>
      <c r="AO955" s="340"/>
      <c r="AP955" s="340"/>
      <c r="AQ955" s="340"/>
      <c r="AR955" s="340"/>
      <c r="AS955" s="340"/>
      <c r="AT955" s="340"/>
      <c r="AU955" s="340"/>
      <c r="AV955" s="340"/>
      <c r="AW955" s="340"/>
      <c r="AX955" s="340"/>
      <c r="AY955" s="340"/>
      <c r="AZ955" s="340"/>
      <c r="BA955" s="340"/>
      <c r="BB955" s="340"/>
      <c r="BC955" s="340"/>
      <c r="BD955" s="340"/>
    </row>
    <row r="956" spans="3:56">
      <c r="C956" s="340"/>
      <c r="D956" s="340"/>
      <c r="E956" s="340"/>
      <c r="F956" s="340"/>
      <c r="G956" s="340"/>
      <c r="H956" s="340"/>
      <c r="I956" s="340"/>
      <c r="J956" s="340"/>
      <c r="K956" s="340"/>
      <c r="L956" s="340"/>
      <c r="M956" s="340"/>
      <c r="N956" s="340"/>
      <c r="O956" s="340"/>
      <c r="P956" s="340"/>
      <c r="Q956" s="340"/>
      <c r="R956" s="340"/>
      <c r="S956" s="340"/>
      <c r="T956" s="340"/>
      <c r="U956" s="340"/>
      <c r="V956" s="340"/>
      <c r="W956" s="340"/>
      <c r="X956" s="340"/>
      <c r="Y956" s="340"/>
      <c r="Z956" s="340"/>
      <c r="AA956" s="340"/>
      <c r="AB956" s="340"/>
      <c r="AC956" s="340"/>
      <c r="AD956" s="340"/>
      <c r="AE956" s="340"/>
      <c r="AF956" s="340"/>
      <c r="AG956" s="340"/>
      <c r="AH956" s="340"/>
      <c r="AI956" s="340"/>
      <c r="AJ956" s="340"/>
      <c r="AK956" s="340"/>
      <c r="AL956" s="340"/>
      <c r="AM956" s="340"/>
      <c r="AN956" s="340"/>
      <c r="AO956" s="340"/>
      <c r="AP956" s="340"/>
      <c r="AQ956" s="340"/>
      <c r="AR956" s="340"/>
      <c r="AS956" s="340"/>
      <c r="AT956" s="340"/>
      <c r="AU956" s="340"/>
      <c r="AV956" s="340"/>
      <c r="AW956" s="340"/>
      <c r="AX956" s="340"/>
      <c r="AY956" s="340"/>
      <c r="AZ956" s="340"/>
      <c r="BA956" s="340"/>
      <c r="BB956" s="340"/>
      <c r="BC956" s="340"/>
      <c r="BD956" s="340"/>
    </row>
    <row r="957" spans="3:56">
      <c r="C957" s="340"/>
      <c r="D957" s="340"/>
      <c r="E957" s="340"/>
      <c r="F957" s="340"/>
      <c r="G957" s="340"/>
      <c r="H957" s="340"/>
      <c r="I957" s="340"/>
      <c r="J957" s="340"/>
      <c r="K957" s="340"/>
      <c r="L957" s="340"/>
      <c r="M957" s="340"/>
      <c r="N957" s="340"/>
      <c r="O957" s="340"/>
      <c r="P957" s="340"/>
      <c r="Q957" s="340"/>
      <c r="R957" s="340"/>
      <c r="S957" s="340"/>
      <c r="T957" s="340"/>
      <c r="U957" s="340"/>
      <c r="V957" s="340"/>
      <c r="W957" s="340"/>
      <c r="X957" s="340"/>
      <c r="Y957" s="340"/>
      <c r="Z957" s="340"/>
      <c r="AA957" s="340"/>
      <c r="AB957" s="340"/>
      <c r="AC957" s="340"/>
      <c r="AD957" s="340"/>
      <c r="AE957" s="340"/>
      <c r="AF957" s="340"/>
      <c r="AG957" s="340"/>
      <c r="AH957" s="340"/>
      <c r="AI957" s="340"/>
      <c r="AJ957" s="340"/>
      <c r="AK957" s="340"/>
      <c r="AL957" s="340"/>
      <c r="AM957" s="340"/>
      <c r="AN957" s="340"/>
      <c r="AO957" s="340"/>
      <c r="AP957" s="340"/>
      <c r="AQ957" s="340"/>
      <c r="AR957" s="340"/>
      <c r="AS957" s="340"/>
      <c r="AT957" s="340"/>
      <c r="AU957" s="340"/>
      <c r="AV957" s="340"/>
      <c r="AW957" s="340"/>
      <c r="AX957" s="340"/>
      <c r="AY957" s="340"/>
      <c r="AZ957" s="340"/>
      <c r="BA957" s="340"/>
      <c r="BB957" s="340"/>
      <c r="BC957" s="340"/>
      <c r="BD957" s="340"/>
    </row>
    <row r="958" spans="3:56">
      <c r="C958" s="340"/>
      <c r="D958" s="340"/>
      <c r="E958" s="340"/>
      <c r="F958" s="340"/>
      <c r="G958" s="340"/>
      <c r="H958" s="340"/>
      <c r="I958" s="340"/>
      <c r="J958" s="340"/>
      <c r="K958" s="340"/>
      <c r="L958" s="340"/>
      <c r="M958" s="340"/>
      <c r="N958" s="340"/>
      <c r="O958" s="340"/>
      <c r="P958" s="340"/>
      <c r="Q958" s="340"/>
      <c r="R958" s="340"/>
      <c r="S958" s="340"/>
      <c r="T958" s="340"/>
      <c r="U958" s="340"/>
      <c r="V958" s="340"/>
      <c r="W958" s="340"/>
      <c r="X958" s="340"/>
      <c r="Y958" s="340"/>
      <c r="Z958" s="340"/>
      <c r="AA958" s="340"/>
      <c r="AB958" s="340"/>
      <c r="AC958" s="340"/>
      <c r="AD958" s="340"/>
      <c r="AE958" s="340"/>
      <c r="AF958" s="340"/>
      <c r="AG958" s="340"/>
      <c r="AH958" s="340"/>
      <c r="AI958" s="340"/>
      <c r="AJ958" s="340"/>
      <c r="AK958" s="340"/>
      <c r="AL958" s="340"/>
      <c r="AM958" s="340"/>
      <c r="AN958" s="340"/>
      <c r="AO958" s="340"/>
      <c r="AP958" s="340"/>
      <c r="AQ958" s="340"/>
      <c r="AR958" s="340"/>
      <c r="AS958" s="340"/>
      <c r="AT958" s="340"/>
      <c r="AU958" s="340"/>
      <c r="AV958" s="340"/>
      <c r="AW958" s="340"/>
      <c r="AX958" s="340"/>
      <c r="AY958" s="340"/>
      <c r="AZ958" s="340"/>
      <c r="BA958" s="340"/>
      <c r="BB958" s="340"/>
      <c r="BC958" s="340"/>
      <c r="BD958" s="340"/>
    </row>
    <row r="959" spans="3:56">
      <c r="C959" s="340"/>
      <c r="D959" s="340"/>
      <c r="E959" s="340"/>
      <c r="F959" s="340"/>
      <c r="G959" s="340"/>
      <c r="H959" s="340"/>
      <c r="I959" s="340"/>
      <c r="J959" s="340"/>
      <c r="K959" s="340"/>
      <c r="L959" s="340"/>
      <c r="M959" s="340"/>
      <c r="N959" s="340"/>
      <c r="O959" s="340"/>
      <c r="P959" s="340"/>
      <c r="Q959" s="340"/>
      <c r="R959" s="340"/>
      <c r="S959" s="340"/>
      <c r="T959" s="340"/>
      <c r="U959" s="340"/>
      <c r="V959" s="340"/>
      <c r="W959" s="340"/>
      <c r="X959" s="340"/>
      <c r="Y959" s="340"/>
      <c r="Z959" s="340"/>
      <c r="AA959" s="340"/>
      <c r="AB959" s="340"/>
      <c r="AC959" s="340"/>
      <c r="AD959" s="340"/>
      <c r="AE959" s="340"/>
      <c r="AF959" s="340"/>
      <c r="AG959" s="340"/>
      <c r="AH959" s="340"/>
      <c r="AI959" s="340"/>
      <c r="AJ959" s="340"/>
      <c r="AK959" s="340"/>
      <c r="AL959" s="340"/>
      <c r="AM959" s="340"/>
      <c r="AN959" s="340"/>
      <c r="AO959" s="340"/>
      <c r="AP959" s="340"/>
      <c r="AQ959" s="340"/>
      <c r="AR959" s="340"/>
      <c r="AS959" s="340"/>
      <c r="AT959" s="340"/>
      <c r="AU959" s="340"/>
      <c r="AV959" s="340"/>
      <c r="AW959" s="340"/>
      <c r="AX959" s="340"/>
      <c r="AY959" s="340"/>
      <c r="AZ959" s="340"/>
      <c r="BA959" s="340"/>
      <c r="BB959" s="340"/>
      <c r="BC959" s="340"/>
      <c r="BD959" s="340"/>
    </row>
    <row r="960" spans="3:56">
      <c r="C960" s="340"/>
      <c r="D960" s="340"/>
      <c r="E960" s="340"/>
      <c r="F960" s="340"/>
      <c r="G960" s="340"/>
      <c r="H960" s="340"/>
      <c r="I960" s="340"/>
      <c r="J960" s="340"/>
      <c r="K960" s="340"/>
      <c r="L960" s="340"/>
      <c r="M960" s="340"/>
      <c r="N960" s="340"/>
      <c r="O960" s="340"/>
      <c r="P960" s="340"/>
      <c r="Q960" s="340"/>
      <c r="R960" s="340"/>
      <c r="S960" s="340"/>
      <c r="T960" s="340"/>
      <c r="U960" s="340"/>
      <c r="V960" s="340"/>
      <c r="W960" s="340"/>
      <c r="X960" s="340"/>
      <c r="Y960" s="340"/>
      <c r="Z960" s="340"/>
      <c r="AA960" s="340"/>
      <c r="AB960" s="340"/>
      <c r="AC960" s="340"/>
      <c r="AD960" s="340"/>
      <c r="AE960" s="340"/>
      <c r="AF960" s="340"/>
      <c r="AG960" s="340"/>
      <c r="AH960" s="340"/>
      <c r="AI960" s="340"/>
      <c r="AJ960" s="340"/>
      <c r="AK960" s="340"/>
      <c r="AL960" s="340"/>
      <c r="AM960" s="340"/>
      <c r="AN960" s="340"/>
      <c r="AO960" s="340"/>
      <c r="AP960" s="340"/>
      <c r="AQ960" s="340"/>
      <c r="AR960" s="340"/>
      <c r="AS960" s="340"/>
      <c r="AT960" s="340"/>
      <c r="AU960" s="340"/>
      <c r="AV960" s="340"/>
      <c r="AW960" s="340"/>
      <c r="AX960" s="340"/>
      <c r="AY960" s="340"/>
      <c r="AZ960" s="340"/>
      <c r="BA960" s="340"/>
      <c r="BB960" s="340"/>
      <c r="BC960" s="340"/>
      <c r="BD960" s="340"/>
    </row>
    <row r="961" spans="3:56">
      <c r="C961" s="340"/>
      <c r="D961" s="340"/>
      <c r="E961" s="340"/>
      <c r="F961" s="340"/>
      <c r="G961" s="340"/>
      <c r="H961" s="340"/>
      <c r="I961" s="340"/>
      <c r="J961" s="340"/>
      <c r="K961" s="340"/>
      <c r="L961" s="340"/>
      <c r="M961" s="340"/>
      <c r="N961" s="340"/>
      <c r="O961" s="340"/>
      <c r="P961" s="340"/>
      <c r="Q961" s="340"/>
      <c r="R961" s="340"/>
      <c r="S961" s="340"/>
      <c r="T961" s="340"/>
      <c r="U961" s="340"/>
      <c r="V961" s="340"/>
      <c r="W961" s="340"/>
      <c r="X961" s="340"/>
      <c r="Y961" s="340"/>
      <c r="Z961" s="340"/>
      <c r="AA961" s="340"/>
      <c r="AB961" s="340"/>
      <c r="AC961" s="340"/>
      <c r="AD961" s="340"/>
      <c r="AE961" s="340"/>
      <c r="AF961" s="340"/>
      <c r="AG961" s="340"/>
      <c r="AH961" s="340"/>
      <c r="AI961" s="340"/>
      <c r="AJ961" s="340"/>
      <c r="AK961" s="340"/>
      <c r="AL961" s="340"/>
      <c r="AM961" s="340"/>
      <c r="AN961" s="340"/>
      <c r="AO961" s="340"/>
      <c r="AP961" s="340"/>
      <c r="AQ961" s="340"/>
      <c r="AR961" s="340"/>
      <c r="AS961" s="340"/>
      <c r="AT961" s="340"/>
      <c r="AU961" s="340"/>
      <c r="AV961" s="340"/>
      <c r="AW961" s="340"/>
      <c r="AX961" s="340"/>
      <c r="AY961" s="340"/>
      <c r="AZ961" s="340"/>
      <c r="BA961" s="340"/>
      <c r="BB961" s="340"/>
      <c r="BC961" s="340"/>
      <c r="BD961" s="340"/>
    </row>
    <row r="962" spans="3:56">
      <c r="C962" s="340"/>
      <c r="D962" s="340"/>
      <c r="E962" s="340"/>
      <c r="F962" s="340"/>
      <c r="G962" s="340"/>
      <c r="H962" s="340"/>
      <c r="I962" s="340"/>
      <c r="J962" s="340"/>
      <c r="K962" s="340"/>
      <c r="L962" s="340"/>
      <c r="M962" s="340"/>
      <c r="N962" s="340"/>
      <c r="O962" s="340"/>
      <c r="P962" s="340"/>
      <c r="Q962" s="340"/>
      <c r="R962" s="340"/>
      <c r="S962" s="340"/>
      <c r="T962" s="340"/>
      <c r="U962" s="340"/>
      <c r="V962" s="340"/>
      <c r="W962" s="340"/>
      <c r="X962" s="340"/>
      <c r="Y962" s="340"/>
      <c r="Z962" s="340"/>
      <c r="AA962" s="340"/>
      <c r="AB962" s="340"/>
      <c r="AC962" s="340"/>
      <c r="AD962" s="340"/>
      <c r="AE962" s="340"/>
      <c r="AF962" s="340"/>
      <c r="AG962" s="340"/>
      <c r="AH962" s="340"/>
      <c r="AI962" s="340"/>
      <c r="AJ962" s="340"/>
      <c r="AK962" s="340"/>
      <c r="AL962" s="340"/>
      <c r="AM962" s="340"/>
      <c r="AN962" s="340"/>
      <c r="AO962" s="340"/>
      <c r="AP962" s="340"/>
      <c r="AQ962" s="340"/>
      <c r="AR962" s="340"/>
      <c r="AS962" s="340"/>
      <c r="AT962" s="340"/>
      <c r="AU962" s="340"/>
      <c r="AV962" s="340"/>
      <c r="AW962" s="340"/>
      <c r="AX962" s="340"/>
      <c r="AY962" s="340"/>
      <c r="AZ962" s="340"/>
      <c r="BA962" s="340"/>
      <c r="BB962" s="340"/>
      <c r="BC962" s="340"/>
      <c r="BD962" s="340"/>
    </row>
    <row r="963" spans="3:56">
      <c r="C963" s="340"/>
      <c r="D963" s="340"/>
      <c r="E963" s="340"/>
      <c r="F963" s="340"/>
      <c r="G963" s="340"/>
      <c r="H963" s="340"/>
      <c r="I963" s="340"/>
      <c r="J963" s="340"/>
      <c r="K963" s="340"/>
      <c r="L963" s="340"/>
      <c r="M963" s="340"/>
      <c r="N963" s="340"/>
      <c r="O963" s="340"/>
      <c r="P963" s="340"/>
      <c r="Q963" s="340"/>
      <c r="R963" s="340"/>
      <c r="S963" s="340"/>
      <c r="T963" s="340"/>
      <c r="U963" s="340"/>
      <c r="V963" s="340"/>
      <c r="W963" s="340"/>
      <c r="X963" s="340"/>
      <c r="Y963" s="340"/>
      <c r="Z963" s="340"/>
      <c r="AA963" s="340"/>
      <c r="AB963" s="340"/>
      <c r="AC963" s="340"/>
      <c r="AD963" s="340"/>
      <c r="AE963" s="340"/>
      <c r="AF963" s="340"/>
      <c r="AG963" s="340"/>
      <c r="AH963" s="340"/>
      <c r="AI963" s="340"/>
      <c r="AJ963" s="340"/>
      <c r="AK963" s="340"/>
      <c r="AL963" s="340"/>
      <c r="AM963" s="340"/>
      <c r="AN963" s="340"/>
      <c r="AO963" s="340"/>
      <c r="AP963" s="340"/>
      <c r="AQ963" s="340"/>
      <c r="AR963" s="340"/>
      <c r="AS963" s="340"/>
      <c r="AT963" s="340"/>
      <c r="AU963" s="340"/>
      <c r="AV963" s="340"/>
      <c r="AW963" s="340"/>
      <c r="AX963" s="340"/>
      <c r="AY963" s="340"/>
      <c r="AZ963" s="340"/>
      <c r="BA963" s="340"/>
      <c r="BB963" s="340"/>
      <c r="BC963" s="340"/>
      <c r="BD963" s="340"/>
    </row>
    <row r="964" spans="3:56">
      <c r="C964" s="340"/>
      <c r="D964" s="340"/>
      <c r="E964" s="340"/>
      <c r="F964" s="340"/>
      <c r="G964" s="340"/>
      <c r="H964" s="340"/>
      <c r="I964" s="340"/>
      <c r="J964" s="340"/>
      <c r="K964" s="340"/>
      <c r="L964" s="340"/>
      <c r="M964" s="340"/>
      <c r="N964" s="340"/>
      <c r="O964" s="340"/>
      <c r="P964" s="340"/>
      <c r="Q964" s="340"/>
      <c r="R964" s="340"/>
      <c r="S964" s="340"/>
      <c r="T964" s="340"/>
      <c r="U964" s="340"/>
      <c r="V964" s="340"/>
      <c r="W964" s="340"/>
      <c r="X964" s="340"/>
      <c r="Y964" s="340"/>
      <c r="Z964" s="340"/>
      <c r="AA964" s="340"/>
      <c r="AB964" s="340"/>
      <c r="AC964" s="340"/>
      <c r="AD964" s="340"/>
      <c r="AE964" s="340"/>
      <c r="AF964" s="340"/>
      <c r="AG964" s="340"/>
      <c r="AH964" s="340"/>
      <c r="AI964" s="340"/>
      <c r="AJ964" s="340"/>
      <c r="AK964" s="340"/>
      <c r="AL964" s="340"/>
      <c r="AM964" s="340"/>
      <c r="AN964" s="340"/>
      <c r="AO964" s="340"/>
      <c r="AP964" s="340"/>
      <c r="AQ964" s="340"/>
      <c r="AR964" s="340"/>
      <c r="AS964" s="340"/>
      <c r="AT964" s="340"/>
      <c r="AU964" s="340"/>
      <c r="AV964" s="340"/>
      <c r="AW964" s="340"/>
      <c r="AX964" s="340"/>
      <c r="AY964" s="340"/>
      <c r="AZ964" s="340"/>
      <c r="BA964" s="340"/>
      <c r="BB964" s="340"/>
      <c r="BC964" s="340"/>
      <c r="BD964" s="340"/>
    </row>
    <row r="965" spans="3:56">
      <c r="C965" s="340"/>
      <c r="D965" s="340"/>
      <c r="E965" s="340"/>
      <c r="F965" s="340"/>
      <c r="G965" s="340"/>
      <c r="H965" s="340"/>
      <c r="I965" s="340"/>
      <c r="J965" s="340"/>
      <c r="K965" s="340"/>
      <c r="L965" s="340"/>
      <c r="M965" s="340"/>
      <c r="N965" s="340"/>
      <c r="O965" s="340"/>
      <c r="P965" s="340"/>
      <c r="Q965" s="340"/>
      <c r="R965" s="340"/>
      <c r="S965" s="340"/>
      <c r="T965" s="340"/>
      <c r="U965" s="340"/>
      <c r="V965" s="340"/>
      <c r="W965" s="340"/>
      <c r="X965" s="340"/>
      <c r="Y965" s="340"/>
      <c r="Z965" s="340"/>
      <c r="AA965" s="340"/>
      <c r="AB965" s="340"/>
      <c r="AC965" s="340"/>
      <c r="AD965" s="340"/>
      <c r="AE965" s="340"/>
      <c r="AF965" s="340"/>
      <c r="AG965" s="340"/>
      <c r="AH965" s="340"/>
      <c r="AI965" s="340"/>
      <c r="AJ965" s="340"/>
      <c r="AK965" s="340"/>
      <c r="AL965" s="340"/>
      <c r="AM965" s="340"/>
      <c r="AN965" s="340"/>
      <c r="AO965" s="340"/>
      <c r="AP965" s="340"/>
      <c r="AQ965" s="340"/>
      <c r="AR965" s="340"/>
      <c r="AS965" s="340"/>
      <c r="AT965" s="340"/>
      <c r="AU965" s="340"/>
      <c r="AV965" s="340"/>
      <c r="AW965" s="340"/>
      <c r="AX965" s="340"/>
      <c r="AY965" s="340"/>
      <c r="AZ965" s="340"/>
      <c r="BA965" s="340"/>
      <c r="BB965" s="340"/>
      <c r="BC965" s="340"/>
      <c r="BD965" s="340"/>
    </row>
    <row r="966" spans="3:56">
      <c r="C966" s="340"/>
      <c r="D966" s="340"/>
      <c r="E966" s="340"/>
      <c r="F966" s="340"/>
      <c r="G966" s="340"/>
      <c r="H966" s="340"/>
      <c r="I966" s="340"/>
      <c r="J966" s="340"/>
      <c r="K966" s="340"/>
      <c r="L966" s="340"/>
      <c r="M966" s="340"/>
      <c r="N966" s="340"/>
      <c r="O966" s="340"/>
      <c r="P966" s="340"/>
      <c r="Q966" s="340"/>
      <c r="R966" s="340"/>
      <c r="S966" s="340"/>
      <c r="T966" s="340"/>
      <c r="U966" s="340"/>
      <c r="V966" s="340"/>
      <c r="W966" s="340"/>
      <c r="X966" s="340"/>
      <c r="Y966" s="340"/>
      <c r="Z966" s="340"/>
      <c r="AA966" s="340"/>
      <c r="AB966" s="340"/>
      <c r="AC966" s="340"/>
      <c r="AD966" s="340"/>
      <c r="AE966" s="340"/>
      <c r="AF966" s="340"/>
      <c r="AG966" s="340"/>
      <c r="AH966" s="340"/>
      <c r="AI966" s="340"/>
      <c r="AJ966" s="340"/>
      <c r="AK966" s="340"/>
      <c r="AL966" s="340"/>
      <c r="AM966" s="340"/>
      <c r="AN966" s="340"/>
      <c r="AO966" s="340"/>
      <c r="AP966" s="340"/>
      <c r="AQ966" s="340"/>
      <c r="AR966" s="340"/>
      <c r="AS966" s="340"/>
      <c r="AT966" s="340"/>
      <c r="AU966" s="340"/>
      <c r="AV966" s="340"/>
      <c r="AW966" s="340"/>
      <c r="AX966" s="340"/>
      <c r="AY966" s="340"/>
      <c r="AZ966" s="340"/>
      <c r="BA966" s="340"/>
      <c r="BB966" s="340"/>
      <c r="BC966" s="340"/>
      <c r="BD966" s="340"/>
    </row>
    <row r="967" spans="3:56">
      <c r="C967" s="340"/>
      <c r="D967" s="340"/>
      <c r="E967" s="340"/>
      <c r="F967" s="340"/>
      <c r="G967" s="340"/>
      <c r="H967" s="340"/>
      <c r="I967" s="340"/>
      <c r="J967" s="340"/>
      <c r="K967" s="340"/>
      <c r="L967" s="340"/>
      <c r="M967" s="340"/>
      <c r="N967" s="340"/>
      <c r="O967" s="340"/>
      <c r="P967" s="340"/>
      <c r="Q967" s="340"/>
      <c r="R967" s="340"/>
      <c r="S967" s="340"/>
      <c r="T967" s="340"/>
      <c r="U967" s="340"/>
      <c r="V967" s="340"/>
      <c r="W967" s="340"/>
      <c r="X967" s="340"/>
      <c r="Y967" s="340"/>
      <c r="Z967" s="340"/>
      <c r="AA967" s="340"/>
      <c r="AB967" s="340"/>
      <c r="AC967" s="340"/>
      <c r="AD967" s="340"/>
      <c r="AE967" s="340"/>
      <c r="AF967" s="340"/>
      <c r="AG967" s="340"/>
      <c r="AH967" s="340"/>
      <c r="AI967" s="340"/>
      <c r="AJ967" s="340"/>
      <c r="AK967" s="340"/>
      <c r="AL967" s="340"/>
      <c r="AM967" s="340"/>
      <c r="AN967" s="340"/>
      <c r="AO967" s="340"/>
      <c r="AP967" s="340"/>
      <c r="AQ967" s="340"/>
      <c r="AR967" s="340"/>
      <c r="AS967" s="340"/>
      <c r="AT967" s="340"/>
      <c r="AU967" s="340"/>
      <c r="AV967" s="340"/>
      <c r="AW967" s="340"/>
      <c r="AX967" s="340"/>
      <c r="AY967" s="340"/>
      <c r="AZ967" s="340"/>
      <c r="BA967" s="340"/>
      <c r="BB967" s="340"/>
      <c r="BC967" s="340"/>
      <c r="BD967" s="340"/>
    </row>
    <row r="968" spans="3:56">
      <c r="C968" s="340"/>
      <c r="D968" s="340"/>
      <c r="E968" s="340"/>
      <c r="F968" s="340"/>
      <c r="G968" s="340"/>
      <c r="H968" s="340"/>
      <c r="I968" s="340"/>
      <c r="J968" s="340"/>
      <c r="K968" s="340"/>
      <c r="L968" s="340"/>
      <c r="M968" s="340"/>
      <c r="N968" s="340"/>
      <c r="O968" s="340"/>
      <c r="P968" s="340"/>
      <c r="Q968" s="340"/>
      <c r="R968" s="340"/>
      <c r="S968" s="340"/>
      <c r="T968" s="340"/>
      <c r="U968" s="340"/>
      <c r="V968" s="340"/>
      <c r="W968" s="340"/>
      <c r="X968" s="340"/>
      <c r="Y968" s="340"/>
      <c r="Z968" s="340"/>
      <c r="AA968" s="340"/>
      <c r="AB968" s="340"/>
      <c r="AC968" s="340"/>
      <c r="AD968" s="340"/>
      <c r="AE968" s="340"/>
      <c r="AF968" s="340"/>
      <c r="AG968" s="340"/>
      <c r="AH968" s="340"/>
      <c r="AI968" s="340"/>
      <c r="AJ968" s="340"/>
      <c r="AK968" s="340"/>
      <c r="AL968" s="340"/>
      <c r="AM968" s="340"/>
      <c r="AN968" s="340"/>
      <c r="AO968" s="340"/>
      <c r="AP968" s="340"/>
      <c r="AQ968" s="340"/>
      <c r="AR968" s="340"/>
      <c r="AS968" s="340"/>
      <c r="AT968" s="340"/>
      <c r="AU968" s="340"/>
      <c r="AV968" s="340"/>
      <c r="AW968" s="340"/>
      <c r="AX968" s="340"/>
      <c r="AY968" s="340"/>
      <c r="AZ968" s="340"/>
      <c r="BA968" s="340"/>
      <c r="BB968" s="340"/>
      <c r="BC968" s="340"/>
      <c r="BD968" s="340"/>
    </row>
    <row r="969" spans="3:56">
      <c r="C969" s="340"/>
      <c r="D969" s="340"/>
      <c r="E969" s="340"/>
      <c r="F969" s="340"/>
      <c r="G969" s="340"/>
      <c r="H969" s="340"/>
      <c r="I969" s="340"/>
      <c r="J969" s="340"/>
      <c r="K969" s="340"/>
      <c r="L969" s="340"/>
      <c r="M969" s="340"/>
      <c r="N969" s="340"/>
      <c r="O969" s="340"/>
      <c r="P969" s="340"/>
      <c r="Q969" s="340"/>
      <c r="R969" s="340"/>
      <c r="S969" s="340"/>
      <c r="T969" s="340"/>
      <c r="U969" s="340"/>
      <c r="V969" s="340"/>
      <c r="W969" s="340"/>
      <c r="X969" s="340"/>
      <c r="Y969" s="340"/>
      <c r="Z969" s="340"/>
      <c r="AA969" s="340"/>
      <c r="AB969" s="340"/>
      <c r="AC969" s="340"/>
      <c r="AD969" s="340"/>
      <c r="AE969" s="340"/>
      <c r="AF969" s="340"/>
      <c r="AG969" s="340"/>
      <c r="AH969" s="340"/>
      <c r="AI969" s="340"/>
      <c r="AJ969" s="340"/>
      <c r="AK969" s="340"/>
      <c r="AL969" s="340"/>
      <c r="AM969" s="340"/>
      <c r="AN969" s="340"/>
      <c r="AO969" s="340"/>
      <c r="AP969" s="340"/>
      <c r="AQ969" s="340"/>
      <c r="AR969" s="340"/>
      <c r="AS969" s="340"/>
      <c r="AT969" s="340"/>
      <c r="AU969" s="340"/>
      <c r="AV969" s="340"/>
      <c r="AW969" s="340"/>
      <c r="AX969" s="340"/>
      <c r="AY969" s="340"/>
      <c r="AZ969" s="340"/>
      <c r="BA969" s="340"/>
      <c r="BB969" s="340"/>
      <c r="BC969" s="340"/>
      <c r="BD969" s="340"/>
    </row>
    <row r="970" spans="3:56">
      <c r="C970" s="340"/>
      <c r="D970" s="340"/>
      <c r="E970" s="340"/>
      <c r="F970" s="340"/>
      <c r="G970" s="340"/>
      <c r="H970" s="340"/>
      <c r="I970" s="340"/>
      <c r="J970" s="340"/>
      <c r="K970" s="340"/>
      <c r="L970" s="340"/>
      <c r="M970" s="340"/>
      <c r="N970" s="340"/>
      <c r="O970" s="340"/>
      <c r="P970" s="340"/>
      <c r="Q970" s="340"/>
      <c r="R970" s="340"/>
      <c r="S970" s="340"/>
      <c r="T970" s="340"/>
      <c r="U970" s="340"/>
      <c r="V970" s="340"/>
      <c r="W970" s="340"/>
      <c r="X970" s="340"/>
      <c r="Y970" s="340"/>
      <c r="Z970" s="340"/>
      <c r="AA970" s="340"/>
      <c r="AB970" s="340"/>
      <c r="AC970" s="340"/>
      <c r="AD970" s="340"/>
      <c r="AE970" s="340"/>
      <c r="AF970" s="340"/>
      <c r="AG970" s="340"/>
      <c r="AH970" s="340"/>
      <c r="AI970" s="340"/>
      <c r="AJ970" s="340"/>
      <c r="AK970" s="340"/>
      <c r="AL970" s="340"/>
      <c r="AM970" s="340"/>
      <c r="AN970" s="340"/>
      <c r="AO970" s="340"/>
      <c r="AP970" s="340"/>
      <c r="AQ970" s="340"/>
      <c r="AR970" s="340"/>
      <c r="AS970" s="340"/>
      <c r="AT970" s="340"/>
      <c r="AU970" s="340"/>
      <c r="AV970" s="340"/>
      <c r="AW970" s="340"/>
      <c r="AX970" s="340"/>
      <c r="AY970" s="340"/>
      <c r="AZ970" s="340"/>
      <c r="BA970" s="340"/>
      <c r="BB970" s="340"/>
      <c r="BC970" s="340"/>
      <c r="BD970" s="340"/>
    </row>
    <row r="971" spans="3:56">
      <c r="C971" s="340"/>
      <c r="D971" s="340"/>
      <c r="E971" s="340"/>
      <c r="F971" s="340"/>
      <c r="G971" s="340"/>
      <c r="H971" s="340"/>
      <c r="I971" s="340"/>
      <c r="J971" s="340"/>
      <c r="K971" s="340"/>
      <c r="L971" s="340"/>
      <c r="M971" s="340"/>
      <c r="N971" s="340"/>
      <c r="O971" s="340"/>
      <c r="P971" s="340"/>
      <c r="Q971" s="340"/>
      <c r="R971" s="340"/>
      <c r="S971" s="340"/>
      <c r="T971" s="340"/>
      <c r="U971" s="340"/>
      <c r="V971" s="340"/>
      <c r="W971" s="340"/>
      <c r="X971" s="340"/>
      <c r="Y971" s="340"/>
      <c r="Z971" s="340"/>
      <c r="AA971" s="340"/>
      <c r="AB971" s="340"/>
      <c r="AC971" s="340"/>
      <c r="AD971" s="340"/>
      <c r="AE971" s="340"/>
      <c r="AF971" s="340"/>
      <c r="AG971" s="340"/>
      <c r="AH971" s="340"/>
      <c r="AI971" s="340"/>
      <c r="AJ971" s="340"/>
      <c r="AK971" s="340"/>
      <c r="AL971" s="340"/>
      <c r="AM971" s="340"/>
      <c r="AN971" s="340"/>
      <c r="AO971" s="340"/>
      <c r="AP971" s="340"/>
      <c r="AQ971" s="340"/>
      <c r="AR971" s="340"/>
      <c r="AS971" s="340"/>
      <c r="AT971" s="340"/>
      <c r="AU971" s="340"/>
      <c r="AV971" s="340"/>
      <c r="AW971" s="340"/>
      <c r="AX971" s="340"/>
      <c r="AY971" s="340"/>
      <c r="AZ971" s="340"/>
      <c r="BA971" s="340"/>
      <c r="BB971" s="340"/>
      <c r="BC971" s="340"/>
      <c r="BD971" s="340"/>
    </row>
    <row r="972" spans="3:56">
      <c r="C972" s="340"/>
      <c r="D972" s="340"/>
      <c r="E972" s="340"/>
      <c r="F972" s="340"/>
      <c r="G972" s="340"/>
      <c r="H972" s="340"/>
      <c r="I972" s="340"/>
      <c r="J972" s="340"/>
      <c r="K972" s="340"/>
      <c r="L972" s="340"/>
      <c r="M972" s="340"/>
      <c r="N972" s="340"/>
      <c r="O972" s="340"/>
      <c r="P972" s="340"/>
      <c r="Q972" s="340"/>
      <c r="R972" s="340"/>
      <c r="S972" s="340"/>
      <c r="T972" s="340"/>
      <c r="U972" s="340"/>
      <c r="V972" s="340"/>
      <c r="W972" s="340"/>
      <c r="X972" s="340"/>
      <c r="Y972" s="340"/>
      <c r="Z972" s="340"/>
      <c r="AA972" s="340"/>
      <c r="AB972" s="340"/>
      <c r="AC972" s="340"/>
      <c r="AD972" s="340"/>
      <c r="AE972" s="340"/>
      <c r="AF972" s="340"/>
      <c r="AG972" s="340"/>
      <c r="AH972" s="340"/>
      <c r="AI972" s="340"/>
      <c r="AJ972" s="340"/>
      <c r="AK972" s="340"/>
      <c r="AL972" s="340"/>
      <c r="AM972" s="340"/>
      <c r="AN972" s="340"/>
      <c r="AO972" s="340"/>
      <c r="AP972" s="340"/>
      <c r="AQ972" s="340"/>
      <c r="AR972" s="340"/>
      <c r="AS972" s="340"/>
      <c r="AT972" s="340"/>
      <c r="AU972" s="340"/>
      <c r="AV972" s="340"/>
      <c r="AW972" s="340"/>
      <c r="AX972" s="340"/>
      <c r="AY972" s="340"/>
      <c r="AZ972" s="340"/>
      <c r="BA972" s="340"/>
      <c r="BB972" s="340"/>
      <c r="BC972" s="340"/>
      <c r="BD972" s="340"/>
    </row>
    <row r="973" spans="3:56">
      <c r="C973" s="340"/>
      <c r="D973" s="340"/>
      <c r="E973" s="340"/>
      <c r="F973" s="340"/>
      <c r="G973" s="340"/>
      <c r="H973" s="340"/>
      <c r="I973" s="340"/>
      <c r="J973" s="340"/>
      <c r="K973" s="340"/>
      <c r="L973" s="340"/>
      <c r="M973" s="340"/>
      <c r="N973" s="340"/>
      <c r="O973" s="340"/>
      <c r="P973" s="340"/>
      <c r="Q973" s="340"/>
      <c r="R973" s="340"/>
      <c r="S973" s="340"/>
      <c r="T973" s="340"/>
      <c r="U973" s="340"/>
      <c r="V973" s="340"/>
      <c r="W973" s="340"/>
      <c r="X973" s="340"/>
      <c r="Y973" s="340"/>
      <c r="Z973" s="340"/>
      <c r="AA973" s="340"/>
      <c r="AB973" s="340"/>
      <c r="AC973" s="340"/>
      <c r="AD973" s="340"/>
      <c r="AE973" s="340"/>
      <c r="AF973" s="340"/>
      <c r="AG973" s="340"/>
      <c r="AH973" s="340"/>
      <c r="AI973" s="340"/>
      <c r="AJ973" s="340"/>
      <c r="AK973" s="340"/>
      <c r="AL973" s="340"/>
      <c r="AM973" s="340"/>
      <c r="AN973" s="340"/>
      <c r="AO973" s="340"/>
      <c r="AP973" s="340"/>
      <c r="AQ973" s="340"/>
      <c r="AR973" s="340"/>
      <c r="AS973" s="340"/>
      <c r="AT973" s="340"/>
      <c r="AU973" s="340"/>
      <c r="AV973" s="340"/>
      <c r="AW973" s="340"/>
      <c r="AX973" s="340"/>
      <c r="AY973" s="340"/>
      <c r="AZ973" s="340"/>
      <c r="BA973" s="340"/>
      <c r="BB973" s="340"/>
      <c r="BC973" s="340"/>
      <c r="BD973" s="340"/>
    </row>
    <row r="974" spans="3:56">
      <c r="C974" s="340"/>
      <c r="D974" s="340"/>
      <c r="E974" s="340"/>
      <c r="F974" s="340"/>
      <c r="G974" s="340"/>
      <c r="H974" s="340"/>
      <c r="I974" s="340"/>
      <c r="J974" s="340"/>
      <c r="K974" s="340"/>
      <c r="L974" s="340"/>
      <c r="M974" s="340"/>
      <c r="N974" s="340"/>
      <c r="O974" s="340"/>
      <c r="P974" s="340"/>
      <c r="Q974" s="340"/>
      <c r="R974" s="340"/>
      <c r="S974" s="340"/>
      <c r="T974" s="340"/>
      <c r="U974" s="340"/>
      <c r="V974" s="340"/>
      <c r="W974" s="340"/>
      <c r="X974" s="340"/>
      <c r="Y974" s="340"/>
      <c r="Z974" s="340"/>
      <c r="AA974" s="340"/>
      <c r="AB974" s="340"/>
      <c r="AC974" s="340"/>
      <c r="AD974" s="340"/>
      <c r="AE974" s="340"/>
      <c r="AF974" s="340"/>
      <c r="AG974" s="340"/>
      <c r="AH974" s="340"/>
      <c r="AI974" s="340"/>
      <c r="AJ974" s="340"/>
      <c r="AK974" s="340"/>
      <c r="AL974" s="340"/>
      <c r="AM974" s="340"/>
      <c r="AN974" s="340"/>
      <c r="AO974" s="340"/>
      <c r="AP974" s="340"/>
      <c r="AQ974" s="340"/>
      <c r="AR974" s="340"/>
      <c r="AS974" s="340"/>
      <c r="AT974" s="340"/>
      <c r="AU974" s="340"/>
      <c r="AV974" s="340"/>
      <c r="AW974" s="340"/>
      <c r="AX974" s="340"/>
      <c r="AY974" s="340"/>
      <c r="AZ974" s="340"/>
      <c r="BA974" s="340"/>
      <c r="BB974" s="340"/>
      <c r="BC974" s="340"/>
      <c r="BD974" s="340"/>
    </row>
    <row r="975" spans="3:56">
      <c r="C975" s="340"/>
      <c r="D975" s="340"/>
      <c r="E975" s="340"/>
      <c r="F975" s="340"/>
      <c r="G975" s="340"/>
      <c r="H975" s="340"/>
      <c r="I975" s="340"/>
      <c r="J975" s="340"/>
      <c r="K975" s="340"/>
      <c r="L975" s="340"/>
      <c r="M975" s="340"/>
      <c r="N975" s="340"/>
      <c r="O975" s="340"/>
      <c r="P975" s="340"/>
      <c r="Q975" s="340"/>
      <c r="R975" s="340"/>
      <c r="S975" s="340"/>
      <c r="T975" s="340"/>
      <c r="U975" s="340"/>
      <c r="V975" s="340"/>
      <c r="W975" s="340"/>
      <c r="X975" s="340"/>
      <c r="Y975" s="340"/>
      <c r="Z975" s="340"/>
      <c r="AA975" s="340"/>
      <c r="AB975" s="340"/>
      <c r="AC975" s="340"/>
      <c r="AD975" s="340"/>
      <c r="AE975" s="340"/>
      <c r="AF975" s="340"/>
      <c r="AG975" s="340"/>
      <c r="AH975" s="340"/>
      <c r="AI975" s="340"/>
      <c r="AJ975" s="340"/>
      <c r="AK975" s="340"/>
      <c r="AL975" s="340"/>
      <c r="AM975" s="340"/>
      <c r="AN975" s="340"/>
      <c r="AO975" s="340"/>
      <c r="AP975" s="340"/>
      <c r="AQ975" s="340"/>
      <c r="AR975" s="340"/>
      <c r="AS975" s="340"/>
      <c r="AT975" s="340"/>
      <c r="AU975" s="340"/>
      <c r="AV975" s="340"/>
      <c r="AW975" s="340"/>
      <c r="AX975" s="340"/>
      <c r="AY975" s="340"/>
      <c r="AZ975" s="340"/>
      <c r="BA975" s="340"/>
      <c r="BB975" s="340"/>
      <c r="BC975" s="340"/>
      <c r="BD975" s="340"/>
    </row>
    <row r="976" spans="3:56">
      <c r="C976" s="340"/>
      <c r="D976" s="340"/>
      <c r="E976" s="340"/>
      <c r="F976" s="340"/>
      <c r="G976" s="340"/>
      <c r="H976" s="340"/>
      <c r="I976" s="340"/>
      <c r="J976" s="340"/>
      <c r="K976" s="340"/>
      <c r="L976" s="340"/>
      <c r="M976" s="340"/>
      <c r="N976" s="340"/>
      <c r="O976" s="340"/>
      <c r="P976" s="340"/>
      <c r="Q976" s="340"/>
      <c r="R976" s="340"/>
      <c r="S976" s="340"/>
      <c r="T976" s="340"/>
      <c r="U976" s="340"/>
      <c r="V976" s="340"/>
      <c r="W976" s="340"/>
      <c r="X976" s="340"/>
      <c r="Y976" s="340"/>
      <c r="Z976" s="340"/>
      <c r="AA976" s="340"/>
      <c r="AB976" s="340"/>
      <c r="AC976" s="340"/>
      <c r="AD976" s="340"/>
      <c r="AE976" s="340"/>
      <c r="AF976" s="340"/>
      <c r="AG976" s="340"/>
      <c r="AH976" s="340"/>
      <c r="AI976" s="340"/>
      <c r="AJ976" s="340"/>
      <c r="AK976" s="340"/>
      <c r="AL976" s="340"/>
      <c r="AM976" s="340"/>
      <c r="AN976" s="340"/>
      <c r="AO976" s="340"/>
      <c r="AP976" s="340"/>
      <c r="AQ976" s="340"/>
      <c r="AR976" s="340"/>
      <c r="AS976" s="340"/>
      <c r="AT976" s="340"/>
      <c r="AU976" s="340"/>
      <c r="AV976" s="340"/>
      <c r="AW976" s="340"/>
      <c r="AX976" s="340"/>
      <c r="AY976" s="340"/>
      <c r="AZ976" s="340"/>
      <c r="BA976" s="340"/>
      <c r="BB976" s="340"/>
      <c r="BC976" s="340"/>
      <c r="BD976" s="340"/>
    </row>
    <row r="977" spans="3:56">
      <c r="C977" s="340"/>
      <c r="D977" s="340"/>
      <c r="E977" s="340"/>
      <c r="F977" s="340"/>
      <c r="G977" s="340"/>
      <c r="H977" s="340"/>
      <c r="I977" s="340"/>
      <c r="J977" s="340"/>
      <c r="K977" s="340"/>
      <c r="L977" s="340"/>
      <c r="M977" s="340"/>
      <c r="N977" s="340"/>
      <c r="O977" s="340"/>
      <c r="P977" s="340"/>
      <c r="Q977" s="340"/>
      <c r="R977" s="340"/>
      <c r="S977" s="340"/>
      <c r="T977" s="340"/>
      <c r="U977" s="340"/>
      <c r="V977" s="340"/>
      <c r="W977" s="340"/>
      <c r="X977" s="340"/>
      <c r="Y977" s="340"/>
      <c r="Z977" s="340"/>
      <c r="AA977" s="340"/>
      <c r="AB977" s="340"/>
      <c r="AC977" s="340"/>
      <c r="AD977" s="340"/>
      <c r="AE977" s="340"/>
      <c r="AF977" s="340"/>
      <c r="AG977" s="340"/>
      <c r="AH977" s="340"/>
      <c r="AI977" s="340"/>
      <c r="AJ977" s="340"/>
      <c r="AK977" s="340"/>
      <c r="AL977" s="340"/>
      <c r="AM977" s="340"/>
      <c r="AN977" s="340"/>
      <c r="AO977" s="340"/>
      <c r="AP977" s="340"/>
      <c r="AQ977" s="340"/>
      <c r="AR977" s="340"/>
      <c r="AS977" s="340"/>
      <c r="AT977" s="340"/>
      <c r="AU977" s="340"/>
      <c r="AV977" s="340"/>
      <c r="AW977" s="340"/>
      <c r="AX977" s="340"/>
      <c r="AY977" s="340"/>
      <c r="AZ977" s="340"/>
      <c r="BA977" s="340"/>
      <c r="BB977" s="340"/>
      <c r="BC977" s="340"/>
      <c r="BD977" s="340"/>
    </row>
    <row r="978" spans="3:56">
      <c r="C978" s="340"/>
      <c r="D978" s="340"/>
      <c r="E978" s="340"/>
      <c r="F978" s="340"/>
      <c r="G978" s="340"/>
      <c r="H978" s="340"/>
      <c r="I978" s="340"/>
      <c r="J978" s="340"/>
      <c r="K978" s="340"/>
      <c r="L978" s="340"/>
      <c r="M978" s="340"/>
      <c r="N978" s="340"/>
      <c r="O978" s="340"/>
      <c r="P978" s="340"/>
      <c r="Q978" s="340"/>
      <c r="R978" s="340"/>
      <c r="S978" s="340"/>
      <c r="T978" s="340"/>
      <c r="U978" s="340"/>
      <c r="V978" s="340"/>
      <c r="W978" s="340"/>
      <c r="X978" s="340"/>
      <c r="Y978" s="340"/>
      <c r="Z978" s="340"/>
      <c r="AA978" s="340"/>
      <c r="AB978" s="340"/>
      <c r="AC978" s="340"/>
      <c r="AD978" s="340"/>
      <c r="AE978" s="340"/>
      <c r="AF978" s="340"/>
      <c r="AG978" s="340"/>
      <c r="AH978" s="340"/>
      <c r="AI978" s="340"/>
      <c r="AJ978" s="340"/>
      <c r="AK978" s="340"/>
      <c r="AL978" s="340"/>
      <c r="AM978" s="340"/>
      <c r="AN978" s="340"/>
      <c r="AO978" s="340"/>
      <c r="AP978" s="340"/>
      <c r="AQ978" s="340"/>
      <c r="AR978" s="340"/>
      <c r="AS978" s="340"/>
      <c r="AT978" s="340"/>
      <c r="AU978" s="340"/>
      <c r="AV978" s="340"/>
      <c r="AW978" s="340"/>
      <c r="AX978" s="340"/>
      <c r="AY978" s="340"/>
      <c r="AZ978" s="340"/>
      <c r="BA978" s="340"/>
      <c r="BB978" s="340"/>
      <c r="BC978" s="340"/>
      <c r="BD978" s="340"/>
    </row>
    <row r="979" spans="3:56">
      <c r="C979" s="340"/>
      <c r="D979" s="340"/>
      <c r="E979" s="340"/>
      <c r="F979" s="340"/>
      <c r="G979" s="340"/>
      <c r="H979" s="340"/>
      <c r="I979" s="340"/>
      <c r="J979" s="340"/>
      <c r="K979" s="340"/>
      <c r="L979" s="340"/>
      <c r="M979" s="340"/>
      <c r="N979" s="340"/>
      <c r="O979" s="340"/>
      <c r="P979" s="340"/>
      <c r="Q979" s="340"/>
      <c r="R979" s="340"/>
      <c r="S979" s="340"/>
      <c r="T979" s="340"/>
      <c r="U979" s="340"/>
      <c r="V979" s="340"/>
      <c r="W979" s="340"/>
      <c r="X979" s="340"/>
      <c r="Y979" s="340"/>
      <c r="Z979" s="340"/>
      <c r="AA979" s="340"/>
      <c r="AB979" s="340"/>
      <c r="AC979" s="340"/>
      <c r="AD979" s="340"/>
      <c r="AE979" s="340"/>
      <c r="AF979" s="340"/>
      <c r="AG979" s="340"/>
      <c r="AH979" s="340"/>
      <c r="AI979" s="340"/>
      <c r="AJ979" s="340"/>
      <c r="AK979" s="340"/>
      <c r="AL979" s="340"/>
      <c r="AM979" s="340"/>
      <c r="AN979" s="340"/>
      <c r="AO979" s="340"/>
      <c r="AP979" s="340"/>
      <c r="AQ979" s="340"/>
      <c r="AR979" s="340"/>
      <c r="AS979" s="340"/>
      <c r="AT979" s="340"/>
      <c r="AU979" s="340"/>
      <c r="AV979" s="340"/>
      <c r="AW979" s="340"/>
      <c r="AX979" s="340"/>
      <c r="AY979" s="340"/>
      <c r="AZ979" s="340"/>
      <c r="BA979" s="340"/>
      <c r="BB979" s="340"/>
      <c r="BC979" s="340"/>
      <c r="BD979" s="340"/>
    </row>
    <row r="980" spans="3:56">
      <c r="C980" s="340"/>
      <c r="D980" s="340"/>
      <c r="E980" s="340"/>
      <c r="F980" s="340"/>
      <c r="G980" s="340"/>
      <c r="H980" s="340"/>
      <c r="I980" s="340"/>
      <c r="J980" s="340"/>
      <c r="K980" s="340"/>
      <c r="L980" s="340"/>
      <c r="M980" s="340"/>
      <c r="N980" s="340"/>
      <c r="O980" s="340"/>
      <c r="P980" s="340"/>
      <c r="Q980" s="340"/>
      <c r="R980" s="340"/>
      <c r="S980" s="340"/>
      <c r="T980" s="340"/>
      <c r="U980" s="340"/>
      <c r="V980" s="340"/>
      <c r="W980" s="340"/>
      <c r="X980" s="340"/>
      <c r="Y980" s="340"/>
      <c r="Z980" s="340"/>
      <c r="AA980" s="340"/>
      <c r="AB980" s="340"/>
      <c r="AC980" s="340"/>
      <c r="AD980" s="340"/>
      <c r="AE980" s="340"/>
      <c r="AF980" s="340"/>
      <c r="AG980" s="340"/>
      <c r="AH980" s="340"/>
      <c r="AI980" s="340"/>
      <c r="AJ980" s="340"/>
      <c r="AK980" s="340"/>
      <c r="AL980" s="340"/>
      <c r="AM980" s="340"/>
      <c r="AN980" s="340"/>
      <c r="AO980" s="340"/>
      <c r="AP980" s="340"/>
      <c r="AQ980" s="340"/>
      <c r="AR980" s="340"/>
      <c r="AS980" s="340"/>
      <c r="AT980" s="340"/>
      <c r="AU980" s="340"/>
      <c r="AV980" s="340"/>
      <c r="AW980" s="340"/>
      <c r="AX980" s="340"/>
      <c r="AY980" s="340"/>
      <c r="AZ980" s="340"/>
      <c r="BA980" s="340"/>
      <c r="BB980" s="340"/>
      <c r="BC980" s="340"/>
      <c r="BD980" s="340"/>
    </row>
    <row r="981" spans="3:56">
      <c r="C981" s="340"/>
      <c r="D981" s="340"/>
      <c r="E981" s="340"/>
      <c r="F981" s="340"/>
      <c r="G981" s="340"/>
      <c r="H981" s="340"/>
      <c r="I981" s="340"/>
      <c r="J981" s="340"/>
      <c r="K981" s="340"/>
      <c r="L981" s="340"/>
      <c r="M981" s="340"/>
      <c r="N981" s="340"/>
      <c r="O981" s="340"/>
      <c r="P981" s="340"/>
      <c r="Q981" s="340"/>
      <c r="R981" s="340"/>
      <c r="S981" s="340"/>
      <c r="T981" s="340"/>
      <c r="U981" s="340"/>
      <c r="V981" s="340"/>
      <c r="W981" s="340"/>
      <c r="X981" s="340"/>
      <c r="Y981" s="340"/>
      <c r="Z981" s="340"/>
      <c r="AA981" s="340"/>
      <c r="AB981" s="340"/>
      <c r="AC981" s="340"/>
      <c r="AD981" s="340"/>
      <c r="AE981" s="340"/>
      <c r="AF981" s="340"/>
      <c r="AG981" s="340"/>
      <c r="AH981" s="340"/>
      <c r="AI981" s="340"/>
      <c r="AJ981" s="340"/>
      <c r="AK981" s="340"/>
      <c r="AL981" s="340"/>
      <c r="AM981" s="340"/>
      <c r="AN981" s="340"/>
      <c r="AO981" s="340"/>
      <c r="AP981" s="340"/>
      <c r="AQ981" s="340"/>
      <c r="AR981" s="340"/>
      <c r="AS981" s="340"/>
      <c r="AT981" s="340"/>
      <c r="AU981" s="340"/>
      <c r="AV981" s="340"/>
      <c r="AW981" s="340"/>
      <c r="AX981" s="340"/>
      <c r="AY981" s="340"/>
      <c r="AZ981" s="340"/>
      <c r="BA981" s="340"/>
      <c r="BB981" s="340"/>
      <c r="BC981" s="340"/>
      <c r="BD981" s="340"/>
    </row>
    <row r="982" spans="3:56">
      <c r="C982" s="340"/>
      <c r="D982" s="340"/>
      <c r="E982" s="340"/>
      <c r="F982" s="340"/>
      <c r="G982" s="340"/>
      <c r="H982" s="340"/>
      <c r="I982" s="340"/>
      <c r="J982" s="340"/>
      <c r="K982" s="340"/>
      <c r="L982" s="340"/>
      <c r="M982" s="340"/>
      <c r="N982" s="340"/>
      <c r="O982" s="340"/>
      <c r="P982" s="340"/>
      <c r="Q982" s="340"/>
      <c r="R982" s="340"/>
      <c r="S982" s="340"/>
      <c r="T982" s="340"/>
      <c r="U982" s="340"/>
      <c r="V982" s="340"/>
      <c r="W982" s="340"/>
      <c r="X982" s="340"/>
      <c r="Y982" s="340"/>
      <c r="Z982" s="340"/>
      <c r="AA982" s="340"/>
      <c r="AB982" s="340"/>
      <c r="AC982" s="340"/>
      <c r="AD982" s="340"/>
      <c r="AE982" s="340"/>
      <c r="AF982" s="340"/>
      <c r="AG982" s="340"/>
      <c r="AH982" s="340"/>
      <c r="AI982" s="340"/>
      <c r="AJ982" s="340"/>
      <c r="AK982" s="340"/>
      <c r="AL982" s="340"/>
      <c r="AM982" s="340"/>
      <c r="AN982" s="340"/>
      <c r="AO982" s="340"/>
      <c r="AP982" s="340"/>
      <c r="AQ982" s="340"/>
      <c r="AR982" s="340"/>
      <c r="AS982" s="340"/>
      <c r="AT982" s="340"/>
      <c r="AU982" s="340"/>
      <c r="AV982" s="340"/>
      <c r="AW982" s="340"/>
      <c r="AX982" s="340"/>
      <c r="AY982" s="340"/>
      <c r="AZ982" s="340"/>
      <c r="BA982" s="340"/>
      <c r="BB982" s="340"/>
      <c r="BC982" s="340"/>
      <c r="BD982" s="340"/>
    </row>
    <row r="983" spans="3:56">
      <c r="C983" s="340"/>
      <c r="D983" s="340"/>
      <c r="E983" s="340"/>
      <c r="F983" s="340"/>
      <c r="G983" s="340"/>
      <c r="H983" s="340"/>
      <c r="I983" s="340"/>
      <c r="J983" s="340"/>
      <c r="K983" s="340"/>
      <c r="L983" s="340"/>
      <c r="M983" s="340"/>
      <c r="N983" s="340"/>
      <c r="O983" s="340"/>
      <c r="P983" s="340"/>
      <c r="Q983" s="340"/>
      <c r="R983" s="340"/>
      <c r="S983" s="340"/>
      <c r="T983" s="340"/>
      <c r="U983" s="340"/>
      <c r="V983" s="340"/>
      <c r="W983" s="340"/>
      <c r="X983" s="340"/>
      <c r="Y983" s="340"/>
      <c r="Z983" s="340"/>
      <c r="AA983" s="340"/>
      <c r="AB983" s="340"/>
      <c r="AC983" s="340"/>
      <c r="AD983" s="340"/>
      <c r="AE983" s="340"/>
      <c r="AF983" s="340"/>
      <c r="AG983" s="340"/>
      <c r="AH983" s="340"/>
      <c r="AI983" s="340"/>
      <c r="AJ983" s="340"/>
      <c r="AK983" s="340"/>
      <c r="AL983" s="340"/>
      <c r="AM983" s="340"/>
      <c r="AN983" s="340"/>
      <c r="AO983" s="340"/>
      <c r="AP983" s="340"/>
      <c r="AQ983" s="340"/>
      <c r="AR983" s="340"/>
      <c r="AS983" s="340"/>
      <c r="AT983" s="340"/>
      <c r="AU983" s="340"/>
      <c r="AV983" s="340"/>
      <c r="AW983" s="340"/>
      <c r="AX983" s="340"/>
      <c r="AY983" s="340"/>
      <c r="AZ983" s="340"/>
      <c r="BA983" s="340"/>
      <c r="BB983" s="340"/>
      <c r="BC983" s="340"/>
      <c r="BD983" s="340"/>
    </row>
    <row r="984" spans="3:56">
      <c r="C984" s="340"/>
      <c r="D984" s="340"/>
      <c r="E984" s="340"/>
      <c r="F984" s="340"/>
      <c r="G984" s="340"/>
      <c r="H984" s="340"/>
      <c r="I984" s="340"/>
      <c r="J984" s="340"/>
      <c r="K984" s="340"/>
      <c r="L984" s="340"/>
      <c r="M984" s="340"/>
      <c r="N984" s="340"/>
      <c r="O984" s="340"/>
      <c r="P984" s="340"/>
      <c r="Q984" s="340"/>
      <c r="R984" s="340"/>
      <c r="S984" s="340"/>
      <c r="T984" s="340"/>
      <c r="U984" s="340"/>
      <c r="V984" s="340"/>
      <c r="W984" s="340"/>
      <c r="X984" s="340"/>
      <c r="Y984" s="340"/>
      <c r="Z984" s="340"/>
      <c r="AA984" s="340"/>
      <c r="AB984" s="340"/>
      <c r="AC984" s="340"/>
      <c r="AD984" s="340"/>
      <c r="AE984" s="340"/>
      <c r="AF984" s="340"/>
      <c r="AG984" s="340"/>
      <c r="AH984" s="340"/>
      <c r="AI984" s="340"/>
      <c r="AJ984" s="340"/>
      <c r="AK984" s="340"/>
      <c r="AL984" s="340"/>
      <c r="AM984" s="340"/>
      <c r="AN984" s="340"/>
      <c r="AO984" s="340"/>
      <c r="AP984" s="340"/>
      <c r="AQ984" s="340"/>
      <c r="AR984" s="340"/>
      <c r="AS984" s="340"/>
      <c r="AT984" s="340"/>
      <c r="AU984" s="340"/>
      <c r="AV984" s="340"/>
      <c r="AW984" s="340"/>
      <c r="AX984" s="340"/>
      <c r="AY984" s="340"/>
      <c r="AZ984" s="340"/>
      <c r="BA984" s="340"/>
      <c r="BB984" s="340"/>
      <c r="BC984" s="340"/>
      <c r="BD984" s="340"/>
    </row>
    <row r="985" spans="3:56">
      <c r="C985" s="340"/>
      <c r="D985" s="340"/>
      <c r="E985" s="340"/>
      <c r="F985" s="340"/>
      <c r="G985" s="340"/>
      <c r="H985" s="340"/>
      <c r="I985" s="340"/>
      <c r="J985" s="340"/>
      <c r="K985" s="340"/>
      <c r="L985" s="340"/>
      <c r="M985" s="340"/>
      <c r="N985" s="340"/>
      <c r="O985" s="340"/>
      <c r="P985" s="340"/>
      <c r="Q985" s="340"/>
      <c r="R985" s="340"/>
      <c r="S985" s="340"/>
      <c r="T985" s="340"/>
      <c r="U985" s="340"/>
      <c r="V985" s="340"/>
      <c r="W985" s="340"/>
      <c r="X985" s="340"/>
      <c r="Y985" s="340"/>
      <c r="Z985" s="340"/>
      <c r="AA985" s="340"/>
      <c r="AB985" s="340"/>
      <c r="AC985" s="340"/>
      <c r="AD985" s="340"/>
      <c r="AE985" s="340"/>
      <c r="AF985" s="340"/>
      <c r="AG985" s="340"/>
      <c r="AH985" s="340"/>
      <c r="AI985" s="340"/>
      <c r="AJ985" s="340"/>
      <c r="AK985" s="340"/>
      <c r="AL985" s="340"/>
      <c r="AM985" s="340"/>
      <c r="AN985" s="340"/>
      <c r="AO985" s="340"/>
      <c r="AP985" s="340"/>
      <c r="AQ985" s="340"/>
      <c r="AR985" s="340"/>
      <c r="AS985" s="340"/>
      <c r="AT985" s="340"/>
      <c r="AU985" s="340"/>
      <c r="AV985" s="340"/>
      <c r="AW985" s="340"/>
      <c r="AX985" s="340"/>
      <c r="AY985" s="340"/>
      <c r="AZ985" s="340"/>
      <c r="BA985" s="340"/>
      <c r="BB985" s="340"/>
      <c r="BC985" s="340"/>
      <c r="BD985" s="340"/>
    </row>
    <row r="986" spans="3:56">
      <c r="C986" s="340"/>
      <c r="D986" s="340"/>
      <c r="E986" s="340"/>
      <c r="F986" s="340"/>
      <c r="G986" s="340"/>
      <c r="H986" s="340"/>
      <c r="I986" s="340"/>
      <c r="J986" s="340"/>
      <c r="K986" s="340"/>
      <c r="L986" s="340"/>
      <c r="M986" s="340"/>
      <c r="N986" s="340"/>
      <c r="O986" s="340"/>
      <c r="P986" s="340"/>
      <c r="Q986" s="340"/>
      <c r="R986" s="340"/>
      <c r="S986" s="340"/>
      <c r="T986" s="340"/>
      <c r="U986" s="340"/>
      <c r="V986" s="340"/>
      <c r="W986" s="340"/>
      <c r="X986" s="340"/>
      <c r="Y986" s="340"/>
      <c r="Z986" s="340"/>
      <c r="AA986" s="340"/>
      <c r="AB986" s="340"/>
      <c r="AC986" s="340"/>
      <c r="AD986" s="340"/>
      <c r="AE986" s="340"/>
      <c r="AF986" s="340"/>
      <c r="AG986" s="340"/>
      <c r="AH986" s="340"/>
      <c r="AI986" s="340"/>
      <c r="AJ986" s="340"/>
      <c r="AK986" s="340"/>
      <c r="AL986" s="340"/>
      <c r="AM986" s="340"/>
      <c r="AN986" s="340"/>
      <c r="AO986" s="340"/>
      <c r="AP986" s="340"/>
      <c r="AQ986" s="340"/>
      <c r="AR986" s="340"/>
      <c r="AS986" s="340"/>
      <c r="AT986" s="340"/>
      <c r="AU986" s="340"/>
      <c r="AV986" s="340"/>
      <c r="AW986" s="340"/>
      <c r="AX986" s="340"/>
      <c r="AY986" s="340"/>
      <c r="AZ986" s="340"/>
      <c r="BA986" s="340"/>
      <c r="BB986" s="340"/>
      <c r="BC986" s="340"/>
      <c r="BD986" s="340"/>
    </row>
    <row r="987" spans="3:56">
      <c r="C987" s="340"/>
      <c r="D987" s="340"/>
      <c r="E987" s="340"/>
      <c r="F987" s="340"/>
      <c r="G987" s="340"/>
      <c r="H987" s="340"/>
      <c r="I987" s="340"/>
      <c r="J987" s="340"/>
      <c r="K987" s="340"/>
      <c r="L987" s="340"/>
      <c r="M987" s="340"/>
      <c r="N987" s="340"/>
      <c r="O987" s="340"/>
      <c r="P987" s="340"/>
      <c r="Q987" s="340"/>
      <c r="R987" s="340"/>
      <c r="S987" s="340"/>
      <c r="T987" s="340"/>
      <c r="U987" s="340"/>
      <c r="V987" s="340"/>
      <c r="W987" s="340"/>
      <c r="X987" s="340"/>
      <c r="Y987" s="340"/>
      <c r="Z987" s="340"/>
      <c r="AA987" s="340"/>
      <c r="AB987" s="340"/>
      <c r="AC987" s="340"/>
      <c r="AD987" s="340"/>
      <c r="AE987" s="340"/>
      <c r="AF987" s="340"/>
      <c r="AG987" s="340"/>
      <c r="AH987" s="340"/>
      <c r="AI987" s="340"/>
      <c r="AJ987" s="340"/>
      <c r="AK987" s="340"/>
      <c r="AL987" s="340"/>
      <c r="AM987" s="340"/>
      <c r="AN987" s="340"/>
      <c r="AO987" s="340"/>
      <c r="AP987" s="340"/>
      <c r="AQ987" s="340"/>
      <c r="AR987" s="340"/>
      <c r="AS987" s="340"/>
      <c r="AT987" s="340"/>
      <c r="AU987" s="340"/>
      <c r="AV987" s="340"/>
      <c r="AW987" s="340"/>
      <c r="AX987" s="340"/>
      <c r="AY987" s="340"/>
      <c r="AZ987" s="340"/>
      <c r="BA987" s="340"/>
      <c r="BB987" s="340"/>
      <c r="BC987" s="340"/>
      <c r="BD987" s="340"/>
    </row>
    <row r="988" spans="3:56">
      <c r="C988" s="340"/>
      <c r="D988" s="340"/>
      <c r="E988" s="340"/>
      <c r="F988" s="340"/>
      <c r="G988" s="340"/>
      <c r="H988" s="340"/>
      <c r="I988" s="340"/>
      <c r="J988" s="340"/>
      <c r="K988" s="340"/>
      <c r="L988" s="340"/>
      <c r="M988" s="340"/>
      <c r="N988" s="340"/>
      <c r="O988" s="340"/>
      <c r="P988" s="340"/>
      <c r="Q988" s="340"/>
      <c r="R988" s="340"/>
      <c r="S988" s="340"/>
      <c r="T988" s="340"/>
      <c r="U988" s="340"/>
      <c r="V988" s="340"/>
      <c r="W988" s="340"/>
      <c r="X988" s="340"/>
      <c r="Y988" s="340"/>
      <c r="Z988" s="340"/>
      <c r="AA988" s="340"/>
      <c r="AB988" s="340"/>
      <c r="AC988" s="340"/>
      <c r="AD988" s="340"/>
      <c r="AE988" s="340"/>
      <c r="AF988" s="340"/>
      <c r="AG988" s="340"/>
      <c r="AH988" s="340"/>
      <c r="AI988" s="340"/>
      <c r="AJ988" s="340"/>
      <c r="AK988" s="340"/>
      <c r="AL988" s="340"/>
      <c r="AM988" s="340"/>
      <c r="AN988" s="340"/>
      <c r="AO988" s="340"/>
      <c r="AP988" s="340"/>
      <c r="AQ988" s="340"/>
      <c r="AR988" s="340"/>
      <c r="AS988" s="340"/>
      <c r="AT988" s="340"/>
      <c r="AU988" s="340"/>
      <c r="AV988" s="340"/>
      <c r="AW988" s="340"/>
      <c r="AX988" s="340"/>
      <c r="AY988" s="340"/>
      <c r="AZ988" s="340"/>
      <c r="BA988" s="340"/>
      <c r="BB988" s="340"/>
      <c r="BC988" s="340"/>
      <c r="BD988" s="340"/>
    </row>
    <row r="989" spans="3:56">
      <c r="C989" s="340"/>
      <c r="D989" s="340"/>
      <c r="E989" s="340"/>
      <c r="F989" s="340"/>
      <c r="G989" s="340"/>
      <c r="H989" s="340"/>
      <c r="I989" s="340"/>
      <c r="J989" s="340"/>
      <c r="K989" s="340"/>
      <c r="L989" s="340"/>
      <c r="M989" s="340"/>
      <c r="N989" s="340"/>
      <c r="O989" s="340"/>
      <c r="P989" s="340"/>
      <c r="Q989" s="340"/>
      <c r="R989" s="340"/>
      <c r="S989" s="340"/>
      <c r="T989" s="340"/>
      <c r="U989" s="340"/>
      <c r="V989" s="340"/>
      <c r="W989" s="340"/>
      <c r="X989" s="340"/>
      <c r="Y989" s="340"/>
      <c r="Z989" s="340"/>
      <c r="AA989" s="340"/>
      <c r="AB989" s="340"/>
      <c r="AC989" s="340"/>
      <c r="AD989" s="340"/>
      <c r="AE989" s="340"/>
      <c r="AF989" s="340"/>
      <c r="AG989" s="340"/>
      <c r="AH989" s="340"/>
      <c r="AI989" s="340"/>
      <c r="AJ989" s="340"/>
      <c r="AK989" s="340"/>
      <c r="AL989" s="340"/>
      <c r="AM989" s="340"/>
      <c r="AN989" s="340"/>
      <c r="AO989" s="340"/>
      <c r="AP989" s="340"/>
      <c r="AQ989" s="340"/>
      <c r="AR989" s="340"/>
      <c r="AS989" s="340"/>
      <c r="AT989" s="340"/>
      <c r="AU989" s="340"/>
      <c r="AV989" s="340"/>
      <c r="AW989" s="340"/>
      <c r="AX989" s="340"/>
      <c r="AY989" s="340"/>
      <c r="AZ989" s="340"/>
      <c r="BA989" s="340"/>
      <c r="BB989" s="340"/>
      <c r="BC989" s="340"/>
      <c r="BD989" s="340"/>
    </row>
    <row r="990" spans="3:56">
      <c r="C990" s="340"/>
      <c r="D990" s="340"/>
      <c r="E990" s="340"/>
      <c r="F990" s="340"/>
      <c r="G990" s="340"/>
      <c r="H990" s="340"/>
      <c r="I990" s="340"/>
      <c r="J990" s="340"/>
      <c r="K990" s="340"/>
      <c r="L990" s="340"/>
      <c r="M990" s="340"/>
      <c r="N990" s="340"/>
      <c r="O990" s="340"/>
      <c r="P990" s="340"/>
      <c r="Q990" s="340"/>
      <c r="R990" s="340"/>
      <c r="S990" s="340"/>
      <c r="T990" s="340"/>
      <c r="U990" s="340"/>
      <c r="V990" s="340"/>
      <c r="W990" s="340"/>
      <c r="X990" s="340"/>
      <c r="Y990" s="340"/>
      <c r="Z990" s="340"/>
      <c r="AA990" s="340"/>
      <c r="AB990" s="340"/>
      <c r="AC990" s="340"/>
      <c r="AD990" s="340"/>
      <c r="AE990" s="340"/>
      <c r="AF990" s="340"/>
      <c r="AG990" s="340"/>
      <c r="AH990" s="340"/>
      <c r="AI990" s="340"/>
      <c r="AJ990" s="340"/>
      <c r="AK990" s="340"/>
      <c r="AL990" s="340"/>
      <c r="AM990" s="340"/>
      <c r="AN990" s="340"/>
      <c r="AO990" s="340"/>
      <c r="AP990" s="340"/>
      <c r="AQ990" s="340"/>
      <c r="AR990" s="340"/>
      <c r="AS990" s="340"/>
      <c r="AT990" s="340"/>
      <c r="AU990" s="340"/>
      <c r="AV990" s="340"/>
      <c r="AW990" s="340"/>
      <c r="AX990" s="340"/>
      <c r="AY990" s="340"/>
      <c r="AZ990" s="340"/>
      <c r="BA990" s="340"/>
      <c r="BB990" s="340"/>
      <c r="BC990" s="340"/>
      <c r="BD990" s="340"/>
    </row>
    <row r="991" spans="3:56">
      <c r="C991" s="340"/>
      <c r="D991" s="340"/>
      <c r="E991" s="340"/>
      <c r="F991" s="340"/>
      <c r="G991" s="340"/>
      <c r="H991" s="340"/>
      <c r="I991" s="340"/>
      <c r="J991" s="340"/>
      <c r="K991" s="340"/>
      <c r="L991" s="340"/>
      <c r="M991" s="340"/>
      <c r="N991" s="340"/>
      <c r="O991" s="340"/>
      <c r="P991" s="340"/>
      <c r="Q991" s="340"/>
      <c r="R991" s="340"/>
      <c r="S991" s="340"/>
      <c r="T991" s="340"/>
      <c r="U991" s="340"/>
      <c r="V991" s="340"/>
      <c r="W991" s="340"/>
      <c r="X991" s="340"/>
      <c r="Y991" s="340"/>
      <c r="Z991" s="340"/>
      <c r="AA991" s="340"/>
      <c r="AB991" s="340"/>
      <c r="AC991" s="340"/>
      <c r="AD991" s="340"/>
      <c r="AE991" s="340"/>
      <c r="AF991" s="340"/>
      <c r="AG991" s="340"/>
      <c r="AH991" s="340"/>
      <c r="AI991" s="340"/>
      <c r="AJ991" s="340"/>
      <c r="AK991" s="340"/>
      <c r="AL991" s="340"/>
      <c r="AM991" s="340"/>
      <c r="AN991" s="340"/>
      <c r="AO991" s="340"/>
      <c r="AP991" s="340"/>
      <c r="AQ991" s="340"/>
      <c r="AR991" s="340"/>
      <c r="AS991" s="340"/>
      <c r="AT991" s="340"/>
      <c r="AU991" s="340"/>
      <c r="AV991" s="340"/>
      <c r="AW991" s="340"/>
      <c r="AX991" s="340"/>
      <c r="AY991" s="340"/>
      <c r="AZ991" s="340"/>
      <c r="BA991" s="340"/>
      <c r="BB991" s="340"/>
      <c r="BC991" s="340"/>
      <c r="BD991" s="340"/>
    </row>
    <row r="992" spans="3:56">
      <c r="C992" s="340"/>
      <c r="D992" s="340"/>
      <c r="E992" s="340"/>
      <c r="F992" s="340"/>
      <c r="G992" s="340"/>
      <c r="H992" s="340"/>
      <c r="I992" s="340"/>
      <c r="J992" s="340"/>
      <c r="K992" s="340"/>
      <c r="L992" s="340"/>
      <c r="M992" s="340"/>
      <c r="N992" s="340"/>
      <c r="O992" s="340"/>
      <c r="P992" s="340"/>
      <c r="Q992" s="340"/>
      <c r="R992" s="340"/>
      <c r="S992" s="340"/>
      <c r="T992" s="340"/>
      <c r="U992" s="340"/>
      <c r="V992" s="340"/>
      <c r="W992" s="340"/>
      <c r="X992" s="340"/>
      <c r="Y992" s="340"/>
      <c r="Z992" s="340"/>
      <c r="AA992" s="340"/>
      <c r="AB992" s="340"/>
      <c r="AC992" s="340"/>
      <c r="AD992" s="340"/>
      <c r="AE992" s="340"/>
      <c r="AF992" s="340"/>
      <c r="AG992" s="340"/>
      <c r="AH992" s="340"/>
      <c r="AI992" s="340"/>
      <c r="AJ992" s="340"/>
      <c r="AK992" s="340"/>
      <c r="AL992" s="340"/>
      <c r="AM992" s="340"/>
      <c r="AN992" s="340"/>
      <c r="AO992" s="340"/>
      <c r="AP992" s="340"/>
      <c r="AQ992" s="340"/>
      <c r="AR992" s="340"/>
      <c r="AS992" s="340"/>
      <c r="AT992" s="340"/>
      <c r="AU992" s="340"/>
      <c r="AV992" s="340"/>
      <c r="AW992" s="340"/>
      <c r="AX992" s="340"/>
      <c r="AY992" s="340"/>
      <c r="AZ992" s="340"/>
      <c r="BA992" s="340"/>
      <c r="BB992" s="340"/>
      <c r="BC992" s="340"/>
      <c r="BD992" s="340"/>
    </row>
    <row r="993" spans="3:56">
      <c r="C993" s="340"/>
      <c r="D993" s="340"/>
      <c r="E993" s="340"/>
      <c r="F993" s="340"/>
      <c r="G993" s="340"/>
      <c r="H993" s="340"/>
      <c r="I993" s="340"/>
      <c r="J993" s="340"/>
      <c r="K993" s="340"/>
      <c r="L993" s="340"/>
      <c r="M993" s="340"/>
      <c r="N993" s="340"/>
      <c r="O993" s="340"/>
      <c r="P993" s="340"/>
      <c r="Q993" s="340"/>
      <c r="R993" s="340"/>
      <c r="S993" s="340"/>
      <c r="T993" s="340"/>
      <c r="U993" s="340"/>
      <c r="V993" s="340"/>
      <c r="W993" s="340"/>
      <c r="X993" s="340"/>
      <c r="Y993" s="340"/>
      <c r="Z993" s="340"/>
      <c r="AA993" s="340"/>
      <c r="AB993" s="340"/>
      <c r="AC993" s="340"/>
      <c r="AD993" s="340"/>
      <c r="AE993" s="340"/>
      <c r="AF993" s="340"/>
      <c r="AG993" s="340"/>
      <c r="AH993" s="340"/>
      <c r="AI993" s="340"/>
      <c r="AJ993" s="340"/>
      <c r="AK993" s="340"/>
      <c r="AL993" s="340"/>
      <c r="AM993" s="340"/>
      <c r="AN993" s="340"/>
      <c r="AO993" s="340"/>
      <c r="AP993" s="340"/>
      <c r="AQ993" s="340"/>
      <c r="AR993" s="340"/>
      <c r="AS993" s="340"/>
      <c r="AT993" s="340"/>
      <c r="AU993" s="340"/>
      <c r="AV993" s="340"/>
      <c r="AW993" s="340"/>
      <c r="AX993" s="340"/>
      <c r="AY993" s="340"/>
      <c r="AZ993" s="340"/>
      <c r="BA993" s="340"/>
      <c r="BB993" s="340"/>
      <c r="BC993" s="340"/>
      <c r="BD993" s="340"/>
    </row>
    <row r="994" spans="3:56">
      <c r="C994" s="340"/>
      <c r="D994" s="340"/>
      <c r="E994" s="340"/>
      <c r="F994" s="340"/>
      <c r="G994" s="340"/>
      <c r="H994" s="340"/>
      <c r="I994" s="340"/>
      <c r="J994" s="340"/>
      <c r="K994" s="340"/>
      <c r="L994" s="340"/>
      <c r="M994" s="340"/>
      <c r="N994" s="340"/>
      <c r="O994" s="340"/>
      <c r="P994" s="340"/>
      <c r="Q994" s="340"/>
      <c r="R994" s="340"/>
      <c r="S994" s="340"/>
      <c r="T994" s="340"/>
      <c r="U994" s="340"/>
      <c r="V994" s="340"/>
      <c r="W994" s="340"/>
      <c r="X994" s="340"/>
      <c r="Y994" s="340"/>
      <c r="Z994" s="340"/>
      <c r="AA994" s="340"/>
      <c r="AB994" s="340"/>
      <c r="AC994" s="340"/>
      <c r="AD994" s="340"/>
      <c r="AE994" s="340"/>
      <c r="AF994" s="340"/>
      <c r="AG994" s="340"/>
      <c r="AH994" s="340"/>
      <c r="AI994" s="340"/>
      <c r="AJ994" s="340"/>
      <c r="AK994" s="340"/>
      <c r="AL994" s="340"/>
      <c r="AM994" s="340"/>
      <c r="AN994" s="340"/>
      <c r="AO994" s="340"/>
      <c r="AP994" s="340"/>
      <c r="AQ994" s="340"/>
      <c r="AR994" s="340"/>
      <c r="AS994" s="340"/>
      <c r="AT994" s="340"/>
      <c r="AU994" s="340"/>
      <c r="AV994" s="340"/>
      <c r="AW994" s="340"/>
      <c r="AX994" s="340"/>
      <c r="AY994" s="340"/>
      <c r="AZ994" s="340"/>
      <c r="BA994" s="340"/>
      <c r="BB994" s="340"/>
      <c r="BC994" s="340"/>
      <c r="BD994" s="340"/>
    </row>
    <row r="995" spans="3:56">
      <c r="C995" s="340"/>
      <c r="D995" s="340"/>
      <c r="E995" s="340"/>
      <c r="F995" s="340"/>
      <c r="G995" s="340"/>
      <c r="H995" s="340"/>
      <c r="I995" s="340"/>
      <c r="J995" s="340"/>
      <c r="K995" s="340"/>
      <c r="L995" s="340"/>
      <c r="M995" s="340"/>
      <c r="N995" s="340"/>
      <c r="O995" s="340"/>
      <c r="P995" s="340"/>
      <c r="Q995" s="340"/>
      <c r="R995" s="340"/>
      <c r="S995" s="340"/>
      <c r="T995" s="340"/>
      <c r="U995" s="340"/>
      <c r="V995" s="340"/>
      <c r="W995" s="340"/>
      <c r="X995" s="340"/>
      <c r="Y995" s="340"/>
      <c r="Z995" s="340"/>
      <c r="AA995" s="340"/>
      <c r="AB995" s="340"/>
      <c r="AC995" s="340"/>
      <c r="AD995" s="340"/>
      <c r="AE995" s="340"/>
      <c r="AF995" s="340"/>
      <c r="AG995" s="340"/>
      <c r="AH995" s="340"/>
      <c r="AI995" s="340"/>
      <c r="AJ995" s="340"/>
      <c r="AK995" s="340"/>
      <c r="AL995" s="340"/>
      <c r="AM995" s="340"/>
      <c r="AN995" s="340"/>
      <c r="AO995" s="340"/>
      <c r="AP995" s="340"/>
      <c r="AQ995" s="340"/>
      <c r="AR995" s="340"/>
      <c r="AS995" s="340"/>
      <c r="AT995" s="340"/>
      <c r="AU995" s="340"/>
      <c r="AV995" s="340"/>
      <c r="AW995" s="340"/>
      <c r="AX995" s="340"/>
      <c r="AY995" s="340"/>
      <c r="AZ995" s="340"/>
      <c r="BA995" s="340"/>
      <c r="BB995" s="340"/>
      <c r="BC995" s="340"/>
      <c r="BD995" s="340"/>
    </row>
    <row r="996" spans="3:56">
      <c r="C996" s="340"/>
      <c r="D996" s="340"/>
      <c r="E996" s="340"/>
      <c r="F996" s="340"/>
      <c r="G996" s="340"/>
      <c r="H996" s="340"/>
      <c r="I996" s="340"/>
      <c r="J996" s="340"/>
      <c r="K996" s="340"/>
      <c r="L996" s="340"/>
      <c r="M996" s="340"/>
      <c r="N996" s="340"/>
      <c r="O996" s="340"/>
      <c r="P996" s="340"/>
      <c r="Q996" s="340"/>
      <c r="R996" s="340"/>
      <c r="S996" s="340"/>
      <c r="T996" s="340"/>
      <c r="U996" s="340"/>
      <c r="V996" s="340"/>
      <c r="W996" s="340"/>
      <c r="X996" s="340"/>
      <c r="Y996" s="340"/>
      <c r="Z996" s="340"/>
      <c r="AA996" s="340"/>
      <c r="AB996" s="340"/>
      <c r="AC996" s="340"/>
      <c r="AD996" s="340"/>
      <c r="AE996" s="340"/>
      <c r="AF996" s="340"/>
      <c r="AG996" s="340"/>
      <c r="AH996" s="340"/>
      <c r="AI996" s="340"/>
      <c r="AJ996" s="340"/>
      <c r="AK996" s="340"/>
      <c r="AL996" s="340"/>
      <c r="AM996" s="340"/>
      <c r="AN996" s="340"/>
      <c r="AO996" s="340"/>
      <c r="AP996" s="340"/>
      <c r="AQ996" s="340"/>
      <c r="AR996" s="340"/>
      <c r="AS996" s="340"/>
      <c r="AT996" s="340"/>
      <c r="AU996" s="340"/>
      <c r="AV996" s="340"/>
      <c r="AW996" s="340"/>
      <c r="AX996" s="340"/>
      <c r="AY996" s="340"/>
      <c r="AZ996" s="340"/>
      <c r="BA996" s="340"/>
      <c r="BB996" s="340"/>
      <c r="BC996" s="340"/>
      <c r="BD996" s="340"/>
    </row>
    <row r="997" spans="3:56">
      <c r="C997" s="340"/>
      <c r="D997" s="340"/>
      <c r="E997" s="340"/>
      <c r="F997" s="340"/>
      <c r="G997" s="340"/>
      <c r="H997" s="340"/>
      <c r="I997" s="340"/>
      <c r="J997" s="340"/>
      <c r="K997" s="340"/>
      <c r="L997" s="340"/>
      <c r="M997" s="340"/>
      <c r="N997" s="340"/>
      <c r="O997" s="340"/>
      <c r="P997" s="340"/>
      <c r="Q997" s="340"/>
      <c r="R997" s="340"/>
      <c r="S997" s="340"/>
      <c r="T997" s="340"/>
      <c r="U997" s="340"/>
      <c r="V997" s="340"/>
      <c r="W997" s="340"/>
      <c r="X997" s="340"/>
      <c r="Y997" s="340"/>
      <c r="Z997" s="340"/>
      <c r="AA997" s="340"/>
      <c r="AB997" s="340"/>
      <c r="AC997" s="340"/>
      <c r="AD997" s="340"/>
      <c r="AE997" s="340"/>
      <c r="AF997" s="340"/>
      <c r="AG997" s="340"/>
      <c r="AH997" s="340"/>
      <c r="AI997" s="340"/>
      <c r="AJ997" s="340"/>
      <c r="AK997" s="340"/>
      <c r="AL997" s="340"/>
      <c r="AM997" s="340"/>
      <c r="AN997" s="340"/>
      <c r="AO997" s="340"/>
      <c r="AP997" s="340"/>
      <c r="AQ997" s="340"/>
      <c r="AR997" s="340"/>
      <c r="AS997" s="340"/>
      <c r="AT997" s="340"/>
      <c r="AU997" s="340"/>
      <c r="AV997" s="340"/>
      <c r="AW997" s="340"/>
      <c r="AX997" s="340"/>
      <c r="AY997" s="340"/>
      <c r="AZ997" s="340"/>
      <c r="BA997" s="340"/>
      <c r="BB997" s="340"/>
      <c r="BC997" s="340"/>
      <c r="BD997" s="340"/>
    </row>
    <row r="998" spans="3:56">
      <c r="C998" s="340"/>
      <c r="D998" s="340"/>
      <c r="E998" s="340"/>
      <c r="F998" s="340"/>
      <c r="G998" s="340"/>
      <c r="H998" s="340"/>
      <c r="I998" s="340"/>
      <c r="J998" s="340"/>
      <c r="K998" s="340"/>
      <c r="L998" s="340"/>
      <c r="M998" s="340"/>
      <c r="N998" s="340"/>
      <c r="O998" s="340"/>
      <c r="P998" s="340"/>
      <c r="Q998" s="340"/>
      <c r="R998" s="340"/>
      <c r="S998" s="340"/>
      <c r="T998" s="340"/>
      <c r="U998" s="340"/>
      <c r="V998" s="340"/>
      <c r="W998" s="340"/>
      <c r="X998" s="340"/>
      <c r="Y998" s="340"/>
      <c r="Z998" s="340"/>
      <c r="AA998" s="340"/>
      <c r="AB998" s="340"/>
      <c r="AC998" s="340"/>
      <c r="AD998" s="340"/>
      <c r="AE998" s="340"/>
      <c r="AF998" s="340"/>
      <c r="AG998" s="340"/>
      <c r="AH998" s="340"/>
      <c r="AI998" s="340"/>
      <c r="AJ998" s="340"/>
      <c r="AK998" s="340"/>
      <c r="AL998" s="340"/>
      <c r="AM998" s="340"/>
      <c r="AN998" s="340"/>
      <c r="AO998" s="340"/>
      <c r="AP998" s="340"/>
      <c r="AQ998" s="340"/>
      <c r="AR998" s="340"/>
      <c r="AS998" s="340"/>
      <c r="AT998" s="340"/>
      <c r="AU998" s="340"/>
      <c r="AV998" s="340"/>
      <c r="AW998" s="340"/>
      <c r="AX998" s="340"/>
      <c r="AY998" s="340"/>
      <c r="AZ998" s="340"/>
      <c r="BA998" s="340"/>
      <c r="BB998" s="340"/>
      <c r="BC998" s="340"/>
      <c r="BD998" s="340"/>
    </row>
    <row r="999" spans="3:56">
      <c r="C999" s="340"/>
      <c r="D999" s="340"/>
      <c r="E999" s="340"/>
      <c r="F999" s="340"/>
      <c r="G999" s="340"/>
      <c r="H999" s="340"/>
      <c r="I999" s="340"/>
      <c r="J999" s="340"/>
      <c r="K999" s="340"/>
      <c r="L999" s="340"/>
      <c r="M999" s="340"/>
      <c r="N999" s="340"/>
      <c r="O999" s="340"/>
      <c r="P999" s="340"/>
      <c r="Q999" s="340"/>
      <c r="R999" s="340"/>
      <c r="S999" s="340"/>
      <c r="T999" s="340"/>
      <c r="U999" s="340"/>
      <c r="V999" s="340"/>
      <c r="W999" s="340"/>
      <c r="X999" s="340"/>
      <c r="Y999" s="340"/>
      <c r="Z999" s="340"/>
      <c r="AA999" s="340"/>
      <c r="AB999" s="340"/>
      <c r="AC999" s="340"/>
      <c r="AD999" s="340"/>
      <c r="AE999" s="340"/>
      <c r="AF999" s="340"/>
      <c r="AG999" s="340"/>
      <c r="AH999" s="340"/>
      <c r="AI999" s="340"/>
      <c r="AJ999" s="340"/>
      <c r="AK999" s="340"/>
      <c r="AL999" s="340"/>
      <c r="AM999" s="340"/>
      <c r="AN999" s="340"/>
      <c r="AO999" s="340"/>
      <c r="AP999" s="340"/>
      <c r="AQ999" s="340"/>
      <c r="AR999" s="340"/>
      <c r="AS999" s="340"/>
      <c r="AT999" s="340"/>
      <c r="AU999" s="340"/>
      <c r="AV999" s="340"/>
      <c r="AW999" s="340"/>
      <c r="AX999" s="340"/>
      <c r="AY999" s="340"/>
      <c r="AZ999" s="340"/>
      <c r="BA999" s="340"/>
      <c r="BB999" s="340"/>
      <c r="BC999" s="340"/>
      <c r="BD999" s="340"/>
    </row>
    <row r="1000" spans="3:56">
      <c r="C1000" s="340"/>
      <c r="D1000" s="340"/>
      <c r="E1000" s="340"/>
      <c r="F1000" s="340"/>
      <c r="G1000" s="340"/>
      <c r="H1000" s="340"/>
      <c r="I1000" s="340"/>
      <c r="J1000" s="340"/>
      <c r="K1000" s="340"/>
      <c r="L1000" s="340"/>
      <c r="M1000" s="340"/>
      <c r="N1000" s="340"/>
      <c r="O1000" s="340"/>
      <c r="P1000" s="340"/>
      <c r="Q1000" s="340"/>
      <c r="R1000" s="340"/>
      <c r="S1000" s="340"/>
      <c r="T1000" s="340"/>
      <c r="U1000" s="340"/>
      <c r="V1000" s="340"/>
      <c r="W1000" s="340"/>
      <c r="X1000" s="340"/>
      <c r="Y1000" s="340"/>
      <c r="Z1000" s="340"/>
      <c r="AA1000" s="340"/>
      <c r="AB1000" s="340"/>
      <c r="AC1000" s="340"/>
      <c r="AD1000" s="340"/>
      <c r="AE1000" s="340"/>
      <c r="AF1000" s="340"/>
      <c r="AG1000" s="340"/>
      <c r="AH1000" s="340"/>
      <c r="AI1000" s="340"/>
      <c r="AJ1000" s="340"/>
      <c r="AK1000" s="340"/>
      <c r="AL1000" s="340"/>
      <c r="AM1000" s="340"/>
      <c r="AN1000" s="340"/>
      <c r="AO1000" s="340"/>
      <c r="AP1000" s="340"/>
      <c r="AQ1000" s="340"/>
      <c r="AR1000" s="340"/>
      <c r="AS1000" s="340"/>
      <c r="AT1000" s="340"/>
      <c r="AU1000" s="340"/>
      <c r="AV1000" s="340"/>
      <c r="AW1000" s="340"/>
      <c r="AX1000" s="340"/>
      <c r="AY1000" s="340"/>
      <c r="AZ1000" s="340"/>
      <c r="BA1000" s="340"/>
      <c r="BB1000" s="340"/>
      <c r="BC1000" s="340"/>
      <c r="BD1000" s="340"/>
    </row>
    <row r="1001" spans="3:56">
      <c r="C1001" s="340"/>
      <c r="D1001" s="340"/>
      <c r="E1001" s="340"/>
      <c r="F1001" s="340"/>
      <c r="G1001" s="340"/>
      <c r="H1001" s="340"/>
      <c r="I1001" s="340"/>
      <c r="J1001" s="340"/>
      <c r="K1001" s="340"/>
      <c r="L1001" s="340"/>
      <c r="M1001" s="340"/>
      <c r="N1001" s="340"/>
      <c r="O1001" s="340"/>
      <c r="P1001" s="340"/>
      <c r="Q1001" s="340"/>
      <c r="R1001" s="340"/>
      <c r="S1001" s="340"/>
      <c r="T1001" s="340"/>
      <c r="U1001" s="340"/>
      <c r="V1001" s="340"/>
      <c r="W1001" s="340"/>
      <c r="X1001" s="340"/>
      <c r="Y1001" s="340"/>
      <c r="Z1001" s="340"/>
      <c r="AA1001" s="340"/>
      <c r="AB1001" s="340"/>
      <c r="AC1001" s="340"/>
      <c r="AD1001" s="340"/>
      <c r="AE1001" s="340"/>
      <c r="AF1001" s="340"/>
      <c r="AG1001" s="340"/>
      <c r="AH1001" s="340"/>
      <c r="AI1001" s="340"/>
      <c r="AJ1001" s="340"/>
      <c r="AK1001" s="340"/>
      <c r="AL1001" s="340"/>
      <c r="AM1001" s="340"/>
      <c r="AN1001" s="340"/>
      <c r="AO1001" s="340"/>
      <c r="AP1001" s="340"/>
      <c r="AQ1001" s="340"/>
      <c r="AR1001" s="340"/>
      <c r="AS1001" s="340"/>
      <c r="AT1001" s="340"/>
      <c r="AU1001" s="340"/>
      <c r="AV1001" s="340"/>
      <c r="AW1001" s="340"/>
      <c r="AX1001" s="340"/>
      <c r="AY1001" s="340"/>
      <c r="AZ1001" s="340"/>
      <c r="BA1001" s="340"/>
      <c r="BB1001" s="340"/>
      <c r="BC1001" s="340"/>
      <c r="BD1001" s="340"/>
    </row>
    <row r="1002" spans="3:56">
      <c r="C1002" s="340"/>
      <c r="D1002" s="340"/>
      <c r="E1002" s="340"/>
      <c r="F1002" s="340"/>
      <c r="G1002" s="340"/>
      <c r="H1002" s="340"/>
      <c r="I1002" s="340"/>
      <c r="J1002" s="340"/>
      <c r="K1002" s="340"/>
      <c r="L1002" s="340"/>
      <c r="M1002" s="340"/>
      <c r="N1002" s="340"/>
      <c r="O1002" s="340"/>
      <c r="P1002" s="340"/>
      <c r="Q1002" s="340"/>
      <c r="R1002" s="340"/>
      <c r="S1002" s="340"/>
      <c r="T1002" s="340"/>
      <c r="U1002" s="340"/>
      <c r="V1002" s="340"/>
      <c r="W1002" s="340"/>
      <c r="X1002" s="340"/>
      <c r="Y1002" s="340"/>
      <c r="Z1002" s="340"/>
      <c r="AA1002" s="340"/>
      <c r="AB1002" s="340"/>
      <c r="AC1002" s="340"/>
      <c r="AD1002" s="340"/>
      <c r="AE1002" s="340"/>
      <c r="AF1002" s="340"/>
      <c r="AG1002" s="340"/>
      <c r="AH1002" s="340"/>
      <c r="AI1002" s="340"/>
      <c r="AJ1002" s="340"/>
      <c r="AK1002" s="340"/>
      <c r="AL1002" s="340"/>
      <c r="AM1002" s="340"/>
      <c r="AN1002" s="340"/>
      <c r="AO1002" s="340"/>
      <c r="AP1002" s="340"/>
      <c r="AQ1002" s="340"/>
      <c r="AR1002" s="340"/>
      <c r="AS1002" s="340"/>
      <c r="AT1002" s="340"/>
      <c r="AU1002" s="340"/>
      <c r="AV1002" s="340"/>
      <c r="AW1002" s="340"/>
      <c r="AX1002" s="340"/>
      <c r="AY1002" s="340"/>
      <c r="AZ1002" s="340"/>
      <c r="BA1002" s="340"/>
      <c r="BB1002" s="340"/>
      <c r="BC1002" s="340"/>
      <c r="BD1002" s="340"/>
    </row>
    <row r="1003" spans="3:56">
      <c r="C1003" s="340"/>
      <c r="D1003" s="340"/>
      <c r="E1003" s="340"/>
      <c r="F1003" s="340"/>
      <c r="G1003" s="340"/>
      <c r="H1003" s="340"/>
      <c r="I1003" s="340"/>
      <c r="J1003" s="340"/>
      <c r="K1003" s="340"/>
      <c r="L1003" s="340"/>
      <c r="M1003" s="340"/>
      <c r="N1003" s="340"/>
      <c r="O1003" s="340"/>
      <c r="P1003" s="340"/>
      <c r="Q1003" s="340"/>
      <c r="R1003" s="340"/>
      <c r="S1003" s="340"/>
      <c r="T1003" s="340"/>
      <c r="U1003" s="340"/>
      <c r="V1003" s="340"/>
      <c r="W1003" s="340"/>
      <c r="X1003" s="340"/>
      <c r="Y1003" s="340"/>
      <c r="Z1003" s="340"/>
      <c r="AA1003" s="340"/>
      <c r="AB1003" s="340"/>
      <c r="AC1003" s="340"/>
      <c r="AD1003" s="340"/>
      <c r="AE1003" s="340"/>
      <c r="AF1003" s="340"/>
      <c r="AG1003" s="340"/>
      <c r="AH1003" s="340"/>
      <c r="AI1003" s="340"/>
      <c r="AJ1003" s="340"/>
      <c r="AK1003" s="340"/>
      <c r="AL1003" s="340"/>
      <c r="AM1003" s="340"/>
      <c r="AN1003" s="340"/>
      <c r="AO1003" s="340"/>
      <c r="AP1003" s="340"/>
      <c r="AQ1003" s="340"/>
      <c r="AR1003" s="340"/>
      <c r="AS1003" s="340"/>
      <c r="AT1003" s="340"/>
      <c r="AU1003" s="340"/>
      <c r="AV1003" s="340"/>
      <c r="AW1003" s="340"/>
      <c r="AX1003" s="340"/>
      <c r="AY1003" s="340"/>
      <c r="AZ1003" s="340"/>
      <c r="BA1003" s="340"/>
      <c r="BB1003" s="340"/>
      <c r="BC1003" s="340"/>
      <c r="BD1003" s="340"/>
    </row>
    <row r="1004" spans="3:56">
      <c r="C1004" s="340"/>
      <c r="D1004" s="340"/>
      <c r="E1004" s="340"/>
      <c r="F1004" s="340"/>
      <c r="G1004" s="340"/>
      <c r="H1004" s="340"/>
      <c r="I1004" s="340"/>
      <c r="J1004" s="340"/>
      <c r="K1004" s="340"/>
      <c r="L1004" s="340"/>
      <c r="M1004" s="340"/>
      <c r="N1004" s="340"/>
      <c r="O1004" s="340"/>
      <c r="P1004" s="340"/>
      <c r="Q1004" s="340"/>
      <c r="R1004" s="340"/>
      <c r="S1004" s="340"/>
      <c r="T1004" s="340"/>
      <c r="U1004" s="340"/>
      <c r="V1004" s="340"/>
      <c r="W1004" s="340"/>
      <c r="X1004" s="340"/>
      <c r="Y1004" s="340"/>
      <c r="Z1004" s="340"/>
      <c r="AA1004" s="340"/>
      <c r="AB1004" s="340"/>
      <c r="AC1004" s="340"/>
      <c r="AD1004" s="340"/>
      <c r="AE1004" s="340"/>
      <c r="AF1004" s="340"/>
      <c r="AG1004" s="340"/>
      <c r="AH1004" s="340"/>
      <c r="AI1004" s="340"/>
      <c r="AJ1004" s="340"/>
      <c r="AK1004" s="340"/>
      <c r="AL1004" s="340"/>
      <c r="AM1004" s="340"/>
      <c r="AN1004" s="340"/>
      <c r="AO1004" s="340"/>
      <c r="AP1004" s="340"/>
      <c r="AQ1004" s="340"/>
      <c r="AR1004" s="340"/>
      <c r="AS1004" s="340"/>
      <c r="AT1004" s="340"/>
      <c r="AU1004" s="340"/>
      <c r="AV1004" s="340"/>
      <c r="AW1004" s="340"/>
      <c r="AX1004" s="340"/>
      <c r="AY1004" s="340"/>
      <c r="AZ1004" s="340"/>
      <c r="BA1004" s="340"/>
      <c r="BB1004" s="340"/>
      <c r="BC1004" s="340"/>
      <c r="BD1004" s="340"/>
    </row>
    <row r="1005" spans="3:56">
      <c r="C1005" s="340"/>
      <c r="D1005" s="340"/>
      <c r="E1005" s="340"/>
      <c r="F1005" s="340"/>
      <c r="G1005" s="340"/>
      <c r="H1005" s="340"/>
      <c r="I1005" s="340"/>
      <c r="J1005" s="340"/>
      <c r="K1005" s="340"/>
      <c r="L1005" s="340"/>
      <c r="M1005" s="340"/>
      <c r="N1005" s="340"/>
      <c r="O1005" s="340"/>
      <c r="P1005" s="340"/>
      <c r="Q1005" s="340"/>
      <c r="R1005" s="340"/>
      <c r="S1005" s="340"/>
      <c r="T1005" s="340"/>
      <c r="U1005" s="340"/>
      <c r="V1005" s="340"/>
      <c r="W1005" s="340"/>
      <c r="X1005" s="340"/>
      <c r="Y1005" s="340"/>
      <c r="Z1005" s="340"/>
      <c r="AA1005" s="340"/>
      <c r="AB1005" s="340"/>
      <c r="AC1005" s="340"/>
      <c r="AD1005" s="340"/>
      <c r="AE1005" s="340"/>
      <c r="AF1005" s="340"/>
      <c r="AG1005" s="340"/>
      <c r="AH1005" s="340"/>
      <c r="AI1005" s="340"/>
      <c r="AJ1005" s="340"/>
      <c r="AK1005" s="340"/>
      <c r="AL1005" s="340"/>
      <c r="AM1005" s="340"/>
      <c r="AN1005" s="340"/>
      <c r="AO1005" s="340"/>
      <c r="AP1005" s="340"/>
      <c r="AQ1005" s="340"/>
      <c r="AR1005" s="340"/>
      <c r="AS1005" s="340"/>
      <c r="AT1005" s="340"/>
      <c r="AU1005" s="340"/>
      <c r="AV1005" s="340"/>
      <c r="AW1005" s="340"/>
      <c r="AX1005" s="340"/>
      <c r="AY1005" s="340"/>
      <c r="AZ1005" s="340"/>
      <c r="BA1005" s="340"/>
      <c r="BB1005" s="340"/>
      <c r="BC1005" s="340"/>
      <c r="BD1005" s="340"/>
    </row>
    <row r="1006" spans="3:56">
      <c r="C1006" s="340"/>
      <c r="D1006" s="340"/>
      <c r="E1006" s="340"/>
      <c r="F1006" s="340"/>
      <c r="G1006" s="340"/>
      <c r="H1006" s="340"/>
      <c r="I1006" s="340"/>
      <c r="J1006" s="340"/>
      <c r="K1006" s="340"/>
      <c r="L1006" s="340"/>
      <c r="M1006" s="340"/>
      <c r="N1006" s="340"/>
      <c r="O1006" s="340"/>
      <c r="P1006" s="340"/>
      <c r="Q1006" s="340"/>
      <c r="R1006" s="340"/>
      <c r="S1006" s="340"/>
      <c r="T1006" s="340"/>
      <c r="U1006" s="340"/>
      <c r="V1006" s="340"/>
      <c r="W1006" s="340"/>
      <c r="X1006" s="340"/>
      <c r="Y1006" s="340"/>
      <c r="Z1006" s="340"/>
      <c r="AA1006" s="340"/>
      <c r="AB1006" s="340"/>
      <c r="AC1006" s="340"/>
      <c r="AD1006" s="340"/>
      <c r="AE1006" s="340"/>
      <c r="AF1006" s="340"/>
      <c r="AG1006" s="340"/>
      <c r="AH1006" s="340"/>
      <c r="AI1006" s="340"/>
      <c r="AJ1006" s="340"/>
      <c r="AK1006" s="340"/>
      <c r="AL1006" s="340"/>
      <c r="AM1006" s="340"/>
      <c r="AN1006" s="340"/>
      <c r="AO1006" s="340"/>
      <c r="AP1006" s="340"/>
      <c r="AQ1006" s="340"/>
      <c r="AR1006" s="340"/>
      <c r="AS1006" s="340"/>
      <c r="AT1006" s="340"/>
      <c r="AU1006" s="340"/>
      <c r="AV1006" s="340"/>
      <c r="AW1006" s="340"/>
      <c r="AX1006" s="340"/>
      <c r="AY1006" s="340"/>
      <c r="AZ1006" s="340"/>
      <c r="BA1006" s="340"/>
      <c r="BB1006" s="340"/>
      <c r="BC1006" s="340"/>
      <c r="BD1006" s="340"/>
    </row>
    <row r="1007" spans="3:56">
      <c r="C1007" s="340"/>
      <c r="D1007" s="340"/>
      <c r="E1007" s="340"/>
      <c r="F1007" s="340"/>
      <c r="G1007" s="340"/>
      <c r="H1007" s="340"/>
      <c r="I1007" s="340"/>
      <c r="J1007" s="340"/>
      <c r="K1007" s="340"/>
      <c r="L1007" s="340"/>
      <c r="M1007" s="340"/>
      <c r="N1007" s="340"/>
      <c r="O1007" s="340"/>
      <c r="P1007" s="340"/>
      <c r="Q1007" s="340"/>
      <c r="R1007" s="340"/>
      <c r="S1007" s="340"/>
      <c r="T1007" s="340"/>
      <c r="U1007" s="340"/>
      <c r="V1007" s="340"/>
      <c r="W1007" s="340"/>
      <c r="X1007" s="340"/>
      <c r="Y1007" s="340"/>
      <c r="Z1007" s="340"/>
      <c r="AA1007" s="340"/>
      <c r="AB1007" s="340"/>
      <c r="AC1007" s="340"/>
      <c r="AD1007" s="340"/>
      <c r="AE1007" s="340"/>
      <c r="AF1007" s="340"/>
      <c r="AG1007" s="340"/>
      <c r="AH1007" s="340"/>
      <c r="AI1007" s="340"/>
      <c r="AJ1007" s="340"/>
      <c r="AK1007" s="340"/>
      <c r="AL1007" s="340"/>
      <c r="AM1007" s="340"/>
      <c r="AN1007" s="340"/>
      <c r="AO1007" s="340"/>
      <c r="AP1007" s="340"/>
      <c r="AQ1007" s="340"/>
      <c r="AR1007" s="340"/>
      <c r="AS1007" s="340"/>
      <c r="AT1007" s="340"/>
      <c r="AU1007" s="340"/>
      <c r="AV1007" s="340"/>
      <c r="AW1007" s="340"/>
      <c r="AX1007" s="340"/>
      <c r="AY1007" s="340"/>
      <c r="AZ1007" s="340"/>
      <c r="BA1007" s="340"/>
      <c r="BB1007" s="340"/>
      <c r="BC1007" s="340"/>
      <c r="BD1007" s="340"/>
    </row>
    <row r="1008" spans="3:56">
      <c r="C1008" s="340"/>
      <c r="D1008" s="340"/>
      <c r="E1008" s="340"/>
      <c r="F1008" s="340"/>
      <c r="G1008" s="340"/>
      <c r="H1008" s="340"/>
      <c r="I1008" s="340"/>
      <c r="J1008" s="340"/>
      <c r="K1008" s="340"/>
      <c r="L1008" s="340"/>
      <c r="M1008" s="340"/>
      <c r="N1008" s="340"/>
      <c r="O1008" s="340"/>
      <c r="P1008" s="340"/>
      <c r="Q1008" s="340"/>
      <c r="R1008" s="340"/>
      <c r="S1008" s="340"/>
      <c r="T1008" s="340"/>
      <c r="U1008" s="340"/>
      <c r="V1008" s="340"/>
      <c r="W1008" s="340"/>
      <c r="X1008" s="340"/>
      <c r="Y1008" s="340"/>
      <c r="Z1008" s="340"/>
      <c r="AA1008" s="340"/>
      <c r="AB1008" s="340"/>
      <c r="AC1008" s="340"/>
      <c r="AD1008" s="340"/>
      <c r="AE1008" s="340"/>
      <c r="AF1008" s="340"/>
      <c r="AG1008" s="340"/>
      <c r="AH1008" s="340"/>
      <c r="AI1008" s="340"/>
      <c r="AJ1008" s="340"/>
      <c r="AK1008" s="340"/>
      <c r="AL1008" s="340"/>
      <c r="AM1008" s="340"/>
      <c r="AN1008" s="340"/>
      <c r="AO1008" s="340"/>
      <c r="AP1008" s="340"/>
      <c r="AQ1008" s="340"/>
      <c r="AR1008" s="340"/>
      <c r="AS1008" s="340"/>
      <c r="AT1008" s="340"/>
      <c r="AU1008" s="340"/>
      <c r="AV1008" s="340"/>
      <c r="AW1008" s="340"/>
      <c r="AX1008" s="340"/>
      <c r="AY1008" s="340"/>
      <c r="AZ1008" s="340"/>
      <c r="BA1008" s="340"/>
      <c r="BB1008" s="340"/>
      <c r="BC1008" s="340"/>
      <c r="BD1008" s="340"/>
    </row>
    <row r="1009" spans="3:56">
      <c r="C1009" s="340"/>
      <c r="D1009" s="340"/>
      <c r="E1009" s="340"/>
      <c r="F1009" s="340"/>
      <c r="G1009" s="340"/>
      <c r="H1009" s="340"/>
      <c r="I1009" s="340"/>
      <c r="J1009" s="340"/>
      <c r="K1009" s="340"/>
      <c r="L1009" s="340"/>
      <c r="M1009" s="340"/>
      <c r="N1009" s="340"/>
      <c r="O1009" s="340"/>
      <c r="P1009" s="340"/>
      <c r="Q1009" s="340"/>
      <c r="R1009" s="340"/>
      <c r="S1009" s="340"/>
      <c r="T1009" s="340"/>
      <c r="U1009" s="340"/>
      <c r="V1009" s="340"/>
      <c r="W1009" s="340"/>
      <c r="X1009" s="340"/>
      <c r="Y1009" s="340"/>
      <c r="Z1009" s="340"/>
      <c r="AA1009" s="340"/>
      <c r="AB1009" s="340"/>
      <c r="AC1009" s="340"/>
      <c r="AD1009" s="340"/>
      <c r="AE1009" s="340"/>
      <c r="AF1009" s="340"/>
      <c r="AG1009" s="340"/>
      <c r="AH1009" s="340"/>
      <c r="AI1009" s="340"/>
      <c r="AJ1009" s="340"/>
      <c r="AK1009" s="340"/>
      <c r="AL1009" s="340"/>
      <c r="AM1009" s="340"/>
      <c r="AN1009" s="340"/>
      <c r="AO1009" s="340"/>
      <c r="AP1009" s="340"/>
      <c r="AQ1009" s="340"/>
      <c r="AR1009" s="340"/>
      <c r="AS1009" s="340"/>
      <c r="AT1009" s="340"/>
      <c r="AU1009" s="340"/>
      <c r="AV1009" s="340"/>
      <c r="AW1009" s="340"/>
      <c r="AX1009" s="340"/>
      <c r="AY1009" s="340"/>
      <c r="AZ1009" s="340"/>
      <c r="BA1009" s="340"/>
      <c r="BB1009" s="340"/>
      <c r="BC1009" s="340"/>
      <c r="BD1009" s="340"/>
    </row>
    <row r="1010" spans="3:56">
      <c r="C1010" s="340"/>
      <c r="D1010" s="340"/>
      <c r="E1010" s="340"/>
      <c r="F1010" s="340"/>
      <c r="G1010" s="340"/>
      <c r="H1010" s="340"/>
      <c r="I1010" s="340"/>
      <c r="J1010" s="340"/>
      <c r="K1010" s="340"/>
      <c r="L1010" s="340"/>
      <c r="M1010" s="340"/>
      <c r="N1010" s="340"/>
      <c r="O1010" s="340"/>
      <c r="P1010" s="340"/>
      <c r="Q1010" s="340"/>
      <c r="R1010" s="340"/>
      <c r="S1010" s="340"/>
      <c r="T1010" s="340"/>
      <c r="U1010" s="340"/>
      <c r="V1010" s="340"/>
      <c r="W1010" s="340"/>
      <c r="X1010" s="340"/>
      <c r="Y1010" s="340"/>
      <c r="Z1010" s="340"/>
      <c r="AA1010" s="340"/>
      <c r="AB1010" s="340"/>
      <c r="AC1010" s="340"/>
      <c r="AD1010" s="340"/>
      <c r="AE1010" s="340"/>
      <c r="AF1010" s="340"/>
      <c r="AG1010" s="340"/>
      <c r="AH1010" s="340"/>
      <c r="AI1010" s="340"/>
      <c r="AJ1010" s="340"/>
      <c r="AK1010" s="340"/>
      <c r="AL1010" s="340"/>
      <c r="AM1010" s="340"/>
      <c r="AN1010" s="340"/>
      <c r="AO1010" s="340"/>
      <c r="AP1010" s="340"/>
      <c r="AQ1010" s="340"/>
      <c r="AR1010" s="340"/>
      <c r="AS1010" s="340"/>
      <c r="AT1010" s="340"/>
      <c r="AU1010" s="340"/>
      <c r="AV1010" s="340"/>
      <c r="AW1010" s="340"/>
      <c r="AX1010" s="340"/>
      <c r="AY1010" s="340"/>
      <c r="AZ1010" s="340"/>
      <c r="BA1010" s="340"/>
      <c r="BB1010" s="340"/>
      <c r="BC1010" s="340"/>
      <c r="BD1010" s="340"/>
    </row>
    <row r="1011" spans="3:56">
      <c r="C1011" s="340"/>
      <c r="D1011" s="340"/>
      <c r="E1011" s="340"/>
      <c r="F1011" s="340"/>
      <c r="G1011" s="340"/>
      <c r="H1011" s="340"/>
      <c r="I1011" s="340"/>
      <c r="J1011" s="340"/>
      <c r="K1011" s="340"/>
      <c r="L1011" s="340"/>
      <c r="M1011" s="340"/>
      <c r="N1011" s="340"/>
      <c r="O1011" s="340"/>
      <c r="P1011" s="340"/>
      <c r="Q1011" s="340"/>
      <c r="R1011" s="340"/>
      <c r="S1011" s="340"/>
      <c r="T1011" s="340"/>
      <c r="U1011" s="340"/>
      <c r="V1011" s="340"/>
      <c r="W1011" s="340"/>
      <c r="X1011" s="340"/>
      <c r="Y1011" s="340"/>
      <c r="Z1011" s="340"/>
      <c r="AA1011" s="340"/>
      <c r="AB1011" s="340"/>
      <c r="AC1011" s="340"/>
      <c r="AD1011" s="340"/>
      <c r="AE1011" s="340"/>
      <c r="AF1011" s="340"/>
      <c r="AG1011" s="340"/>
      <c r="AH1011" s="340"/>
      <c r="AI1011" s="340"/>
      <c r="AJ1011" s="340"/>
      <c r="AK1011" s="340"/>
      <c r="AL1011" s="340"/>
      <c r="AM1011" s="340"/>
      <c r="AN1011" s="340"/>
      <c r="AO1011" s="340"/>
      <c r="AP1011" s="340"/>
      <c r="AQ1011" s="340"/>
      <c r="AR1011" s="340"/>
      <c r="AS1011" s="340"/>
      <c r="AT1011" s="340"/>
      <c r="AU1011" s="340"/>
      <c r="AV1011" s="340"/>
      <c r="AW1011" s="340"/>
      <c r="AX1011" s="340"/>
      <c r="AY1011" s="340"/>
      <c r="AZ1011" s="340"/>
      <c r="BA1011" s="340"/>
      <c r="BB1011" s="340"/>
      <c r="BC1011" s="340"/>
      <c r="BD1011" s="340"/>
    </row>
    <row r="1012" spans="3:56">
      <c r="C1012" s="340"/>
      <c r="D1012" s="340"/>
      <c r="E1012" s="340"/>
      <c r="F1012" s="340"/>
      <c r="G1012" s="340"/>
      <c r="H1012" s="340"/>
      <c r="I1012" s="340"/>
      <c r="J1012" s="340"/>
      <c r="K1012" s="340"/>
      <c r="L1012" s="340"/>
      <c r="M1012" s="340"/>
      <c r="N1012" s="340"/>
      <c r="O1012" s="340"/>
      <c r="P1012" s="340"/>
      <c r="Q1012" s="340"/>
      <c r="R1012" s="340"/>
      <c r="S1012" s="340"/>
      <c r="T1012" s="340"/>
      <c r="U1012" s="340"/>
      <c r="V1012" s="340"/>
      <c r="W1012" s="340"/>
      <c r="X1012" s="340"/>
      <c r="Y1012" s="340"/>
      <c r="Z1012" s="340"/>
      <c r="AA1012" s="340"/>
      <c r="AB1012" s="340"/>
      <c r="AC1012" s="340"/>
      <c r="AD1012" s="340"/>
      <c r="AE1012" s="340"/>
      <c r="AF1012" s="340"/>
      <c r="AG1012" s="340"/>
      <c r="AH1012" s="340"/>
      <c r="AI1012" s="340"/>
      <c r="AJ1012" s="340"/>
      <c r="AK1012" s="340"/>
      <c r="AL1012" s="340"/>
      <c r="AM1012" s="340"/>
      <c r="AN1012" s="340"/>
      <c r="AO1012" s="340"/>
      <c r="AP1012" s="340"/>
      <c r="AQ1012" s="340"/>
      <c r="AR1012" s="340"/>
      <c r="AS1012" s="340"/>
      <c r="AT1012" s="340"/>
      <c r="AU1012" s="340"/>
      <c r="AV1012" s="340"/>
      <c r="AW1012" s="340"/>
      <c r="AX1012" s="340"/>
      <c r="AY1012" s="340"/>
      <c r="AZ1012" s="340"/>
      <c r="BA1012" s="340"/>
      <c r="BB1012" s="340"/>
      <c r="BC1012" s="340"/>
      <c r="BD1012" s="340"/>
    </row>
  </sheetData>
  <mergeCells count="6">
    <mergeCell ref="B26:G27"/>
    <mergeCell ref="B28:G29"/>
    <mergeCell ref="A4:G4"/>
    <mergeCell ref="A5:G5"/>
    <mergeCell ref="C7:D7"/>
    <mergeCell ref="F7:G7"/>
  </mergeCells>
  <printOptions horizontalCentered="1"/>
  <pageMargins left="1" right="1" top="1" bottom="1" header="0.5" footer="0.5"/>
  <pageSetup scale="96"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29" max="16383" man="1"/>
  </rowBreaks>
  <customProperties>
    <customPr name="_pios_id" r:id="rId2"/>
    <customPr name="EpmWorksheetKeyString_GUID" r:id="rId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B38"/>
  <sheetViews>
    <sheetView view="pageBreakPreview" topLeftCell="A31" zoomScale="115" zoomScaleNormal="100" zoomScaleSheetLayoutView="115" workbookViewId="0">
      <selection activeCell="D45" sqref="D45"/>
    </sheetView>
  </sheetViews>
  <sheetFormatPr defaultRowHeight="14.5"/>
  <cols>
    <col min="1" max="1" width="30.26953125" bestFit="1" customWidth="1"/>
    <col min="2" max="2" width="100.54296875" bestFit="1" customWidth="1"/>
  </cols>
  <sheetData>
    <row r="1" spans="1:2">
      <c r="A1" s="720" t="s">
        <v>0</v>
      </c>
      <c r="B1" s="720"/>
    </row>
    <row r="2" spans="1:2">
      <c r="A2" s="720" t="s">
        <v>1</v>
      </c>
      <c r="B2" s="720"/>
    </row>
    <row r="3" spans="1:2">
      <c r="A3" s="720" t="s">
        <v>4</v>
      </c>
      <c r="B3" s="720"/>
    </row>
    <row r="4" spans="1:2">
      <c r="A4" s="720" t="s">
        <v>3</v>
      </c>
      <c r="B4" s="720"/>
    </row>
    <row r="6" spans="1:2">
      <c r="A6" s="720" t="s">
        <v>5</v>
      </c>
      <c r="B6" s="720"/>
    </row>
    <row r="8" spans="1:2">
      <c r="A8" s="5" t="s">
        <v>6</v>
      </c>
      <c r="B8" s="5" t="s">
        <v>7</v>
      </c>
    </row>
    <row r="9" spans="1:2">
      <c r="A9" t="s">
        <v>8</v>
      </c>
      <c r="B9" t="s">
        <v>9</v>
      </c>
    </row>
    <row r="10" spans="1:2">
      <c r="A10" t="s">
        <v>10</v>
      </c>
      <c r="B10" t="s">
        <v>11</v>
      </c>
    </row>
    <row r="11" spans="1:2">
      <c r="A11" t="s">
        <v>12</v>
      </c>
      <c r="B11" t="s">
        <v>13</v>
      </c>
    </row>
    <row r="12" spans="1:2">
      <c r="A12" t="s">
        <v>14</v>
      </c>
      <c r="B12" t="s">
        <v>15</v>
      </c>
    </row>
    <row r="13" spans="1:2">
      <c r="A13" t="s">
        <v>16</v>
      </c>
      <c r="B13" t="s">
        <v>17</v>
      </c>
    </row>
    <row r="14" spans="1:2">
      <c r="A14" t="s">
        <v>18</v>
      </c>
      <c r="B14" t="s">
        <v>19</v>
      </c>
    </row>
    <row r="15" spans="1:2">
      <c r="A15" t="s">
        <v>20</v>
      </c>
      <c r="B15" t="s">
        <v>21</v>
      </c>
    </row>
    <row r="16" spans="1:2">
      <c r="A16" t="s">
        <v>22</v>
      </c>
      <c r="B16" t="s">
        <v>23</v>
      </c>
    </row>
    <row r="17" spans="1:2">
      <c r="A17" t="s">
        <v>24</v>
      </c>
      <c r="B17" t="s">
        <v>25</v>
      </c>
    </row>
    <row r="18" spans="1:2">
      <c r="A18" t="s">
        <v>26</v>
      </c>
      <c r="B18" t="s">
        <v>27</v>
      </c>
    </row>
    <row r="19" spans="1:2">
      <c r="A19" t="s">
        <v>28</v>
      </c>
      <c r="B19" t="s">
        <v>29</v>
      </c>
    </row>
    <row r="20" spans="1:2">
      <c r="A20" t="s">
        <v>30</v>
      </c>
      <c r="B20" t="s">
        <v>31</v>
      </c>
    </row>
    <row r="21" spans="1:2">
      <c r="A21" t="s">
        <v>32</v>
      </c>
      <c r="B21" t="s">
        <v>33</v>
      </c>
    </row>
    <row r="22" spans="1:2">
      <c r="A22" t="s">
        <v>34</v>
      </c>
      <c r="B22" t="s">
        <v>35</v>
      </c>
    </row>
    <row r="23" spans="1:2">
      <c r="A23" t="s">
        <v>36</v>
      </c>
      <c r="B23" t="s">
        <v>37</v>
      </c>
    </row>
    <row r="24" spans="1:2">
      <c r="A24" t="s">
        <v>38</v>
      </c>
      <c r="B24" t="s">
        <v>39</v>
      </c>
    </row>
    <row r="25" spans="1:2">
      <c r="A25" t="s">
        <v>40</v>
      </c>
      <c r="B25" t="s">
        <v>41</v>
      </c>
    </row>
    <row r="26" spans="1:2">
      <c r="A26" t="s">
        <v>42</v>
      </c>
      <c r="B26" t="s">
        <v>43</v>
      </c>
    </row>
    <row r="27" spans="1:2">
      <c r="A27" t="s">
        <v>44</v>
      </c>
      <c r="B27" t="s">
        <v>45</v>
      </c>
    </row>
    <row r="28" spans="1:2">
      <c r="A28" t="s">
        <v>46</v>
      </c>
      <c r="B28" t="s">
        <v>47</v>
      </c>
    </row>
    <row r="29" spans="1:2">
      <c r="A29" t="s">
        <v>48</v>
      </c>
      <c r="B29" t="s">
        <v>49</v>
      </c>
    </row>
    <row r="30" spans="1:2">
      <c r="A30" t="s">
        <v>50</v>
      </c>
      <c r="B30" t="s">
        <v>51</v>
      </c>
    </row>
    <row r="31" spans="1:2">
      <c r="A31" t="s">
        <v>52</v>
      </c>
      <c r="B31" t="s">
        <v>53</v>
      </c>
    </row>
    <row r="32" spans="1:2">
      <c r="A32" t="s">
        <v>54</v>
      </c>
      <c r="B32" t="s">
        <v>55</v>
      </c>
    </row>
    <row r="33" spans="1:2">
      <c r="A33" t="s">
        <v>56</v>
      </c>
      <c r="B33" t="s">
        <v>57</v>
      </c>
    </row>
    <row r="34" spans="1:2">
      <c r="A34" t="s">
        <v>58</v>
      </c>
      <c r="B34" t="s">
        <v>59</v>
      </c>
    </row>
    <row r="35" spans="1:2">
      <c r="A35" t="s">
        <v>60</v>
      </c>
      <c r="B35" t="s">
        <v>61</v>
      </c>
    </row>
    <row r="36" spans="1:2">
      <c r="A36" t="s">
        <v>62</v>
      </c>
      <c r="B36" t="s">
        <v>63</v>
      </c>
    </row>
    <row r="37" spans="1:2">
      <c r="A37" t="s">
        <v>64</v>
      </c>
      <c r="B37" t="s">
        <v>65</v>
      </c>
    </row>
    <row r="38" spans="1:2">
      <c r="A38" t="s">
        <v>66</v>
      </c>
      <c r="B38" s="641" t="s">
        <v>67</v>
      </c>
    </row>
  </sheetData>
  <mergeCells count="5">
    <mergeCell ref="A6:B6"/>
    <mergeCell ref="A1:B1"/>
    <mergeCell ref="A2:B2"/>
    <mergeCell ref="A3:B3"/>
    <mergeCell ref="A4:B4"/>
  </mergeCells>
  <printOptions horizontalCentered="1"/>
  <pageMargins left="1" right="1" top="1" bottom="1" header="0.5" footer="0.5"/>
  <pageSetup scale="88" fitToHeight="0" orientation="landscape" r:id="rId1"/>
  <customProperties>
    <customPr name="_pios_id" r:id="rId2"/>
    <customPr name="EpmWorksheetKeyString_GUID" r:id="rId3"/>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97179-1BB0-41B7-9A41-5192C70E42E6}">
  <sheetPr>
    <pageSetUpPr fitToPage="1"/>
  </sheetPr>
  <dimension ref="A1:J109"/>
  <sheetViews>
    <sheetView view="pageBreakPreview" topLeftCell="A45" zoomScale="40" zoomScaleNormal="85" zoomScaleSheetLayoutView="40" workbookViewId="0">
      <selection activeCell="Q93" sqref="Q93"/>
    </sheetView>
  </sheetViews>
  <sheetFormatPr defaultColWidth="9.1796875" defaultRowHeight="14.5"/>
  <cols>
    <col min="1" max="1" width="6.7265625" style="8" bestFit="1" customWidth="1"/>
    <col min="2" max="2" width="47.1796875" style="8" customWidth="1"/>
    <col min="3" max="3" width="8.54296875" style="8" bestFit="1" customWidth="1"/>
    <col min="4" max="4" width="22.7265625" style="8" customWidth="1"/>
    <col min="5" max="5" width="21.453125" style="8" customWidth="1"/>
    <col min="6" max="6" width="85.1796875" style="8" customWidth="1"/>
    <col min="7" max="7" width="7" style="8" bestFit="1" customWidth="1"/>
    <col min="8" max="9" width="9.1796875" style="8"/>
    <col min="10" max="10" width="13.7265625" style="8" bestFit="1" customWidth="1"/>
    <col min="11" max="16384" width="9.1796875" style="8"/>
  </cols>
  <sheetData>
    <row r="1" spans="1:7">
      <c r="B1" s="105" t="s">
        <v>175</v>
      </c>
      <c r="F1" s="6" t="str">
        <f>CONCATENATE("Prior Year: ",'1-DRR'!$K$2)</f>
        <v>Prior Year: 2022</v>
      </c>
    </row>
    <row r="2" spans="1:7">
      <c r="B2" s="78" t="s">
        <v>122</v>
      </c>
      <c r="F2" s="90"/>
    </row>
    <row r="3" spans="1:7">
      <c r="B3" s="105"/>
      <c r="F3" s="90"/>
    </row>
    <row r="4" spans="1:7" ht="15" customHeight="1">
      <c r="B4" s="730" t="s">
        <v>1219</v>
      </c>
      <c r="C4" s="730"/>
      <c r="D4" s="730"/>
      <c r="E4" s="730"/>
      <c r="F4" s="730"/>
    </row>
    <row r="5" spans="1:7" ht="15" customHeight="1">
      <c r="B5" s="730"/>
      <c r="C5" s="730"/>
      <c r="D5" s="730"/>
      <c r="E5" s="730"/>
      <c r="F5" s="730"/>
    </row>
    <row r="6" spans="1:7" ht="15" customHeight="1">
      <c r="B6" s="730"/>
      <c r="C6" s="730"/>
      <c r="D6" s="730"/>
      <c r="E6" s="730"/>
      <c r="F6" s="730"/>
    </row>
    <row r="7" spans="1:7" ht="15" customHeight="1">
      <c r="B7" s="730"/>
      <c r="C7" s="730"/>
      <c r="D7" s="730"/>
      <c r="E7" s="730"/>
      <c r="F7" s="730"/>
    </row>
    <row r="8" spans="1:7" ht="15" customHeight="1">
      <c r="B8" s="730"/>
      <c r="C8" s="730"/>
      <c r="D8" s="730"/>
      <c r="E8" s="730"/>
      <c r="F8" s="730"/>
    </row>
    <row r="9" spans="1:7" ht="15" customHeight="1">
      <c r="B9" s="730"/>
      <c r="C9" s="730"/>
      <c r="D9" s="730"/>
      <c r="E9" s="730"/>
      <c r="F9" s="730"/>
    </row>
    <row r="10" spans="1:7" ht="15" customHeight="1">
      <c r="B10" s="105"/>
      <c r="D10" s="91"/>
      <c r="E10" s="91" t="s">
        <v>125</v>
      </c>
      <c r="F10" s="80" t="s">
        <v>128</v>
      </c>
    </row>
    <row r="11" spans="1:7">
      <c r="A11" s="80" t="s">
        <v>92</v>
      </c>
      <c r="B11" s="79" t="s">
        <v>1220</v>
      </c>
      <c r="C11" s="103"/>
      <c r="D11" s="103"/>
      <c r="E11" s="103"/>
      <c r="F11" s="103"/>
      <c r="G11" s="80" t="str">
        <f>A11</f>
        <v>Line</v>
      </c>
    </row>
    <row r="12" spans="1:7">
      <c r="A12" s="91">
        <v>100</v>
      </c>
      <c r="B12" s="106" t="s">
        <v>1221</v>
      </c>
      <c r="E12" s="589">
        <f>E19+E47+E72</f>
        <v>-144225436.24298069</v>
      </c>
      <c r="F12" s="717" t="s">
        <v>1859</v>
      </c>
      <c r="G12" s="91">
        <f>A12</f>
        <v>100</v>
      </c>
    </row>
    <row r="13" spans="1:7">
      <c r="A13" s="91">
        <f>A12+1</f>
        <v>101</v>
      </c>
      <c r="B13" s="106" t="s">
        <v>1222</v>
      </c>
      <c r="E13" s="589">
        <f>D19+D47+D72</f>
        <v>-159049067.91786498</v>
      </c>
      <c r="F13" s="717" t="s">
        <v>1860</v>
      </c>
      <c r="G13" s="91">
        <f>A13</f>
        <v>101</v>
      </c>
    </row>
    <row r="14" spans="1:7">
      <c r="B14" s="105"/>
    </row>
    <row r="15" spans="1:7">
      <c r="B15" s="79" t="s">
        <v>1223</v>
      </c>
      <c r="C15" s="103"/>
      <c r="D15" s="103"/>
      <c r="E15" s="103"/>
      <c r="F15" s="103"/>
    </row>
    <row r="16" spans="1:7">
      <c r="B16" s="105" t="s">
        <v>1224</v>
      </c>
    </row>
    <row r="17" spans="1:10">
      <c r="D17" s="80" t="s">
        <v>124</v>
      </c>
      <c r="E17" s="80" t="s">
        <v>125</v>
      </c>
      <c r="F17" s="18"/>
    </row>
    <row r="18" spans="1:10">
      <c r="D18" s="80" t="s">
        <v>1225</v>
      </c>
      <c r="E18" s="80" t="s">
        <v>738</v>
      </c>
      <c r="F18" s="18"/>
    </row>
    <row r="19" spans="1:10">
      <c r="A19" s="91">
        <v>200</v>
      </c>
      <c r="B19" s="105" t="s">
        <v>1226</v>
      </c>
      <c r="D19" s="590">
        <f>D40</f>
        <v>-103217604.72947992</v>
      </c>
      <c r="E19" s="589">
        <f>E40</f>
        <v>-96537726</v>
      </c>
      <c r="F19" s="106" t="str">
        <f>CONCATENATE(" Line ",A40)</f>
        <v xml:space="preserve"> Line 219</v>
      </c>
      <c r="G19" s="91">
        <f>A19</f>
        <v>200</v>
      </c>
    </row>
    <row r="20" spans="1:10">
      <c r="A20" s="91"/>
      <c r="B20" s="105"/>
      <c r="D20" s="590"/>
      <c r="E20" s="589"/>
      <c r="F20" s="106"/>
      <c r="G20" s="91"/>
    </row>
    <row r="21" spans="1:10" ht="24" customHeight="1">
      <c r="A21" s="80" t="s">
        <v>92</v>
      </c>
      <c r="B21" s="80" t="s">
        <v>1227</v>
      </c>
      <c r="C21" s="80"/>
      <c r="D21" s="138" t="s">
        <v>1228</v>
      </c>
      <c r="E21" s="80" t="s">
        <v>738</v>
      </c>
      <c r="F21" s="80" t="s">
        <v>128</v>
      </c>
      <c r="G21" s="80" t="str">
        <f t="shared" ref="G21:G40" si="0">A21</f>
        <v>Line</v>
      </c>
    </row>
    <row r="22" spans="1:10" ht="18" customHeight="1">
      <c r="A22" s="91">
        <f>A19+1</f>
        <v>201</v>
      </c>
      <c r="B22" s="8" t="s">
        <v>449</v>
      </c>
      <c r="C22" s="80"/>
      <c r="D22" s="40">
        <v>-361396927.81</v>
      </c>
      <c r="E22" s="80"/>
      <c r="F22" s="80"/>
      <c r="G22" s="91">
        <f t="shared" si="0"/>
        <v>201</v>
      </c>
      <c r="J22" s="242"/>
    </row>
    <row r="23" spans="1:10" ht="18" customHeight="1">
      <c r="A23" s="91">
        <f>A22+1</f>
        <v>202</v>
      </c>
      <c r="B23" s="8" t="s">
        <v>451</v>
      </c>
      <c r="C23" s="80"/>
      <c r="D23" s="591">
        <v>-405263372.97000003</v>
      </c>
      <c r="E23" s="80"/>
      <c r="F23" s="80"/>
      <c r="G23" s="91">
        <f t="shared" si="0"/>
        <v>202</v>
      </c>
      <c r="J23" s="242"/>
    </row>
    <row r="24" spans="1:10" ht="18" customHeight="1">
      <c r="A24" s="91">
        <f t="shared" ref="A24:A40" si="1">A23+1</f>
        <v>203</v>
      </c>
      <c r="B24" s="8" t="s">
        <v>452</v>
      </c>
      <c r="C24" s="80"/>
      <c r="D24" s="591">
        <v>403357604.48000002</v>
      </c>
      <c r="E24" s="80"/>
      <c r="F24" s="80"/>
      <c r="G24" s="91">
        <f t="shared" si="0"/>
        <v>203</v>
      </c>
      <c r="J24" s="242"/>
    </row>
    <row r="25" spans="1:10" ht="18" customHeight="1">
      <c r="A25" s="91">
        <f t="shared" si="1"/>
        <v>204</v>
      </c>
      <c r="B25" s="8" t="s">
        <v>453</v>
      </c>
      <c r="C25" s="80"/>
      <c r="D25" s="591">
        <v>-412663307.19</v>
      </c>
      <c r="E25" s="80"/>
      <c r="F25" s="80"/>
      <c r="G25" s="91">
        <f t="shared" si="0"/>
        <v>204</v>
      </c>
      <c r="J25" s="242"/>
    </row>
    <row r="26" spans="1:10" ht="18" customHeight="1">
      <c r="A26" s="91">
        <f t="shared" si="1"/>
        <v>205</v>
      </c>
      <c r="B26" s="8" t="s">
        <v>454</v>
      </c>
      <c r="C26" s="80"/>
      <c r="D26" s="591">
        <v>-405757691.23000002</v>
      </c>
      <c r="E26" s="80"/>
      <c r="F26" s="80"/>
      <c r="G26" s="91">
        <f t="shared" si="0"/>
        <v>205</v>
      </c>
      <c r="J26" s="242"/>
    </row>
    <row r="27" spans="1:10" ht="18" customHeight="1">
      <c r="A27" s="91">
        <f t="shared" si="1"/>
        <v>206</v>
      </c>
      <c r="B27" s="8" t="s">
        <v>455</v>
      </c>
      <c r="C27" s="80"/>
      <c r="D27" s="591">
        <v>-403800047.33999997</v>
      </c>
      <c r="E27" s="80"/>
      <c r="F27" s="80"/>
      <c r="G27" s="91">
        <f t="shared" si="0"/>
        <v>206</v>
      </c>
      <c r="J27" s="242"/>
    </row>
    <row r="28" spans="1:10" ht="18" customHeight="1">
      <c r="A28" s="91">
        <f t="shared" si="1"/>
        <v>207</v>
      </c>
      <c r="B28" s="8" t="s">
        <v>737</v>
      </c>
      <c r="C28" s="80"/>
      <c r="D28" s="591">
        <v>-394431577.94</v>
      </c>
      <c r="E28" s="80"/>
      <c r="F28" s="80"/>
      <c r="G28" s="91">
        <f t="shared" si="0"/>
        <v>207</v>
      </c>
      <c r="J28" s="242"/>
    </row>
    <row r="29" spans="1:10" ht="18" customHeight="1">
      <c r="A29" s="91">
        <f t="shared" si="1"/>
        <v>208</v>
      </c>
      <c r="B29" s="8" t="s">
        <v>457</v>
      </c>
      <c r="C29" s="80"/>
      <c r="D29" s="591">
        <v>-368124181.07999998</v>
      </c>
      <c r="E29" s="80"/>
      <c r="F29" s="80"/>
      <c r="G29" s="91">
        <f t="shared" si="0"/>
        <v>208</v>
      </c>
      <c r="J29" s="242"/>
    </row>
    <row r="30" spans="1:10" ht="18" customHeight="1">
      <c r="A30" s="91">
        <f t="shared" si="1"/>
        <v>209</v>
      </c>
      <c r="B30" s="8" t="s">
        <v>458</v>
      </c>
      <c r="C30" s="80"/>
      <c r="D30" s="591">
        <v>-358551299.36000001</v>
      </c>
      <c r="E30" s="80"/>
      <c r="F30" s="80"/>
      <c r="G30" s="91">
        <f t="shared" si="0"/>
        <v>209</v>
      </c>
      <c r="J30" s="242"/>
    </row>
    <row r="31" spans="1:10" ht="18" customHeight="1">
      <c r="A31" s="91">
        <f t="shared" si="1"/>
        <v>210</v>
      </c>
      <c r="B31" s="8" t="s">
        <v>459</v>
      </c>
      <c r="C31" s="80"/>
      <c r="D31" s="591">
        <v>-354726603.36000001</v>
      </c>
      <c r="E31" s="80"/>
      <c r="F31" s="80"/>
      <c r="G31" s="91">
        <f t="shared" si="0"/>
        <v>210</v>
      </c>
      <c r="J31" s="242"/>
    </row>
    <row r="32" spans="1:10" ht="18" customHeight="1">
      <c r="A32" s="91">
        <f t="shared" si="1"/>
        <v>211</v>
      </c>
      <c r="B32" s="8" t="s">
        <v>460</v>
      </c>
      <c r="C32" s="80"/>
      <c r="D32" s="591">
        <v>-351400058.01999998</v>
      </c>
      <c r="E32" s="80"/>
      <c r="F32" s="80"/>
      <c r="G32" s="91">
        <f t="shared" si="0"/>
        <v>211</v>
      </c>
      <c r="J32" s="242"/>
    </row>
    <row r="33" spans="1:10" ht="18" customHeight="1">
      <c r="A33" s="91">
        <f t="shared" si="1"/>
        <v>212</v>
      </c>
      <c r="B33" s="8" t="s">
        <v>461</v>
      </c>
      <c r="C33" s="80"/>
      <c r="D33" s="591">
        <v>-353470478.33999997</v>
      </c>
      <c r="E33" s="80"/>
      <c r="F33" s="80"/>
      <c r="G33" s="91">
        <f t="shared" si="0"/>
        <v>212</v>
      </c>
      <c r="J33" s="242"/>
    </row>
    <row r="34" spans="1:10" ht="18" customHeight="1">
      <c r="A34" s="91">
        <f t="shared" si="1"/>
        <v>213</v>
      </c>
      <c r="B34" s="8" t="s">
        <v>449</v>
      </c>
      <c r="C34" s="80"/>
      <c r="D34" s="40">
        <v>-337515362.72000003</v>
      </c>
      <c r="E34" s="80"/>
      <c r="F34" s="80"/>
      <c r="G34" s="91">
        <f t="shared" si="0"/>
        <v>213</v>
      </c>
      <c r="J34" s="242"/>
    </row>
    <row r="35" spans="1:10" ht="18" customHeight="1">
      <c r="A35" s="91">
        <f t="shared" si="1"/>
        <v>214</v>
      </c>
      <c r="B35" s="8" t="s">
        <v>1229</v>
      </c>
      <c r="E35" s="264">
        <f>AVERAGE(D22:D34)</f>
        <v>-315672561.75999999</v>
      </c>
      <c r="F35" s="106" t="s">
        <v>103</v>
      </c>
      <c r="G35" s="91">
        <f t="shared" si="0"/>
        <v>214</v>
      </c>
      <c r="J35" s="242"/>
    </row>
    <row r="36" spans="1:10" ht="18" customHeight="1">
      <c r="A36" s="91">
        <f t="shared" si="1"/>
        <v>215</v>
      </c>
      <c r="B36" s="8" t="s">
        <v>1230</v>
      </c>
      <c r="D36" s="592">
        <v>0</v>
      </c>
      <c r="E36" s="592">
        <v>0</v>
      </c>
      <c r="F36" s="106" t="s">
        <v>425</v>
      </c>
      <c r="G36" s="91">
        <f t="shared" si="0"/>
        <v>215</v>
      </c>
    </row>
    <row r="37" spans="1:10" ht="18" customHeight="1">
      <c r="A37" s="91">
        <f t="shared" si="1"/>
        <v>216</v>
      </c>
      <c r="B37" s="8" t="s">
        <v>1231</v>
      </c>
      <c r="D37" s="242"/>
      <c r="E37" s="264">
        <f>+E36+E35</f>
        <v>-315672561.75999999</v>
      </c>
      <c r="F37" s="106" t="str">
        <f>"Line "&amp;A35&amp;" + Line "&amp;A36&amp;""</f>
        <v>Line 214 + Line 215</v>
      </c>
      <c r="G37" s="91">
        <f t="shared" si="0"/>
        <v>216</v>
      </c>
    </row>
    <row r="38" spans="1:10" ht="18" customHeight="1">
      <c r="A38" s="91">
        <f t="shared" si="1"/>
        <v>217</v>
      </c>
      <c r="B38" s="8" t="s">
        <v>1232</v>
      </c>
      <c r="D38" s="242">
        <f>D36+D34</f>
        <v>-337515362.72000003</v>
      </c>
      <c r="E38" s="264"/>
      <c r="F38" s="106" t="str">
        <f>"Line "&amp;A34&amp;" + Line "&amp;A36&amp;""</f>
        <v>Line 213 + Line 215</v>
      </c>
      <c r="G38" s="91"/>
    </row>
    <row r="39" spans="1:10" ht="18" customHeight="1">
      <c r="A39" s="91">
        <f t="shared" si="1"/>
        <v>218</v>
      </c>
      <c r="B39" s="8" t="s">
        <v>1233</v>
      </c>
      <c r="D39" s="560">
        <f>E39</f>
        <v>0.30581601944770853</v>
      </c>
      <c r="E39" s="560">
        <f>'24-Allocators'!C24</f>
        <v>0.30581601944770853</v>
      </c>
      <c r="F39" s="106" t="s">
        <v>1234</v>
      </c>
      <c r="G39" s="91">
        <f t="shared" si="0"/>
        <v>218</v>
      </c>
    </row>
    <row r="40" spans="1:10" ht="18" customHeight="1">
      <c r="A40" s="91">
        <f t="shared" si="1"/>
        <v>219</v>
      </c>
      <c r="B40" s="105" t="s">
        <v>1226</v>
      </c>
      <c r="C40" s="230" t="s">
        <v>1235</v>
      </c>
      <c r="D40" s="564">
        <f>D38*D39</f>
        <v>-103217604.72947992</v>
      </c>
      <c r="E40" s="589">
        <f>ROUND(E37*E39,0)</f>
        <v>-96537726</v>
      </c>
      <c r="F40" s="106" t="str">
        <f>"Line "&amp;A37&amp;" * Line "&amp;A39&amp;""</f>
        <v>Line 216 * Line 218</v>
      </c>
      <c r="G40" s="91">
        <f t="shared" si="0"/>
        <v>219</v>
      </c>
    </row>
    <row r="41" spans="1:10" ht="18" customHeight="1">
      <c r="A41" s="91"/>
      <c r="D41" s="265"/>
      <c r="E41" s="265"/>
      <c r="F41" s="106"/>
      <c r="G41" s="91"/>
    </row>
    <row r="42" spans="1:10" ht="18" customHeight="1">
      <c r="A42" s="91"/>
      <c r="D42" s="90"/>
      <c r="E42" s="270"/>
      <c r="F42" s="18"/>
      <c r="G42" s="91"/>
    </row>
    <row r="43" spans="1:10" ht="18" customHeight="1">
      <c r="B43" s="79" t="s">
        <v>1236</v>
      </c>
      <c r="C43" s="103"/>
      <c r="D43" s="103"/>
      <c r="E43" s="103"/>
      <c r="F43" s="102"/>
    </row>
    <row r="44" spans="1:10">
      <c r="B44" s="105" t="s">
        <v>1224</v>
      </c>
    </row>
    <row r="45" spans="1:10" ht="18" customHeight="1">
      <c r="B45" s="105"/>
      <c r="D45" s="91" t="s">
        <v>124</v>
      </c>
      <c r="E45" s="91" t="s">
        <v>125</v>
      </c>
      <c r="F45" s="18"/>
    </row>
    <row r="46" spans="1:10" ht="18" customHeight="1">
      <c r="B46" s="105"/>
      <c r="D46" s="80" t="s">
        <v>1225</v>
      </c>
      <c r="E46" s="80" t="s">
        <v>738</v>
      </c>
      <c r="F46" s="18"/>
    </row>
    <row r="47" spans="1:10" ht="18" customHeight="1">
      <c r="A47" s="91">
        <v>300</v>
      </c>
      <c r="B47" s="105" t="s">
        <v>1237</v>
      </c>
      <c r="D47" s="590">
        <f>D65</f>
        <v>0</v>
      </c>
      <c r="E47" s="589">
        <f>E65</f>
        <v>-6862796.1763699688</v>
      </c>
      <c r="F47" s="106" t="str">
        <f>CONCATENATE("Line ",A65)</f>
        <v>Line 316</v>
      </c>
      <c r="G47" s="91">
        <f t="shared" ref="G47" si="2">A47</f>
        <v>300</v>
      </c>
    </row>
    <row r="48" spans="1:10" ht="18" customHeight="1">
      <c r="B48" s="105"/>
      <c r="D48" s="91"/>
      <c r="E48" s="91"/>
      <c r="F48" s="18"/>
    </row>
    <row r="49" spans="1:7" ht="18" customHeight="1">
      <c r="A49" s="80" t="s">
        <v>92</v>
      </c>
      <c r="B49" s="80" t="s">
        <v>1227</v>
      </c>
      <c r="C49" s="80"/>
      <c r="D49" s="138" t="s">
        <v>1228</v>
      </c>
      <c r="E49" s="80" t="s">
        <v>738</v>
      </c>
      <c r="F49" s="80" t="s">
        <v>128</v>
      </c>
      <c r="G49" s="80" t="str">
        <f t="shared" ref="G49:G65" si="3">A49</f>
        <v>Line</v>
      </c>
    </row>
    <row r="50" spans="1:7" ht="18" customHeight="1">
      <c r="A50" s="91">
        <f>A47+1</f>
        <v>301</v>
      </c>
      <c r="B50" s="8" t="s">
        <v>449</v>
      </c>
      <c r="C50" s="80"/>
      <c r="D50" s="591">
        <f>-13916317.265*3</f>
        <v>-41748951.795000002</v>
      </c>
      <c r="E50" s="80"/>
      <c r="F50" s="80"/>
      <c r="G50" s="91">
        <f t="shared" si="3"/>
        <v>301</v>
      </c>
    </row>
    <row r="51" spans="1:7" ht="18" customHeight="1">
      <c r="A51" s="91">
        <f>A50+1</f>
        <v>302</v>
      </c>
      <c r="B51" s="8" t="s">
        <v>451</v>
      </c>
      <c r="C51" s="80"/>
      <c r="D51" s="591">
        <f>D50-13916317.265/12</f>
        <v>-42908644.900416672</v>
      </c>
      <c r="E51" s="80"/>
      <c r="F51" s="80"/>
      <c r="G51" s="91">
        <f t="shared" si="3"/>
        <v>302</v>
      </c>
    </row>
    <row r="52" spans="1:7" ht="18" customHeight="1">
      <c r="A52" s="91">
        <f t="shared" ref="A52:A65" si="4">A51+1</f>
        <v>303</v>
      </c>
      <c r="B52" s="8" t="s">
        <v>452</v>
      </c>
      <c r="C52" s="80"/>
      <c r="D52" s="591">
        <f>D51-13916317.265/12</f>
        <v>-44068338.005833343</v>
      </c>
      <c r="E52" s="80"/>
      <c r="F52" s="80"/>
      <c r="G52" s="91">
        <f t="shared" si="3"/>
        <v>303</v>
      </c>
    </row>
    <row r="53" spans="1:7" ht="18" customHeight="1">
      <c r="A53" s="91">
        <f t="shared" si="4"/>
        <v>304</v>
      </c>
      <c r="B53" s="8" t="s">
        <v>453</v>
      </c>
      <c r="C53" s="80"/>
      <c r="D53" s="591">
        <f>D52-13916317.265/12</f>
        <v>-45228031.111250013</v>
      </c>
      <c r="E53" s="80"/>
      <c r="F53" s="80"/>
      <c r="G53" s="91">
        <f t="shared" si="3"/>
        <v>304</v>
      </c>
    </row>
    <row r="54" spans="1:7" ht="18" customHeight="1">
      <c r="A54" s="91">
        <f t="shared" si="4"/>
        <v>305</v>
      </c>
      <c r="B54" s="8" t="s">
        <v>454</v>
      </c>
      <c r="C54" s="80"/>
      <c r="D54" s="591">
        <f>D53-13916317.265/12</f>
        <v>-46387724.216666684</v>
      </c>
      <c r="E54" s="80"/>
      <c r="F54" s="80"/>
      <c r="G54" s="91">
        <f t="shared" si="3"/>
        <v>305</v>
      </c>
    </row>
    <row r="55" spans="1:7" ht="18" customHeight="1">
      <c r="A55" s="91">
        <f t="shared" si="4"/>
        <v>306</v>
      </c>
      <c r="B55" s="8" t="s">
        <v>455</v>
      </c>
      <c r="C55" s="80"/>
      <c r="D55" s="591">
        <v>0</v>
      </c>
      <c r="E55" s="80"/>
      <c r="F55" s="80"/>
      <c r="G55" s="91">
        <f t="shared" si="3"/>
        <v>306</v>
      </c>
    </row>
    <row r="56" spans="1:7" ht="18" customHeight="1">
      <c r="A56" s="91">
        <f t="shared" si="4"/>
        <v>307</v>
      </c>
      <c r="B56" s="8" t="s">
        <v>737</v>
      </c>
      <c r="C56" s="80"/>
      <c r="D56" s="591">
        <v>0</v>
      </c>
      <c r="E56" s="80"/>
      <c r="F56" s="80"/>
      <c r="G56" s="91">
        <f t="shared" si="3"/>
        <v>307</v>
      </c>
    </row>
    <row r="57" spans="1:7" ht="18" customHeight="1">
      <c r="A57" s="91">
        <f t="shared" si="4"/>
        <v>308</v>
      </c>
      <c r="B57" s="8" t="s">
        <v>457</v>
      </c>
      <c r="C57" s="80"/>
      <c r="D57" s="591">
        <v>0</v>
      </c>
      <c r="E57" s="80"/>
      <c r="F57" s="80"/>
      <c r="G57" s="91">
        <f t="shared" si="3"/>
        <v>308</v>
      </c>
    </row>
    <row r="58" spans="1:7" ht="18" customHeight="1">
      <c r="A58" s="91">
        <f t="shared" si="4"/>
        <v>309</v>
      </c>
      <c r="B58" s="8" t="s">
        <v>458</v>
      </c>
      <c r="C58" s="80"/>
      <c r="D58" s="591">
        <v>0</v>
      </c>
      <c r="E58" s="80"/>
      <c r="F58" s="80"/>
      <c r="G58" s="91">
        <f t="shared" si="3"/>
        <v>309</v>
      </c>
    </row>
    <row r="59" spans="1:7" ht="18" customHeight="1">
      <c r="A59" s="91">
        <f t="shared" si="4"/>
        <v>310</v>
      </c>
      <c r="B59" s="8" t="s">
        <v>459</v>
      </c>
      <c r="C59" s="80"/>
      <c r="D59" s="591">
        <v>0</v>
      </c>
      <c r="E59" s="80"/>
      <c r="F59" s="80"/>
      <c r="G59" s="91">
        <f t="shared" si="3"/>
        <v>310</v>
      </c>
    </row>
    <row r="60" spans="1:7" ht="18" customHeight="1">
      <c r="A60" s="91">
        <f t="shared" si="4"/>
        <v>311</v>
      </c>
      <c r="B60" s="8" t="s">
        <v>460</v>
      </c>
      <c r="C60" s="80"/>
      <c r="D60" s="591">
        <v>0</v>
      </c>
      <c r="E60" s="80"/>
      <c r="F60" s="80"/>
      <c r="G60" s="91">
        <f t="shared" si="3"/>
        <v>311</v>
      </c>
    </row>
    <row r="61" spans="1:7" ht="18" customHeight="1">
      <c r="A61" s="91">
        <f t="shared" si="4"/>
        <v>312</v>
      </c>
      <c r="B61" s="8" t="s">
        <v>461</v>
      </c>
      <c r="C61" s="80"/>
      <c r="D61" s="591">
        <v>0</v>
      </c>
      <c r="E61" s="80"/>
      <c r="F61" s="80"/>
      <c r="G61" s="91">
        <f t="shared" si="3"/>
        <v>312</v>
      </c>
    </row>
    <row r="62" spans="1:7" ht="18" customHeight="1">
      <c r="A62" s="91">
        <f t="shared" si="4"/>
        <v>313</v>
      </c>
      <c r="B62" s="8" t="s">
        <v>449</v>
      </c>
      <c r="C62" s="80"/>
      <c r="D62" s="591">
        <v>0</v>
      </c>
      <c r="E62" s="80"/>
      <c r="F62" s="80"/>
      <c r="G62" s="91">
        <f t="shared" si="3"/>
        <v>313</v>
      </c>
    </row>
    <row r="63" spans="1:7" ht="18" customHeight="1">
      <c r="A63" s="91">
        <f t="shared" si="4"/>
        <v>314</v>
      </c>
      <c r="B63" s="8" t="s">
        <v>1238</v>
      </c>
      <c r="E63" s="264">
        <f>AVERAGE(D50:D62)</f>
        <v>-16949360.771474361</v>
      </c>
      <c r="F63" s="593" t="s">
        <v>426</v>
      </c>
      <c r="G63" s="91">
        <f t="shared" si="3"/>
        <v>314</v>
      </c>
    </row>
    <row r="64" spans="1:7" ht="18" customHeight="1">
      <c r="A64" s="91">
        <f t="shared" si="4"/>
        <v>315</v>
      </c>
      <c r="B64" s="8" t="s">
        <v>1239</v>
      </c>
      <c r="D64" s="560">
        <f>E64</f>
        <v>0.40489999999999998</v>
      </c>
      <c r="E64" s="594">
        <v>0.40489999999999998</v>
      </c>
      <c r="F64" s="106" t="s">
        <v>1240</v>
      </c>
      <c r="G64" s="91">
        <f t="shared" si="3"/>
        <v>315</v>
      </c>
    </row>
    <row r="65" spans="1:7" ht="18" customHeight="1">
      <c r="A65" s="91">
        <f t="shared" si="4"/>
        <v>316</v>
      </c>
      <c r="B65" s="105" t="s">
        <v>1237</v>
      </c>
      <c r="C65" s="230" t="s">
        <v>1235</v>
      </c>
      <c r="D65" s="564">
        <f>D62*D64</f>
        <v>0</v>
      </c>
      <c r="E65" s="595">
        <f>+E64*E63</f>
        <v>-6862796.1763699688</v>
      </c>
      <c r="F65" s="106" t="str">
        <f>"Line "&amp;A63&amp;" * Line "&amp;A64&amp;" (see Note 3)"</f>
        <v>Line 314 * Line 315 (see Note 3)</v>
      </c>
      <c r="G65" s="91">
        <f t="shared" si="3"/>
        <v>316</v>
      </c>
    </row>
    <row r="66" spans="1:7" ht="18" customHeight="1">
      <c r="A66" s="91"/>
      <c r="E66" s="105"/>
      <c r="F66" s="106"/>
    </row>
    <row r="67" spans="1:7" ht="18" customHeight="1">
      <c r="B67" s="79" t="s">
        <v>1241</v>
      </c>
      <c r="C67" s="103"/>
      <c r="D67" s="103"/>
      <c r="E67" s="103"/>
      <c r="F67" s="102"/>
    </row>
    <row r="68" spans="1:7" ht="18" customHeight="1">
      <c r="B68" s="105" t="s">
        <v>1242</v>
      </c>
      <c r="F68" s="18"/>
    </row>
    <row r="69" spans="1:7" ht="18" customHeight="1">
      <c r="F69" s="18"/>
    </row>
    <row r="70" spans="1:7" ht="18" customHeight="1">
      <c r="B70" s="105"/>
      <c r="D70" s="91" t="s">
        <v>124</v>
      </c>
      <c r="E70" s="91" t="s">
        <v>125</v>
      </c>
      <c r="F70" s="18"/>
    </row>
    <row r="71" spans="1:7" ht="18" customHeight="1">
      <c r="B71" s="105"/>
      <c r="D71" s="80" t="s">
        <v>1225</v>
      </c>
      <c r="E71" s="80" t="s">
        <v>738</v>
      </c>
      <c r="F71" s="18"/>
    </row>
    <row r="72" spans="1:7" ht="18" customHeight="1">
      <c r="A72" s="91">
        <v>400</v>
      </c>
      <c r="B72" s="596" t="s">
        <v>1243</v>
      </c>
      <c r="D72" s="590">
        <f>D92</f>
        <v>-55831463.188385047</v>
      </c>
      <c r="E72" s="589">
        <f>E92</f>
        <v>-40824914.066610724</v>
      </c>
      <c r="F72" s="106" t="str">
        <f>CONCATENATE("Line ",A92)</f>
        <v>Line 417</v>
      </c>
      <c r="G72" s="91">
        <f t="shared" ref="G72" si="5">A72</f>
        <v>400</v>
      </c>
    </row>
    <row r="73" spans="1:7" ht="18" customHeight="1">
      <c r="B73" s="105"/>
      <c r="D73" s="91"/>
      <c r="E73" s="91"/>
      <c r="F73" s="18"/>
    </row>
    <row r="74" spans="1:7" ht="18" customHeight="1">
      <c r="A74" s="80" t="s">
        <v>92</v>
      </c>
      <c r="B74" s="80" t="s">
        <v>1227</v>
      </c>
      <c r="C74" s="80"/>
      <c r="D74" s="138" t="s">
        <v>1228</v>
      </c>
      <c r="E74" s="80" t="s">
        <v>738</v>
      </c>
      <c r="F74" s="80" t="s">
        <v>128</v>
      </c>
      <c r="G74" s="80" t="str">
        <f t="shared" ref="G74:G92" si="6">A74</f>
        <v>Line</v>
      </c>
    </row>
    <row r="75" spans="1:7" ht="18" customHeight="1">
      <c r="A75" s="597">
        <f>A72+1</f>
        <v>401</v>
      </c>
      <c r="B75" s="598" t="s">
        <v>449</v>
      </c>
      <c r="C75" s="80"/>
      <c r="D75" s="591">
        <v>-183605371</v>
      </c>
      <c r="E75" s="599"/>
      <c r="F75" s="563" t="s">
        <v>1857</v>
      </c>
      <c r="G75" s="91">
        <f t="shared" si="6"/>
        <v>401</v>
      </c>
    </row>
    <row r="76" spans="1:7" ht="18" customHeight="1">
      <c r="A76" s="597">
        <f>A75+1</f>
        <v>402</v>
      </c>
      <c r="B76" s="598" t="s">
        <v>451</v>
      </c>
      <c r="C76" s="80"/>
      <c r="D76" s="591">
        <v>-204779633</v>
      </c>
      <c r="E76" s="599"/>
      <c r="F76" s="687" t="s">
        <v>1858</v>
      </c>
      <c r="G76" s="91">
        <f t="shared" si="6"/>
        <v>402</v>
      </c>
    </row>
    <row r="77" spans="1:7" ht="18" customHeight="1">
      <c r="A77" s="597">
        <f t="shared" ref="A77:A90" si="7">A76+1</f>
        <v>403</v>
      </c>
      <c r="B77" s="598" t="s">
        <v>452</v>
      </c>
      <c r="C77" s="80"/>
      <c r="D77" s="591">
        <v>-222490105</v>
      </c>
      <c r="E77" s="599"/>
      <c r="F77" s="687" t="s">
        <v>1244</v>
      </c>
      <c r="G77" s="91">
        <f t="shared" si="6"/>
        <v>403</v>
      </c>
    </row>
    <row r="78" spans="1:7" ht="18" customHeight="1">
      <c r="A78" s="597">
        <f t="shared" si="7"/>
        <v>404</v>
      </c>
      <c r="B78" s="598" t="s">
        <v>453</v>
      </c>
      <c r="C78" s="80"/>
      <c r="D78" s="591">
        <v>-195553847</v>
      </c>
      <c r="E78" s="599"/>
      <c r="F78" s="599"/>
      <c r="G78" s="91">
        <f t="shared" si="6"/>
        <v>404</v>
      </c>
    </row>
    <row r="79" spans="1:7" ht="18" customHeight="1">
      <c r="A79" s="597">
        <f t="shared" si="7"/>
        <v>405</v>
      </c>
      <c r="B79" s="598" t="s">
        <v>454</v>
      </c>
      <c r="C79" s="80"/>
      <c r="D79" s="591">
        <v>-80017938</v>
      </c>
      <c r="E79" s="599"/>
      <c r="F79" s="599"/>
      <c r="G79" s="91">
        <f t="shared" si="6"/>
        <v>405</v>
      </c>
    </row>
    <row r="80" spans="1:7" ht="18" customHeight="1">
      <c r="A80" s="597">
        <f t="shared" si="7"/>
        <v>406</v>
      </c>
      <c r="B80" s="598" t="s">
        <v>455</v>
      </c>
      <c r="C80" s="80"/>
      <c r="D80" s="591">
        <v>-90634441</v>
      </c>
      <c r="E80" s="599"/>
      <c r="F80" s="599"/>
      <c r="G80" s="91">
        <f t="shared" si="6"/>
        <v>406</v>
      </c>
    </row>
    <row r="81" spans="1:7" ht="18" customHeight="1">
      <c r="A81" s="597">
        <f t="shared" si="7"/>
        <v>407</v>
      </c>
      <c r="B81" s="598" t="s">
        <v>737</v>
      </c>
      <c r="C81" s="80"/>
      <c r="D81" s="591">
        <v>-108738060</v>
      </c>
      <c r="E81" s="599"/>
      <c r="F81" s="599"/>
      <c r="G81" s="91">
        <f t="shared" si="6"/>
        <v>407</v>
      </c>
    </row>
    <row r="82" spans="1:7" ht="18" customHeight="1">
      <c r="A82" s="597">
        <f t="shared" si="7"/>
        <v>408</v>
      </c>
      <c r="B82" s="598" t="s">
        <v>457</v>
      </c>
      <c r="C82" s="80"/>
      <c r="D82" s="591">
        <v>-131383087</v>
      </c>
      <c r="E82" s="599"/>
      <c r="F82" s="599"/>
      <c r="G82" s="91">
        <f t="shared" si="6"/>
        <v>408</v>
      </c>
    </row>
    <row r="83" spans="1:7" ht="18" customHeight="1">
      <c r="A83" s="597">
        <f t="shared" si="7"/>
        <v>409</v>
      </c>
      <c r="B83" s="598" t="s">
        <v>458</v>
      </c>
      <c r="C83" s="80"/>
      <c r="D83" s="591">
        <v>-146932194</v>
      </c>
      <c r="E83" s="599"/>
      <c r="F83" s="599"/>
      <c r="G83" s="91">
        <f t="shared" si="6"/>
        <v>409</v>
      </c>
    </row>
    <row r="84" spans="1:7" ht="18" customHeight="1">
      <c r="A84" s="597">
        <f t="shared" si="7"/>
        <v>410</v>
      </c>
      <c r="B84" s="598" t="s">
        <v>459</v>
      </c>
      <c r="C84" s="80"/>
      <c r="D84" s="591">
        <v>-169739333</v>
      </c>
      <c r="E84" s="599"/>
      <c r="F84" s="599"/>
      <c r="G84" s="91">
        <f t="shared" si="6"/>
        <v>410</v>
      </c>
    </row>
    <row r="85" spans="1:7" ht="18" customHeight="1">
      <c r="A85" s="597">
        <f t="shared" si="7"/>
        <v>411</v>
      </c>
      <c r="B85" s="598" t="s">
        <v>460</v>
      </c>
      <c r="C85" s="80"/>
      <c r="D85" s="591">
        <v>-187067026</v>
      </c>
      <c r="E85" s="599"/>
      <c r="F85" s="599"/>
      <c r="G85" s="91">
        <f t="shared" si="6"/>
        <v>411</v>
      </c>
    </row>
    <row r="86" spans="1:7" ht="18" customHeight="1">
      <c r="A86" s="597">
        <f t="shared" si="7"/>
        <v>412</v>
      </c>
      <c r="B86" s="598" t="s">
        <v>461</v>
      </c>
      <c r="C86" s="80"/>
      <c r="D86" s="591">
        <v>-200679731</v>
      </c>
      <c r="E86" s="599"/>
      <c r="F86" s="599"/>
      <c r="G86" s="91">
        <f t="shared" si="6"/>
        <v>412</v>
      </c>
    </row>
    <row r="87" spans="1:7" ht="18" customHeight="1">
      <c r="A87" s="597">
        <f t="shared" si="7"/>
        <v>413</v>
      </c>
      <c r="B87" s="598" t="s">
        <v>449</v>
      </c>
      <c r="C87" s="80"/>
      <c r="D87" s="591">
        <v>-225918323</v>
      </c>
      <c r="E87" s="599"/>
      <c r="F87" s="599"/>
      <c r="G87" s="91">
        <f t="shared" si="6"/>
        <v>413</v>
      </c>
    </row>
    <row r="88" spans="1:7" ht="18" customHeight="1">
      <c r="A88" s="597">
        <f t="shared" si="7"/>
        <v>414</v>
      </c>
      <c r="B88" s="598" t="s">
        <v>738</v>
      </c>
      <c r="D88" s="598"/>
      <c r="E88" s="591">
        <f>AVERAGE(D75:D87)</f>
        <v>-165195314.53846154</v>
      </c>
      <c r="F88" s="600"/>
      <c r="G88" s="91">
        <f t="shared" si="6"/>
        <v>414</v>
      </c>
    </row>
    <row r="89" spans="1:7" ht="18" customHeight="1">
      <c r="A89" s="597">
        <f t="shared" si="7"/>
        <v>415</v>
      </c>
      <c r="B89" s="598" t="s">
        <v>611</v>
      </c>
      <c r="D89" s="591">
        <v>0</v>
      </c>
      <c r="E89" s="591">
        <v>0</v>
      </c>
      <c r="F89" s="600"/>
      <c r="G89" s="91">
        <f t="shared" si="6"/>
        <v>415</v>
      </c>
    </row>
    <row r="90" spans="1:7" ht="18" customHeight="1">
      <c r="A90" s="597">
        <f t="shared" si="7"/>
        <v>416</v>
      </c>
      <c r="B90" s="598" t="s">
        <v>1245</v>
      </c>
      <c r="D90" s="601">
        <v>0.24713118638183698</v>
      </c>
      <c r="E90" s="602">
        <f>D90</f>
        <v>0.24713118638183698</v>
      </c>
      <c r="F90" s="603" t="s">
        <v>1856</v>
      </c>
      <c r="G90" s="91">
        <f t="shared" si="6"/>
        <v>416</v>
      </c>
    </row>
    <row r="91" spans="1:7" ht="18" customHeight="1">
      <c r="A91" s="597"/>
      <c r="B91" s="598"/>
      <c r="D91" s="604"/>
      <c r="E91" s="605"/>
      <c r="F91" s="603"/>
      <c r="G91" s="91"/>
    </row>
    <row r="92" spans="1:7" ht="18" customHeight="1">
      <c r="A92" s="597">
        <f>A90+1</f>
        <v>417</v>
      </c>
      <c r="B92" s="596" t="s">
        <v>736</v>
      </c>
      <c r="C92" s="230" t="s">
        <v>1235</v>
      </c>
      <c r="D92" s="606">
        <f>(D87+D89)*D90</f>
        <v>-55831463.188385047</v>
      </c>
      <c r="E92" s="607">
        <f>(E88+E89)*E90</f>
        <v>-40824914.066610724</v>
      </c>
      <c r="F92" s="603" t="str">
        <f>"(Line "&amp;A88&amp;" + "&amp;A89&amp;" ) * Line "&amp;A90&amp;" "</f>
        <v xml:space="preserve">(Line 414 + 415 ) * Line 416 </v>
      </c>
      <c r="G92" s="91">
        <f t="shared" si="6"/>
        <v>417</v>
      </c>
    </row>
    <row r="93" spans="1:7" ht="18" customHeight="1">
      <c r="F93" s="18"/>
    </row>
    <row r="94" spans="1:7" ht="18" customHeight="1">
      <c r="B94" s="596" t="s">
        <v>119</v>
      </c>
      <c r="F94" s="18"/>
    </row>
    <row r="95" spans="1:7" ht="18" customHeight="1">
      <c r="F95" s="18"/>
    </row>
    <row r="96" spans="1:7" ht="18" customHeight="1">
      <c r="A96" s="80" t="s">
        <v>92</v>
      </c>
      <c r="B96" s="80" t="s">
        <v>1227</v>
      </c>
      <c r="C96" s="80"/>
      <c r="D96" s="138" t="s">
        <v>1228</v>
      </c>
      <c r="E96" s="80" t="s">
        <v>738</v>
      </c>
      <c r="F96" s="80" t="s">
        <v>128</v>
      </c>
      <c r="G96" s="80" t="str">
        <f t="shared" ref="G96:G97" si="8">A96</f>
        <v>Line</v>
      </c>
    </row>
    <row r="97" spans="1:7" ht="18" customHeight="1">
      <c r="A97" s="597" t="s">
        <v>119</v>
      </c>
      <c r="B97" s="598" t="s">
        <v>119</v>
      </c>
      <c r="C97" s="80"/>
      <c r="D97" s="591" t="s">
        <v>119</v>
      </c>
      <c r="E97" s="599" t="s">
        <v>119</v>
      </c>
      <c r="F97" s="599" t="s">
        <v>119</v>
      </c>
      <c r="G97" s="91" t="str">
        <f t="shared" si="8"/>
        <v>…</v>
      </c>
    </row>
    <row r="98" spans="1:7" ht="18" customHeight="1">
      <c r="F98" s="18"/>
    </row>
    <row r="99" spans="1:7">
      <c r="A99" s="91"/>
      <c r="D99" s="90"/>
      <c r="E99" s="562"/>
      <c r="F99" s="106"/>
      <c r="G99" s="91"/>
    </row>
    <row r="100" spans="1:7" ht="15" customHeight="1">
      <c r="B100" s="742" t="s">
        <v>1246</v>
      </c>
      <c r="C100" s="742"/>
      <c r="D100" s="742"/>
      <c r="E100" s="742"/>
      <c r="F100" s="742"/>
    </row>
    <row r="101" spans="1:7">
      <c r="B101" s="742"/>
      <c r="C101" s="742"/>
      <c r="D101" s="742"/>
      <c r="E101" s="742"/>
      <c r="F101" s="742"/>
    </row>
    <row r="102" spans="1:7" ht="15" customHeight="1">
      <c r="B102" s="727" t="s">
        <v>1247</v>
      </c>
      <c r="C102" s="727"/>
      <c r="D102" s="727"/>
      <c r="E102" s="727"/>
      <c r="F102" s="727"/>
    </row>
    <row r="103" spans="1:7">
      <c r="B103" s="727"/>
      <c r="C103" s="727"/>
      <c r="D103" s="727"/>
      <c r="E103" s="727"/>
      <c r="F103" s="727"/>
    </row>
    <row r="104" spans="1:7">
      <c r="B104" s="727"/>
      <c r="C104" s="727"/>
      <c r="D104" s="727"/>
      <c r="E104" s="727"/>
      <c r="F104" s="727"/>
    </row>
    <row r="105" spans="1:7">
      <c r="B105" s="727"/>
      <c r="C105" s="727"/>
      <c r="D105" s="727"/>
      <c r="E105" s="727"/>
      <c r="F105" s="727"/>
    </row>
    <row r="106" spans="1:7" ht="15" customHeight="1">
      <c r="B106" s="743" t="s">
        <v>1248</v>
      </c>
      <c r="C106" s="743"/>
      <c r="D106" s="743"/>
      <c r="E106" s="743"/>
      <c r="F106" s="743"/>
    </row>
    <row r="107" spans="1:7">
      <c r="B107" s="743"/>
      <c r="C107" s="743"/>
      <c r="D107" s="743"/>
      <c r="E107" s="743"/>
      <c r="F107" s="743"/>
    </row>
    <row r="108" spans="1:7">
      <c r="B108" s="523"/>
      <c r="C108" s="523"/>
      <c r="D108" s="523"/>
      <c r="E108" s="523"/>
      <c r="F108" s="523"/>
    </row>
    <row r="109" spans="1:7">
      <c r="B109" s="523"/>
      <c r="C109" s="523"/>
      <c r="D109" s="523"/>
      <c r="E109" s="523"/>
      <c r="F109" s="523"/>
    </row>
  </sheetData>
  <mergeCells count="4">
    <mergeCell ref="B100:F101"/>
    <mergeCell ref="B106:F107"/>
    <mergeCell ref="B4:F9"/>
    <mergeCell ref="B102:F105"/>
  </mergeCells>
  <printOptions horizontalCentered="1"/>
  <pageMargins left="1" right="1" top="1" bottom="1" header="0.5" footer="0.5"/>
  <pageSetup scale="58"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66" max="6" man="1"/>
  </rowBreaks>
  <customProperties>
    <customPr name="EpmWorksheetKeyString_GU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T72"/>
  <sheetViews>
    <sheetView view="pageBreakPreview" topLeftCell="A42" zoomScale="55" zoomScaleNormal="85" zoomScaleSheetLayoutView="55" zoomScalePageLayoutView="70" workbookViewId="0">
      <selection activeCell="D45" sqref="D45"/>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23" bestFit="1" customWidth="1"/>
    <col min="11" max="11" width="6.7265625" bestFit="1" customWidth="1"/>
  </cols>
  <sheetData>
    <row r="1" spans="1:20">
      <c r="B1" s="206" t="s">
        <v>47</v>
      </c>
      <c r="C1" s="195"/>
      <c r="D1" s="195"/>
      <c r="E1" s="6"/>
      <c r="G1" s="6"/>
      <c r="J1" s="6" t="str">
        <f>CONCATENATE("Prior Year: ",'1-DRR'!$K$2)</f>
        <v>Prior Year: 2022</v>
      </c>
    </row>
    <row r="2" spans="1:20">
      <c r="B2" s="78" t="s">
        <v>122</v>
      </c>
      <c r="C2" s="195"/>
      <c r="D2" s="195"/>
      <c r="E2" s="6"/>
      <c r="F2" s="6"/>
      <c r="G2" s="6"/>
    </row>
    <row r="3" spans="1:20">
      <c r="B3" s="195"/>
      <c r="C3" s="195"/>
      <c r="D3" s="195"/>
      <c r="E3" s="195"/>
      <c r="F3" s="195"/>
      <c r="G3" s="195"/>
    </row>
    <row r="4" spans="1:20" ht="15.75" customHeight="1">
      <c r="A4" s="196"/>
      <c r="B4" s="195" t="s">
        <v>1249</v>
      </c>
      <c r="C4" s="195"/>
      <c r="D4" s="195"/>
      <c r="E4" s="195"/>
      <c r="F4" s="195"/>
      <c r="G4" s="195"/>
      <c r="N4" s="744"/>
      <c r="O4" s="745"/>
      <c r="P4" s="745"/>
      <c r="Q4" s="745"/>
      <c r="R4" s="745"/>
      <c r="S4" s="745"/>
      <c r="T4" s="745"/>
    </row>
    <row r="5" spans="1:20">
      <c r="A5" s="196"/>
      <c r="B5" s="195" t="s">
        <v>1250</v>
      </c>
      <c r="C5" s="195"/>
      <c r="D5" s="195"/>
      <c r="E5" s="195"/>
      <c r="F5" s="195"/>
      <c r="G5" s="195"/>
    </row>
    <row r="6" spans="1:20">
      <c r="A6" s="196"/>
      <c r="B6" s="195" t="s">
        <v>1251</v>
      </c>
      <c r="C6" s="195"/>
      <c r="D6" s="195"/>
      <c r="E6" s="195"/>
      <c r="F6" s="195"/>
      <c r="G6" s="195"/>
    </row>
    <row r="7" spans="1:20">
      <c r="A7" s="196"/>
      <c r="B7" s="195"/>
      <c r="C7" s="195"/>
      <c r="D7" s="195"/>
      <c r="E7" s="195"/>
      <c r="F7" s="195"/>
      <c r="G7" s="195"/>
    </row>
    <row r="8" spans="1:20">
      <c r="A8" s="196"/>
      <c r="B8" s="195" t="s">
        <v>1252</v>
      </c>
      <c r="C8" s="195"/>
      <c r="D8" s="195"/>
      <c r="E8" s="195"/>
      <c r="F8" s="195"/>
      <c r="G8" s="195"/>
    </row>
    <row r="9" spans="1:20">
      <c r="A9" s="196"/>
      <c r="B9" s="195" t="s">
        <v>1253</v>
      </c>
      <c r="C9" s="195"/>
      <c r="D9" s="195"/>
      <c r="E9" s="195"/>
      <c r="F9" s="195"/>
      <c r="G9" s="195"/>
    </row>
    <row r="10" spans="1:20">
      <c r="A10" s="196"/>
      <c r="B10" s="195"/>
      <c r="C10" s="195"/>
      <c r="D10" s="195"/>
      <c r="E10" s="195"/>
      <c r="F10" s="195"/>
      <c r="G10" s="195"/>
    </row>
    <row r="11" spans="1:20">
      <c r="A11" s="196"/>
      <c r="B11" s="195" t="s">
        <v>1254</v>
      </c>
      <c r="C11" s="195"/>
      <c r="D11" s="195"/>
      <c r="E11" s="195"/>
      <c r="F11" s="195"/>
      <c r="G11" s="195"/>
    </row>
    <row r="12" spans="1:20">
      <c r="A12" s="196"/>
      <c r="B12" s="195" t="s">
        <v>1255</v>
      </c>
      <c r="C12" s="195"/>
      <c r="D12" s="195"/>
      <c r="E12" s="195"/>
      <c r="F12" s="195"/>
      <c r="G12" s="195"/>
    </row>
    <row r="13" spans="1:20">
      <c r="A13" s="196"/>
      <c r="B13" s="195" t="s">
        <v>1256</v>
      </c>
      <c r="C13" s="195"/>
      <c r="D13" s="195"/>
      <c r="E13" s="195"/>
      <c r="F13" s="195"/>
      <c r="G13" s="195"/>
    </row>
    <row r="14" spans="1:20">
      <c r="A14" s="196"/>
      <c r="B14" s="195"/>
      <c r="C14" s="195"/>
      <c r="D14" s="195"/>
      <c r="E14" s="195"/>
      <c r="F14" s="195"/>
      <c r="G14" s="195"/>
    </row>
    <row r="15" spans="1:20">
      <c r="A15" s="196"/>
      <c r="B15" s="45" t="s">
        <v>1257</v>
      </c>
      <c r="C15" s="43"/>
      <c r="D15" s="43"/>
      <c r="E15" s="43"/>
      <c r="F15" s="43"/>
      <c r="G15" s="43"/>
    </row>
    <row r="16" spans="1:20">
      <c r="A16" s="196"/>
      <c r="B16" s="206" t="s">
        <v>329</v>
      </c>
      <c r="C16" s="195"/>
      <c r="D16" s="195"/>
      <c r="E16" s="195"/>
      <c r="F16" s="195"/>
      <c r="G16" s="195"/>
    </row>
    <row r="17" spans="1:11">
      <c r="A17" s="196"/>
      <c r="B17" s="195" t="s">
        <v>1258</v>
      </c>
      <c r="C17" s="195"/>
      <c r="D17" s="195"/>
      <c r="E17" s="195"/>
      <c r="F17" s="195"/>
      <c r="G17" s="195"/>
    </row>
    <row r="18" spans="1:11">
      <c r="A18" s="196"/>
      <c r="B18" s="195" t="s">
        <v>1259</v>
      </c>
    </row>
    <row r="19" spans="1:11">
      <c r="A19" s="196"/>
      <c r="B19" s="209" t="s">
        <v>1260</v>
      </c>
    </row>
    <row r="20" spans="1:11">
      <c r="A20" s="196"/>
      <c r="B20" s="209" t="s">
        <v>1261</v>
      </c>
      <c r="E20" s="8"/>
    </row>
    <row r="21" spans="1:11">
      <c r="A21" s="196"/>
      <c r="B21" s="195" t="s">
        <v>1262</v>
      </c>
    </row>
    <row r="22" spans="1:11">
      <c r="A22" s="196"/>
      <c r="B22" s="195"/>
    </row>
    <row r="23" spans="1:11">
      <c r="A23" s="196"/>
      <c r="B23" s="195"/>
      <c r="C23" s="195"/>
      <c r="D23" s="195"/>
      <c r="E23" s="196" t="s">
        <v>432</v>
      </c>
      <c r="F23" s="195"/>
      <c r="G23" s="195"/>
    </row>
    <row r="24" spans="1:11">
      <c r="A24" s="201" t="s">
        <v>92</v>
      </c>
      <c r="B24" s="195"/>
      <c r="C24" s="195"/>
      <c r="D24" s="195"/>
      <c r="E24" s="201" t="s">
        <v>554</v>
      </c>
      <c r="F24" s="208" t="s">
        <v>1263</v>
      </c>
      <c r="G24" s="208"/>
      <c r="K24" s="201" t="str">
        <f>A24</f>
        <v>Line</v>
      </c>
    </row>
    <row r="25" spans="1:11">
      <c r="A25" s="196">
        <v>100</v>
      </c>
      <c r="B25" s="195" t="s">
        <v>1264</v>
      </c>
      <c r="C25" s="195"/>
      <c r="D25" s="195"/>
      <c r="E25" s="324">
        <f>+D34</f>
        <v>0</v>
      </c>
      <c r="F25" s="195" t="s">
        <v>1265</v>
      </c>
      <c r="G25" s="195"/>
      <c r="K25" s="196">
        <f>A25</f>
        <v>100</v>
      </c>
    </row>
    <row r="26" spans="1:11">
      <c r="A26" s="196">
        <f>A25+1</f>
        <v>101</v>
      </c>
      <c r="B26" s="195" t="s">
        <v>1266</v>
      </c>
      <c r="C26" s="195"/>
      <c r="D26" s="195"/>
      <c r="E26" s="324">
        <f>AVERAGE(C34:D34)</f>
        <v>0</v>
      </c>
      <c r="F26" s="195" t="s">
        <v>1267</v>
      </c>
      <c r="G26" s="195"/>
      <c r="K26" s="196">
        <f>A26</f>
        <v>101</v>
      </c>
    </row>
    <row r="27" spans="1:11">
      <c r="A27" s="196">
        <f>A26+1</f>
        <v>102</v>
      </c>
      <c r="B27" s="195" t="s">
        <v>1268</v>
      </c>
      <c r="C27" s="195"/>
      <c r="D27" s="195"/>
      <c r="E27" s="324">
        <f>+E34</f>
        <v>0</v>
      </c>
      <c r="F27" s="195" t="s">
        <v>1269</v>
      </c>
      <c r="G27" s="195"/>
      <c r="K27" s="196">
        <f>A27</f>
        <v>102</v>
      </c>
    </row>
    <row r="28" spans="1:11">
      <c r="A28" s="196"/>
      <c r="B28" s="195"/>
      <c r="C28" s="195"/>
      <c r="D28" s="195"/>
      <c r="E28" s="202"/>
      <c r="F28" s="195"/>
      <c r="G28" s="195"/>
      <c r="K28" s="196"/>
    </row>
    <row r="29" spans="1:11">
      <c r="A29" s="196"/>
      <c r="B29" s="195"/>
      <c r="C29" s="207" t="s">
        <v>1270</v>
      </c>
      <c r="D29" s="207" t="s">
        <v>1271</v>
      </c>
      <c r="E29" s="207" t="s">
        <v>1272</v>
      </c>
      <c r="F29" s="195"/>
      <c r="G29" s="195"/>
      <c r="K29" s="196"/>
    </row>
    <row r="30" spans="1:11">
      <c r="A30" s="196"/>
      <c r="B30" s="195"/>
      <c r="C30" s="196" t="s">
        <v>432</v>
      </c>
      <c r="D30" s="196" t="s">
        <v>432</v>
      </c>
      <c r="E30" s="196" t="s">
        <v>432</v>
      </c>
      <c r="F30" s="195"/>
      <c r="G30" s="195"/>
      <c r="K30" s="196"/>
    </row>
    <row r="31" spans="1:11">
      <c r="A31" s="196"/>
      <c r="B31" s="196" t="s">
        <v>1273</v>
      </c>
      <c r="C31" s="196" t="s">
        <v>1274</v>
      </c>
      <c r="D31" s="196" t="s">
        <v>1225</v>
      </c>
      <c r="E31" s="2" t="s">
        <v>1275</v>
      </c>
      <c r="F31" s="206" t="s">
        <v>1276</v>
      </c>
      <c r="G31" s="206"/>
      <c r="K31" s="196"/>
    </row>
    <row r="32" spans="1:11">
      <c r="A32" s="201"/>
      <c r="B32" s="196" t="s">
        <v>1277</v>
      </c>
      <c r="C32" s="196" t="s">
        <v>1278</v>
      </c>
      <c r="D32" s="196" t="s">
        <v>1278</v>
      </c>
      <c r="E32" s="196" t="s">
        <v>1279</v>
      </c>
      <c r="F32" s="206" t="s">
        <v>1280</v>
      </c>
      <c r="G32" s="206"/>
      <c r="K32" s="196"/>
    </row>
    <row r="33" spans="1:11">
      <c r="A33" s="201" t="s">
        <v>92</v>
      </c>
      <c r="B33" s="201" t="s">
        <v>1281</v>
      </c>
      <c r="C33" s="201" t="s">
        <v>1281</v>
      </c>
      <c r="D33" s="201" t="s">
        <v>1281</v>
      </c>
      <c r="E33" s="201" t="s">
        <v>1282</v>
      </c>
      <c r="F33" s="205" t="s">
        <v>1283</v>
      </c>
      <c r="G33" s="201" t="s">
        <v>128</v>
      </c>
      <c r="K33" s="201" t="str">
        <f>A33</f>
        <v>Line</v>
      </c>
    </row>
    <row r="34" spans="1:11" ht="15" thickBot="1">
      <c r="A34" s="204">
        <f>A27+1</f>
        <v>103</v>
      </c>
      <c r="B34" s="203" t="s">
        <v>1284</v>
      </c>
      <c r="C34" s="608">
        <f>SUM(C36:C39)</f>
        <v>0</v>
      </c>
      <c r="D34" s="608">
        <f>SUM(D36:D39)</f>
        <v>0</v>
      </c>
      <c r="E34" s="609">
        <f>SUM(E36:E39)</f>
        <v>0</v>
      </c>
      <c r="F34" s="203"/>
      <c r="G34" s="203"/>
      <c r="K34" s="196">
        <f>A34</f>
        <v>103</v>
      </c>
    </row>
    <row r="35" spans="1:11" ht="15" thickTop="1">
      <c r="A35" s="196"/>
      <c r="B35" s="195"/>
      <c r="C35" s="202"/>
      <c r="D35" s="202"/>
      <c r="E35" s="202"/>
      <c r="F35" s="195"/>
      <c r="G35" s="195"/>
      <c r="K35" s="201"/>
    </row>
    <row r="36" spans="1:11">
      <c r="A36" s="196">
        <f>A34+1</f>
        <v>104</v>
      </c>
      <c r="B36" s="197" t="s">
        <v>1285</v>
      </c>
      <c r="C36" s="322"/>
      <c r="D36" s="322"/>
      <c r="E36" s="199"/>
      <c r="F36" s="197"/>
      <c r="G36" s="197"/>
      <c r="K36" s="196">
        <f>A36</f>
        <v>104</v>
      </c>
    </row>
    <row r="37" spans="1:11">
      <c r="A37" s="196">
        <f>A36+1</f>
        <v>105</v>
      </c>
      <c r="B37" s="197" t="s">
        <v>1286</v>
      </c>
      <c r="C37" s="322"/>
      <c r="D37" s="322"/>
      <c r="E37" s="199"/>
      <c r="F37" s="197"/>
      <c r="G37" s="197"/>
      <c r="K37" s="196">
        <f>A37</f>
        <v>105</v>
      </c>
    </row>
    <row r="38" spans="1:11">
      <c r="A38" s="196">
        <f t="shared" ref="A38:A39" si="0">A37+1</f>
        <v>106</v>
      </c>
      <c r="B38" s="197" t="s">
        <v>1287</v>
      </c>
      <c r="C38" s="323"/>
      <c r="D38" s="322"/>
      <c r="E38" s="198"/>
      <c r="F38" s="197"/>
      <c r="G38" s="197"/>
      <c r="K38" s="196">
        <f>A38</f>
        <v>106</v>
      </c>
    </row>
    <row r="39" spans="1:11">
      <c r="A39" s="196">
        <f t="shared" si="0"/>
        <v>107</v>
      </c>
      <c r="B39" s="200" t="s">
        <v>596</v>
      </c>
      <c r="C39" s="323"/>
      <c r="D39" s="322"/>
      <c r="E39" s="198"/>
      <c r="F39" s="197"/>
      <c r="G39" s="197"/>
      <c r="K39" s="196">
        <f>A39</f>
        <v>107</v>
      </c>
    </row>
    <row r="40" spans="1:11">
      <c r="A40" s="196"/>
      <c r="B40" s="195"/>
      <c r="C40" s="195"/>
      <c r="D40" s="195"/>
      <c r="E40" s="195"/>
      <c r="F40" s="195"/>
      <c r="G40" s="195"/>
      <c r="H40" s="196"/>
    </row>
    <row r="41" spans="1:11">
      <c r="A41" s="196"/>
    </row>
    <row r="42" spans="1:11">
      <c r="A42" s="196"/>
      <c r="B42" s="195"/>
    </row>
    <row r="43" spans="1:11">
      <c r="A43" s="91"/>
      <c r="B43" s="79" t="s">
        <v>1288</v>
      </c>
      <c r="C43" s="117"/>
      <c r="D43" s="185"/>
      <c r="E43" s="185"/>
      <c r="F43" s="181"/>
      <c r="G43" s="181"/>
      <c r="H43" s="181"/>
      <c r="I43" s="186"/>
      <c r="J43" s="103"/>
    </row>
    <row r="44" spans="1:11">
      <c r="A44" s="91"/>
      <c r="B44" s="105"/>
      <c r="C44" s="114"/>
      <c r="D44" s="223"/>
      <c r="E44" s="223"/>
      <c r="F44" s="170"/>
      <c r="G44" s="170"/>
      <c r="H44" s="170"/>
      <c r="I44" s="9"/>
      <c r="J44" s="8"/>
    </row>
    <row r="45" spans="1:11">
      <c r="A45" s="80" t="s">
        <v>92</v>
      </c>
      <c r="B45" s="3" t="s">
        <v>7</v>
      </c>
      <c r="C45" s="3" t="s">
        <v>507</v>
      </c>
      <c r="D45" s="118" t="s">
        <v>128</v>
      </c>
      <c r="E45" s="223"/>
      <c r="F45" s="170"/>
      <c r="G45" s="170"/>
      <c r="H45" s="170"/>
      <c r="I45" s="9"/>
      <c r="J45" s="8"/>
      <c r="K45" s="80" t="s">
        <v>92</v>
      </c>
    </row>
    <row r="46" spans="1:11" ht="43.5">
      <c r="A46" s="91">
        <v>200</v>
      </c>
      <c r="B46" s="327" t="s">
        <v>1289</v>
      </c>
      <c r="C46" s="251">
        <f>'17-RegAssets-2'!AP22</f>
        <v>-1442593783.2053504</v>
      </c>
      <c r="D46" s="328" t="s">
        <v>1290</v>
      </c>
      <c r="E46" s="223"/>
      <c r="F46" s="170"/>
      <c r="G46" s="170"/>
      <c r="H46" s="170"/>
      <c r="I46" s="9"/>
      <c r="J46" s="8"/>
      <c r="K46" s="91">
        <f>A46</f>
        <v>200</v>
      </c>
    </row>
    <row r="47" spans="1:11" ht="29">
      <c r="A47" s="91">
        <f>A46+1</f>
        <v>201</v>
      </c>
      <c r="B47" s="327" t="s">
        <v>1291</v>
      </c>
      <c r="C47" s="252">
        <f>'17-RegAssets-2'!BD22</f>
        <v>-1406718571.7271471</v>
      </c>
      <c r="D47" s="328" t="s">
        <v>1292</v>
      </c>
      <c r="E47" s="223"/>
      <c r="F47" s="170"/>
      <c r="G47" s="170"/>
      <c r="H47" s="170"/>
      <c r="I47" s="9"/>
      <c r="J47" s="8"/>
      <c r="K47" s="91">
        <f t="shared" ref="K47:K48" si="1">A47</f>
        <v>201</v>
      </c>
    </row>
    <row r="48" spans="1:11">
      <c r="A48" s="91">
        <f>A47+1</f>
        <v>202</v>
      </c>
      <c r="B48" s="230" t="s">
        <v>1293</v>
      </c>
      <c r="C48" s="325">
        <f>J69</f>
        <v>-1425974878.1621368</v>
      </c>
      <c r="D48" s="326" t="s">
        <v>1294</v>
      </c>
      <c r="E48" s="223"/>
      <c r="F48" s="170"/>
      <c r="G48" s="170"/>
      <c r="H48" s="170"/>
      <c r="I48" s="9"/>
      <c r="J48" s="8"/>
      <c r="K48" s="91">
        <f t="shared" si="1"/>
        <v>202</v>
      </c>
    </row>
    <row r="49" spans="1:11">
      <c r="A49" s="91"/>
      <c r="B49" s="105"/>
      <c r="C49" s="114"/>
      <c r="D49" s="223"/>
      <c r="E49" s="223"/>
      <c r="F49" s="170"/>
      <c r="G49" s="170"/>
      <c r="H49" s="170"/>
      <c r="I49" s="9"/>
      <c r="J49" s="8"/>
      <c r="K49" s="91"/>
    </row>
    <row r="50" spans="1:11">
      <c r="A50" s="91"/>
      <c r="B50" s="8"/>
      <c r="C50" s="83" t="s">
        <v>124</v>
      </c>
      <c r="D50" s="83" t="s">
        <v>125</v>
      </c>
      <c r="E50" s="83" t="s">
        <v>126</v>
      </c>
      <c r="F50" s="83" t="s">
        <v>127</v>
      </c>
      <c r="G50" s="83" t="s">
        <v>420</v>
      </c>
      <c r="H50" s="83" t="s">
        <v>421</v>
      </c>
      <c r="I50" s="83" t="s">
        <v>422</v>
      </c>
      <c r="J50" s="83" t="s">
        <v>423</v>
      </c>
      <c r="K50" s="91"/>
    </row>
    <row r="51" spans="1:11">
      <c r="A51" s="91"/>
      <c r="B51" s="8"/>
      <c r="C51" s="114"/>
      <c r="D51" s="187" t="s">
        <v>1176</v>
      </c>
      <c r="E51" s="187" t="s">
        <v>1177</v>
      </c>
      <c r="F51" s="171"/>
      <c r="G51" s="171"/>
      <c r="H51" s="187" t="s">
        <v>1178</v>
      </c>
      <c r="I51" s="84" t="s">
        <v>1179</v>
      </c>
      <c r="J51" s="187" t="s">
        <v>1180</v>
      </c>
      <c r="K51" s="91"/>
    </row>
    <row r="52" spans="1:11">
      <c r="A52" s="91"/>
      <c r="B52" s="8"/>
      <c r="C52" s="114"/>
      <c r="D52" s="175"/>
      <c r="E52" s="175"/>
      <c r="F52" s="171"/>
      <c r="G52" s="171"/>
      <c r="H52" s="171"/>
      <c r="I52" s="9"/>
      <c r="J52" s="8"/>
      <c r="K52" s="91"/>
    </row>
    <row r="53" spans="1:11">
      <c r="A53" s="91"/>
      <c r="B53" s="8"/>
      <c r="C53" s="118"/>
      <c r="D53" s="187" t="s">
        <v>1181</v>
      </c>
      <c r="E53" s="187" t="s">
        <v>1182</v>
      </c>
      <c r="F53" s="187"/>
      <c r="G53" s="187" t="s">
        <v>1183</v>
      </c>
      <c r="H53" s="187" t="s">
        <v>1184</v>
      </c>
      <c r="I53" s="91" t="s">
        <v>1185</v>
      </c>
      <c r="J53" s="91" t="s">
        <v>1186</v>
      </c>
      <c r="K53" s="91"/>
    </row>
    <row r="54" spans="1:11">
      <c r="A54" s="80" t="s">
        <v>92</v>
      </c>
      <c r="B54" s="80" t="s">
        <v>441</v>
      </c>
      <c r="C54" s="118" t="s">
        <v>1187</v>
      </c>
      <c r="D54" s="189" t="s">
        <v>1188</v>
      </c>
      <c r="E54" s="189" t="s">
        <v>1189</v>
      </c>
      <c r="F54" s="189" t="s">
        <v>1190</v>
      </c>
      <c r="G54" s="189" t="s">
        <v>1191</v>
      </c>
      <c r="H54" s="189" t="s">
        <v>1192</v>
      </c>
      <c r="I54" s="80" t="s">
        <v>1193</v>
      </c>
      <c r="J54" s="80" t="s">
        <v>1194</v>
      </c>
      <c r="K54" s="80" t="str">
        <f t="shared" ref="K54:K69" si="2">A54</f>
        <v>Line</v>
      </c>
    </row>
    <row r="55" spans="1:11" ht="29">
      <c r="A55" s="91">
        <f>A48+1</f>
        <v>203</v>
      </c>
      <c r="B55" s="8"/>
      <c r="C55" s="190" t="s">
        <v>1295</v>
      </c>
      <c r="D55" s="250"/>
      <c r="E55" s="124">
        <f>+C46</f>
        <v>-1442593783.2053504</v>
      </c>
      <c r="F55" s="171"/>
      <c r="G55" s="34">
        <f>+G56+F56-G67</f>
        <v>365</v>
      </c>
      <c r="H55" s="191">
        <f>1</f>
        <v>1</v>
      </c>
      <c r="I55" s="192"/>
      <c r="J55" s="252">
        <f>+E55</f>
        <v>-1442593783.2053504</v>
      </c>
      <c r="K55" s="91">
        <f t="shared" si="2"/>
        <v>203</v>
      </c>
    </row>
    <row r="56" spans="1:11">
      <c r="A56" s="91">
        <f t="shared" ref="A56:A69" si="3">A55+1</f>
        <v>204</v>
      </c>
      <c r="B56" s="18">
        <f>'1-DRR'!$K$2</f>
        <v>2022</v>
      </c>
      <c r="C56" s="190" t="s">
        <v>451</v>
      </c>
      <c r="D56" s="124">
        <f>(-$C$46+$C$47)/12</f>
        <v>2989600.9565169415</v>
      </c>
      <c r="E56" s="124">
        <f t="shared" ref="E56:E67" si="4">E55+D56</f>
        <v>-1439604182.2488334</v>
      </c>
      <c r="F56" s="34">
        <v>31</v>
      </c>
      <c r="G56" s="34">
        <f t="shared" ref="G56:G65" si="5">+G57+F57</f>
        <v>335</v>
      </c>
      <c r="H56" s="191">
        <f>G56/G55</f>
        <v>0.9178082191780822</v>
      </c>
      <c r="I56" s="251">
        <f t="shared" ref="I56:I67" si="6">D56*H56</f>
        <v>2743880.3299539052</v>
      </c>
      <c r="J56" s="128">
        <f t="shared" ref="J56:J67" si="7">J55+I56</f>
        <v>-1439849902.8753965</v>
      </c>
      <c r="K56" s="91">
        <f t="shared" si="2"/>
        <v>204</v>
      </c>
    </row>
    <row r="57" spans="1:11">
      <c r="A57" s="91">
        <f t="shared" si="3"/>
        <v>205</v>
      </c>
      <c r="B57" s="18">
        <f>'1-DRR'!$K$2</f>
        <v>2022</v>
      </c>
      <c r="C57" s="190" t="s">
        <v>452</v>
      </c>
      <c r="D57" s="124">
        <f t="shared" ref="D57:D67" si="8">(-$C$46+$C$47)/12</f>
        <v>2989600.9565169415</v>
      </c>
      <c r="E57" s="124">
        <f t="shared" si="4"/>
        <v>-1436614581.2923164</v>
      </c>
      <c r="F57" s="190">
        <f>IF(OR(MOD(RIGHT($J$1,4),400)=0,AND(MOD(RIGHT($J$1,4),4)=0,MOD(RIGHT($J$1,4),100)&lt;&gt;0)),29,28)</f>
        <v>28</v>
      </c>
      <c r="G57" s="34">
        <f t="shared" si="5"/>
        <v>307</v>
      </c>
      <c r="H57" s="191">
        <f>G57/G55</f>
        <v>0.84109589041095889</v>
      </c>
      <c r="I57" s="251">
        <f t="shared" si="6"/>
        <v>2514541.0784950713</v>
      </c>
      <c r="J57" s="128">
        <f t="shared" si="7"/>
        <v>-1437335361.7969015</v>
      </c>
      <c r="K57" s="91">
        <f t="shared" si="2"/>
        <v>205</v>
      </c>
    </row>
    <row r="58" spans="1:11">
      <c r="A58" s="91">
        <f t="shared" si="3"/>
        <v>206</v>
      </c>
      <c r="B58" s="18">
        <f>'1-DRR'!$K$2</f>
        <v>2022</v>
      </c>
      <c r="C58" s="190" t="s">
        <v>453</v>
      </c>
      <c r="D58" s="124">
        <f t="shared" si="8"/>
        <v>2989600.9565169415</v>
      </c>
      <c r="E58" s="124">
        <f t="shared" si="4"/>
        <v>-1433624980.3357995</v>
      </c>
      <c r="F58" s="34">
        <v>31</v>
      </c>
      <c r="G58" s="34">
        <f t="shared" si="5"/>
        <v>276</v>
      </c>
      <c r="H58" s="191">
        <f>G58/G55</f>
        <v>0.75616438356164384</v>
      </c>
      <c r="I58" s="251">
        <f t="shared" si="6"/>
        <v>2260629.7643799339</v>
      </c>
      <c r="J58" s="128">
        <f t="shared" si="7"/>
        <v>-1435074732.0325215</v>
      </c>
      <c r="K58" s="91">
        <f t="shared" si="2"/>
        <v>206</v>
      </c>
    </row>
    <row r="59" spans="1:11">
      <c r="A59" s="91">
        <f t="shared" si="3"/>
        <v>207</v>
      </c>
      <c r="B59" s="18">
        <f>'1-DRR'!$K$2</f>
        <v>2022</v>
      </c>
      <c r="C59" s="190" t="s">
        <v>454</v>
      </c>
      <c r="D59" s="124">
        <f t="shared" si="8"/>
        <v>2989600.9565169415</v>
      </c>
      <c r="E59" s="124">
        <f t="shared" si="4"/>
        <v>-1430635379.3792825</v>
      </c>
      <c r="F59" s="34">
        <v>30</v>
      </c>
      <c r="G59" s="34">
        <f t="shared" si="5"/>
        <v>246</v>
      </c>
      <c r="H59" s="191">
        <f>G59/G55</f>
        <v>0.67397260273972603</v>
      </c>
      <c r="I59" s="251">
        <f t="shared" si="6"/>
        <v>2014909.1378168976</v>
      </c>
      <c r="J59" s="128">
        <f t="shared" si="7"/>
        <v>-1433059822.8947046</v>
      </c>
      <c r="K59" s="91">
        <f t="shared" si="2"/>
        <v>207</v>
      </c>
    </row>
    <row r="60" spans="1:11">
      <c r="A60" s="91">
        <f t="shared" si="3"/>
        <v>208</v>
      </c>
      <c r="B60" s="18">
        <f>'1-DRR'!$K$2</f>
        <v>2022</v>
      </c>
      <c r="C60" s="190" t="s">
        <v>455</v>
      </c>
      <c r="D60" s="124">
        <f t="shared" si="8"/>
        <v>2989600.9565169415</v>
      </c>
      <c r="E60" s="124">
        <f t="shared" si="4"/>
        <v>-1427645778.4227655</v>
      </c>
      <c r="F60" s="34">
        <v>31</v>
      </c>
      <c r="G60" s="34">
        <f t="shared" si="5"/>
        <v>215</v>
      </c>
      <c r="H60" s="191">
        <f>G60/G55</f>
        <v>0.58904109589041098</v>
      </c>
      <c r="I60" s="251">
        <f t="shared" si="6"/>
        <v>1760997.8237017603</v>
      </c>
      <c r="J60" s="128">
        <f t="shared" si="7"/>
        <v>-1431298825.0710027</v>
      </c>
      <c r="K60" s="91">
        <f t="shared" si="2"/>
        <v>208</v>
      </c>
    </row>
    <row r="61" spans="1:11">
      <c r="A61" s="91">
        <f t="shared" si="3"/>
        <v>209</v>
      </c>
      <c r="B61" s="18">
        <f>'1-DRR'!$K$2</f>
        <v>2022</v>
      </c>
      <c r="C61" s="190" t="s">
        <v>737</v>
      </c>
      <c r="D61" s="124">
        <f t="shared" si="8"/>
        <v>2989600.9565169415</v>
      </c>
      <c r="E61" s="124">
        <f t="shared" si="4"/>
        <v>-1424656177.4662485</v>
      </c>
      <c r="F61" s="34">
        <v>30</v>
      </c>
      <c r="G61" s="34">
        <f t="shared" si="5"/>
        <v>185</v>
      </c>
      <c r="H61" s="191">
        <f>G61/G55</f>
        <v>0.50684931506849318</v>
      </c>
      <c r="I61" s="251">
        <f t="shared" si="6"/>
        <v>1515277.1971387239</v>
      </c>
      <c r="J61" s="128">
        <f t="shared" si="7"/>
        <v>-1429783547.8738639</v>
      </c>
      <c r="K61" s="91">
        <f t="shared" si="2"/>
        <v>209</v>
      </c>
    </row>
    <row r="62" spans="1:11">
      <c r="A62" s="91">
        <f t="shared" si="3"/>
        <v>210</v>
      </c>
      <c r="B62" s="18">
        <f>'1-DRR'!$K$2</f>
        <v>2022</v>
      </c>
      <c r="C62" s="190" t="s">
        <v>457</v>
      </c>
      <c r="D62" s="124">
        <f t="shared" si="8"/>
        <v>2989600.9565169415</v>
      </c>
      <c r="E62" s="124">
        <f t="shared" si="4"/>
        <v>-1421666576.5097315</v>
      </c>
      <c r="F62" s="34">
        <v>31</v>
      </c>
      <c r="G62" s="34">
        <f t="shared" si="5"/>
        <v>154</v>
      </c>
      <c r="H62" s="191">
        <f>G62/G55</f>
        <v>0.42191780821917807</v>
      </c>
      <c r="I62" s="251">
        <f t="shared" si="6"/>
        <v>1261365.8830235864</v>
      </c>
      <c r="J62" s="128">
        <f t="shared" si="7"/>
        <v>-1428522181.9908404</v>
      </c>
      <c r="K62" s="91">
        <f t="shared" si="2"/>
        <v>210</v>
      </c>
    </row>
    <row r="63" spans="1:11">
      <c r="A63" s="91">
        <f t="shared" si="3"/>
        <v>211</v>
      </c>
      <c r="B63" s="18">
        <f>'1-DRR'!$K$2</f>
        <v>2022</v>
      </c>
      <c r="C63" s="190" t="s">
        <v>458</v>
      </c>
      <c r="D63" s="124">
        <f t="shared" si="8"/>
        <v>2989600.9565169415</v>
      </c>
      <c r="E63" s="124">
        <f t="shared" si="4"/>
        <v>-1418676975.5532146</v>
      </c>
      <c r="F63" s="34">
        <v>31</v>
      </c>
      <c r="G63" s="34">
        <f t="shared" si="5"/>
        <v>123</v>
      </c>
      <c r="H63" s="191">
        <f>G63/G55</f>
        <v>0.33698630136986302</v>
      </c>
      <c r="I63" s="251">
        <f t="shared" si="6"/>
        <v>1007454.5689084488</v>
      </c>
      <c r="J63" s="128">
        <f t="shared" si="7"/>
        <v>-1427514727.421932</v>
      </c>
      <c r="K63" s="91">
        <f t="shared" si="2"/>
        <v>211</v>
      </c>
    </row>
    <row r="64" spans="1:11">
      <c r="A64" s="91">
        <f t="shared" si="3"/>
        <v>212</v>
      </c>
      <c r="B64" s="18">
        <f>'1-DRR'!$K$2</f>
        <v>2022</v>
      </c>
      <c r="C64" s="190" t="s">
        <v>459</v>
      </c>
      <c r="D64" s="124">
        <f t="shared" si="8"/>
        <v>2989600.9565169415</v>
      </c>
      <c r="E64" s="124">
        <f t="shared" si="4"/>
        <v>-1415687374.5966976</v>
      </c>
      <c r="F64" s="34">
        <v>30</v>
      </c>
      <c r="G64" s="34">
        <f t="shared" si="5"/>
        <v>93</v>
      </c>
      <c r="H64" s="191">
        <f>G64/G55</f>
        <v>0.25479452054794521</v>
      </c>
      <c r="I64" s="251">
        <f t="shared" si="6"/>
        <v>761733.94234541256</v>
      </c>
      <c r="J64" s="128">
        <f t="shared" si="7"/>
        <v>-1426752993.4795866</v>
      </c>
      <c r="K64" s="91">
        <f t="shared" si="2"/>
        <v>212</v>
      </c>
    </row>
    <row r="65" spans="1:11">
      <c r="A65" s="91">
        <f t="shared" si="3"/>
        <v>213</v>
      </c>
      <c r="B65" s="18">
        <f>'1-DRR'!$K$2</f>
        <v>2022</v>
      </c>
      <c r="C65" s="190" t="s">
        <v>460</v>
      </c>
      <c r="D65" s="124">
        <f t="shared" si="8"/>
        <v>2989600.9565169415</v>
      </c>
      <c r="E65" s="124">
        <f t="shared" si="4"/>
        <v>-1412697773.6401806</v>
      </c>
      <c r="F65" s="34">
        <v>31</v>
      </c>
      <c r="G65" s="34">
        <f t="shared" si="5"/>
        <v>62</v>
      </c>
      <c r="H65" s="191">
        <f>G65/G55</f>
        <v>0.16986301369863013</v>
      </c>
      <c r="I65" s="251">
        <f t="shared" si="6"/>
        <v>507822.628230275</v>
      </c>
      <c r="J65" s="128">
        <f t="shared" si="7"/>
        <v>-1426245170.8513563</v>
      </c>
      <c r="K65" s="91">
        <f t="shared" si="2"/>
        <v>213</v>
      </c>
    </row>
    <row r="66" spans="1:11">
      <c r="A66" s="91">
        <f t="shared" si="3"/>
        <v>214</v>
      </c>
      <c r="B66" s="18">
        <f>'1-DRR'!$K$2</f>
        <v>2022</v>
      </c>
      <c r="C66" s="190" t="s">
        <v>461</v>
      </c>
      <c r="D66" s="124">
        <f t="shared" si="8"/>
        <v>2989600.9565169415</v>
      </c>
      <c r="E66" s="124">
        <f t="shared" si="4"/>
        <v>-1409708172.6836636</v>
      </c>
      <c r="F66" s="34">
        <v>30</v>
      </c>
      <c r="G66" s="34">
        <f>+G67+F67</f>
        <v>32</v>
      </c>
      <c r="H66" s="191">
        <f>G66/G55</f>
        <v>8.7671232876712329E-2</v>
      </c>
      <c r="I66" s="251">
        <f t="shared" si="6"/>
        <v>262102.00166723871</v>
      </c>
      <c r="J66" s="128">
        <f t="shared" si="7"/>
        <v>-1425983068.849689</v>
      </c>
      <c r="K66" s="91">
        <f t="shared" si="2"/>
        <v>214</v>
      </c>
    </row>
    <row r="67" spans="1:11">
      <c r="A67" s="91">
        <f t="shared" si="3"/>
        <v>215</v>
      </c>
      <c r="B67" s="18">
        <f>'1-DRR'!$K$2</f>
        <v>2022</v>
      </c>
      <c r="C67" s="190" t="s">
        <v>449</v>
      </c>
      <c r="D67" s="124">
        <f t="shared" si="8"/>
        <v>2989600.9565169415</v>
      </c>
      <c r="E67" s="124">
        <f t="shared" si="4"/>
        <v>-1406718571.7271466</v>
      </c>
      <c r="F67" s="34">
        <v>31</v>
      </c>
      <c r="G67" s="193">
        <v>1</v>
      </c>
      <c r="H67" s="191">
        <f>G67/G55</f>
        <v>2.7397260273972603E-3</v>
      </c>
      <c r="I67" s="251">
        <f t="shared" si="6"/>
        <v>8190.6875521012098</v>
      </c>
      <c r="J67" s="321">
        <f t="shared" si="7"/>
        <v>-1425974878.1621368</v>
      </c>
      <c r="K67" s="91">
        <f t="shared" si="2"/>
        <v>215</v>
      </c>
    </row>
    <row r="68" spans="1:11">
      <c r="A68" s="91">
        <f t="shared" si="3"/>
        <v>216</v>
      </c>
      <c r="B68" s="8"/>
      <c r="C68" s="190" t="s">
        <v>1196</v>
      </c>
      <c r="D68" s="124"/>
      <c r="E68" s="124">
        <f>C47</f>
        <v>-1406718571.7271471</v>
      </c>
      <c r="F68" s="171"/>
      <c r="G68" s="171"/>
      <c r="H68" s="171"/>
      <c r="I68" s="9"/>
      <c r="J68" s="254"/>
      <c r="K68" s="91">
        <f t="shared" si="2"/>
        <v>216</v>
      </c>
    </row>
    <row r="69" spans="1:11">
      <c r="A69" s="91">
        <f t="shared" si="3"/>
        <v>217</v>
      </c>
      <c r="B69" s="8"/>
      <c r="C69" s="114"/>
      <c r="D69" s="175"/>
      <c r="E69" s="175"/>
      <c r="F69" s="171"/>
      <c r="G69" s="171"/>
      <c r="H69" s="171"/>
      <c r="I69" s="194" t="s">
        <v>1197</v>
      </c>
      <c r="J69" s="301">
        <f>+J67</f>
        <v>-1425974878.1621368</v>
      </c>
      <c r="K69" s="91">
        <f t="shared" si="2"/>
        <v>217</v>
      </c>
    </row>
    <row r="71" spans="1:11">
      <c r="B71" s="746" t="s">
        <v>1296</v>
      </c>
      <c r="C71" s="746"/>
      <c r="D71" s="746"/>
      <c r="E71" s="746"/>
      <c r="F71" s="746"/>
      <c r="G71" s="746"/>
      <c r="H71" s="746"/>
      <c r="I71" s="746"/>
      <c r="J71" s="746"/>
    </row>
    <row r="72" spans="1:11">
      <c r="B72" s="746" t="s">
        <v>1297</v>
      </c>
      <c r="C72" s="746"/>
      <c r="D72" s="746"/>
      <c r="E72" s="746"/>
      <c r="F72" s="746"/>
      <c r="G72" s="746"/>
      <c r="H72" s="746"/>
      <c r="I72" s="746"/>
      <c r="J72" s="746"/>
    </row>
  </sheetData>
  <mergeCells count="3">
    <mergeCell ref="N4:T4"/>
    <mergeCell ref="B71:J71"/>
    <mergeCell ref="B72:J72"/>
  </mergeCells>
  <printOptions horizontalCentered="1"/>
  <pageMargins left="1" right="1" top="1" bottom="1" header="0.5" footer="0.5"/>
  <pageSetup scale="49"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41" max="10" man="1"/>
  </rowBreaks>
  <customProperties>
    <customPr name="_pios_id" r:id="rId2"/>
    <customPr name="EpmWorksheetKeyString_GUID" r:id="rId3"/>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3A94-3EF2-4A3A-BB2A-5F2601930B23}">
  <sheetPr>
    <pageSetUpPr fitToPage="1"/>
  </sheetPr>
  <dimension ref="A1:BI133"/>
  <sheetViews>
    <sheetView view="pageBreakPreview" topLeftCell="A7" zoomScale="25" zoomScaleNormal="70" zoomScaleSheetLayoutView="25" zoomScalePageLayoutView="70" workbookViewId="0">
      <selection activeCell="D45" sqref="D45"/>
    </sheetView>
  </sheetViews>
  <sheetFormatPr defaultColWidth="9.1796875" defaultRowHeight="12.5"/>
  <cols>
    <col min="1" max="1" width="8.54296875" style="610" bestFit="1" customWidth="1"/>
    <col min="2" max="2" width="48" style="610" customWidth="1"/>
    <col min="3" max="3" width="29.81640625" style="610" customWidth="1"/>
    <col min="4" max="4" width="26.7265625" style="610" customWidth="1"/>
    <col min="5" max="5" width="1.7265625" style="610" customWidth="1"/>
    <col min="6" max="6" width="21" style="610" bestFit="1" customWidth="1"/>
    <col min="7" max="7" width="2.26953125" style="610" customWidth="1"/>
    <col min="8" max="8" width="20.1796875" style="610" customWidth="1"/>
    <col min="9" max="9" width="1.81640625" style="610" customWidth="1"/>
    <col min="10" max="10" width="19.1796875" style="610" customWidth="1"/>
    <col min="11" max="11" width="1.7265625" style="610" customWidth="1"/>
    <col min="12" max="12" width="20.453125" style="610" bestFit="1" customWidth="1"/>
    <col min="13" max="13" width="1.7265625" style="610" customWidth="1"/>
    <col min="14" max="14" width="23.26953125" style="610" customWidth="1"/>
    <col min="15" max="15" width="1.7265625" style="610" customWidth="1"/>
    <col min="16" max="16" width="22.1796875" style="610" customWidth="1"/>
    <col min="17" max="17" width="1.7265625" style="610" customWidth="1"/>
    <col min="18" max="18" width="21" style="610" customWidth="1"/>
    <col min="19" max="19" width="1.7265625" style="610" customWidth="1"/>
    <col min="20" max="20" width="20.453125" style="610" customWidth="1"/>
    <col min="21" max="21" width="1.7265625" style="610" customWidth="1"/>
    <col min="22" max="22" width="21.26953125" style="610" customWidth="1"/>
    <col min="23" max="23" width="1.7265625" style="610" customWidth="1"/>
    <col min="24" max="24" width="22.453125" style="610" customWidth="1"/>
    <col min="25" max="25" width="1.7265625" style="610" customWidth="1"/>
    <col min="26" max="26" width="25.81640625" style="610" bestFit="1" customWidth="1"/>
    <col min="27" max="27" width="1.7265625" style="610" customWidth="1"/>
    <col min="28" max="28" width="17.26953125" style="610" customWidth="1"/>
    <col min="29" max="29" width="1.7265625" style="610" customWidth="1"/>
    <col min="30" max="30" width="17.26953125" style="610" customWidth="1"/>
    <col min="31" max="31" width="1.7265625" style="610" customWidth="1"/>
    <col min="32" max="32" width="17.26953125" style="610" customWidth="1"/>
    <col min="33" max="33" width="1.7265625" style="610" customWidth="1"/>
    <col min="34" max="34" width="21.81640625" style="610" bestFit="1" customWidth="1"/>
    <col min="35" max="35" width="1.7265625" style="610" customWidth="1"/>
    <col min="36" max="36" width="21.81640625" style="610" customWidth="1"/>
    <col min="37" max="37" width="1.7265625" style="610" customWidth="1"/>
    <col min="38" max="38" width="21.81640625" style="610" customWidth="1"/>
    <col min="39" max="39" width="1.7265625" style="610" customWidth="1"/>
    <col min="40" max="40" width="21.81640625" style="610" customWidth="1"/>
    <col min="41" max="41" width="1.7265625" style="610" customWidth="1"/>
    <col min="42" max="42" width="21.81640625" style="610" customWidth="1"/>
    <col min="43" max="43" width="1.7265625" style="610" customWidth="1"/>
    <col min="44" max="44" width="17.26953125" style="610" customWidth="1"/>
    <col min="45" max="45" width="1.7265625" style="610" customWidth="1"/>
    <col min="46" max="46" width="17.26953125" style="610" customWidth="1"/>
    <col min="47" max="47" width="1.7265625" style="610" customWidth="1"/>
    <col min="48" max="48" width="17.26953125" style="610" customWidth="1"/>
    <col min="49" max="49" width="1.7265625" style="610" customWidth="1"/>
    <col min="50" max="50" width="30.1796875" style="610" customWidth="1"/>
    <col min="51" max="51" width="1.7265625" style="610" customWidth="1"/>
    <col min="52" max="52" width="27.81640625" style="610" customWidth="1"/>
    <col min="53" max="53" width="1.7265625" style="610" customWidth="1"/>
    <col min="54" max="54" width="27.81640625" style="610" customWidth="1"/>
    <col min="55" max="55" width="1.7265625" style="610" customWidth="1"/>
    <col min="56" max="56" width="25.26953125" style="610" customWidth="1"/>
    <col min="57" max="57" width="1.7265625" style="610" customWidth="1"/>
    <col min="58" max="58" width="25.54296875" style="556" customWidth="1"/>
    <col min="59" max="59" width="1.7265625" style="610" customWidth="1"/>
    <col min="60" max="60" width="22.7265625" style="610" bestFit="1" customWidth="1"/>
    <col min="61" max="61" width="7.54296875" style="610" bestFit="1" customWidth="1"/>
    <col min="62" max="16384" width="9.1796875" style="610"/>
  </cols>
  <sheetData>
    <row r="1" spans="1:61" ht="14.5">
      <c r="B1" s="54" t="s">
        <v>1298</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90" t="str">
        <f>CONCATENATE("Prior Year: ",'1-DRR'!$K$2)</f>
        <v>Prior Year: 2022</v>
      </c>
    </row>
    <row r="2" spans="1:61" ht="14.5">
      <c r="A2" s="54"/>
      <c r="B2" s="320" t="s">
        <v>122</v>
      </c>
      <c r="C2" s="320"/>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row>
    <row r="3" spans="1:61" ht="14.5">
      <c r="A3" s="293"/>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row>
    <row r="4" spans="1:61" ht="12" customHeight="1">
      <c r="J4" s="747" t="s">
        <v>1299</v>
      </c>
      <c r="K4" s="747"/>
      <c r="L4" s="747"/>
      <c r="M4" s="747"/>
      <c r="N4" s="747"/>
      <c r="O4" s="611"/>
      <c r="P4" s="612" t="s">
        <v>1300</v>
      </c>
      <c r="R4" s="747" t="s">
        <v>1301</v>
      </c>
      <c r="S4" s="747"/>
      <c r="T4" s="747"/>
      <c r="U4" s="747"/>
      <c r="V4" s="747"/>
      <c r="Z4" s="613" t="s">
        <v>1302</v>
      </c>
      <c r="AH4" s="612" t="s">
        <v>1303</v>
      </c>
      <c r="AI4" s="611"/>
      <c r="AJ4" s="747" t="s">
        <v>1301</v>
      </c>
      <c r="AK4" s="747"/>
      <c r="AL4" s="747"/>
      <c r="AM4" s="747"/>
      <c r="AN4" s="747"/>
      <c r="AO4" s="611"/>
      <c r="AP4" s="611"/>
      <c r="AX4" s="747" t="s">
        <v>1301</v>
      </c>
      <c r="AY4" s="747"/>
      <c r="AZ4" s="747"/>
      <c r="BA4" s="747"/>
      <c r="BB4" s="747"/>
      <c r="BC4" s="611"/>
      <c r="BD4" s="611"/>
      <c r="BF4" s="614"/>
    </row>
    <row r="5" spans="1:61" ht="21" customHeight="1">
      <c r="A5" s="615"/>
      <c r="B5" s="615"/>
      <c r="C5" s="615"/>
      <c r="D5" s="615"/>
      <c r="E5" s="615"/>
      <c r="F5" s="524"/>
      <c r="G5" s="615"/>
      <c r="H5" s="303" t="s">
        <v>1304</v>
      </c>
      <c r="I5" s="615"/>
      <c r="J5" s="303" t="s">
        <v>124</v>
      </c>
      <c r="K5" s="303"/>
      <c r="L5" s="303" t="s">
        <v>125</v>
      </c>
      <c r="M5" s="303"/>
      <c r="N5" s="303" t="s">
        <v>126</v>
      </c>
      <c r="O5" s="303"/>
      <c r="P5" s="303" t="s">
        <v>127</v>
      </c>
      <c r="Q5" s="303"/>
      <c r="R5" s="303" t="s">
        <v>420</v>
      </c>
      <c r="S5" s="303"/>
      <c r="T5" s="303" t="s">
        <v>421</v>
      </c>
      <c r="U5" s="303"/>
      <c r="V5" s="303" t="s">
        <v>422</v>
      </c>
      <c r="W5" s="303"/>
      <c r="X5" s="303" t="s">
        <v>423</v>
      </c>
      <c r="Y5" s="303"/>
      <c r="Z5" s="303" t="s">
        <v>424</v>
      </c>
      <c r="AA5" s="304"/>
      <c r="AB5" s="304" t="s">
        <v>692</v>
      </c>
      <c r="AC5" s="304"/>
      <c r="AD5" s="304" t="s">
        <v>693</v>
      </c>
      <c r="AE5" s="304"/>
      <c r="AF5" s="304" t="s">
        <v>694</v>
      </c>
      <c r="AG5" s="304"/>
      <c r="AH5" s="525" t="s">
        <v>695</v>
      </c>
      <c r="AI5" s="304"/>
      <c r="AJ5" s="304" t="s">
        <v>696</v>
      </c>
      <c r="AK5" s="304"/>
      <c r="AL5" s="304" t="s">
        <v>697</v>
      </c>
      <c r="AM5" s="304"/>
      <c r="AN5" s="304" t="s">
        <v>698</v>
      </c>
      <c r="AO5" s="304"/>
      <c r="AP5" s="304" t="s">
        <v>699</v>
      </c>
      <c r="AQ5" s="304"/>
      <c r="AR5" s="304" t="s">
        <v>700</v>
      </c>
      <c r="AS5" s="304"/>
      <c r="AT5" s="304" t="s">
        <v>701</v>
      </c>
      <c r="AU5" s="304"/>
      <c r="AV5" s="304" t="s">
        <v>702</v>
      </c>
      <c r="AW5" s="304"/>
      <c r="AX5" s="304" t="s">
        <v>703</v>
      </c>
      <c r="AY5" s="304"/>
      <c r="AZ5" s="304" t="s">
        <v>704</v>
      </c>
      <c r="BA5" s="304"/>
      <c r="BB5" s="304" t="s">
        <v>705</v>
      </c>
      <c r="BC5" s="304"/>
      <c r="BD5" s="304" t="s">
        <v>706</v>
      </c>
      <c r="BE5" s="304"/>
      <c r="BF5" s="303" t="s">
        <v>707</v>
      </c>
      <c r="BG5" s="304"/>
      <c r="BH5" s="615"/>
      <c r="BI5" s="615"/>
    </row>
    <row r="6" spans="1:61" ht="51.75" customHeight="1">
      <c r="A6" s="615"/>
      <c r="B6" s="615"/>
      <c r="C6" s="615"/>
      <c r="D6" s="615"/>
      <c r="E6" s="615"/>
      <c r="F6" s="524"/>
      <c r="G6" s="615"/>
      <c r="H6" s="304"/>
      <c r="I6" s="615"/>
      <c r="J6" s="304"/>
      <c r="K6" s="304"/>
      <c r="L6" s="304"/>
      <c r="M6" s="304"/>
      <c r="N6" s="304" t="s">
        <v>1305</v>
      </c>
      <c r="O6" s="304"/>
      <c r="P6" s="304"/>
      <c r="Q6" s="304"/>
      <c r="R6" s="303"/>
      <c r="S6" s="303"/>
      <c r="T6" s="303"/>
      <c r="U6" s="303"/>
      <c r="V6" s="303"/>
      <c r="W6" s="303"/>
      <c r="X6" s="303" t="s">
        <v>1306</v>
      </c>
      <c r="Y6" s="304"/>
      <c r="Z6" s="304"/>
      <c r="AA6" s="304"/>
      <c r="AB6" s="748" t="s">
        <v>1307</v>
      </c>
      <c r="AC6" s="748"/>
      <c r="AD6" s="748"/>
      <c r="AE6" s="748"/>
      <c r="AF6" s="748"/>
      <c r="AG6" s="304"/>
      <c r="AH6" s="304"/>
      <c r="AI6" s="304"/>
      <c r="AJ6" s="304" t="s">
        <v>1308</v>
      </c>
      <c r="AK6" s="304"/>
      <c r="AL6" s="304" t="s">
        <v>1309</v>
      </c>
      <c r="AM6" s="304"/>
      <c r="AN6" s="304" t="s">
        <v>1310</v>
      </c>
      <c r="AO6" s="304"/>
      <c r="AP6" s="304" t="s">
        <v>1311</v>
      </c>
      <c r="AQ6" s="304"/>
      <c r="AR6" s="748" t="s">
        <v>1312</v>
      </c>
      <c r="AS6" s="748"/>
      <c r="AT6" s="748"/>
      <c r="AU6" s="748"/>
      <c r="AV6" s="748"/>
      <c r="AW6" s="304"/>
      <c r="AX6" s="304" t="s">
        <v>1313</v>
      </c>
      <c r="AY6" s="304"/>
      <c r="AZ6" s="304" t="s">
        <v>1314</v>
      </c>
      <c r="BA6" s="304"/>
      <c r="BB6" s="304" t="s">
        <v>1315</v>
      </c>
      <c r="BC6" s="304"/>
      <c r="BD6" s="304" t="s">
        <v>1316</v>
      </c>
      <c r="BE6" s="304"/>
      <c r="BF6" s="526" t="s">
        <v>1317</v>
      </c>
      <c r="BG6" s="304"/>
      <c r="BH6" s="615"/>
      <c r="BI6" s="615"/>
    </row>
    <row r="7" spans="1:61" ht="31.5" customHeight="1">
      <c r="B7" s="305"/>
      <c r="C7" s="305"/>
      <c r="D7" s="305"/>
      <c r="E7" s="305"/>
      <c r="F7" s="307" t="s">
        <v>1318</v>
      </c>
      <c r="G7" s="305"/>
      <c r="H7" s="306" t="s">
        <v>1319</v>
      </c>
      <c r="I7" s="305"/>
      <c r="J7" s="306" t="s">
        <v>1320</v>
      </c>
      <c r="K7" s="305"/>
      <c r="L7" s="306" t="s">
        <v>1321</v>
      </c>
      <c r="M7" s="305"/>
      <c r="N7" s="526" t="s">
        <v>1322</v>
      </c>
      <c r="O7" s="307"/>
      <c r="P7" s="307" t="s">
        <v>608</v>
      </c>
      <c r="Q7" s="305"/>
      <c r="R7" s="749" t="s">
        <v>1323</v>
      </c>
      <c r="S7" s="749"/>
      <c r="T7" s="749"/>
      <c r="U7" s="749"/>
      <c r="V7" s="749"/>
      <c r="W7" s="749"/>
      <c r="X7" s="749"/>
      <c r="Y7" s="306"/>
      <c r="Z7" s="306"/>
      <c r="AA7" s="306"/>
      <c r="AB7" s="306" t="s">
        <v>1324</v>
      </c>
      <c r="AC7" s="306"/>
      <c r="AD7" s="306" t="s">
        <v>1324</v>
      </c>
      <c r="AE7" s="306"/>
      <c r="AF7" s="306" t="s">
        <v>1324</v>
      </c>
      <c r="AG7" s="306"/>
      <c r="AH7" s="306" t="s">
        <v>608</v>
      </c>
      <c r="AI7" s="306"/>
      <c r="AJ7" s="749" t="s">
        <v>1325</v>
      </c>
      <c r="AK7" s="749"/>
      <c r="AL7" s="749"/>
      <c r="AM7" s="749"/>
      <c r="AN7" s="749"/>
      <c r="AO7" s="749"/>
      <c r="AP7" s="749"/>
      <c r="AQ7" s="306"/>
      <c r="AR7" s="306" t="s">
        <v>1324</v>
      </c>
      <c r="AS7" s="306"/>
      <c r="AT7" s="306" t="s">
        <v>1324</v>
      </c>
      <c r="AU7" s="306"/>
      <c r="AV7" s="306" t="s">
        <v>1324</v>
      </c>
      <c r="AW7" s="306"/>
      <c r="AX7" s="749" t="s">
        <v>1326</v>
      </c>
      <c r="AY7" s="749"/>
      <c r="AZ7" s="749"/>
      <c r="BA7" s="749"/>
      <c r="BB7" s="749"/>
      <c r="BC7" s="749"/>
      <c r="BD7" s="749"/>
      <c r="BE7" s="306"/>
      <c r="BF7" s="526" t="s">
        <v>1322</v>
      </c>
      <c r="BG7" s="306"/>
      <c r="BH7" s="305"/>
    </row>
    <row r="8" spans="1:61" ht="12.75" customHeight="1">
      <c r="B8" s="305"/>
      <c r="C8" s="305"/>
      <c r="D8" s="305"/>
      <c r="E8" s="305"/>
      <c r="F8" s="307" t="s">
        <v>1327</v>
      </c>
      <c r="G8" s="305"/>
      <c r="H8" s="306" t="s">
        <v>1328</v>
      </c>
      <c r="I8" s="305"/>
      <c r="J8" s="306" t="s">
        <v>1329</v>
      </c>
      <c r="K8" s="305"/>
      <c r="L8" s="306" t="s">
        <v>1330</v>
      </c>
      <c r="M8" s="305"/>
      <c r="N8" s="307" t="s">
        <v>1331</v>
      </c>
      <c r="O8" s="307"/>
      <c r="P8" s="307" t="s">
        <v>1327</v>
      </c>
      <c r="Q8" s="305"/>
      <c r="R8" s="306" t="s">
        <v>1332</v>
      </c>
      <c r="S8" s="306"/>
      <c r="T8" s="306" t="s">
        <v>1332</v>
      </c>
      <c r="U8" s="306"/>
      <c r="V8" s="306" t="s">
        <v>1332</v>
      </c>
      <c r="W8" s="306"/>
      <c r="X8" s="306"/>
      <c r="Y8" s="306"/>
      <c r="Z8" s="306" t="s">
        <v>1324</v>
      </c>
      <c r="AA8" s="306"/>
      <c r="AB8" s="306" t="s">
        <v>1333</v>
      </c>
      <c r="AC8" s="306"/>
      <c r="AD8" s="306" t="s">
        <v>1333</v>
      </c>
      <c r="AE8" s="306"/>
      <c r="AF8" s="306" t="s">
        <v>1333</v>
      </c>
      <c r="AG8" s="306"/>
      <c r="AH8" s="306" t="s">
        <v>1334</v>
      </c>
      <c r="AI8" s="306"/>
      <c r="AJ8" s="306" t="s">
        <v>1335</v>
      </c>
      <c r="AK8" s="306"/>
      <c r="AL8" s="306" t="s">
        <v>1335</v>
      </c>
      <c r="AM8" s="306"/>
      <c r="AN8" s="306" t="s">
        <v>1335</v>
      </c>
      <c r="AO8" s="306"/>
      <c r="AP8" s="306"/>
      <c r="AQ8" s="306"/>
      <c r="AR8" s="306" t="s">
        <v>1333</v>
      </c>
      <c r="AS8" s="306"/>
      <c r="AT8" s="306" t="s">
        <v>1333</v>
      </c>
      <c r="AU8" s="306"/>
      <c r="AV8" s="306" t="s">
        <v>1333</v>
      </c>
      <c r="AW8" s="306"/>
      <c r="AX8" s="306" t="s">
        <v>1335</v>
      </c>
      <c r="AY8" s="306"/>
      <c r="AZ8" s="306" t="s">
        <v>1335</v>
      </c>
      <c r="BA8" s="306"/>
      <c r="BB8" s="306" t="s">
        <v>1335</v>
      </c>
      <c r="BC8" s="306"/>
      <c r="BD8" s="306"/>
      <c r="BE8" s="306"/>
      <c r="BF8" s="614" t="s">
        <v>1336</v>
      </c>
      <c r="BG8" s="306"/>
      <c r="BH8" s="305"/>
    </row>
    <row r="9" spans="1:61" ht="14.5">
      <c r="A9" s="304"/>
      <c r="B9" s="615"/>
      <c r="C9" s="615"/>
      <c r="D9" s="615"/>
      <c r="E9" s="615"/>
      <c r="F9" s="307" t="s">
        <v>1337</v>
      </c>
      <c r="G9" s="615"/>
      <c r="H9" s="306" t="s">
        <v>1338</v>
      </c>
      <c r="I9" s="615"/>
      <c r="J9" s="616" t="s">
        <v>1339</v>
      </c>
      <c r="K9" s="615"/>
      <c r="L9" s="616" t="s">
        <v>1340</v>
      </c>
      <c r="M9" s="615"/>
      <c r="N9" s="524" t="s">
        <v>662</v>
      </c>
      <c r="O9" s="524"/>
      <c r="P9" s="524" t="s">
        <v>1337</v>
      </c>
      <c r="Q9" s="615"/>
      <c r="R9" s="306" t="s">
        <v>1341</v>
      </c>
      <c r="S9" s="306"/>
      <c r="T9" s="304" t="s">
        <v>1342</v>
      </c>
      <c r="U9" s="304"/>
      <c r="V9" s="308" t="s">
        <v>1342</v>
      </c>
      <c r="W9" s="308"/>
      <c r="X9" s="308" t="s">
        <v>1332</v>
      </c>
      <c r="Y9" s="308"/>
      <c r="Z9" s="308" t="s">
        <v>1343</v>
      </c>
      <c r="AA9" s="308"/>
      <c r="AB9" s="306" t="s">
        <v>1341</v>
      </c>
      <c r="AC9" s="306"/>
      <c r="AD9" s="304" t="s">
        <v>1342</v>
      </c>
      <c r="AE9" s="304"/>
      <c r="AF9" s="308" t="s">
        <v>1342</v>
      </c>
      <c r="AG9" s="308"/>
      <c r="AH9" s="308" t="s">
        <v>1344</v>
      </c>
      <c r="AI9" s="308"/>
      <c r="AJ9" s="306" t="s">
        <v>1341</v>
      </c>
      <c r="AK9" s="306"/>
      <c r="AL9" s="304" t="s">
        <v>1342</v>
      </c>
      <c r="AM9" s="304"/>
      <c r="AN9" s="308" t="s">
        <v>1342</v>
      </c>
      <c r="AO9" s="308"/>
      <c r="AP9" s="308" t="s">
        <v>1335</v>
      </c>
      <c r="AQ9" s="308"/>
      <c r="AR9" s="306" t="s">
        <v>1341</v>
      </c>
      <c r="AS9" s="306"/>
      <c r="AT9" s="304" t="s">
        <v>1342</v>
      </c>
      <c r="AU9" s="304"/>
      <c r="AV9" s="308" t="s">
        <v>1342</v>
      </c>
      <c r="AW9" s="308"/>
      <c r="AX9" s="306" t="s">
        <v>1341</v>
      </c>
      <c r="AY9" s="306"/>
      <c r="AZ9" s="304" t="s">
        <v>1342</v>
      </c>
      <c r="BA9" s="304"/>
      <c r="BB9" s="308" t="s">
        <v>1342</v>
      </c>
      <c r="BC9" s="308"/>
      <c r="BD9" s="308" t="s">
        <v>1335</v>
      </c>
      <c r="BE9" s="308"/>
      <c r="BF9" s="617" t="s">
        <v>1345</v>
      </c>
      <c r="BG9" s="308"/>
      <c r="BH9" s="304"/>
      <c r="BI9" s="304"/>
    </row>
    <row r="10" spans="1:61" ht="15" thickBot="1">
      <c r="A10" s="201" t="s">
        <v>92</v>
      </c>
      <c r="B10" s="618" t="s">
        <v>1094</v>
      </c>
      <c r="C10" s="618"/>
      <c r="D10" s="618"/>
      <c r="E10" s="618"/>
      <c r="F10" s="312" t="s">
        <v>1075</v>
      </c>
      <c r="G10" s="618"/>
      <c r="H10" s="619">
        <v>43100</v>
      </c>
      <c r="I10" s="618"/>
      <c r="J10" s="619">
        <v>43100</v>
      </c>
      <c r="K10" s="618"/>
      <c r="L10" s="619">
        <v>43100</v>
      </c>
      <c r="M10" s="618"/>
      <c r="N10" s="619">
        <v>43100</v>
      </c>
      <c r="O10" s="619"/>
      <c r="P10" s="619" t="s">
        <v>1346</v>
      </c>
      <c r="Q10" s="618"/>
      <c r="R10" s="309" t="s">
        <v>1347</v>
      </c>
      <c r="S10" s="309"/>
      <c r="T10" s="310" t="s">
        <v>1347</v>
      </c>
      <c r="U10" s="310"/>
      <c r="V10" s="311" t="s">
        <v>1348</v>
      </c>
      <c r="W10" s="311"/>
      <c r="X10" s="311" t="s">
        <v>1349</v>
      </c>
      <c r="Y10" s="311"/>
      <c r="Z10" s="311" t="s">
        <v>1350</v>
      </c>
      <c r="AA10" s="311"/>
      <c r="AB10" s="309" t="s">
        <v>1347</v>
      </c>
      <c r="AC10" s="309"/>
      <c r="AD10" s="310" t="s">
        <v>1347</v>
      </c>
      <c r="AE10" s="310"/>
      <c r="AF10" s="311" t="s">
        <v>1348</v>
      </c>
      <c r="AG10" s="311"/>
      <c r="AH10" s="311" t="s">
        <v>1351</v>
      </c>
      <c r="AI10" s="311"/>
      <c r="AJ10" s="309" t="s">
        <v>1347</v>
      </c>
      <c r="AK10" s="309"/>
      <c r="AL10" s="310" t="s">
        <v>1347</v>
      </c>
      <c r="AM10" s="310"/>
      <c r="AN10" s="311" t="s">
        <v>1348</v>
      </c>
      <c r="AO10" s="311"/>
      <c r="AP10" s="311" t="s">
        <v>1349</v>
      </c>
      <c r="AQ10" s="311"/>
      <c r="AR10" s="309" t="s">
        <v>1347</v>
      </c>
      <c r="AS10" s="309"/>
      <c r="AT10" s="310" t="s">
        <v>1347</v>
      </c>
      <c r="AU10" s="310"/>
      <c r="AV10" s="311" t="s">
        <v>1348</v>
      </c>
      <c r="AW10" s="311"/>
      <c r="AX10" s="309" t="s">
        <v>1347</v>
      </c>
      <c r="AY10" s="309"/>
      <c r="AZ10" s="310" t="s">
        <v>1347</v>
      </c>
      <c r="BA10" s="310"/>
      <c r="BB10" s="311" t="s">
        <v>1348</v>
      </c>
      <c r="BC10" s="311"/>
      <c r="BD10" s="311" t="s">
        <v>1349</v>
      </c>
      <c r="BE10" s="311"/>
      <c r="BF10" s="620">
        <f>1/(1-(0.21+0.0884-(0.21*0.0884)))</f>
        <v>1.3885726029071155</v>
      </c>
      <c r="BG10" s="311"/>
      <c r="BH10" s="312" t="s">
        <v>555</v>
      </c>
      <c r="BI10" s="621" t="s">
        <v>92</v>
      </c>
    </row>
    <row r="11" spans="1:61" ht="14.5">
      <c r="A11" s="304"/>
      <c r="B11" s="615"/>
      <c r="C11" s="615"/>
      <c r="D11" s="615"/>
      <c r="E11" s="615"/>
      <c r="F11" s="524"/>
      <c r="G11" s="615"/>
      <c r="H11" s="615"/>
      <c r="I11" s="615"/>
      <c r="J11" s="615"/>
      <c r="K11" s="615"/>
      <c r="L11" s="615"/>
      <c r="M11" s="615"/>
      <c r="N11" s="615"/>
      <c r="O11" s="615"/>
      <c r="P11" s="615"/>
      <c r="Q11" s="615"/>
      <c r="R11" s="306"/>
      <c r="S11" s="306"/>
      <c r="T11" s="313"/>
      <c r="U11" s="313"/>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4"/>
      <c r="AR11" s="314"/>
      <c r="AS11" s="314"/>
      <c r="AT11" s="314"/>
      <c r="AU11" s="314"/>
      <c r="AV11" s="314"/>
      <c r="AW11" s="314"/>
      <c r="AX11" s="314"/>
      <c r="AY11" s="314"/>
      <c r="AZ11" s="314"/>
      <c r="BA11" s="314"/>
      <c r="BB11" s="314"/>
      <c r="BC11" s="314"/>
      <c r="BD11" s="314"/>
      <c r="BE11" s="314"/>
      <c r="BG11" s="314"/>
      <c r="BH11" s="304"/>
      <c r="BI11" s="304"/>
    </row>
    <row r="12" spans="1:61" ht="14.5">
      <c r="A12" s="304">
        <v>100</v>
      </c>
      <c r="B12" s="615" t="s">
        <v>1352</v>
      </c>
      <c r="C12" s="615"/>
      <c r="D12" s="615" t="s">
        <v>1353</v>
      </c>
      <c r="E12" s="615"/>
      <c r="F12" s="524" t="s">
        <v>1354</v>
      </c>
      <c r="G12" s="615"/>
      <c r="H12" s="315">
        <f>+H25</f>
        <v>-10466951654</v>
      </c>
      <c r="I12" s="615"/>
      <c r="J12" s="315">
        <f>+J25</f>
        <v>-3663433079</v>
      </c>
      <c r="K12" s="615"/>
      <c r="L12" s="315">
        <f>+L25</f>
        <v>-2361016151</v>
      </c>
      <c r="M12" s="615"/>
      <c r="N12" s="315">
        <f>+N25</f>
        <v>-1302433382</v>
      </c>
      <c r="O12" s="615"/>
      <c r="P12" s="524" t="s">
        <v>1355</v>
      </c>
      <c r="Q12" s="615"/>
      <c r="R12" s="315">
        <f>R25</f>
        <v>-1302433382</v>
      </c>
      <c r="S12" s="315"/>
      <c r="T12" s="315">
        <f>T25</f>
        <v>0</v>
      </c>
      <c r="U12" s="315"/>
      <c r="V12" s="315">
        <f>V25</f>
        <v>0</v>
      </c>
      <c r="W12" s="315"/>
      <c r="X12" s="315">
        <f>SUM(R12:V12)</f>
        <v>-1302433382</v>
      </c>
      <c r="Y12" s="315"/>
      <c r="Z12" s="316" t="s">
        <v>1356</v>
      </c>
      <c r="AA12" s="315"/>
      <c r="AB12" s="315">
        <f>AB25</f>
        <v>-132127714.58327107</v>
      </c>
      <c r="AC12" s="315"/>
      <c r="AD12" s="315">
        <f>AD25</f>
        <v>0</v>
      </c>
      <c r="AE12" s="315"/>
      <c r="AF12" s="315">
        <f>AF25</f>
        <v>0</v>
      </c>
      <c r="AG12" s="315"/>
      <c r="AH12" s="524" t="s">
        <v>1357</v>
      </c>
      <c r="AI12" s="315"/>
      <c r="AJ12" s="315">
        <f>AJ25</f>
        <v>-1170305666.9536951</v>
      </c>
      <c r="AK12" s="315"/>
      <c r="AL12" s="315">
        <f>AL25</f>
        <v>0</v>
      </c>
      <c r="AM12" s="315"/>
      <c r="AN12" s="315">
        <f>AN25</f>
        <v>0</v>
      </c>
      <c r="AO12" s="315"/>
      <c r="AP12" s="315">
        <f>SUM(AJ12:AN12)</f>
        <v>-1170305666.9536951</v>
      </c>
      <c r="AQ12" s="315"/>
      <c r="AR12" s="315">
        <f>AR25</f>
        <v>-36935506.46107775</v>
      </c>
      <c r="AS12" s="315"/>
      <c r="AT12" s="315">
        <f>AT25</f>
        <v>0</v>
      </c>
      <c r="AU12" s="315"/>
      <c r="AV12" s="315">
        <f>AV25</f>
        <v>0</v>
      </c>
      <c r="AW12" s="315"/>
      <c r="AX12" s="315">
        <f>AX25</f>
        <v>-1133370160.4926174</v>
      </c>
      <c r="AY12" s="315"/>
      <c r="AZ12" s="315">
        <f>AZ25</f>
        <v>0</v>
      </c>
      <c r="BA12" s="315"/>
      <c r="BB12" s="315">
        <f>BB25</f>
        <v>0</v>
      </c>
      <c r="BC12" s="315"/>
      <c r="BD12" s="315">
        <f>SUM(AX12:BB12)</f>
        <v>-1133370160.4926174</v>
      </c>
      <c r="BE12" s="315"/>
      <c r="BF12" s="315">
        <f>BF25</f>
        <v>-1573766754</v>
      </c>
      <c r="BG12" s="315"/>
      <c r="BH12" s="304"/>
      <c r="BI12" s="304">
        <f t="shared" ref="BI12:BI16" si="0">A12</f>
        <v>100</v>
      </c>
    </row>
    <row r="13" spans="1:61" ht="14.5">
      <c r="A13" s="304">
        <f>A12+1</f>
        <v>101</v>
      </c>
      <c r="B13" s="615" t="s">
        <v>1358</v>
      </c>
      <c r="C13" s="615"/>
      <c r="D13" s="615" t="s">
        <v>1359</v>
      </c>
      <c r="E13" s="615"/>
      <c r="F13" s="524" t="s">
        <v>1354</v>
      </c>
      <c r="G13" s="615"/>
      <c r="H13" s="315">
        <f>+H34</f>
        <v>-6537338076</v>
      </c>
      <c r="I13" s="615"/>
      <c r="J13" s="315">
        <f>+J34</f>
        <v>-967358790</v>
      </c>
      <c r="K13" s="615"/>
      <c r="L13" s="315">
        <f>+L34</f>
        <v>-577410203</v>
      </c>
      <c r="M13" s="615"/>
      <c r="N13" s="315">
        <f>+N34</f>
        <v>-389961967</v>
      </c>
      <c r="O13" s="615"/>
      <c r="P13" s="524" t="s">
        <v>1355</v>
      </c>
      <c r="Q13" s="615"/>
      <c r="R13" s="315">
        <f>R34</f>
        <v>143301951</v>
      </c>
      <c r="S13" s="315"/>
      <c r="T13" s="315">
        <f>T34</f>
        <v>-533263918</v>
      </c>
      <c r="U13" s="315"/>
      <c r="V13" s="315">
        <f>V34</f>
        <v>0</v>
      </c>
      <c r="W13" s="315"/>
      <c r="X13" s="315">
        <f t="shared" ref="X13:X15" si="1">SUM(R13:V13)</f>
        <v>-389961967</v>
      </c>
      <c r="Y13" s="315"/>
      <c r="Z13" s="316" t="s">
        <v>1360</v>
      </c>
      <c r="AA13" s="315"/>
      <c r="AB13" s="315">
        <f>AB34</f>
        <v>45419637.696685627</v>
      </c>
      <c r="AC13" s="315"/>
      <c r="AD13" s="315">
        <f>AD34</f>
        <v>-54097924.565300286</v>
      </c>
      <c r="AE13" s="315"/>
      <c r="AF13" s="315">
        <f>AF34</f>
        <v>0</v>
      </c>
      <c r="AG13" s="315"/>
      <c r="AH13" s="524" t="s">
        <v>1357</v>
      </c>
      <c r="AI13" s="315"/>
      <c r="AJ13" s="315">
        <f>AJ34</f>
        <v>97882313.301953211</v>
      </c>
      <c r="AK13" s="315"/>
      <c r="AL13" s="315">
        <f>AL34</f>
        <v>-479165993.08165944</v>
      </c>
      <c r="AM13" s="315"/>
      <c r="AN13" s="315">
        <f>AN34</f>
        <v>0</v>
      </c>
      <c r="AO13" s="315"/>
      <c r="AP13" s="315">
        <f t="shared" ref="AP13:AP15" si="2">SUM(AJ13:AN13)</f>
        <v>-381283679.77970624</v>
      </c>
      <c r="AQ13" s="315"/>
      <c r="AR13" s="315">
        <f>AR34</f>
        <v>13877289.495001504</v>
      </c>
      <c r="AS13" s="315"/>
      <c r="AT13" s="315">
        <f>AT34</f>
        <v>-15122748.823799938</v>
      </c>
      <c r="AU13" s="315"/>
      <c r="AV13" s="315">
        <f>AV34</f>
        <v>0</v>
      </c>
      <c r="AW13" s="315"/>
      <c r="AX13" s="315">
        <f>AX34</f>
        <v>84005023.806951717</v>
      </c>
      <c r="AY13" s="315"/>
      <c r="AZ13" s="315">
        <f>AZ34</f>
        <v>-464043244.25785947</v>
      </c>
      <c r="BA13" s="315"/>
      <c r="BB13" s="315">
        <f>BB34</f>
        <v>0</v>
      </c>
      <c r="BC13" s="315"/>
      <c r="BD13" s="315">
        <f t="shared" ref="BD13:BD15" si="3">SUM(AX13:BB13)</f>
        <v>-380038220.45090777</v>
      </c>
      <c r="BE13" s="315"/>
      <c r="BF13" s="315">
        <f>BF34</f>
        <v>-527710661</v>
      </c>
      <c r="BG13" s="315"/>
      <c r="BH13" s="304"/>
      <c r="BI13" s="304">
        <f t="shared" si="0"/>
        <v>101</v>
      </c>
    </row>
    <row r="14" spans="1:61" ht="14.5">
      <c r="A14" s="304">
        <f t="shared" ref="A14" si="4">+A13+1</f>
        <v>102</v>
      </c>
      <c r="B14" s="615" t="s">
        <v>1361</v>
      </c>
      <c r="C14" s="615"/>
      <c r="D14" s="615" t="s">
        <v>1362</v>
      </c>
      <c r="E14" s="615"/>
      <c r="F14" s="524" t="s">
        <v>1363</v>
      </c>
      <c r="G14" s="615"/>
      <c r="H14" s="315">
        <f>+H94</f>
        <v>93137648</v>
      </c>
      <c r="I14" s="615"/>
      <c r="J14" s="315">
        <f>+J94</f>
        <v>19293379</v>
      </c>
      <c r="K14" s="615"/>
      <c r="L14" s="315">
        <f>+L94</f>
        <v>11576713</v>
      </c>
      <c r="M14" s="615"/>
      <c r="N14" s="315">
        <f>+N94</f>
        <v>7716800</v>
      </c>
      <c r="O14" s="615"/>
      <c r="P14" s="524" t="s">
        <v>1364</v>
      </c>
      <c r="Q14" s="615"/>
      <c r="R14" s="315">
        <f>R94</f>
        <v>0</v>
      </c>
      <c r="S14" s="315"/>
      <c r="T14" s="315">
        <f>T94</f>
        <v>0</v>
      </c>
      <c r="U14" s="315"/>
      <c r="V14" s="315">
        <f>V94</f>
        <v>7716800</v>
      </c>
      <c r="W14" s="315"/>
      <c r="X14" s="315">
        <f>SUM(R14:V14)</f>
        <v>7716800</v>
      </c>
      <c r="Y14" s="315"/>
      <c r="Z14" s="316" t="s">
        <v>1360</v>
      </c>
      <c r="AA14" s="315"/>
      <c r="AB14" s="315">
        <f>AB94</f>
        <v>0</v>
      </c>
      <c r="AC14" s="315"/>
      <c r="AD14" s="315">
        <f>AD94</f>
        <v>0</v>
      </c>
      <c r="AE14" s="315"/>
      <c r="AF14" s="315">
        <f>AF94</f>
        <v>6066035.1671563126</v>
      </c>
      <c r="AG14" s="315"/>
      <c r="AH14" s="524" t="s">
        <v>1365</v>
      </c>
      <c r="AI14" s="315"/>
      <c r="AJ14" s="315">
        <f>AJ94</f>
        <v>0</v>
      </c>
      <c r="AK14" s="315"/>
      <c r="AL14" s="315">
        <f>AL94</f>
        <v>0</v>
      </c>
      <c r="AM14" s="315"/>
      <c r="AN14" s="315">
        <f>AN94</f>
        <v>1650764.9767022582</v>
      </c>
      <c r="AO14" s="315"/>
      <c r="AP14" s="315">
        <f t="shared" si="2"/>
        <v>1650764.9767022582</v>
      </c>
      <c r="AQ14" s="315"/>
      <c r="AR14" s="315">
        <f>AR94</f>
        <v>0</v>
      </c>
      <c r="AS14" s="315"/>
      <c r="AT14" s="315">
        <f>AT94</f>
        <v>0</v>
      </c>
      <c r="AU14" s="315"/>
      <c r="AV14" s="315">
        <f>AV94</f>
        <v>52099.104608853129</v>
      </c>
      <c r="AW14" s="315"/>
      <c r="AX14" s="315">
        <f>AX94</f>
        <v>0</v>
      </c>
      <c r="AY14" s="315"/>
      <c r="AZ14" s="315">
        <f>AZ94</f>
        <v>0</v>
      </c>
      <c r="BA14" s="315"/>
      <c r="BB14" s="315">
        <f>BB94</f>
        <v>1598665.8720934053</v>
      </c>
      <c r="BC14" s="315"/>
      <c r="BD14" s="315">
        <f t="shared" si="3"/>
        <v>1598665.8720934053</v>
      </c>
      <c r="BE14" s="315"/>
      <c r="BF14" s="315">
        <f>BF94</f>
        <v>2219864</v>
      </c>
      <c r="BG14" s="315"/>
      <c r="BH14" s="304"/>
      <c r="BI14" s="304">
        <f t="shared" si="0"/>
        <v>102</v>
      </c>
    </row>
    <row r="15" spans="1:61" ht="14.5">
      <c r="A15" s="304">
        <f>+A14+1</f>
        <v>103</v>
      </c>
      <c r="B15" s="615" t="s">
        <v>1366</v>
      </c>
      <c r="C15" s="615" t="s">
        <v>1367</v>
      </c>
      <c r="D15" s="615" t="s">
        <v>1368</v>
      </c>
      <c r="E15" s="615"/>
      <c r="F15" s="524" t="s">
        <v>1369</v>
      </c>
      <c r="G15" s="615"/>
      <c r="H15" s="317">
        <f>+H108</f>
        <v>-83282905</v>
      </c>
      <c r="I15" s="615"/>
      <c r="J15" s="317">
        <f>+J108</f>
        <v>434750466</v>
      </c>
      <c r="K15" s="615"/>
      <c r="L15" s="317">
        <f>+L108</f>
        <v>260850280</v>
      </c>
      <c r="M15" s="615"/>
      <c r="N15" s="317">
        <f>+N108</f>
        <v>173900186</v>
      </c>
      <c r="O15" s="615"/>
      <c r="P15" s="524" t="s">
        <v>1364</v>
      </c>
      <c r="Q15" s="615"/>
      <c r="R15" s="317">
        <f>R108</f>
        <v>173900186</v>
      </c>
      <c r="S15" s="317"/>
      <c r="T15" s="317">
        <f t="shared" ref="T15" si="5">T108</f>
        <v>0</v>
      </c>
      <c r="U15" s="317"/>
      <c r="V15" s="317">
        <f t="shared" ref="V15" si="6">V108</f>
        <v>0</v>
      </c>
      <c r="W15" s="317"/>
      <c r="X15" s="317">
        <f t="shared" si="1"/>
        <v>173900186</v>
      </c>
      <c r="Y15" s="315"/>
      <c r="Z15" s="316" t="s">
        <v>1356</v>
      </c>
      <c r="AA15" s="315"/>
      <c r="AB15" s="317">
        <f>AB108</f>
        <v>16184409.801370051</v>
      </c>
      <c r="AC15" s="317"/>
      <c r="AD15" s="317">
        <f t="shared" ref="AD15:AF15" si="7">AD108</f>
        <v>0</v>
      </c>
      <c r="AE15" s="317"/>
      <c r="AF15" s="317">
        <f t="shared" si="7"/>
        <v>0</v>
      </c>
      <c r="AG15" s="315"/>
      <c r="AH15" s="524" t="s">
        <v>1365</v>
      </c>
      <c r="AI15" s="315"/>
      <c r="AJ15" s="317">
        <f>AJ108</f>
        <v>157715776.64720595</v>
      </c>
      <c r="AK15" s="317"/>
      <c r="AL15" s="317">
        <f t="shared" ref="AL15" si="8">AL108</f>
        <v>0</v>
      </c>
      <c r="AM15" s="317"/>
      <c r="AN15" s="317">
        <f t="shared" ref="AN15" si="9">AN108</f>
        <v>0</v>
      </c>
      <c r="AO15" s="317"/>
      <c r="AP15" s="317">
        <f t="shared" si="2"/>
        <v>157715776.64720595</v>
      </c>
      <c r="AQ15" s="315"/>
      <c r="AR15" s="317">
        <f>AR108</f>
        <v>3843391.6652320041</v>
      </c>
      <c r="AS15" s="317"/>
      <c r="AT15" s="317">
        <f t="shared" ref="AT15:AV15" si="10">AT108</f>
        <v>0</v>
      </c>
      <c r="AU15" s="317"/>
      <c r="AV15" s="317">
        <f t="shared" si="10"/>
        <v>0</v>
      </c>
      <c r="AW15" s="315"/>
      <c r="AX15" s="317">
        <f>AX108</f>
        <v>153872384.98197395</v>
      </c>
      <c r="AY15" s="317"/>
      <c r="AZ15" s="317">
        <f t="shared" ref="AZ15" si="11">AZ108</f>
        <v>0</v>
      </c>
      <c r="BA15" s="317"/>
      <c r="BB15" s="317">
        <f t="shared" ref="BB15" si="12">BB108</f>
        <v>0</v>
      </c>
      <c r="BC15" s="317"/>
      <c r="BD15" s="317">
        <f t="shared" si="3"/>
        <v>153872384.98197395</v>
      </c>
      <c r="BE15" s="315"/>
      <c r="BF15" s="317">
        <f t="shared" ref="BF15" si="13">BF108</f>
        <v>213662978</v>
      </c>
      <c r="BG15" s="315"/>
      <c r="BH15" s="304"/>
      <c r="BI15" s="304">
        <f t="shared" si="0"/>
        <v>103</v>
      </c>
    </row>
    <row r="16" spans="1:61" ht="14.5">
      <c r="A16" s="304">
        <f>+A15+1</f>
        <v>104</v>
      </c>
      <c r="B16" s="615" t="s">
        <v>736</v>
      </c>
      <c r="C16" s="615"/>
      <c r="D16" s="304"/>
      <c r="E16" s="304"/>
      <c r="F16" s="304"/>
      <c r="G16" s="304"/>
      <c r="H16" s="622">
        <f>SUM(H12:H15)</f>
        <v>-16994434987</v>
      </c>
      <c r="I16" s="304"/>
      <c r="J16" s="622">
        <f>SUM(J12:J15)</f>
        <v>-4176748024</v>
      </c>
      <c r="K16" s="304"/>
      <c r="L16" s="622">
        <f>SUM(L12:L15)</f>
        <v>-2665999361</v>
      </c>
      <c r="M16" s="304"/>
      <c r="N16" s="622">
        <f>SUM(N12:N15)</f>
        <v>-1510778363</v>
      </c>
      <c r="O16" s="304"/>
      <c r="P16" s="524"/>
      <c r="Q16" s="304"/>
      <c r="R16" s="622">
        <f>SUM(R12:R15)</f>
        <v>-985231245</v>
      </c>
      <c r="S16" s="622"/>
      <c r="T16" s="622">
        <f>SUM(T12:T15)</f>
        <v>-533263918</v>
      </c>
      <c r="U16" s="622"/>
      <c r="V16" s="622">
        <f>SUM(V12:V15)</f>
        <v>7716800</v>
      </c>
      <c r="W16" s="622"/>
      <c r="X16" s="622">
        <f>SUM(X12:X15)</f>
        <v>-1510778363</v>
      </c>
      <c r="Y16" s="622"/>
      <c r="Z16" s="622"/>
      <c r="AA16" s="622"/>
      <c r="AB16" s="622">
        <f>SUM(AB12:AB15)</f>
        <v>-70523667.08521539</v>
      </c>
      <c r="AC16" s="622"/>
      <c r="AD16" s="622">
        <f>SUM(AD12:AD15)</f>
        <v>-54097924.565300286</v>
      </c>
      <c r="AE16" s="622"/>
      <c r="AF16" s="622">
        <f>SUM(AF12:AF15)</f>
        <v>6066035.1671563126</v>
      </c>
      <c r="AG16" s="622"/>
      <c r="AH16" s="304"/>
      <c r="AI16" s="622"/>
      <c r="AJ16" s="622">
        <f>SUM(AJ12:AJ15)</f>
        <v>-914707577.00453591</v>
      </c>
      <c r="AK16" s="622"/>
      <c r="AL16" s="622">
        <f>SUM(AL12:AL15)</f>
        <v>-479165993.08165944</v>
      </c>
      <c r="AM16" s="622"/>
      <c r="AN16" s="622">
        <f>SUM(AN12:AN15)</f>
        <v>1650764.9767022582</v>
      </c>
      <c r="AO16" s="622"/>
      <c r="AP16" s="622">
        <f>SUM(AP12:AP15)</f>
        <v>-1392222805.1094933</v>
      </c>
      <c r="AQ16" s="622"/>
      <c r="AR16" s="622">
        <f>SUM(AR12:AR15)</f>
        <v>-19214825.300844245</v>
      </c>
      <c r="AS16" s="622"/>
      <c r="AT16" s="622">
        <f>SUM(AT12:AT15)</f>
        <v>-15122748.823799938</v>
      </c>
      <c r="AU16" s="622"/>
      <c r="AV16" s="622">
        <f>SUM(AV12:AV15)</f>
        <v>52099.104608853129</v>
      </c>
      <c r="AW16" s="622"/>
      <c r="AX16" s="622">
        <f>SUM(AX12:AX15)</f>
        <v>-895492751.70369172</v>
      </c>
      <c r="AY16" s="622"/>
      <c r="AZ16" s="622">
        <f>SUM(AZ12:AZ15)</f>
        <v>-464043244.25785947</v>
      </c>
      <c r="BA16" s="622"/>
      <c r="BB16" s="622">
        <f>SUM(BB12:BB15)</f>
        <v>1598665.8720934053</v>
      </c>
      <c r="BC16" s="622"/>
      <c r="BD16" s="622">
        <f>SUM(BD12:BD15)</f>
        <v>-1357937330.0894578</v>
      </c>
      <c r="BE16" s="622"/>
      <c r="BF16" s="622">
        <f>SUM(BF12:BF15)</f>
        <v>-1885594573</v>
      </c>
      <c r="BG16" s="622"/>
      <c r="BH16" s="623"/>
      <c r="BI16" s="304">
        <f t="shared" si="0"/>
        <v>104</v>
      </c>
    </row>
    <row r="17" spans="1:61" ht="14.5">
      <c r="A17" s="304"/>
      <c r="B17" s="615"/>
      <c r="C17" s="615"/>
      <c r="D17" s="304"/>
      <c r="E17" s="304"/>
      <c r="F17" s="304"/>
      <c r="G17" s="304"/>
      <c r="H17" s="304"/>
      <c r="I17" s="304"/>
      <c r="J17" s="304"/>
      <c r="K17" s="304"/>
      <c r="L17" s="304"/>
      <c r="M17" s="304"/>
      <c r="N17" s="304"/>
      <c r="O17" s="304"/>
      <c r="P17" s="524"/>
      <c r="Q17" s="304"/>
      <c r="R17" s="615"/>
      <c r="S17" s="615"/>
      <c r="T17" s="615"/>
      <c r="U17" s="615"/>
      <c r="V17" s="615"/>
      <c r="W17" s="615"/>
      <c r="X17" s="615"/>
      <c r="Y17" s="615"/>
      <c r="Z17" s="615"/>
      <c r="AA17" s="615"/>
      <c r="AB17" s="615"/>
      <c r="AC17" s="615"/>
      <c r="AD17" s="615"/>
      <c r="AE17" s="615"/>
      <c r="AF17" s="615"/>
      <c r="AG17" s="615"/>
      <c r="AH17" s="304"/>
      <c r="AI17" s="615"/>
      <c r="AJ17" s="615"/>
      <c r="AK17" s="615"/>
      <c r="AL17" s="615"/>
      <c r="AM17" s="615"/>
      <c r="AN17" s="615"/>
      <c r="AO17" s="615"/>
      <c r="AP17" s="615"/>
      <c r="AQ17" s="615"/>
      <c r="AR17" s="615"/>
      <c r="AS17" s="615"/>
      <c r="AT17" s="615"/>
      <c r="AU17" s="615"/>
      <c r="AV17" s="615"/>
      <c r="AW17" s="615"/>
      <c r="AX17" s="615"/>
      <c r="AY17" s="615"/>
      <c r="AZ17" s="615"/>
      <c r="BA17" s="615"/>
      <c r="BB17" s="615"/>
      <c r="BC17" s="615"/>
      <c r="BD17" s="615"/>
      <c r="BE17" s="615"/>
      <c r="BF17" s="304"/>
      <c r="BG17" s="615"/>
      <c r="BH17" s="623"/>
      <c r="BI17" s="304"/>
    </row>
    <row r="18" spans="1:61" ht="14.5">
      <c r="A18" s="304">
        <f>+A16+1</f>
        <v>105</v>
      </c>
      <c r="B18" s="624" t="s">
        <v>1370</v>
      </c>
      <c r="C18" s="624"/>
      <c r="D18" s="303"/>
      <c r="E18" s="304"/>
      <c r="F18" s="304"/>
      <c r="G18" s="304"/>
      <c r="H18" s="304"/>
      <c r="I18" s="304"/>
      <c r="J18" s="304"/>
      <c r="K18" s="304"/>
      <c r="L18" s="304"/>
      <c r="M18" s="304"/>
      <c r="N18" s="304"/>
      <c r="O18" s="304"/>
      <c r="P18" s="524"/>
      <c r="Q18" s="304"/>
      <c r="R18" s="615"/>
      <c r="S18" s="615"/>
      <c r="T18" s="615"/>
      <c r="U18" s="615"/>
      <c r="V18" s="615"/>
      <c r="W18" s="615"/>
      <c r="X18" s="615"/>
      <c r="Y18" s="615"/>
      <c r="Z18" s="615"/>
      <c r="AA18" s="615"/>
      <c r="AB18" s="615"/>
      <c r="AC18" s="615"/>
      <c r="AD18" s="615"/>
      <c r="AE18" s="615"/>
      <c r="AF18" s="615"/>
      <c r="AG18" s="615"/>
      <c r="AH18" s="304"/>
      <c r="AI18" s="615"/>
      <c r="AJ18" s="615"/>
      <c r="AK18" s="615"/>
      <c r="AL18" s="615"/>
      <c r="AM18" s="615"/>
      <c r="AN18" s="615"/>
      <c r="AO18" s="615"/>
      <c r="AP18" s="615"/>
      <c r="AQ18" s="615"/>
      <c r="AR18" s="615"/>
      <c r="AS18" s="615"/>
      <c r="AT18" s="615"/>
      <c r="AU18" s="615"/>
      <c r="AV18" s="615"/>
      <c r="AW18" s="615"/>
      <c r="AX18" s="615"/>
      <c r="AY18" s="615"/>
      <c r="AZ18" s="615"/>
      <c r="BA18" s="615"/>
      <c r="BB18" s="615"/>
      <c r="BC18" s="615"/>
      <c r="BD18" s="615"/>
      <c r="BE18" s="615"/>
      <c r="BF18" s="304"/>
      <c r="BG18" s="615"/>
      <c r="BH18" s="318"/>
      <c r="BI18" s="304">
        <f>A18</f>
        <v>105</v>
      </c>
    </row>
    <row r="19" spans="1:61" ht="14.5">
      <c r="A19" s="304">
        <f>+A18+1</f>
        <v>106</v>
      </c>
      <c r="B19" s="524" t="s">
        <v>1371</v>
      </c>
      <c r="C19" s="615" t="s">
        <v>1372</v>
      </c>
      <c r="D19" s="304"/>
      <c r="E19" s="304"/>
      <c r="F19" s="524" t="s">
        <v>1354</v>
      </c>
      <c r="G19" s="304"/>
      <c r="H19" s="622">
        <f>+H116</f>
        <v>-400413354</v>
      </c>
      <c r="I19" s="304"/>
      <c r="J19" s="622">
        <f>+J116</f>
        <v>-140144673.792</v>
      </c>
      <c r="K19" s="622"/>
      <c r="L19" s="622">
        <f>+L116</f>
        <v>-84086803.483769998</v>
      </c>
      <c r="M19" s="622"/>
      <c r="N19" s="622">
        <f>+N116</f>
        <v>-56057870.308230013</v>
      </c>
      <c r="O19" s="622"/>
      <c r="P19" s="524" t="s">
        <v>1355</v>
      </c>
      <c r="Q19" s="304"/>
      <c r="R19" s="622">
        <f>R116</f>
        <v>0</v>
      </c>
      <c r="S19" s="622"/>
      <c r="T19" s="622">
        <f>+T116</f>
        <v>-56057870.308230013</v>
      </c>
      <c r="U19" s="622"/>
      <c r="V19" s="622">
        <f>+V116</f>
        <v>0</v>
      </c>
      <c r="W19" s="622"/>
      <c r="X19" s="622">
        <f>SUM(R19:V19)</f>
        <v>-56057870.308230013</v>
      </c>
      <c r="Y19" s="622"/>
      <c r="Z19" s="316" t="s">
        <v>1360</v>
      </c>
      <c r="AA19" s="622"/>
      <c r="AB19" s="622">
        <f>+AB116</f>
        <v>0</v>
      </c>
      <c r="AC19" s="622"/>
      <c r="AD19" s="622">
        <f>+AD116</f>
        <v>-5686892.2123729549</v>
      </c>
      <c r="AE19" s="622"/>
      <c r="AF19" s="622">
        <f>+AF116</f>
        <v>0</v>
      </c>
      <c r="AG19" s="622"/>
      <c r="AH19" s="524" t="s">
        <v>1357</v>
      </c>
      <c r="AI19" s="622"/>
      <c r="AJ19" s="622">
        <f>+AJ116</f>
        <v>0</v>
      </c>
      <c r="AK19" s="622"/>
      <c r="AL19" s="622">
        <f>+AL116</f>
        <v>-50370978.095857061</v>
      </c>
      <c r="AM19" s="622"/>
      <c r="AN19" s="622">
        <f>+AN116</f>
        <v>0</v>
      </c>
      <c r="AO19" s="622"/>
      <c r="AP19" s="622">
        <f t="shared" ref="AP19:AP21" si="14">SUM(AJ19:AN19)</f>
        <v>-50370978.095857061</v>
      </c>
      <c r="AQ19" s="622"/>
      <c r="AR19" s="622">
        <f>+AR116</f>
        <v>0</v>
      </c>
      <c r="AS19" s="622"/>
      <c r="AT19" s="622">
        <f>+AT116</f>
        <v>-1589736.4581676468</v>
      </c>
      <c r="AU19" s="622"/>
      <c r="AV19" s="622">
        <f>+AV116</f>
        <v>0</v>
      </c>
      <c r="AW19" s="622"/>
      <c r="AX19" s="622">
        <f>+AX116</f>
        <v>0</v>
      </c>
      <c r="AY19" s="622"/>
      <c r="AZ19" s="622">
        <f>+AZ116</f>
        <v>-48781241.637689419</v>
      </c>
      <c r="BA19" s="622"/>
      <c r="BB19" s="622">
        <f>+BB116</f>
        <v>0</v>
      </c>
      <c r="BC19" s="622"/>
      <c r="BD19" s="622">
        <f>SUM(AX19:BB19)</f>
        <v>-48781241.637689419</v>
      </c>
      <c r="BE19" s="622"/>
      <c r="BF19" s="622">
        <f>+BF116</f>
        <v>-67736295.673887357</v>
      </c>
      <c r="BG19" s="622"/>
      <c r="BH19" s="623"/>
      <c r="BI19" s="304">
        <f>A19</f>
        <v>106</v>
      </c>
    </row>
    <row r="20" spans="1:61" ht="14.5">
      <c r="A20" s="304">
        <f t="shared" ref="A20:A29" si="15">A19+1</f>
        <v>107</v>
      </c>
      <c r="B20" s="524" t="s">
        <v>119</v>
      </c>
      <c r="C20" s="615"/>
      <c r="D20" s="304"/>
      <c r="E20" s="304"/>
      <c r="F20" s="304"/>
      <c r="G20" s="304"/>
      <c r="H20" s="622">
        <v>0</v>
      </c>
      <c r="I20" s="304"/>
      <c r="J20" s="622">
        <v>0</v>
      </c>
      <c r="K20" s="622"/>
      <c r="L20" s="622">
        <v>0</v>
      </c>
      <c r="M20" s="622"/>
      <c r="N20" s="622">
        <v>0</v>
      </c>
      <c r="O20" s="622"/>
      <c r="P20" s="524"/>
      <c r="Q20" s="304"/>
      <c r="R20" s="622">
        <v>0</v>
      </c>
      <c r="S20" s="622"/>
      <c r="T20" s="622">
        <v>0</v>
      </c>
      <c r="U20" s="622"/>
      <c r="V20" s="622">
        <v>0</v>
      </c>
      <c r="W20" s="622"/>
      <c r="X20" s="622">
        <f t="shared" ref="X20:X21" si="16">SUM(R20:V20)</f>
        <v>0</v>
      </c>
      <c r="Y20" s="622"/>
      <c r="Z20" s="316"/>
      <c r="AA20" s="622"/>
      <c r="AB20" s="622">
        <v>0</v>
      </c>
      <c r="AC20" s="622"/>
      <c r="AD20" s="622">
        <v>0</v>
      </c>
      <c r="AE20" s="622"/>
      <c r="AF20" s="622">
        <v>0</v>
      </c>
      <c r="AG20" s="622"/>
      <c r="AH20" s="524"/>
      <c r="AI20" s="622"/>
      <c r="AJ20" s="622">
        <v>0</v>
      </c>
      <c r="AK20" s="622"/>
      <c r="AL20" s="622">
        <v>0</v>
      </c>
      <c r="AM20" s="622"/>
      <c r="AN20" s="622">
        <v>0</v>
      </c>
      <c r="AO20" s="622"/>
      <c r="AP20" s="622">
        <f t="shared" si="14"/>
        <v>0</v>
      </c>
      <c r="AQ20" s="622"/>
      <c r="AR20" s="622">
        <v>0</v>
      </c>
      <c r="AS20" s="622"/>
      <c r="AT20" s="622">
        <v>0</v>
      </c>
      <c r="AU20" s="622"/>
      <c r="AV20" s="622">
        <v>0</v>
      </c>
      <c r="AW20" s="622"/>
      <c r="AX20" s="622">
        <v>0</v>
      </c>
      <c r="AY20" s="622"/>
      <c r="AZ20" s="622">
        <v>0</v>
      </c>
      <c r="BA20" s="622"/>
      <c r="BB20" s="622">
        <v>0</v>
      </c>
      <c r="BC20" s="622"/>
      <c r="BD20" s="622">
        <f t="shared" ref="BD20:BD21" si="17">SUM(AX20:BB20)</f>
        <v>0</v>
      </c>
      <c r="BE20" s="622"/>
      <c r="BF20" s="622">
        <v>0</v>
      </c>
      <c r="BG20" s="622"/>
      <c r="BH20" s="318"/>
      <c r="BI20" s="304">
        <f>A20</f>
        <v>107</v>
      </c>
    </row>
    <row r="21" spans="1:61" ht="14.5">
      <c r="A21" s="304">
        <f t="shared" si="15"/>
        <v>108</v>
      </c>
      <c r="B21" s="524" t="s">
        <v>119</v>
      </c>
      <c r="C21" s="615"/>
      <c r="D21" s="304"/>
      <c r="E21" s="304"/>
      <c r="F21" s="304"/>
      <c r="G21" s="304"/>
      <c r="H21" s="625">
        <v>0</v>
      </c>
      <c r="I21" s="304"/>
      <c r="J21" s="625">
        <v>0</v>
      </c>
      <c r="K21" s="625"/>
      <c r="L21" s="625">
        <v>0</v>
      </c>
      <c r="M21" s="625"/>
      <c r="N21" s="625">
        <v>0</v>
      </c>
      <c r="O21" s="625"/>
      <c r="P21" s="524"/>
      <c r="Q21" s="304"/>
      <c r="R21" s="625">
        <v>0</v>
      </c>
      <c r="S21" s="625"/>
      <c r="T21" s="625">
        <v>0</v>
      </c>
      <c r="U21" s="625"/>
      <c r="V21" s="625">
        <v>0</v>
      </c>
      <c r="W21" s="625"/>
      <c r="X21" s="625">
        <f t="shared" si="16"/>
        <v>0</v>
      </c>
      <c r="Y21" s="622"/>
      <c r="Z21" s="316"/>
      <c r="AA21" s="622"/>
      <c r="AB21" s="625">
        <v>0</v>
      </c>
      <c r="AC21" s="625"/>
      <c r="AD21" s="625">
        <v>0</v>
      </c>
      <c r="AE21" s="625"/>
      <c r="AF21" s="625">
        <v>0</v>
      </c>
      <c r="AG21" s="622"/>
      <c r="AH21" s="524"/>
      <c r="AI21" s="622"/>
      <c r="AJ21" s="625">
        <v>0</v>
      </c>
      <c r="AK21" s="625"/>
      <c r="AL21" s="625">
        <v>0</v>
      </c>
      <c r="AM21" s="625"/>
      <c r="AN21" s="625">
        <v>0</v>
      </c>
      <c r="AO21" s="625"/>
      <c r="AP21" s="625">
        <f t="shared" si="14"/>
        <v>0</v>
      </c>
      <c r="AQ21" s="622"/>
      <c r="AR21" s="625">
        <v>0</v>
      </c>
      <c r="AS21" s="625"/>
      <c r="AT21" s="625">
        <v>0</v>
      </c>
      <c r="AU21" s="625"/>
      <c r="AV21" s="625">
        <v>0</v>
      </c>
      <c r="AW21" s="622"/>
      <c r="AX21" s="625">
        <v>0</v>
      </c>
      <c r="AY21" s="625"/>
      <c r="AZ21" s="625">
        <v>0</v>
      </c>
      <c r="BA21" s="625"/>
      <c r="BB21" s="625">
        <v>0</v>
      </c>
      <c r="BC21" s="625"/>
      <c r="BD21" s="625">
        <f t="shared" si="17"/>
        <v>0</v>
      </c>
      <c r="BE21" s="622"/>
      <c r="BF21" s="625">
        <v>0</v>
      </c>
      <c r="BG21" s="622"/>
      <c r="BH21" s="318"/>
      <c r="BI21" s="304">
        <f>A21</f>
        <v>108</v>
      </c>
    </row>
    <row r="22" spans="1:61" ht="14.5">
      <c r="A22" s="304">
        <f t="shared" si="15"/>
        <v>109</v>
      </c>
      <c r="B22" s="615" t="s">
        <v>1373</v>
      </c>
      <c r="C22" s="615"/>
      <c r="D22" s="304"/>
      <c r="E22" s="304"/>
      <c r="F22" s="304"/>
      <c r="G22" s="304"/>
      <c r="H22" s="622">
        <f>SUM(H16:H21)</f>
        <v>-17394848341</v>
      </c>
      <c r="I22" s="304"/>
      <c r="J22" s="622">
        <f>SUM(J16:J21)</f>
        <v>-4316892697.7919998</v>
      </c>
      <c r="K22" s="622"/>
      <c r="L22" s="622">
        <f t="shared" ref="L22" si="18">SUM(L16:L21)</f>
        <v>-2750086164.4837699</v>
      </c>
      <c r="M22" s="622"/>
      <c r="N22" s="622">
        <f t="shared" ref="N22" si="19">SUM(N16:N21)</f>
        <v>-1566836233.3082299</v>
      </c>
      <c r="O22" s="622"/>
      <c r="P22" s="316"/>
      <c r="Q22" s="304"/>
      <c r="R22" s="622">
        <f>SUM(R16:R21)</f>
        <v>-985231245</v>
      </c>
      <c r="S22" s="622"/>
      <c r="T22" s="622">
        <f t="shared" ref="T22" si="20">SUM(T16:T21)</f>
        <v>-589321788.30823004</v>
      </c>
      <c r="U22" s="622"/>
      <c r="V22" s="622">
        <f t="shared" ref="V22" si="21">SUM(V16:V21)</f>
        <v>7716800</v>
      </c>
      <c r="W22" s="622"/>
      <c r="X22" s="622">
        <f>SUM(X16:X21)</f>
        <v>-1566836233.3082299</v>
      </c>
      <c r="Y22" s="622"/>
      <c r="Z22" s="622"/>
      <c r="AA22" s="622"/>
      <c r="AB22" s="622">
        <f>SUM(AB16:AB21)</f>
        <v>-70523667.08521539</v>
      </c>
      <c r="AC22" s="622"/>
      <c r="AD22" s="622">
        <f t="shared" ref="AD22" si="22">SUM(AD16:AD21)</f>
        <v>-59784816.777673244</v>
      </c>
      <c r="AE22" s="622"/>
      <c r="AF22" s="622">
        <f t="shared" ref="AF22" si="23">SUM(AF16:AF21)</f>
        <v>6066035.1671563126</v>
      </c>
      <c r="AG22" s="622"/>
      <c r="AH22" s="316"/>
      <c r="AI22" s="622"/>
      <c r="AJ22" s="622">
        <f>SUM(AJ16:AJ21)</f>
        <v>-914707577.00453591</v>
      </c>
      <c r="AK22" s="622"/>
      <c r="AL22" s="622">
        <f t="shared" ref="AL22" si="24">SUM(AL16:AL21)</f>
        <v>-529536971.17751652</v>
      </c>
      <c r="AM22" s="622"/>
      <c r="AN22" s="622">
        <f t="shared" ref="AN22" si="25">SUM(AN16:AN21)</f>
        <v>1650764.9767022582</v>
      </c>
      <c r="AO22" s="622"/>
      <c r="AP22" s="622">
        <f t="shared" ref="AP22" si="26">SUM(AP16:AP21)</f>
        <v>-1442593783.2053504</v>
      </c>
      <c r="AQ22" s="622"/>
      <c r="AR22" s="622">
        <f>SUM(AR16:AR21)</f>
        <v>-19214825.300844245</v>
      </c>
      <c r="AS22" s="622"/>
      <c r="AT22" s="622">
        <f t="shared" ref="AT22" si="27">SUM(AT16:AT21)</f>
        <v>-16712485.281967584</v>
      </c>
      <c r="AU22" s="622"/>
      <c r="AV22" s="622">
        <f t="shared" ref="AV22" si="28">SUM(AV16:AV21)</f>
        <v>52099.104608853129</v>
      </c>
      <c r="AW22" s="622"/>
      <c r="AX22" s="622">
        <f>SUM(AX16:AX21)</f>
        <v>-895492751.70369172</v>
      </c>
      <c r="AY22" s="622"/>
      <c r="AZ22" s="622">
        <f t="shared" ref="AZ22" si="29">SUM(AZ16:AZ21)</f>
        <v>-512824485.89554888</v>
      </c>
      <c r="BA22" s="622"/>
      <c r="BB22" s="622">
        <f t="shared" ref="BB22" si="30">SUM(BB16:BB21)</f>
        <v>1598665.8720934053</v>
      </c>
      <c r="BC22" s="622"/>
      <c r="BD22" s="622">
        <f t="shared" ref="BD22" si="31">SUM(BD16:BD21)</f>
        <v>-1406718571.7271471</v>
      </c>
      <c r="BE22" s="622"/>
      <c r="BF22" s="622">
        <f>SUM(BF16:BF21)</f>
        <v>-1953330868.6738873</v>
      </c>
      <c r="BG22" s="622"/>
      <c r="BH22" s="318"/>
      <c r="BI22" s="304">
        <f>A22</f>
        <v>109</v>
      </c>
    </row>
    <row r="23" spans="1:61" ht="14.5">
      <c r="A23" s="304"/>
      <c r="B23" s="615"/>
      <c r="C23" s="615"/>
      <c r="D23" s="304"/>
      <c r="E23" s="304"/>
      <c r="F23" s="304"/>
      <c r="G23" s="304"/>
      <c r="H23" s="304"/>
      <c r="I23" s="304"/>
      <c r="J23" s="304"/>
      <c r="K23" s="304"/>
      <c r="L23" s="304"/>
      <c r="M23" s="304"/>
      <c r="N23" s="304"/>
      <c r="O23" s="304"/>
      <c r="P23" s="524"/>
      <c r="Q23" s="304"/>
      <c r="R23" s="622"/>
      <c r="S23" s="622"/>
      <c r="T23" s="622"/>
      <c r="U23" s="622"/>
      <c r="V23" s="622"/>
      <c r="W23" s="622"/>
      <c r="X23" s="622"/>
      <c r="Y23" s="622"/>
      <c r="Z23" s="622"/>
      <c r="AA23" s="622"/>
      <c r="AB23" s="622"/>
      <c r="AC23" s="622"/>
      <c r="AD23" s="622"/>
      <c r="AE23" s="622"/>
      <c r="AF23" s="622"/>
      <c r="AG23" s="622"/>
      <c r="AH23" s="316"/>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304"/>
      <c r="BG23" s="622"/>
      <c r="BH23" s="318"/>
      <c r="BI23" s="304"/>
    </row>
    <row r="24" spans="1:61" ht="14.5">
      <c r="A24" s="201" t="s">
        <v>92</v>
      </c>
      <c r="B24" s="624" t="s">
        <v>1374</v>
      </c>
      <c r="C24" s="319"/>
      <c r="D24" s="303"/>
      <c r="E24" s="304"/>
      <c r="F24" s="304"/>
      <c r="G24" s="304"/>
      <c r="H24" s="304"/>
      <c r="I24" s="304"/>
      <c r="J24" s="304"/>
      <c r="K24" s="304"/>
      <c r="L24" s="304"/>
      <c r="M24" s="304"/>
      <c r="N24" s="304"/>
      <c r="O24" s="304"/>
      <c r="P24" s="524"/>
      <c r="Q24" s="304"/>
      <c r="R24" s="622"/>
      <c r="S24" s="622"/>
      <c r="T24" s="622"/>
      <c r="U24" s="622"/>
      <c r="V24" s="615"/>
      <c r="W24" s="615"/>
      <c r="X24" s="615"/>
      <c r="Y24" s="615"/>
      <c r="Z24" s="615"/>
      <c r="AA24" s="615"/>
      <c r="AB24" s="615"/>
      <c r="AC24" s="615"/>
      <c r="AD24" s="615"/>
      <c r="AE24" s="615"/>
      <c r="AF24" s="615"/>
      <c r="AG24" s="615"/>
      <c r="AH24" s="524"/>
      <c r="AI24" s="615"/>
      <c r="AJ24" s="622"/>
      <c r="AK24" s="622"/>
      <c r="AL24" s="622"/>
      <c r="AM24" s="622"/>
      <c r="AN24" s="615"/>
      <c r="AO24" s="615"/>
      <c r="AP24" s="615"/>
      <c r="AQ24" s="615"/>
      <c r="AR24" s="615"/>
      <c r="AS24" s="615"/>
      <c r="AT24" s="615"/>
      <c r="AU24" s="615"/>
      <c r="AV24" s="615"/>
      <c r="AW24" s="615"/>
      <c r="AX24" s="622"/>
      <c r="AY24" s="622"/>
      <c r="AZ24" s="622"/>
      <c r="BA24" s="622"/>
      <c r="BB24" s="615"/>
      <c r="BC24" s="615"/>
      <c r="BD24" s="615"/>
      <c r="BE24" s="615"/>
      <c r="BF24" s="304"/>
      <c r="BG24" s="615"/>
      <c r="BH24" s="318"/>
      <c r="BI24" s="621" t="s">
        <v>92</v>
      </c>
    </row>
    <row r="25" spans="1:61" ht="14.5">
      <c r="A25" s="304">
        <v>200</v>
      </c>
      <c r="B25" s="615" t="s">
        <v>1375</v>
      </c>
      <c r="C25" s="615"/>
      <c r="D25" s="304"/>
      <c r="E25" s="304"/>
      <c r="F25" s="304"/>
      <c r="G25" s="304"/>
      <c r="H25" s="625">
        <f>ROUND(SUM(H26:H30),0)</f>
        <v>-10466951654</v>
      </c>
      <c r="I25" s="304"/>
      <c r="J25" s="625">
        <f>ROUND(SUM(J26:J30),0)</f>
        <v>-3663433079</v>
      </c>
      <c r="K25" s="622"/>
      <c r="L25" s="625">
        <f>ROUND(SUM(L26:L30),0)</f>
        <v>-2361016151</v>
      </c>
      <c r="M25" s="622"/>
      <c r="N25" s="625">
        <f>ROUND(SUM(N26:N30),0)</f>
        <v>-1302433382</v>
      </c>
      <c r="O25" s="304"/>
      <c r="P25" s="524"/>
      <c r="Q25" s="304"/>
      <c r="R25" s="625">
        <f>ROUND(SUM(R26:R30),0)</f>
        <v>-1302433382</v>
      </c>
      <c r="S25" s="622"/>
      <c r="T25" s="625">
        <f>ROUND(SUM(T26:T30),0)</f>
        <v>0</v>
      </c>
      <c r="U25" s="622"/>
      <c r="V25" s="625">
        <f>ROUND(SUM(V26:V30),0)</f>
        <v>0</v>
      </c>
      <c r="W25" s="622"/>
      <c r="X25" s="625">
        <f>ROUND(SUM(X26:X30),0)</f>
        <v>-1302433382</v>
      </c>
      <c r="Y25" s="622"/>
      <c r="Z25" s="622"/>
      <c r="AA25" s="622"/>
      <c r="AB25" s="625">
        <f>SUM(AB26:AB30)</f>
        <v>-132127714.58327107</v>
      </c>
      <c r="AC25" s="622"/>
      <c r="AD25" s="625">
        <f>SUM(AD26:AD30)</f>
        <v>0</v>
      </c>
      <c r="AE25" s="622"/>
      <c r="AF25" s="625">
        <f>SUM(AF26:AF30)</f>
        <v>0</v>
      </c>
      <c r="AG25" s="622"/>
      <c r="AH25" s="316"/>
      <c r="AI25" s="622"/>
      <c r="AJ25" s="625">
        <f>SUM(AJ26:AJ30)</f>
        <v>-1170305666.9536951</v>
      </c>
      <c r="AK25" s="622"/>
      <c r="AL25" s="625">
        <f>SUM(AL26:AL30)</f>
        <v>0</v>
      </c>
      <c r="AM25" s="622"/>
      <c r="AN25" s="625">
        <f>SUM(AN26:AN30)</f>
        <v>0</v>
      </c>
      <c r="AO25" s="622"/>
      <c r="AP25" s="625">
        <f>SUM(AP26:AP30)</f>
        <v>-1170305666.9536951</v>
      </c>
      <c r="AQ25" s="622"/>
      <c r="AR25" s="625">
        <f>SUM(AR26:AR30)</f>
        <v>-36935506.46107775</v>
      </c>
      <c r="AS25" s="622"/>
      <c r="AT25" s="625">
        <f>SUM(AT26:AT30)</f>
        <v>0</v>
      </c>
      <c r="AU25" s="622"/>
      <c r="AV25" s="625">
        <f>SUM(AV26:AV30)</f>
        <v>0</v>
      </c>
      <c r="AW25" s="622"/>
      <c r="AX25" s="625">
        <f>SUM(AX26:AX30)</f>
        <v>-1133370160.4926174</v>
      </c>
      <c r="AY25" s="622"/>
      <c r="AZ25" s="625">
        <f>SUM(AZ26:AZ30)</f>
        <v>0</v>
      </c>
      <c r="BA25" s="622"/>
      <c r="BB25" s="625">
        <f>SUM(BB26:BB30)</f>
        <v>0</v>
      </c>
      <c r="BC25" s="622"/>
      <c r="BD25" s="625">
        <f>SUM(BD26:BD30)</f>
        <v>-1133370160.4926174</v>
      </c>
      <c r="BE25" s="622"/>
      <c r="BF25" s="625">
        <f>ROUND(SUM(BF26:BF30),0)</f>
        <v>-1573766754</v>
      </c>
      <c r="BG25" s="622"/>
      <c r="BH25" s="623"/>
      <c r="BI25" s="304">
        <f t="shared" ref="BI25:BI30" si="32">A25</f>
        <v>200</v>
      </c>
    </row>
    <row r="26" spans="1:61" ht="14.5">
      <c r="A26" s="304">
        <f t="shared" si="15"/>
        <v>201</v>
      </c>
      <c r="B26" s="626" t="s">
        <v>1376</v>
      </c>
      <c r="C26" s="615"/>
      <c r="D26" s="615" t="s">
        <v>1377</v>
      </c>
      <c r="E26" s="304"/>
      <c r="F26" s="524" t="s">
        <v>1354</v>
      </c>
      <c r="G26" s="304"/>
      <c r="H26" s="627">
        <v>-1164217386.4685714</v>
      </c>
      <c r="I26" s="304"/>
      <c r="J26" s="627">
        <v>-407476085.264</v>
      </c>
      <c r="K26" s="622"/>
      <c r="L26" s="627">
        <v>-407476081.69378757</v>
      </c>
      <c r="M26" s="622"/>
      <c r="N26" s="627">
        <v>-0.79857784772084273</v>
      </c>
      <c r="O26" s="304"/>
      <c r="P26" s="524" t="s">
        <v>1355</v>
      </c>
      <c r="Q26" s="304"/>
      <c r="R26" s="622">
        <f>N26</f>
        <v>-0.79857784772084273</v>
      </c>
      <c r="S26" s="622"/>
      <c r="T26" s="622">
        <v>0</v>
      </c>
      <c r="U26" s="622"/>
      <c r="V26" s="622">
        <v>0</v>
      </c>
      <c r="W26" s="622"/>
      <c r="X26" s="622">
        <f t="shared" ref="X26:X30" si="33">SUM(R26:V26)</f>
        <v>-0.79857784772084273</v>
      </c>
      <c r="Y26" s="622"/>
      <c r="Z26" s="316" t="s">
        <v>1356</v>
      </c>
      <c r="AA26" s="622"/>
      <c r="AB26" s="627">
        <v>-8.1013176530013054E-2</v>
      </c>
      <c r="AC26" s="622"/>
      <c r="AD26" s="622">
        <v>0</v>
      </c>
      <c r="AE26" s="622"/>
      <c r="AF26" s="622">
        <v>0</v>
      </c>
      <c r="AG26" s="622"/>
      <c r="AH26" s="316" t="s">
        <v>1357</v>
      </c>
      <c r="AI26" s="622"/>
      <c r="AJ26" s="315">
        <f t="shared" ref="AJ26:AJ30" si="34">+R26-AB26</f>
        <v>-0.71756467119082967</v>
      </c>
      <c r="AK26" s="622"/>
      <c r="AL26" s="315">
        <f t="shared" ref="AL26:AL30" si="35">+T26-AD26</f>
        <v>0</v>
      </c>
      <c r="AM26" s="622"/>
      <c r="AN26" s="315">
        <f t="shared" ref="AN26:AN30" si="36">+V26-AF26</f>
        <v>0</v>
      </c>
      <c r="AO26" s="622"/>
      <c r="AP26" s="622">
        <f t="shared" ref="AP26:AP30" si="37">SUM(AJ26:AN26)</f>
        <v>-0.71756467119082967</v>
      </c>
      <c r="AQ26" s="622"/>
      <c r="AR26" s="627">
        <v>-2.2646745447632385E-2</v>
      </c>
      <c r="AS26" s="622"/>
      <c r="AT26" s="622">
        <v>0</v>
      </c>
      <c r="AU26" s="622"/>
      <c r="AV26" s="622">
        <v>0</v>
      </c>
      <c r="AW26" s="622"/>
      <c r="AX26" s="315">
        <f>+AJ26-AR26</f>
        <v>-0.69491792574319733</v>
      </c>
      <c r="AY26" s="622"/>
      <c r="AZ26" s="315">
        <f>+AL26-AT26</f>
        <v>0</v>
      </c>
      <c r="BA26" s="622"/>
      <c r="BB26" s="315">
        <f>+AN26-AV26</f>
        <v>0</v>
      </c>
      <c r="BC26" s="622"/>
      <c r="BD26" s="622">
        <f t="shared" ref="BD26:BD30" si="38">SUM(AX26:BB26)</f>
        <v>-0.69491792574319733</v>
      </c>
      <c r="BE26" s="622"/>
      <c r="BF26" s="622">
        <f>+BD26*$BF$10</f>
        <v>-0.96494399295604516</v>
      </c>
      <c r="BG26" s="622"/>
      <c r="BH26" s="623"/>
      <c r="BI26" s="304">
        <f t="shared" si="32"/>
        <v>201</v>
      </c>
    </row>
    <row r="27" spans="1:61" ht="14.5">
      <c r="A27" s="304">
        <f t="shared" si="15"/>
        <v>202</v>
      </c>
      <c r="B27" s="626" t="s">
        <v>1378</v>
      </c>
      <c r="C27" s="615"/>
      <c r="D27" s="615" t="s">
        <v>1377</v>
      </c>
      <c r="E27" s="304"/>
      <c r="F27" s="524" t="s">
        <v>1354</v>
      </c>
      <c r="G27" s="304"/>
      <c r="H27" s="627">
        <v>-9711400284.4914284</v>
      </c>
      <c r="I27" s="304"/>
      <c r="J27" s="627">
        <v>-3398990099.572</v>
      </c>
      <c r="K27" s="622"/>
      <c r="L27" s="627">
        <v>-2039091608.7690783</v>
      </c>
      <c r="M27" s="622"/>
      <c r="N27" s="627">
        <v>-1359898490.8029218</v>
      </c>
      <c r="O27" s="304"/>
      <c r="P27" s="524" t="s">
        <v>1355</v>
      </c>
      <c r="Q27" s="304"/>
      <c r="R27" s="622">
        <f t="shared" ref="R27:R28" si="39">N27</f>
        <v>-1359898490.8029218</v>
      </c>
      <c r="S27" s="622"/>
      <c r="T27" s="622">
        <v>0</v>
      </c>
      <c r="U27" s="622"/>
      <c r="V27" s="622">
        <v>0</v>
      </c>
      <c r="W27" s="622"/>
      <c r="X27" s="622">
        <f t="shared" si="33"/>
        <v>-1359898490.8029218</v>
      </c>
      <c r="Y27" s="622"/>
      <c r="Z27" s="316" t="s">
        <v>1356</v>
      </c>
      <c r="AA27" s="622"/>
      <c r="AB27" s="627">
        <f>-137957366.101178-0.3</f>
        <v>-137957366.401178</v>
      </c>
      <c r="AC27" s="622"/>
      <c r="AD27" s="622">
        <v>0</v>
      </c>
      <c r="AE27" s="622"/>
      <c r="AF27" s="622">
        <v>0</v>
      </c>
      <c r="AG27" s="622"/>
      <c r="AH27" s="316" t="s">
        <v>1357</v>
      </c>
      <c r="AI27" s="622"/>
      <c r="AJ27" s="315">
        <f t="shared" si="34"/>
        <v>-1221941124.4017439</v>
      </c>
      <c r="AK27" s="622"/>
      <c r="AL27" s="315">
        <f t="shared" si="35"/>
        <v>0</v>
      </c>
      <c r="AM27" s="622"/>
      <c r="AN27" s="315">
        <f t="shared" si="36"/>
        <v>0</v>
      </c>
      <c r="AO27" s="622"/>
      <c r="AP27" s="622">
        <f t="shared" si="37"/>
        <v>-1221941124.4017439</v>
      </c>
      <c r="AQ27" s="622"/>
      <c r="AR27" s="627">
        <v>-38565150.590802476</v>
      </c>
      <c r="AS27" s="622"/>
      <c r="AT27" s="622">
        <v>0</v>
      </c>
      <c r="AU27" s="622"/>
      <c r="AV27" s="622">
        <v>0</v>
      </c>
      <c r="AW27" s="622"/>
      <c r="AX27" s="315">
        <f>+AJ27-AR27</f>
        <v>-1183375973.8109415</v>
      </c>
      <c r="AY27" s="622"/>
      <c r="AZ27" s="315">
        <f>+AL27-AT27</f>
        <v>0</v>
      </c>
      <c r="BA27" s="622"/>
      <c r="BB27" s="315">
        <f>+AN27-AV27</f>
        <v>0</v>
      </c>
      <c r="BC27" s="622"/>
      <c r="BD27" s="622">
        <f t="shared" si="38"/>
        <v>-1183375973.8109415</v>
      </c>
      <c r="BE27" s="622"/>
      <c r="BF27" s="622">
        <f>+BD27*$BF$10</f>
        <v>-1643203456.1724014</v>
      </c>
      <c r="BG27" s="622"/>
      <c r="BH27" s="623"/>
      <c r="BI27" s="304">
        <f t="shared" si="32"/>
        <v>202</v>
      </c>
    </row>
    <row r="28" spans="1:61" ht="14.5">
      <c r="A28" s="304">
        <f t="shared" si="15"/>
        <v>203</v>
      </c>
      <c r="B28" s="626" t="s">
        <v>1379</v>
      </c>
      <c r="C28" s="615"/>
      <c r="D28" s="615" t="s">
        <v>1377</v>
      </c>
      <c r="E28" s="304"/>
      <c r="F28" s="524" t="s">
        <v>1354</v>
      </c>
      <c r="G28" s="304"/>
      <c r="H28" s="627">
        <v>408666016.86399996</v>
      </c>
      <c r="I28" s="304"/>
      <c r="J28" s="627">
        <v>143033105.90239999</v>
      </c>
      <c r="K28" s="622"/>
      <c r="L28" s="627">
        <v>85551539.890252292</v>
      </c>
      <c r="M28" s="622"/>
      <c r="N28" s="627">
        <v>57465110.064533599</v>
      </c>
      <c r="O28" s="304"/>
      <c r="P28" s="524" t="s">
        <v>1355</v>
      </c>
      <c r="Q28" s="304"/>
      <c r="R28" s="622">
        <f t="shared" si="39"/>
        <v>57465110.064533599</v>
      </c>
      <c r="S28" s="622"/>
      <c r="T28" s="622">
        <v>0</v>
      </c>
      <c r="U28" s="622"/>
      <c r="V28" s="622">
        <v>0</v>
      </c>
      <c r="W28" s="622"/>
      <c r="X28" s="622">
        <f t="shared" si="33"/>
        <v>57465110.064533599</v>
      </c>
      <c r="Y28" s="622"/>
      <c r="Z28" s="316" t="s">
        <v>1356</v>
      </c>
      <c r="AA28" s="622"/>
      <c r="AB28" s="627">
        <f>5829652.1989201-0.3</f>
        <v>5829651.8989201002</v>
      </c>
      <c r="AC28" s="622"/>
      <c r="AD28" s="622">
        <v>0</v>
      </c>
      <c r="AE28" s="622"/>
      <c r="AF28" s="622">
        <v>0</v>
      </c>
      <c r="AG28" s="622"/>
      <c r="AH28" s="316" t="s">
        <v>1357</v>
      </c>
      <c r="AI28" s="622"/>
      <c r="AJ28" s="315">
        <f t="shared" si="34"/>
        <v>51635458.165613502</v>
      </c>
      <c r="AK28" s="622"/>
      <c r="AL28" s="315">
        <f t="shared" si="35"/>
        <v>0</v>
      </c>
      <c r="AM28" s="622"/>
      <c r="AN28" s="315">
        <f t="shared" si="36"/>
        <v>0</v>
      </c>
      <c r="AO28" s="622"/>
      <c r="AP28" s="622">
        <f t="shared" si="37"/>
        <v>51635458.165613502</v>
      </c>
      <c r="AQ28" s="622"/>
      <c r="AR28" s="627">
        <v>1629644.1523714759</v>
      </c>
      <c r="AS28" s="622"/>
      <c r="AT28" s="622">
        <v>0</v>
      </c>
      <c r="AU28" s="622"/>
      <c r="AV28" s="622">
        <v>0</v>
      </c>
      <c r="AW28" s="622"/>
      <c r="AX28" s="315">
        <f>+AJ28-AR28</f>
        <v>50005814.013242029</v>
      </c>
      <c r="AY28" s="622"/>
      <c r="AZ28" s="315">
        <f>+AL28-AT28</f>
        <v>0</v>
      </c>
      <c r="BA28" s="622"/>
      <c r="BB28" s="315">
        <f>+AN28-AV28</f>
        <v>0</v>
      </c>
      <c r="BC28" s="622"/>
      <c r="BD28" s="622">
        <f t="shared" si="38"/>
        <v>50005814.013242029</v>
      </c>
      <c r="BE28" s="622"/>
      <c r="BF28" s="622">
        <f>+BD28*$BF$10</f>
        <v>69436703.324856594</v>
      </c>
      <c r="BG28" s="622"/>
      <c r="BH28" s="623"/>
      <c r="BI28" s="304">
        <f t="shared" si="32"/>
        <v>203</v>
      </c>
    </row>
    <row r="29" spans="1:61" ht="14.5">
      <c r="A29" s="304">
        <f t="shared" si="15"/>
        <v>204</v>
      </c>
      <c r="B29" s="628" t="s">
        <v>119</v>
      </c>
      <c r="C29" s="615"/>
      <c r="D29" s="304"/>
      <c r="E29" s="304"/>
      <c r="F29" s="304"/>
      <c r="G29" s="304"/>
      <c r="H29" s="627">
        <v>0</v>
      </c>
      <c r="I29" s="304"/>
      <c r="J29" s="627"/>
      <c r="K29" s="622"/>
      <c r="L29" s="627"/>
      <c r="M29" s="622"/>
      <c r="N29" s="627">
        <v>0</v>
      </c>
      <c r="O29" s="304"/>
      <c r="P29" s="524"/>
      <c r="Q29" s="304"/>
      <c r="R29" s="622">
        <v>0</v>
      </c>
      <c r="S29" s="622"/>
      <c r="T29" s="622">
        <v>0</v>
      </c>
      <c r="U29" s="622"/>
      <c r="V29" s="622">
        <v>0</v>
      </c>
      <c r="W29" s="622"/>
      <c r="X29" s="622">
        <f t="shared" si="33"/>
        <v>0</v>
      </c>
      <c r="Y29" s="622"/>
      <c r="Z29" s="316"/>
      <c r="AA29" s="622"/>
      <c r="AB29" s="627">
        <v>0</v>
      </c>
      <c r="AC29" s="622"/>
      <c r="AD29" s="622">
        <v>0</v>
      </c>
      <c r="AE29" s="622"/>
      <c r="AF29" s="622">
        <v>0</v>
      </c>
      <c r="AG29" s="622"/>
      <c r="AH29" s="316"/>
      <c r="AI29" s="622"/>
      <c r="AJ29" s="315">
        <f t="shared" si="34"/>
        <v>0</v>
      </c>
      <c r="AK29" s="622"/>
      <c r="AL29" s="315">
        <f t="shared" si="35"/>
        <v>0</v>
      </c>
      <c r="AM29" s="622"/>
      <c r="AN29" s="315">
        <f t="shared" si="36"/>
        <v>0</v>
      </c>
      <c r="AO29" s="622"/>
      <c r="AP29" s="622">
        <f t="shared" si="37"/>
        <v>0</v>
      </c>
      <c r="AQ29" s="622"/>
      <c r="AR29" s="627"/>
      <c r="AS29" s="622"/>
      <c r="AT29" s="622">
        <v>0</v>
      </c>
      <c r="AU29" s="622"/>
      <c r="AV29" s="622">
        <v>0</v>
      </c>
      <c r="AW29" s="622"/>
      <c r="AX29" s="315">
        <f>+AJ29-AR29</f>
        <v>0</v>
      </c>
      <c r="AY29" s="622"/>
      <c r="AZ29" s="315">
        <f>+AL29-AT29</f>
        <v>0</v>
      </c>
      <c r="BA29" s="622"/>
      <c r="BB29" s="315">
        <f>+AN29-AV29</f>
        <v>0</v>
      </c>
      <c r="BC29" s="622"/>
      <c r="BD29" s="622">
        <f t="shared" si="38"/>
        <v>0</v>
      </c>
      <c r="BE29" s="622"/>
      <c r="BF29" s="622">
        <f>+BD29*$BF$10</f>
        <v>0</v>
      </c>
      <c r="BG29" s="622"/>
      <c r="BH29" s="623"/>
      <c r="BI29" s="304">
        <f t="shared" si="32"/>
        <v>204</v>
      </c>
    </row>
    <row r="30" spans="1:61" ht="14.5">
      <c r="A30" s="304">
        <f>+A29+1</f>
        <v>205</v>
      </c>
      <c r="B30" s="628" t="s">
        <v>119</v>
      </c>
      <c r="C30" s="629"/>
      <c r="D30" s="615"/>
      <c r="E30" s="615"/>
      <c r="F30" s="524"/>
      <c r="G30" s="615"/>
      <c r="H30" s="627">
        <v>0</v>
      </c>
      <c r="I30" s="615"/>
      <c r="J30" s="627"/>
      <c r="K30" s="622"/>
      <c r="L30" s="627"/>
      <c r="M30" s="622"/>
      <c r="N30" s="627"/>
      <c r="O30" s="615"/>
      <c r="P30" s="524"/>
      <c r="Q30" s="615"/>
      <c r="R30" s="622">
        <v>0</v>
      </c>
      <c r="S30" s="622"/>
      <c r="T30" s="622">
        <v>0</v>
      </c>
      <c r="U30" s="622"/>
      <c r="V30" s="622">
        <v>0</v>
      </c>
      <c r="W30" s="622"/>
      <c r="X30" s="622">
        <f t="shared" si="33"/>
        <v>0</v>
      </c>
      <c r="Y30" s="622"/>
      <c r="Z30" s="316"/>
      <c r="AA30" s="622"/>
      <c r="AB30" s="627">
        <v>0</v>
      </c>
      <c r="AC30" s="622"/>
      <c r="AD30" s="622">
        <v>0</v>
      </c>
      <c r="AE30" s="622"/>
      <c r="AF30" s="622">
        <v>0</v>
      </c>
      <c r="AG30" s="622"/>
      <c r="AH30" s="316"/>
      <c r="AI30" s="622"/>
      <c r="AJ30" s="315">
        <f t="shared" si="34"/>
        <v>0</v>
      </c>
      <c r="AK30" s="622"/>
      <c r="AL30" s="315">
        <f t="shared" si="35"/>
        <v>0</v>
      </c>
      <c r="AM30" s="622"/>
      <c r="AN30" s="315">
        <f t="shared" si="36"/>
        <v>0</v>
      </c>
      <c r="AO30" s="622"/>
      <c r="AP30" s="622">
        <f t="shared" si="37"/>
        <v>0</v>
      </c>
      <c r="AQ30" s="305"/>
      <c r="AR30" s="627"/>
      <c r="AS30" s="622"/>
      <c r="AT30" s="622">
        <v>0</v>
      </c>
      <c r="AU30" s="622"/>
      <c r="AV30" s="622">
        <v>0</v>
      </c>
      <c r="AW30" s="622"/>
      <c r="AX30" s="315">
        <f>+AJ30-AR30</f>
        <v>0</v>
      </c>
      <c r="AY30" s="622"/>
      <c r="AZ30" s="315">
        <f>+AL30-AT30</f>
        <v>0</v>
      </c>
      <c r="BA30" s="622"/>
      <c r="BB30" s="315">
        <f>+AN30-AV30</f>
        <v>0</v>
      </c>
      <c r="BC30" s="622"/>
      <c r="BD30" s="622">
        <f t="shared" si="38"/>
        <v>0</v>
      </c>
      <c r="BE30" s="305"/>
      <c r="BF30" s="622">
        <f>+BD30*$BF$10</f>
        <v>0</v>
      </c>
      <c r="BG30" s="305"/>
      <c r="BH30" s="615"/>
      <c r="BI30" s="304">
        <f t="shared" si="32"/>
        <v>205</v>
      </c>
    </row>
    <row r="31" spans="1:61" ht="14.5">
      <c r="A31" s="304"/>
      <c r="B31" s="524"/>
      <c r="C31" s="629"/>
      <c r="D31" s="615"/>
      <c r="E31" s="615"/>
      <c r="F31" s="524"/>
      <c r="G31" s="615"/>
      <c r="H31" s="622"/>
      <c r="I31" s="615"/>
      <c r="J31" s="622"/>
      <c r="K31" s="622"/>
      <c r="L31" s="622"/>
      <c r="M31" s="622"/>
      <c r="N31" s="622"/>
      <c r="O31" s="615"/>
      <c r="P31" s="524"/>
      <c r="Q31" s="615"/>
      <c r="R31" s="622"/>
      <c r="S31" s="622"/>
      <c r="T31" s="622"/>
      <c r="U31" s="622"/>
      <c r="V31" s="622"/>
      <c r="W31" s="622"/>
      <c r="X31" s="622"/>
      <c r="Y31" s="622"/>
      <c r="Z31" s="316"/>
      <c r="AA31" s="622"/>
      <c r="AB31" s="622"/>
      <c r="AC31" s="622"/>
      <c r="AD31" s="622"/>
      <c r="AE31" s="622"/>
      <c r="AF31" s="622"/>
      <c r="AG31" s="622"/>
      <c r="AH31" s="316"/>
      <c r="AI31" s="622"/>
      <c r="AJ31" s="622"/>
      <c r="AK31" s="622"/>
      <c r="AL31" s="622"/>
      <c r="AM31" s="622"/>
      <c r="AN31" s="622"/>
      <c r="AO31" s="622"/>
      <c r="AP31" s="622"/>
      <c r="AQ31" s="305"/>
      <c r="AR31" s="622"/>
      <c r="AS31" s="622"/>
      <c r="AT31" s="622"/>
      <c r="AU31" s="622"/>
      <c r="AV31" s="622"/>
      <c r="AW31" s="622"/>
      <c r="AX31" s="622"/>
      <c r="AY31" s="622"/>
      <c r="AZ31" s="622"/>
      <c r="BA31" s="622"/>
      <c r="BB31" s="622"/>
      <c r="BC31" s="622"/>
      <c r="BD31" s="622"/>
      <c r="BE31" s="305"/>
      <c r="BF31" s="622"/>
      <c r="BG31" s="305"/>
      <c r="BH31" s="615"/>
      <c r="BI31" s="304"/>
    </row>
    <row r="32" spans="1:61" ht="14.5">
      <c r="A32" s="304"/>
      <c r="B32" s="524"/>
      <c r="F32" s="630"/>
      <c r="H32" s="622"/>
      <c r="J32" s="622"/>
      <c r="K32" s="622"/>
      <c r="L32" s="622"/>
      <c r="M32" s="622"/>
      <c r="N32" s="622"/>
      <c r="P32" s="631"/>
      <c r="R32" s="622"/>
      <c r="S32" s="622"/>
      <c r="T32" s="622"/>
      <c r="U32" s="622"/>
      <c r="V32" s="622"/>
      <c r="W32" s="622"/>
      <c r="X32" s="622"/>
      <c r="Y32" s="622"/>
      <c r="Z32" s="316"/>
      <c r="AA32" s="622"/>
      <c r="AB32" s="622"/>
      <c r="AC32" s="622"/>
      <c r="AD32" s="622"/>
      <c r="AE32" s="622"/>
      <c r="AF32" s="622"/>
      <c r="AG32" s="622"/>
      <c r="AH32" s="316"/>
      <c r="AI32" s="622"/>
      <c r="AJ32" s="622"/>
      <c r="AK32" s="622"/>
      <c r="AL32" s="622"/>
      <c r="AM32" s="622"/>
      <c r="AN32" s="622"/>
      <c r="AO32" s="622"/>
      <c r="AP32" s="622"/>
      <c r="AR32" s="622"/>
      <c r="AS32" s="622"/>
      <c r="AT32" s="622"/>
      <c r="AU32" s="622"/>
      <c r="AV32" s="622"/>
      <c r="AW32" s="622"/>
      <c r="AX32" s="622"/>
      <c r="AY32" s="622"/>
      <c r="AZ32" s="622"/>
      <c r="BA32" s="622"/>
      <c r="BB32" s="622"/>
      <c r="BC32" s="622"/>
      <c r="BD32" s="622"/>
      <c r="BF32" s="622"/>
      <c r="BI32" s="304"/>
    </row>
    <row r="33" spans="1:61" ht="14.5">
      <c r="A33" s="201" t="s">
        <v>92</v>
      </c>
      <c r="F33" s="630"/>
      <c r="H33" s="556"/>
      <c r="P33" s="631"/>
      <c r="R33" s="622"/>
      <c r="S33" s="622"/>
      <c r="T33" s="622"/>
      <c r="U33" s="622"/>
      <c r="V33" s="622"/>
      <c r="W33" s="622"/>
      <c r="X33" s="622"/>
      <c r="Y33" s="622"/>
      <c r="Z33" s="316"/>
      <c r="AA33" s="622"/>
      <c r="AC33" s="622"/>
      <c r="AE33" s="622"/>
      <c r="AG33" s="622"/>
      <c r="AH33" s="316"/>
      <c r="AI33" s="622"/>
      <c r="AJ33" s="622"/>
      <c r="AK33" s="622"/>
      <c r="AL33" s="622"/>
      <c r="AM33" s="622"/>
      <c r="AN33" s="622"/>
      <c r="AO33" s="622"/>
      <c r="AP33" s="622"/>
      <c r="AS33" s="622"/>
      <c r="AU33" s="622"/>
      <c r="AW33" s="622"/>
      <c r="AX33" s="622"/>
      <c r="AY33" s="622"/>
      <c r="AZ33" s="622"/>
      <c r="BA33" s="622"/>
      <c r="BB33" s="622"/>
      <c r="BC33" s="622"/>
      <c r="BD33" s="622"/>
      <c r="BI33" s="201" t="s">
        <v>92</v>
      </c>
    </row>
    <row r="34" spans="1:61" ht="14.5">
      <c r="A34" s="304">
        <v>300</v>
      </c>
      <c r="B34" s="615" t="s">
        <v>1380</v>
      </c>
      <c r="F34" s="630"/>
      <c r="H34" s="625">
        <f>ROUND(SUM(H35:H91),0)</f>
        <v>-6537338076</v>
      </c>
      <c r="J34" s="625">
        <f>ROUND(SUM(J35:J91),0)</f>
        <v>-967358790</v>
      </c>
      <c r="K34" s="622"/>
      <c r="L34" s="625">
        <f>ROUND(SUM(L35:L91),0)</f>
        <v>-577410203</v>
      </c>
      <c r="M34" s="622"/>
      <c r="N34" s="625">
        <f>ROUND(SUM(N35:N91),0)</f>
        <v>-389961967</v>
      </c>
      <c r="O34" s="304"/>
      <c r="P34" s="524"/>
      <c r="Q34" s="304"/>
      <c r="R34" s="625">
        <f>ROUND(SUM(R35:R91),0)</f>
        <v>143301951</v>
      </c>
      <c r="S34" s="622"/>
      <c r="T34" s="625">
        <f>ROUND(SUM(T35:T91),0)</f>
        <v>-533263918</v>
      </c>
      <c r="U34" s="622"/>
      <c r="V34" s="625">
        <f>ROUND(SUM(V35:V91),0)</f>
        <v>0</v>
      </c>
      <c r="W34" s="622"/>
      <c r="X34" s="625">
        <f>ROUND(SUM(X35:X91),0)</f>
        <v>-389961967</v>
      </c>
      <c r="Y34" s="622"/>
      <c r="Z34" s="316"/>
      <c r="AA34" s="622"/>
      <c r="AB34" s="625">
        <f>SUM(AB35:AB91)</f>
        <v>45419637.696685627</v>
      </c>
      <c r="AC34" s="622"/>
      <c r="AD34" s="625">
        <f>SUM(AD35:AD91)</f>
        <v>-54097924.565300286</v>
      </c>
      <c r="AE34" s="622"/>
      <c r="AF34" s="625">
        <f>SUM(AF35:AF91)</f>
        <v>0</v>
      </c>
      <c r="AG34" s="622"/>
      <c r="AH34" s="316"/>
      <c r="AI34" s="622"/>
      <c r="AJ34" s="625">
        <f>SUM(AJ35:AJ91)</f>
        <v>97882313.301953211</v>
      </c>
      <c r="AK34" s="622"/>
      <c r="AL34" s="625">
        <f>SUM(AL35:AL91)</f>
        <v>-479165993.08165944</v>
      </c>
      <c r="AM34" s="622"/>
      <c r="AN34" s="625">
        <f>SUM(AN35:AN91)</f>
        <v>0</v>
      </c>
      <c r="AO34" s="622"/>
      <c r="AP34" s="625">
        <f>SUM(AP35:AP91)</f>
        <v>-381283679.77970642</v>
      </c>
      <c r="AR34" s="625">
        <f>SUM(AR35:AR91)</f>
        <v>13877289.495001504</v>
      </c>
      <c r="AS34" s="622"/>
      <c r="AT34" s="625">
        <f>SUM(AT35:AT91)</f>
        <v>-15122748.823799938</v>
      </c>
      <c r="AU34" s="622"/>
      <c r="AV34" s="625">
        <f>SUM(AV35:AV91)</f>
        <v>0</v>
      </c>
      <c r="AW34" s="622"/>
      <c r="AX34" s="625">
        <f>SUM(AX35:AX91)</f>
        <v>84005023.806951717</v>
      </c>
      <c r="AY34" s="622"/>
      <c r="AZ34" s="625">
        <f>SUM(AZ35:AZ91)</f>
        <v>-464043244.25785947</v>
      </c>
      <c r="BA34" s="622"/>
      <c r="BB34" s="625">
        <f>SUM(BB35:BB91)</f>
        <v>0</v>
      </c>
      <c r="BC34" s="622"/>
      <c r="BD34" s="625">
        <f>SUM(BD35:BD91)</f>
        <v>-380038220.45090771</v>
      </c>
      <c r="BF34" s="625">
        <f>ROUND(SUM(BF35:BF91),0)</f>
        <v>-527710661</v>
      </c>
      <c r="BI34" s="304">
        <f t="shared" ref="BI34:BI91" si="40">A34</f>
        <v>300</v>
      </c>
    </row>
    <row r="35" spans="1:61" ht="14.5">
      <c r="A35" s="304">
        <f t="shared" ref="A35:A91" si="41">A34+1</f>
        <v>301</v>
      </c>
      <c r="B35" s="626" t="s">
        <v>1381</v>
      </c>
      <c r="F35" s="630" t="s">
        <v>1354</v>
      </c>
      <c r="H35" s="627">
        <v>17450347.033142857</v>
      </c>
      <c r="J35" s="627">
        <v>6107621.4616</v>
      </c>
      <c r="K35" s="622"/>
      <c r="L35" s="627">
        <v>3664573.085138143</v>
      </c>
      <c r="M35" s="622"/>
      <c r="N35" s="627">
        <v>2443048.376461857</v>
      </c>
      <c r="P35" s="632" t="s">
        <v>1355</v>
      </c>
      <c r="R35" s="622">
        <v>0</v>
      </c>
      <c r="S35" s="622"/>
      <c r="T35" s="622">
        <f>N35</f>
        <v>2443048.376461857</v>
      </c>
      <c r="U35" s="622"/>
      <c r="V35" s="622">
        <v>0</v>
      </c>
      <c r="W35" s="622"/>
      <c r="X35" s="622">
        <f>SUM(R35:V35)</f>
        <v>2443048.376461857</v>
      </c>
      <c r="Y35" s="622"/>
      <c r="Z35" s="316" t="s">
        <v>1382</v>
      </c>
      <c r="AA35" s="622"/>
      <c r="AB35" s="622">
        <v>0</v>
      </c>
      <c r="AC35" s="622"/>
      <c r="AD35" s="627">
        <v>247839.46857345389</v>
      </c>
      <c r="AE35" s="622"/>
      <c r="AF35" s="622">
        <v>0</v>
      </c>
      <c r="AG35" s="622"/>
      <c r="AH35" s="316" t="s">
        <v>1357</v>
      </c>
      <c r="AI35" s="622"/>
      <c r="AJ35" s="315">
        <f t="shared" ref="AJ35:AJ91" si="42">+R35-AB35</f>
        <v>0</v>
      </c>
      <c r="AK35" s="622"/>
      <c r="AL35" s="315">
        <f t="shared" ref="AL35:AL91" si="43">+T35-AD35</f>
        <v>2195208.9078884032</v>
      </c>
      <c r="AM35" s="622"/>
      <c r="AN35" s="315">
        <f t="shared" ref="AN35:AN91" si="44">+V35-AF35</f>
        <v>0</v>
      </c>
      <c r="AO35" s="622"/>
      <c r="AP35" s="622">
        <f t="shared" ref="AP35:AP91" si="45">SUM(AJ35:AN35)</f>
        <v>2195208.9078884032</v>
      </c>
      <c r="AR35" s="622">
        <v>0</v>
      </c>
      <c r="AS35" s="622"/>
      <c r="AT35" s="627">
        <v>69282.030369221859</v>
      </c>
      <c r="AU35" s="622"/>
      <c r="AV35" s="622">
        <v>0</v>
      </c>
      <c r="AW35" s="622"/>
      <c r="AX35" s="315">
        <f t="shared" ref="AX35:AX91" si="46">+AJ35-AR35</f>
        <v>0</v>
      </c>
      <c r="AY35" s="622"/>
      <c r="AZ35" s="315">
        <f t="shared" ref="AZ35:AZ91" si="47">+AL35-AT35</f>
        <v>2125926.8775191815</v>
      </c>
      <c r="BA35" s="622"/>
      <c r="BB35" s="315">
        <f t="shared" ref="BB35:BB91" si="48">+AN35-AV35</f>
        <v>0</v>
      </c>
      <c r="BC35" s="622"/>
      <c r="BD35" s="622">
        <f t="shared" ref="BD35:BD91" si="49">SUM(AX35:BB35)</f>
        <v>2125926.8775191815</v>
      </c>
      <c r="BF35" s="622">
        <f t="shared" ref="BF35:BF91" si="50">+BD35*$BF$10</f>
        <v>2952003.8179070065</v>
      </c>
      <c r="BI35" s="304">
        <f t="shared" si="40"/>
        <v>301</v>
      </c>
    </row>
    <row r="36" spans="1:61" ht="14.5">
      <c r="A36" s="304">
        <f t="shared" si="41"/>
        <v>302</v>
      </c>
      <c r="B36" s="626" t="s">
        <v>1383</v>
      </c>
      <c r="F36" s="630" t="s">
        <v>1354</v>
      </c>
      <c r="H36" s="627">
        <v>-147065142.85714287</v>
      </c>
      <c r="J36" s="627">
        <v>-51472800</v>
      </c>
      <c r="K36" s="622"/>
      <c r="L36" s="627">
        <v>-30883680.335588321</v>
      </c>
      <c r="M36" s="622"/>
      <c r="N36" s="627">
        <v>-20589119.664411679</v>
      </c>
      <c r="P36" s="632" t="s">
        <v>1355</v>
      </c>
      <c r="R36" s="622">
        <v>0</v>
      </c>
      <c r="S36" s="622"/>
      <c r="T36" s="622">
        <f t="shared" ref="T36:T91" si="51">N36</f>
        <v>-20589119.664411679</v>
      </c>
      <c r="U36" s="622"/>
      <c r="V36" s="622">
        <v>0</v>
      </c>
      <c r="W36" s="622"/>
      <c r="X36" s="622">
        <f t="shared" ref="X36:X97" si="52">SUM(R36:V36)</f>
        <v>-20589119.664411679</v>
      </c>
      <c r="Y36" s="622"/>
      <c r="Z36" s="316" t="s">
        <v>1382</v>
      </c>
      <c r="AA36" s="622"/>
      <c r="AB36" s="622">
        <v>0</v>
      </c>
      <c r="AC36" s="622"/>
      <c r="AD36" s="627">
        <v>-2088700.5452643391</v>
      </c>
      <c r="AE36" s="622"/>
      <c r="AF36" s="622">
        <v>0</v>
      </c>
      <c r="AG36" s="622"/>
      <c r="AH36" s="316" t="s">
        <v>1357</v>
      </c>
      <c r="AI36" s="622"/>
      <c r="AJ36" s="315">
        <f t="shared" si="42"/>
        <v>0</v>
      </c>
      <c r="AK36" s="622"/>
      <c r="AL36" s="315">
        <f t="shared" si="43"/>
        <v>-18500419.119147338</v>
      </c>
      <c r="AM36" s="622"/>
      <c r="AN36" s="315">
        <f t="shared" si="44"/>
        <v>0</v>
      </c>
      <c r="AO36" s="622"/>
      <c r="AP36" s="622">
        <f t="shared" si="45"/>
        <v>-18500419.119147338</v>
      </c>
      <c r="AR36" s="622">
        <v>0</v>
      </c>
      <c r="AS36" s="622"/>
      <c r="AT36" s="627">
        <v>-583883.65437575849</v>
      </c>
      <c r="AU36" s="622"/>
      <c r="AV36" s="622">
        <v>0</v>
      </c>
      <c r="AW36" s="622"/>
      <c r="AX36" s="315">
        <f t="shared" si="46"/>
        <v>0</v>
      </c>
      <c r="AY36" s="622"/>
      <c r="AZ36" s="315">
        <f t="shared" si="47"/>
        <v>-17916535.46477158</v>
      </c>
      <c r="BA36" s="622"/>
      <c r="BB36" s="315">
        <f t="shared" si="48"/>
        <v>0</v>
      </c>
      <c r="BC36" s="622"/>
      <c r="BD36" s="622">
        <f t="shared" si="49"/>
        <v>-17916535.46477158</v>
      </c>
      <c r="BF36" s="622">
        <f t="shared" si="50"/>
        <v>-24878410.285395518</v>
      </c>
      <c r="BI36" s="304">
        <f t="shared" si="40"/>
        <v>302</v>
      </c>
    </row>
    <row r="37" spans="1:61" ht="14.5">
      <c r="A37" s="304">
        <f t="shared" si="41"/>
        <v>303</v>
      </c>
      <c r="B37" s="626" t="s">
        <v>1384</v>
      </c>
      <c r="F37" s="630" t="s">
        <v>1354</v>
      </c>
      <c r="H37" s="627">
        <v>-274950118.55085713</v>
      </c>
      <c r="J37" s="627">
        <v>-96232541.492799997</v>
      </c>
      <c r="K37" s="622"/>
      <c r="L37" s="627">
        <v>-57739525.206700422</v>
      </c>
      <c r="M37" s="622"/>
      <c r="N37" s="627">
        <v>-38493016.286099583</v>
      </c>
      <c r="P37" s="632" t="s">
        <v>1355</v>
      </c>
      <c r="R37" s="622">
        <v>0</v>
      </c>
      <c r="S37" s="622"/>
      <c r="T37" s="622">
        <f t="shared" si="51"/>
        <v>-38493016.286099583</v>
      </c>
      <c r="U37" s="622"/>
      <c r="V37" s="622">
        <v>0</v>
      </c>
      <c r="W37" s="622"/>
      <c r="X37" s="622">
        <f t="shared" si="52"/>
        <v>-38493016.286099583</v>
      </c>
      <c r="Y37" s="622"/>
      <c r="Z37" s="316" t="s">
        <v>1382</v>
      </c>
      <c r="AA37" s="622"/>
      <c r="AB37" s="622">
        <v>0</v>
      </c>
      <c r="AC37" s="622"/>
      <c r="AD37" s="627">
        <v>-3904993.7741931463</v>
      </c>
      <c r="AE37" s="622"/>
      <c r="AF37" s="622">
        <v>0</v>
      </c>
      <c r="AG37" s="622"/>
      <c r="AH37" s="316" t="s">
        <v>1357</v>
      </c>
      <c r="AI37" s="622"/>
      <c r="AJ37" s="315">
        <f t="shared" si="42"/>
        <v>0</v>
      </c>
      <c r="AK37" s="622"/>
      <c r="AL37" s="315">
        <f t="shared" si="43"/>
        <v>-34588022.511906438</v>
      </c>
      <c r="AM37" s="622"/>
      <c r="AN37" s="315">
        <f t="shared" si="44"/>
        <v>0</v>
      </c>
      <c r="AO37" s="622"/>
      <c r="AP37" s="622">
        <f t="shared" si="45"/>
        <v>-34588022.511906438</v>
      </c>
      <c r="AR37" s="622">
        <v>0</v>
      </c>
      <c r="AS37" s="622"/>
      <c r="AT37" s="627">
        <v>-1091617.4845455994</v>
      </c>
      <c r="AU37" s="622"/>
      <c r="AV37" s="622">
        <v>0</v>
      </c>
      <c r="AW37" s="622"/>
      <c r="AX37" s="315">
        <f t="shared" si="46"/>
        <v>0</v>
      </c>
      <c r="AY37" s="622"/>
      <c r="AZ37" s="315">
        <f t="shared" si="47"/>
        <v>-33496405.027360838</v>
      </c>
      <c r="BA37" s="622"/>
      <c r="BB37" s="315">
        <f t="shared" si="48"/>
        <v>0</v>
      </c>
      <c r="BC37" s="622"/>
      <c r="BD37" s="622">
        <f t="shared" si="49"/>
        <v>-33496405.027360838</v>
      </c>
      <c r="BF37" s="622">
        <f t="shared" si="50"/>
        <v>-46512190.316873431</v>
      </c>
      <c r="BI37" s="304">
        <f t="shared" si="40"/>
        <v>303</v>
      </c>
    </row>
    <row r="38" spans="1:61" ht="14.5">
      <c r="A38" s="304">
        <f t="shared" si="41"/>
        <v>304</v>
      </c>
      <c r="B38" s="626" t="s">
        <v>1385</v>
      </c>
      <c r="F38" s="630" t="s">
        <v>1354</v>
      </c>
      <c r="H38" s="627">
        <v>-158580905.14514288</v>
      </c>
      <c r="J38" s="627">
        <v>-55503316.800800003</v>
      </c>
      <c r="K38" s="622"/>
      <c r="L38" s="627">
        <v>-33301990.229054164</v>
      </c>
      <c r="M38" s="622"/>
      <c r="N38" s="627">
        <v>-22201326.571745835</v>
      </c>
      <c r="P38" s="632" t="s">
        <v>1355</v>
      </c>
      <c r="R38" s="622">
        <v>0</v>
      </c>
      <c r="S38" s="622"/>
      <c r="T38" s="622">
        <f t="shared" si="51"/>
        <v>-22201326.571745835</v>
      </c>
      <c r="U38" s="622"/>
      <c r="V38" s="622">
        <v>0</v>
      </c>
      <c r="W38" s="622"/>
      <c r="X38" s="622">
        <f t="shared" si="52"/>
        <v>-22201326.571745835</v>
      </c>
      <c r="Y38" s="622"/>
      <c r="Z38" s="316" t="s">
        <v>1382</v>
      </c>
      <c r="AA38" s="622"/>
      <c r="AB38" s="622">
        <v>0</v>
      </c>
      <c r="AC38" s="622"/>
      <c r="AD38" s="627">
        <v>-2252253.7957827854</v>
      </c>
      <c r="AE38" s="622"/>
      <c r="AF38" s="622">
        <v>0</v>
      </c>
      <c r="AG38" s="622"/>
      <c r="AH38" s="316" t="s">
        <v>1357</v>
      </c>
      <c r="AI38" s="622"/>
      <c r="AJ38" s="315">
        <f t="shared" si="42"/>
        <v>0</v>
      </c>
      <c r="AK38" s="622"/>
      <c r="AL38" s="315">
        <f t="shared" si="43"/>
        <v>-19949072.775963049</v>
      </c>
      <c r="AM38" s="622"/>
      <c r="AN38" s="315">
        <f t="shared" si="44"/>
        <v>0</v>
      </c>
      <c r="AO38" s="622"/>
      <c r="AP38" s="622">
        <f t="shared" si="45"/>
        <v>-19949072.775963049</v>
      </c>
      <c r="AR38" s="622">
        <v>0</v>
      </c>
      <c r="AS38" s="622"/>
      <c r="AT38" s="627">
        <v>-629603.98025696736</v>
      </c>
      <c r="AU38" s="622"/>
      <c r="AV38" s="622">
        <v>0</v>
      </c>
      <c r="AW38" s="622"/>
      <c r="AX38" s="315">
        <f t="shared" si="46"/>
        <v>0</v>
      </c>
      <c r="AY38" s="622"/>
      <c r="AZ38" s="315">
        <f t="shared" si="47"/>
        <v>-19319468.795706082</v>
      </c>
      <c r="BA38" s="622"/>
      <c r="BB38" s="315">
        <f t="shared" si="48"/>
        <v>0</v>
      </c>
      <c r="BC38" s="622"/>
      <c r="BD38" s="622">
        <f t="shared" si="49"/>
        <v>-19319468.795706082</v>
      </c>
      <c r="BF38" s="622">
        <f t="shared" si="50"/>
        <v>-26826485.072436389</v>
      </c>
      <c r="BI38" s="304">
        <f t="shared" si="40"/>
        <v>304</v>
      </c>
    </row>
    <row r="39" spans="1:61" ht="14.5">
      <c r="A39" s="304">
        <f t="shared" si="41"/>
        <v>305</v>
      </c>
      <c r="B39" s="626" t="s">
        <v>1386</v>
      </c>
      <c r="F39" s="630" t="s">
        <v>1354</v>
      </c>
      <c r="H39" s="627">
        <v>-3991847.7600000002</v>
      </c>
      <c r="J39" s="627">
        <v>-1397146.716</v>
      </c>
      <c r="K39" s="622"/>
      <c r="L39" s="627">
        <v>-838288.11376799992</v>
      </c>
      <c r="M39" s="622"/>
      <c r="N39" s="627">
        <v>-558858.60223200009</v>
      </c>
      <c r="P39" s="632" t="s">
        <v>1355</v>
      </c>
      <c r="R39" s="622">
        <v>0</v>
      </c>
      <c r="S39" s="622"/>
      <c r="T39" s="622">
        <f t="shared" si="51"/>
        <v>-558858.60223200009</v>
      </c>
      <c r="U39" s="622"/>
      <c r="V39" s="622">
        <v>0</v>
      </c>
      <c r="W39" s="622"/>
      <c r="X39" s="622">
        <f t="shared" si="52"/>
        <v>-558858.60223200009</v>
      </c>
      <c r="Y39" s="622"/>
      <c r="Z39" s="316" t="s">
        <v>1382</v>
      </c>
      <c r="AA39" s="622"/>
      <c r="AB39" s="622">
        <v>0</v>
      </c>
      <c r="AC39" s="622"/>
      <c r="AD39" s="627">
        <v>-56694.423376697567</v>
      </c>
      <c r="AE39" s="622"/>
      <c r="AF39" s="622">
        <v>0</v>
      </c>
      <c r="AG39" s="622"/>
      <c r="AH39" s="316" t="s">
        <v>1357</v>
      </c>
      <c r="AI39" s="622"/>
      <c r="AJ39" s="315">
        <f t="shared" si="42"/>
        <v>0</v>
      </c>
      <c r="AK39" s="622"/>
      <c r="AL39" s="315">
        <f t="shared" si="43"/>
        <v>-502164.17885530251</v>
      </c>
      <c r="AM39" s="622"/>
      <c r="AN39" s="315">
        <f t="shared" si="44"/>
        <v>0</v>
      </c>
      <c r="AO39" s="622"/>
      <c r="AP39" s="622">
        <f t="shared" si="45"/>
        <v>-502164.17885530251</v>
      </c>
      <c r="AR39" s="622">
        <v>0</v>
      </c>
      <c r="AS39" s="622"/>
      <c r="AT39" s="627">
        <v>-15848.584508184347</v>
      </c>
      <c r="AU39" s="622"/>
      <c r="AV39" s="622">
        <v>0</v>
      </c>
      <c r="AW39" s="622"/>
      <c r="AX39" s="315">
        <f t="shared" si="46"/>
        <v>0</v>
      </c>
      <c r="AY39" s="622"/>
      <c r="AZ39" s="315">
        <f t="shared" si="47"/>
        <v>-486315.59434711817</v>
      </c>
      <c r="BA39" s="622"/>
      <c r="BB39" s="315">
        <f t="shared" si="48"/>
        <v>0</v>
      </c>
      <c r="BC39" s="622"/>
      <c r="BD39" s="622">
        <f t="shared" si="49"/>
        <v>-486315.59434711817</v>
      </c>
      <c r="BF39" s="622">
        <f t="shared" si="50"/>
        <v>-675284.51067689876</v>
      </c>
      <c r="BI39" s="304">
        <f t="shared" si="40"/>
        <v>305</v>
      </c>
    </row>
    <row r="40" spans="1:61" ht="14.5">
      <c r="A40" s="304">
        <f t="shared" si="41"/>
        <v>306</v>
      </c>
      <c r="B40" s="626" t="s">
        <v>1387</v>
      </c>
      <c r="F40" s="630" t="s">
        <v>1354</v>
      </c>
      <c r="H40" s="627">
        <v>380491.42857142858</v>
      </c>
      <c r="J40" s="627">
        <v>133172</v>
      </c>
      <c r="K40" s="622"/>
      <c r="L40" s="627">
        <v>79903.251144966285</v>
      </c>
      <c r="M40" s="622"/>
      <c r="N40" s="627">
        <v>53268.748855033715</v>
      </c>
      <c r="P40" s="632" t="s">
        <v>1355</v>
      </c>
      <c r="R40" s="622">
        <v>0</v>
      </c>
      <c r="S40" s="622"/>
      <c r="T40" s="622">
        <f t="shared" si="51"/>
        <v>53268.748855033715</v>
      </c>
      <c r="U40" s="622"/>
      <c r="V40" s="622">
        <v>0</v>
      </c>
      <c r="W40" s="622"/>
      <c r="X40" s="622">
        <f t="shared" si="52"/>
        <v>53268.748855033715</v>
      </c>
      <c r="Y40" s="622"/>
      <c r="Z40" s="316" t="s">
        <v>1382</v>
      </c>
      <c r="AA40" s="622"/>
      <c r="AB40" s="622">
        <v>0</v>
      </c>
      <c r="AC40" s="622"/>
      <c r="AD40" s="627">
        <v>5403.9447335563063</v>
      </c>
      <c r="AE40" s="622"/>
      <c r="AF40" s="622">
        <v>0</v>
      </c>
      <c r="AG40" s="622"/>
      <c r="AH40" s="316" t="s">
        <v>1357</v>
      </c>
      <c r="AI40" s="622"/>
      <c r="AJ40" s="315">
        <f t="shared" si="42"/>
        <v>0</v>
      </c>
      <c r="AK40" s="622"/>
      <c r="AL40" s="315">
        <f t="shared" si="43"/>
        <v>47864.804121477406</v>
      </c>
      <c r="AM40" s="622"/>
      <c r="AN40" s="315">
        <f t="shared" si="44"/>
        <v>0</v>
      </c>
      <c r="AO40" s="622"/>
      <c r="AP40" s="622">
        <f t="shared" si="45"/>
        <v>47864.804121477406</v>
      </c>
      <c r="AR40" s="622">
        <v>0</v>
      </c>
      <c r="AS40" s="622"/>
      <c r="AT40" s="627">
        <v>1510.6401950377092</v>
      </c>
      <c r="AU40" s="622"/>
      <c r="AV40" s="622">
        <v>0</v>
      </c>
      <c r="AW40" s="622"/>
      <c r="AX40" s="315">
        <f t="shared" si="46"/>
        <v>0</v>
      </c>
      <c r="AY40" s="622"/>
      <c r="AZ40" s="315">
        <f t="shared" si="47"/>
        <v>46354.163926439694</v>
      </c>
      <c r="BA40" s="622"/>
      <c r="BB40" s="315">
        <f t="shared" si="48"/>
        <v>0</v>
      </c>
      <c r="BC40" s="622"/>
      <c r="BD40" s="622">
        <f t="shared" si="49"/>
        <v>46354.163926439694</v>
      </c>
      <c r="BF40" s="622">
        <f t="shared" si="50"/>
        <v>64366.122058919485</v>
      </c>
      <c r="BI40" s="304">
        <f t="shared" si="40"/>
        <v>306</v>
      </c>
    </row>
    <row r="41" spans="1:61" ht="14.5">
      <c r="A41" s="304">
        <f t="shared" si="41"/>
        <v>307</v>
      </c>
      <c r="B41" s="626" t="s">
        <v>1388</v>
      </c>
      <c r="F41" s="630" t="s">
        <v>1354</v>
      </c>
      <c r="H41" s="627">
        <v>-834502531.42857146</v>
      </c>
      <c r="J41" s="627">
        <v>-292075886</v>
      </c>
      <c r="K41" s="622"/>
      <c r="L41" s="627">
        <v>-175245531.22331384</v>
      </c>
      <c r="M41" s="622"/>
      <c r="N41" s="627">
        <v>-116830354.77668616</v>
      </c>
      <c r="P41" s="632" t="s">
        <v>1355</v>
      </c>
      <c r="R41" s="622">
        <v>0</v>
      </c>
      <c r="S41" s="622"/>
      <c r="T41" s="622">
        <f t="shared" si="51"/>
        <v>-116830354.77668616</v>
      </c>
      <c r="U41" s="622"/>
      <c r="V41" s="622">
        <v>0</v>
      </c>
      <c r="W41" s="622"/>
      <c r="X41" s="622">
        <f t="shared" si="52"/>
        <v>-116830354.77668616</v>
      </c>
      <c r="Y41" s="622"/>
      <c r="Z41" s="316" t="s">
        <v>1382</v>
      </c>
      <c r="AA41" s="622"/>
      <c r="AB41" s="622">
        <v>0</v>
      </c>
      <c r="AC41" s="622"/>
      <c r="AD41" s="627">
        <v>-11852066.999604931</v>
      </c>
      <c r="AE41" s="622"/>
      <c r="AF41" s="622">
        <v>0</v>
      </c>
      <c r="AG41" s="622"/>
      <c r="AH41" s="316" t="s">
        <v>1357</v>
      </c>
      <c r="AI41" s="622"/>
      <c r="AJ41" s="315">
        <f t="shared" si="42"/>
        <v>0</v>
      </c>
      <c r="AK41" s="622"/>
      <c r="AL41" s="315">
        <f t="shared" si="43"/>
        <v>-104978287.77708124</v>
      </c>
      <c r="AM41" s="622"/>
      <c r="AN41" s="315">
        <f t="shared" si="44"/>
        <v>0</v>
      </c>
      <c r="AO41" s="622"/>
      <c r="AP41" s="622">
        <f t="shared" si="45"/>
        <v>-104978287.77708124</v>
      </c>
      <c r="AR41" s="622">
        <v>0</v>
      </c>
      <c r="AS41" s="622"/>
      <c r="AT41" s="627">
        <v>-3313173.9287978481</v>
      </c>
      <c r="AU41" s="622"/>
      <c r="AV41" s="622">
        <v>0</v>
      </c>
      <c r="AW41" s="622"/>
      <c r="AX41" s="315">
        <f t="shared" si="46"/>
        <v>0</v>
      </c>
      <c r="AY41" s="622"/>
      <c r="AZ41" s="315">
        <f t="shared" si="47"/>
        <v>-101665113.8482834</v>
      </c>
      <c r="BA41" s="622"/>
      <c r="BB41" s="315">
        <f t="shared" si="48"/>
        <v>0</v>
      </c>
      <c r="BC41" s="622"/>
      <c r="BD41" s="622">
        <f t="shared" si="49"/>
        <v>-101665113.8482834</v>
      </c>
      <c r="BF41" s="622">
        <f t="shared" si="50"/>
        <v>-141169391.76115909</v>
      </c>
      <c r="BI41" s="304">
        <f t="shared" si="40"/>
        <v>307</v>
      </c>
    </row>
    <row r="42" spans="1:61" ht="14.5">
      <c r="A42" s="304">
        <f t="shared" si="41"/>
        <v>308</v>
      </c>
      <c r="B42" s="626" t="s">
        <v>1389</v>
      </c>
      <c r="F42" s="630" t="s">
        <v>1354</v>
      </c>
      <c r="H42" s="627">
        <v>1137009073.8537145</v>
      </c>
      <c r="J42" s="627">
        <v>397953175.8488</v>
      </c>
      <c r="K42" s="622"/>
      <c r="L42" s="627">
        <v>238771905.94613707</v>
      </c>
      <c r="M42" s="622"/>
      <c r="N42" s="627">
        <v>159181269.90266293</v>
      </c>
      <c r="P42" s="632" t="s">
        <v>1355</v>
      </c>
      <c r="R42" s="622">
        <f>N42</f>
        <v>159181269.90266293</v>
      </c>
      <c r="S42" s="622"/>
      <c r="T42" s="622"/>
      <c r="U42" s="622"/>
      <c r="V42" s="622">
        <v>0</v>
      </c>
      <c r="W42" s="622"/>
      <c r="X42" s="622">
        <f t="shared" si="52"/>
        <v>159181269.90266293</v>
      </c>
      <c r="Y42" s="622"/>
      <c r="Z42" s="316" t="s">
        <v>1356</v>
      </c>
      <c r="AA42" s="622"/>
      <c r="AB42" s="627">
        <v>50452597.167682335</v>
      </c>
      <c r="AC42" s="622"/>
      <c r="AD42" s="622">
        <v>0</v>
      </c>
      <c r="AE42" s="622"/>
      <c r="AF42" s="622">
        <v>0</v>
      </c>
      <c r="AG42" s="622"/>
      <c r="AH42" s="316" t="s">
        <v>1357</v>
      </c>
      <c r="AI42" s="622"/>
      <c r="AJ42" s="315">
        <f t="shared" si="42"/>
        <v>108728672.7349806</v>
      </c>
      <c r="AK42" s="622"/>
      <c r="AL42" s="315">
        <f t="shared" si="43"/>
        <v>0</v>
      </c>
      <c r="AM42" s="622"/>
      <c r="AN42" s="315">
        <f t="shared" si="44"/>
        <v>0</v>
      </c>
      <c r="AO42" s="622"/>
      <c r="AP42" s="622">
        <f t="shared" si="45"/>
        <v>108728672.7349806</v>
      </c>
      <c r="AR42" s="627">
        <v>15415034.821418487</v>
      </c>
      <c r="AS42" s="622"/>
      <c r="AT42" s="622"/>
      <c r="AU42" s="622"/>
      <c r="AV42" s="622">
        <v>0</v>
      </c>
      <c r="AW42" s="622"/>
      <c r="AX42" s="315">
        <f t="shared" si="46"/>
        <v>93313637.913562119</v>
      </c>
      <c r="AY42" s="622"/>
      <c r="AZ42" s="315">
        <f t="shared" si="47"/>
        <v>0</v>
      </c>
      <c r="BA42" s="622"/>
      <c r="BB42" s="315">
        <f t="shared" si="48"/>
        <v>0</v>
      </c>
      <c r="BC42" s="622"/>
      <c r="BD42" s="622">
        <f t="shared" si="49"/>
        <v>93313637.913562119</v>
      </c>
      <c r="BF42" s="622">
        <f t="shared" si="50"/>
        <v>129572761.08436705</v>
      </c>
      <c r="BI42" s="304">
        <f t="shared" si="40"/>
        <v>308</v>
      </c>
    </row>
    <row r="43" spans="1:61" ht="14.5">
      <c r="A43" s="304">
        <f t="shared" si="41"/>
        <v>309</v>
      </c>
      <c r="B43" s="626" t="s">
        <v>1390</v>
      </c>
      <c r="F43" s="630" t="s">
        <v>1354</v>
      </c>
      <c r="H43" s="627">
        <v>-1894448.5714285716</v>
      </c>
      <c r="J43" s="627">
        <v>-663057</v>
      </c>
      <c r="K43" s="622"/>
      <c r="L43" s="627">
        <v>-397834</v>
      </c>
      <c r="M43" s="622"/>
      <c r="N43" s="627">
        <v>-265223</v>
      </c>
      <c r="P43" s="632" t="s">
        <v>1355</v>
      </c>
      <c r="R43" s="622">
        <v>0</v>
      </c>
      <c r="S43" s="622"/>
      <c r="T43" s="622">
        <f t="shared" si="51"/>
        <v>-265223</v>
      </c>
      <c r="U43" s="622"/>
      <c r="V43" s="622">
        <v>0</v>
      </c>
      <c r="W43" s="622"/>
      <c r="X43" s="622">
        <f t="shared" si="52"/>
        <v>-265223</v>
      </c>
      <c r="Y43" s="622"/>
      <c r="Z43" s="316" t="s">
        <v>1382</v>
      </c>
      <c r="AA43" s="622"/>
      <c r="AB43" s="622">
        <v>0</v>
      </c>
      <c r="AC43" s="622"/>
      <c r="AD43" s="627">
        <v>-26906.027734356423</v>
      </c>
      <c r="AE43" s="622"/>
      <c r="AF43" s="622">
        <v>0</v>
      </c>
      <c r="AG43" s="622"/>
      <c r="AH43" s="316" t="s">
        <v>1357</v>
      </c>
      <c r="AI43" s="622"/>
      <c r="AJ43" s="315">
        <f t="shared" si="42"/>
        <v>0</v>
      </c>
      <c r="AK43" s="622"/>
      <c r="AL43" s="315">
        <f t="shared" si="43"/>
        <v>-238316.97226564359</v>
      </c>
      <c r="AM43" s="622"/>
      <c r="AN43" s="315">
        <f t="shared" si="44"/>
        <v>0</v>
      </c>
      <c r="AO43" s="622"/>
      <c r="AP43" s="622">
        <f t="shared" si="45"/>
        <v>-238316.97226564359</v>
      </c>
      <c r="AR43" s="622">
        <v>0</v>
      </c>
      <c r="AS43" s="622"/>
      <c r="AT43" s="627">
        <v>-7521.4179619430952</v>
      </c>
      <c r="AU43" s="622"/>
      <c r="AV43" s="622">
        <v>0</v>
      </c>
      <c r="AW43" s="622"/>
      <c r="AX43" s="315">
        <f t="shared" si="46"/>
        <v>0</v>
      </c>
      <c r="AY43" s="622"/>
      <c r="AZ43" s="315">
        <f t="shared" si="47"/>
        <v>-230795.55430370048</v>
      </c>
      <c r="BA43" s="622"/>
      <c r="BB43" s="315">
        <f t="shared" si="48"/>
        <v>0</v>
      </c>
      <c r="BC43" s="622"/>
      <c r="BD43" s="622">
        <f t="shared" si="49"/>
        <v>-230795.55430370048</v>
      </c>
      <c r="BF43" s="622">
        <f t="shared" si="50"/>
        <v>-320476.38357887988</v>
      </c>
      <c r="BI43" s="304">
        <f t="shared" si="40"/>
        <v>309</v>
      </c>
    </row>
    <row r="44" spans="1:61" ht="14.5">
      <c r="A44" s="304">
        <f t="shared" si="41"/>
        <v>310</v>
      </c>
      <c r="B44" s="626" t="s">
        <v>1391</v>
      </c>
      <c r="F44" s="630" t="s">
        <v>1354</v>
      </c>
      <c r="H44" s="627">
        <v>-9975239.2251428571</v>
      </c>
      <c r="J44" s="627">
        <v>-3491333.7287999997</v>
      </c>
      <c r="K44" s="622"/>
      <c r="L44" s="627">
        <v>-2094800.7143676016</v>
      </c>
      <c r="M44" s="622"/>
      <c r="N44" s="627">
        <v>-1396533.0144323986</v>
      </c>
      <c r="P44" s="632" t="s">
        <v>1355</v>
      </c>
      <c r="R44" s="622">
        <v>0</v>
      </c>
      <c r="S44" s="622"/>
      <c r="T44" s="622">
        <f t="shared" si="51"/>
        <v>-1396533.0144323986</v>
      </c>
      <c r="U44" s="622"/>
      <c r="V44" s="622">
        <v>0</v>
      </c>
      <c r="W44" s="622"/>
      <c r="X44" s="622">
        <f t="shared" si="52"/>
        <v>-1396533.0144323986</v>
      </c>
      <c r="Y44" s="622"/>
      <c r="Z44" s="316" t="s">
        <v>1382</v>
      </c>
      <c r="AA44" s="622"/>
      <c r="AB44" s="622">
        <v>0</v>
      </c>
      <c r="AC44" s="622"/>
      <c r="AD44" s="627">
        <v>-141673.82172082548</v>
      </c>
      <c r="AE44" s="622"/>
      <c r="AF44" s="622">
        <v>0</v>
      </c>
      <c r="AG44" s="622"/>
      <c r="AH44" s="316" t="s">
        <v>1357</v>
      </c>
      <c r="AI44" s="622"/>
      <c r="AJ44" s="315">
        <f t="shared" si="42"/>
        <v>0</v>
      </c>
      <c r="AK44" s="622"/>
      <c r="AL44" s="315">
        <f t="shared" si="43"/>
        <v>-1254859.1927115731</v>
      </c>
      <c r="AM44" s="622"/>
      <c r="AN44" s="315">
        <f t="shared" si="44"/>
        <v>0</v>
      </c>
      <c r="AO44" s="622"/>
      <c r="AP44" s="622">
        <f t="shared" si="45"/>
        <v>-1254859.1927115731</v>
      </c>
      <c r="AR44" s="622">
        <v>0</v>
      </c>
      <c r="AS44" s="622"/>
      <c r="AT44" s="627">
        <v>-39604.063370063603</v>
      </c>
      <c r="AU44" s="622"/>
      <c r="AV44" s="622">
        <v>0</v>
      </c>
      <c r="AW44" s="622"/>
      <c r="AX44" s="315">
        <f t="shared" si="46"/>
        <v>0</v>
      </c>
      <c r="AY44" s="622"/>
      <c r="AZ44" s="315">
        <f t="shared" si="47"/>
        <v>-1215255.1293415094</v>
      </c>
      <c r="BA44" s="622"/>
      <c r="BB44" s="315">
        <f t="shared" si="48"/>
        <v>0</v>
      </c>
      <c r="BC44" s="622"/>
      <c r="BD44" s="622">
        <f t="shared" si="49"/>
        <v>-1215255.1293415094</v>
      </c>
      <c r="BF44" s="622">
        <f t="shared" si="50"/>
        <v>-1687469.978145963</v>
      </c>
      <c r="BI44" s="304">
        <f t="shared" si="40"/>
        <v>310</v>
      </c>
    </row>
    <row r="45" spans="1:61" ht="14.5">
      <c r="A45" s="304">
        <f t="shared" si="41"/>
        <v>311</v>
      </c>
      <c r="B45" s="626" t="s">
        <v>1392</v>
      </c>
      <c r="F45" s="630" t="s">
        <v>1354</v>
      </c>
      <c r="H45" s="627">
        <v>83031671.970285714</v>
      </c>
      <c r="J45" s="627">
        <v>29061085.189599998</v>
      </c>
      <c r="K45" s="622"/>
      <c r="L45" s="627">
        <v>17436650.112159714</v>
      </c>
      <c r="M45" s="622"/>
      <c r="N45" s="627">
        <v>11624435.077440288</v>
      </c>
      <c r="P45" s="632" t="s">
        <v>1355</v>
      </c>
      <c r="R45" s="622">
        <v>0</v>
      </c>
      <c r="S45" s="622"/>
      <c r="T45" s="622">
        <f t="shared" si="51"/>
        <v>11624435.077440288</v>
      </c>
      <c r="U45" s="622"/>
      <c r="V45" s="622">
        <v>0</v>
      </c>
      <c r="W45" s="622"/>
      <c r="X45" s="622">
        <f t="shared" si="52"/>
        <v>11624435.077440288</v>
      </c>
      <c r="Y45" s="622"/>
      <c r="Z45" s="316" t="s">
        <v>1382</v>
      </c>
      <c r="AA45" s="622"/>
      <c r="AB45" s="622">
        <v>0</v>
      </c>
      <c r="AC45" s="622"/>
      <c r="AD45" s="627">
        <v>1179261.8761941236</v>
      </c>
      <c r="AE45" s="622"/>
      <c r="AF45" s="622">
        <v>0</v>
      </c>
      <c r="AG45" s="622"/>
      <c r="AH45" s="316" t="s">
        <v>1357</v>
      </c>
      <c r="AI45" s="622"/>
      <c r="AJ45" s="315">
        <f t="shared" si="42"/>
        <v>0</v>
      </c>
      <c r="AK45" s="622"/>
      <c r="AL45" s="315">
        <f t="shared" si="43"/>
        <v>10445173.201246165</v>
      </c>
      <c r="AM45" s="622"/>
      <c r="AN45" s="315">
        <f t="shared" si="44"/>
        <v>0</v>
      </c>
      <c r="AO45" s="622"/>
      <c r="AP45" s="622">
        <f t="shared" si="45"/>
        <v>10445173.201246165</v>
      </c>
      <c r="AR45" s="622">
        <v>0</v>
      </c>
      <c r="AS45" s="622"/>
      <c r="AT45" s="627">
        <v>329655.55320956616</v>
      </c>
      <c r="AU45" s="622"/>
      <c r="AV45" s="622">
        <v>0</v>
      </c>
      <c r="AW45" s="622"/>
      <c r="AX45" s="315">
        <f t="shared" si="46"/>
        <v>0</v>
      </c>
      <c r="AY45" s="622"/>
      <c r="AZ45" s="315">
        <f t="shared" si="47"/>
        <v>10115517.648036599</v>
      </c>
      <c r="BA45" s="622"/>
      <c r="BB45" s="315">
        <f t="shared" si="48"/>
        <v>0</v>
      </c>
      <c r="BC45" s="622"/>
      <c r="BD45" s="622">
        <f t="shared" si="49"/>
        <v>10115517.648036599</v>
      </c>
      <c r="BF45" s="622">
        <f t="shared" si="50"/>
        <v>14046130.670287043</v>
      </c>
      <c r="BI45" s="304">
        <f t="shared" si="40"/>
        <v>311</v>
      </c>
    </row>
    <row r="46" spans="1:61" ht="14.5">
      <c r="A46" s="304">
        <f t="shared" si="41"/>
        <v>312</v>
      </c>
      <c r="B46" s="626" t="s">
        <v>1393</v>
      </c>
      <c r="F46" s="630" t="s">
        <v>1354</v>
      </c>
      <c r="H46" s="627">
        <v>-207909196.3177143</v>
      </c>
      <c r="J46" s="627">
        <v>-72768218.711199999</v>
      </c>
      <c r="K46" s="622"/>
      <c r="L46" s="627">
        <v>-43663363.94237633</v>
      </c>
      <c r="M46" s="622"/>
      <c r="N46" s="627">
        <v>-29104854.768823672</v>
      </c>
      <c r="P46" s="632" t="s">
        <v>1355</v>
      </c>
      <c r="R46" s="622">
        <v>0</v>
      </c>
      <c r="S46" s="622"/>
      <c r="T46" s="622">
        <f t="shared" si="51"/>
        <v>-29104854.768823672</v>
      </c>
      <c r="U46" s="622"/>
      <c r="V46" s="622">
        <v>0</v>
      </c>
      <c r="W46" s="622"/>
      <c r="X46" s="622">
        <f t="shared" si="52"/>
        <v>-29104854.768823672</v>
      </c>
      <c r="Y46" s="622"/>
      <c r="Z46" s="316" t="s">
        <v>1382</v>
      </c>
      <c r="AA46" s="622"/>
      <c r="AB46" s="622">
        <v>0</v>
      </c>
      <c r="AC46" s="622"/>
      <c r="AD46" s="627">
        <v>-2952594.7207232616</v>
      </c>
      <c r="AE46" s="622"/>
      <c r="AF46" s="622">
        <v>0</v>
      </c>
      <c r="AG46" s="622"/>
      <c r="AH46" s="316" t="s">
        <v>1357</v>
      </c>
      <c r="AI46" s="622"/>
      <c r="AJ46" s="315">
        <f t="shared" si="42"/>
        <v>0</v>
      </c>
      <c r="AK46" s="622"/>
      <c r="AL46" s="315">
        <f t="shared" si="43"/>
        <v>-26152260.048100412</v>
      </c>
      <c r="AM46" s="622"/>
      <c r="AN46" s="315">
        <f t="shared" si="44"/>
        <v>0</v>
      </c>
      <c r="AO46" s="622"/>
      <c r="AP46" s="622">
        <f t="shared" si="45"/>
        <v>-26152260.048100412</v>
      </c>
      <c r="AR46" s="622">
        <v>0</v>
      </c>
      <c r="AS46" s="622"/>
      <c r="AT46" s="627">
        <v>-825380.0667286606</v>
      </c>
      <c r="AU46" s="622"/>
      <c r="AV46" s="622">
        <v>0</v>
      </c>
      <c r="AW46" s="622"/>
      <c r="AX46" s="315">
        <f t="shared" si="46"/>
        <v>0</v>
      </c>
      <c r="AY46" s="622"/>
      <c r="AZ46" s="315">
        <f t="shared" si="47"/>
        <v>-25326879.981371753</v>
      </c>
      <c r="BA46" s="622"/>
      <c r="BB46" s="315">
        <f t="shared" si="48"/>
        <v>0</v>
      </c>
      <c r="BC46" s="622"/>
      <c r="BD46" s="622">
        <f t="shared" si="49"/>
        <v>-25326879.981371753</v>
      </c>
      <c r="BF46" s="622">
        <f t="shared" si="50"/>
        <v>-35168211.659249492</v>
      </c>
      <c r="BI46" s="304">
        <f t="shared" si="40"/>
        <v>312</v>
      </c>
    </row>
    <row r="47" spans="1:61" ht="14.5">
      <c r="A47" s="304">
        <f t="shared" si="41"/>
        <v>313</v>
      </c>
      <c r="B47" s="626" t="s">
        <v>1394</v>
      </c>
      <c r="F47" s="630" t="s">
        <v>1354</v>
      </c>
      <c r="H47" s="627">
        <v>-1683355111.3371432</v>
      </c>
      <c r="J47" s="627">
        <v>-589174288.96800005</v>
      </c>
      <c r="K47" s="622"/>
      <c r="L47" s="627">
        <v>-371097719.70119721</v>
      </c>
      <c r="M47" s="622"/>
      <c r="N47" s="627">
        <v>-218076569.26680282</v>
      </c>
      <c r="P47" s="632" t="s">
        <v>1355</v>
      </c>
      <c r="R47" s="622">
        <v>0</v>
      </c>
      <c r="S47" s="622"/>
      <c r="T47" s="622">
        <f t="shared" si="51"/>
        <v>-218076569.26680282</v>
      </c>
      <c r="U47" s="622"/>
      <c r="V47" s="622">
        <v>0</v>
      </c>
      <c r="W47" s="622"/>
      <c r="X47" s="622">
        <f t="shared" si="52"/>
        <v>-218076569.26680282</v>
      </c>
      <c r="Y47" s="622"/>
      <c r="Z47" s="316" t="s">
        <v>1382</v>
      </c>
      <c r="AA47" s="622"/>
      <c r="AB47" s="622">
        <v>0</v>
      </c>
      <c r="AC47" s="622"/>
      <c r="AD47" s="627">
        <f>-22123172.6543546-0.3</f>
        <v>-22123172.954354599</v>
      </c>
      <c r="AE47" s="622"/>
      <c r="AF47" s="622">
        <v>0</v>
      </c>
      <c r="AG47" s="622"/>
      <c r="AH47" s="316" t="s">
        <v>1357</v>
      </c>
      <c r="AI47" s="622"/>
      <c r="AJ47" s="315">
        <f t="shared" si="42"/>
        <v>0</v>
      </c>
      <c r="AK47" s="622"/>
      <c r="AL47" s="315">
        <f t="shared" si="43"/>
        <v>-195953396.3124482</v>
      </c>
      <c r="AM47" s="622"/>
      <c r="AN47" s="315">
        <f t="shared" si="44"/>
        <v>0</v>
      </c>
      <c r="AO47" s="622"/>
      <c r="AP47" s="622">
        <f t="shared" si="45"/>
        <v>-195953396.3124482</v>
      </c>
      <c r="AR47" s="622">
        <v>0</v>
      </c>
      <c r="AS47" s="622"/>
      <c r="AT47" s="627">
        <v>-6184399.6378981397</v>
      </c>
      <c r="AU47" s="622"/>
      <c r="AV47" s="622">
        <v>0</v>
      </c>
      <c r="AW47" s="622"/>
      <c r="AX47" s="315">
        <f t="shared" si="46"/>
        <v>0</v>
      </c>
      <c r="AY47" s="622"/>
      <c r="AZ47" s="315">
        <f t="shared" si="47"/>
        <v>-189768996.67455006</v>
      </c>
      <c r="BA47" s="622"/>
      <c r="BB47" s="315">
        <f t="shared" si="48"/>
        <v>0</v>
      </c>
      <c r="BC47" s="622"/>
      <c r="BD47" s="622">
        <f t="shared" si="49"/>
        <v>-189768996.67455006</v>
      </c>
      <c r="BF47" s="622">
        <f t="shared" si="50"/>
        <v>-263508029.6634517</v>
      </c>
      <c r="BI47" s="304">
        <f t="shared" si="40"/>
        <v>313</v>
      </c>
    </row>
    <row r="48" spans="1:61" ht="14.5">
      <c r="A48" s="304">
        <f t="shared" si="41"/>
        <v>314</v>
      </c>
      <c r="B48" s="626" t="s">
        <v>1395</v>
      </c>
      <c r="F48" s="630" t="s">
        <v>1354</v>
      </c>
      <c r="H48" s="627">
        <v>-101522514.08000001</v>
      </c>
      <c r="J48" s="627">
        <v>-35532879.928000003</v>
      </c>
      <c r="K48" s="622"/>
      <c r="L48" s="627">
        <v>-377579.07885599998</v>
      </c>
      <c r="M48" s="622"/>
      <c r="N48" s="627">
        <v>-35155300.849143997</v>
      </c>
      <c r="P48" s="632" t="s">
        <v>1355</v>
      </c>
      <c r="R48" s="622">
        <v>0</v>
      </c>
      <c r="S48" s="622"/>
      <c r="T48" s="622">
        <f t="shared" si="51"/>
        <v>-35155300.849143997</v>
      </c>
      <c r="U48" s="622"/>
      <c r="V48" s="622">
        <v>0</v>
      </c>
      <c r="W48" s="622"/>
      <c r="X48" s="622">
        <f t="shared" si="52"/>
        <v>-35155300.849143997</v>
      </c>
      <c r="Y48" s="622"/>
      <c r="Z48" s="316" t="s">
        <v>1382</v>
      </c>
      <c r="AA48" s="622"/>
      <c r="AB48" s="622">
        <v>0</v>
      </c>
      <c r="AC48" s="622"/>
      <c r="AD48" s="627">
        <v>-3566393.1848169742</v>
      </c>
      <c r="AE48" s="622"/>
      <c r="AF48" s="622">
        <v>0</v>
      </c>
      <c r="AG48" s="622"/>
      <c r="AH48" s="316" t="s">
        <v>1357</v>
      </c>
      <c r="AI48" s="622"/>
      <c r="AJ48" s="315">
        <f t="shared" si="42"/>
        <v>0</v>
      </c>
      <c r="AK48" s="622"/>
      <c r="AL48" s="315">
        <f t="shared" si="43"/>
        <v>-31588907.664327022</v>
      </c>
      <c r="AM48" s="622"/>
      <c r="AN48" s="315">
        <f t="shared" si="44"/>
        <v>0</v>
      </c>
      <c r="AO48" s="622"/>
      <c r="AP48" s="622">
        <f t="shared" si="45"/>
        <v>-31588907.664327022</v>
      </c>
      <c r="AR48" s="622">
        <v>0</v>
      </c>
      <c r="AS48" s="622"/>
      <c r="AT48" s="627">
        <v>-996963.72963229066</v>
      </c>
      <c r="AU48" s="622"/>
      <c r="AV48" s="622">
        <v>0</v>
      </c>
      <c r="AW48" s="622"/>
      <c r="AX48" s="315">
        <f t="shared" si="46"/>
        <v>0</v>
      </c>
      <c r="AY48" s="622"/>
      <c r="AZ48" s="315">
        <f t="shared" si="47"/>
        <v>-30591943.93469473</v>
      </c>
      <c r="BA48" s="622"/>
      <c r="BB48" s="315">
        <f t="shared" si="48"/>
        <v>0</v>
      </c>
      <c r="BC48" s="622"/>
      <c r="BD48" s="622">
        <f t="shared" si="49"/>
        <v>-30591943.93469473</v>
      </c>
      <c r="BF48" s="622">
        <f t="shared" si="50"/>
        <v>-42479135.217387602</v>
      </c>
      <c r="BI48" s="304">
        <f t="shared" si="40"/>
        <v>314</v>
      </c>
    </row>
    <row r="49" spans="1:61" ht="14.5">
      <c r="A49" s="304">
        <f t="shared" si="41"/>
        <v>315</v>
      </c>
      <c r="B49" s="626" t="s">
        <v>1396</v>
      </c>
      <c r="F49" s="630" t="s">
        <v>1354</v>
      </c>
      <c r="H49" s="627">
        <v>-315858420</v>
      </c>
      <c r="J49" s="627">
        <v>-110550447</v>
      </c>
      <c r="K49" s="622"/>
      <c r="L49" s="627">
        <v>-66330267.945684917</v>
      </c>
      <c r="M49" s="622"/>
      <c r="N49" s="627">
        <v>-44220179.054315083</v>
      </c>
      <c r="P49" s="632" t="s">
        <v>1355</v>
      </c>
      <c r="R49" s="622">
        <v>0</v>
      </c>
      <c r="S49" s="622"/>
      <c r="T49" s="622">
        <f t="shared" si="51"/>
        <v>-44220179.054315083</v>
      </c>
      <c r="U49" s="622"/>
      <c r="V49" s="622">
        <v>0</v>
      </c>
      <c r="W49" s="622"/>
      <c r="X49" s="622">
        <f t="shared" si="52"/>
        <v>-44220179.054315083</v>
      </c>
      <c r="Y49" s="622"/>
      <c r="Z49" s="316" t="s">
        <v>1382</v>
      </c>
      <c r="AA49" s="622"/>
      <c r="AB49" s="622">
        <v>0</v>
      </c>
      <c r="AC49" s="622"/>
      <c r="AD49" s="627">
        <v>-4485996.1770042889</v>
      </c>
      <c r="AE49" s="622"/>
      <c r="AF49" s="622">
        <v>0</v>
      </c>
      <c r="AG49" s="622"/>
      <c r="AH49" s="316" t="s">
        <v>1357</v>
      </c>
      <c r="AI49" s="622"/>
      <c r="AJ49" s="315">
        <f t="shared" si="42"/>
        <v>0</v>
      </c>
      <c r="AK49" s="622"/>
      <c r="AL49" s="315">
        <f t="shared" si="43"/>
        <v>-39734182.877310798</v>
      </c>
      <c r="AM49" s="622"/>
      <c r="AN49" s="315">
        <f t="shared" si="44"/>
        <v>0</v>
      </c>
      <c r="AO49" s="622"/>
      <c r="AP49" s="622">
        <f t="shared" si="45"/>
        <v>-39734182.877310798</v>
      </c>
      <c r="AR49" s="622">
        <v>0</v>
      </c>
      <c r="AS49" s="622"/>
      <c r="AT49" s="627">
        <v>-1254033.2060924782</v>
      </c>
      <c r="AU49" s="622"/>
      <c r="AV49" s="622">
        <v>0</v>
      </c>
      <c r="AW49" s="622"/>
      <c r="AX49" s="315">
        <f t="shared" si="46"/>
        <v>0</v>
      </c>
      <c r="AY49" s="622"/>
      <c r="AZ49" s="315">
        <f t="shared" si="47"/>
        <v>-38480149.671218321</v>
      </c>
      <c r="BA49" s="622"/>
      <c r="BB49" s="315">
        <f t="shared" si="48"/>
        <v>0</v>
      </c>
      <c r="BC49" s="622"/>
      <c r="BD49" s="622">
        <f t="shared" si="49"/>
        <v>-38480149.671218321</v>
      </c>
      <c r="BF49" s="622">
        <f t="shared" si="50"/>
        <v>-53432481.589219011</v>
      </c>
      <c r="BI49" s="304">
        <f t="shared" si="40"/>
        <v>315</v>
      </c>
    </row>
    <row r="50" spans="1:61" ht="14.5">
      <c r="A50" s="304">
        <f t="shared" si="41"/>
        <v>316</v>
      </c>
      <c r="B50" s="626" t="s">
        <v>1397</v>
      </c>
      <c r="F50" s="630" t="s">
        <v>1354</v>
      </c>
      <c r="H50" s="627">
        <v>-571498734.28571427</v>
      </c>
      <c r="J50" s="627">
        <v>-200024557</v>
      </c>
      <c r="K50" s="622"/>
      <c r="L50" s="627">
        <v>-120014733.60428579</v>
      </c>
      <c r="M50" s="622"/>
      <c r="N50" s="627">
        <v>-80009823.395714208</v>
      </c>
      <c r="P50" s="632" t="s">
        <v>1355</v>
      </c>
      <c r="R50" s="622">
        <v>0</v>
      </c>
      <c r="S50" s="622"/>
      <c r="T50" s="622">
        <f t="shared" si="51"/>
        <v>-80009823.395714208</v>
      </c>
      <c r="U50" s="622"/>
      <c r="V50" s="622">
        <v>0</v>
      </c>
      <c r="W50" s="622"/>
      <c r="X50" s="622">
        <f t="shared" si="52"/>
        <v>-80009823.395714208</v>
      </c>
      <c r="Y50" s="622"/>
      <c r="Z50" s="316" t="s">
        <v>1382</v>
      </c>
      <c r="AA50" s="622"/>
      <c r="AB50" s="622">
        <v>0</v>
      </c>
      <c r="AC50" s="622"/>
      <c r="AD50" s="627">
        <v>-8116741.4866208658</v>
      </c>
      <c r="AE50" s="622"/>
      <c r="AF50" s="622">
        <v>0</v>
      </c>
      <c r="AG50" s="622"/>
      <c r="AH50" s="316" t="s">
        <v>1357</v>
      </c>
      <c r="AI50" s="622"/>
      <c r="AJ50" s="315">
        <f t="shared" si="42"/>
        <v>0</v>
      </c>
      <c r="AK50" s="622"/>
      <c r="AL50" s="315">
        <f t="shared" si="43"/>
        <v>-71893081.90909335</v>
      </c>
      <c r="AM50" s="622"/>
      <c r="AN50" s="315">
        <f t="shared" si="44"/>
        <v>0</v>
      </c>
      <c r="AO50" s="622"/>
      <c r="AP50" s="622">
        <f t="shared" si="45"/>
        <v>-71893081.90909335</v>
      </c>
      <c r="AR50" s="622">
        <v>0</v>
      </c>
      <c r="AS50" s="622"/>
      <c r="AT50" s="627">
        <f>-2268986.18453309</f>
        <v>-2268986.1845330899</v>
      </c>
      <c r="AU50" s="622"/>
      <c r="AV50" s="622">
        <v>0</v>
      </c>
      <c r="AW50" s="622"/>
      <c r="AX50" s="315">
        <f t="shared" si="46"/>
        <v>0</v>
      </c>
      <c r="AY50" s="622"/>
      <c r="AZ50" s="315">
        <f t="shared" si="47"/>
        <v>-69624095.724560261</v>
      </c>
      <c r="BA50" s="622"/>
      <c r="BB50" s="315">
        <f t="shared" si="48"/>
        <v>0</v>
      </c>
      <c r="BC50" s="622"/>
      <c r="BD50" s="622">
        <f t="shared" si="49"/>
        <v>-69624095.724560261</v>
      </c>
      <c r="BF50" s="622">
        <f t="shared" si="50"/>
        <v>-96678111.825306818</v>
      </c>
      <c r="BI50" s="304">
        <f t="shared" si="40"/>
        <v>316</v>
      </c>
    </row>
    <row r="51" spans="1:61" ht="14.5">
      <c r="A51" s="304">
        <f t="shared" si="41"/>
        <v>317</v>
      </c>
      <c r="B51" s="626" t="s">
        <v>1398</v>
      </c>
      <c r="F51" s="630" t="s">
        <v>1354</v>
      </c>
      <c r="H51" s="627">
        <v>-25063667.280000001</v>
      </c>
      <c r="J51" s="627">
        <v>-8772283.5480000004</v>
      </c>
      <c r="K51" s="622"/>
      <c r="L51" s="627">
        <v>-5263370.0446319999</v>
      </c>
      <c r="M51" s="622"/>
      <c r="N51" s="627">
        <v>-3508913.5033680005</v>
      </c>
      <c r="P51" s="632" t="s">
        <v>1355</v>
      </c>
      <c r="R51" s="622">
        <v>0</v>
      </c>
      <c r="S51" s="622"/>
      <c r="T51" s="622">
        <f t="shared" si="51"/>
        <v>-3508913.5033680005</v>
      </c>
      <c r="U51" s="622"/>
      <c r="V51" s="622">
        <v>0</v>
      </c>
      <c r="W51" s="622"/>
      <c r="X51" s="622">
        <f t="shared" si="52"/>
        <v>-3508913.5033680005</v>
      </c>
      <c r="Y51" s="622"/>
      <c r="Z51" s="316" t="s">
        <v>1382</v>
      </c>
      <c r="AA51" s="622"/>
      <c r="AB51" s="622">
        <v>0</v>
      </c>
      <c r="AC51" s="622"/>
      <c r="AD51" s="627">
        <v>-355968.08737959067</v>
      </c>
      <c r="AE51" s="622"/>
      <c r="AF51" s="622">
        <v>0</v>
      </c>
      <c r="AG51" s="622"/>
      <c r="AH51" s="316" t="s">
        <v>1357</v>
      </c>
      <c r="AI51" s="622"/>
      <c r="AJ51" s="315">
        <f t="shared" si="42"/>
        <v>0</v>
      </c>
      <c r="AK51" s="622"/>
      <c r="AL51" s="315">
        <f t="shared" si="43"/>
        <v>-3152945.4159884099</v>
      </c>
      <c r="AM51" s="622"/>
      <c r="AN51" s="315">
        <f t="shared" si="44"/>
        <v>0</v>
      </c>
      <c r="AO51" s="622"/>
      <c r="AP51" s="622">
        <f t="shared" si="45"/>
        <v>-3152945.4159884099</v>
      </c>
      <c r="AR51" s="622">
        <v>0</v>
      </c>
      <c r="AS51" s="622"/>
      <c r="AT51" s="627">
        <v>-99508.734352362924</v>
      </c>
      <c r="AU51" s="622"/>
      <c r="AV51" s="622">
        <v>0</v>
      </c>
      <c r="AW51" s="622"/>
      <c r="AX51" s="315">
        <f t="shared" si="46"/>
        <v>0</v>
      </c>
      <c r="AY51" s="622"/>
      <c r="AZ51" s="315">
        <f t="shared" si="47"/>
        <v>-3053436.6816360471</v>
      </c>
      <c r="BA51" s="622"/>
      <c r="BB51" s="315">
        <f t="shared" si="48"/>
        <v>0</v>
      </c>
      <c r="BC51" s="622"/>
      <c r="BD51" s="622">
        <f t="shared" si="49"/>
        <v>-3053436.6816360471</v>
      </c>
      <c r="BF51" s="622">
        <f t="shared" si="50"/>
        <v>-4239918.5208314313</v>
      </c>
      <c r="BI51" s="304">
        <f t="shared" si="40"/>
        <v>317</v>
      </c>
    </row>
    <row r="52" spans="1:61" ht="14.5">
      <c r="A52" s="304">
        <f t="shared" si="41"/>
        <v>318</v>
      </c>
      <c r="B52" s="626" t="s">
        <v>1399</v>
      </c>
      <c r="F52" s="630" t="s">
        <v>1354</v>
      </c>
      <c r="H52" s="627">
        <v>-9911892.7885714285</v>
      </c>
      <c r="J52" s="627">
        <v>-3469162.4759999998</v>
      </c>
      <c r="K52" s="622"/>
      <c r="L52" s="627">
        <v>-2081497.533696</v>
      </c>
      <c r="M52" s="622"/>
      <c r="N52" s="627">
        <v>-1387664.942304</v>
      </c>
      <c r="P52" s="632" t="s">
        <v>1355</v>
      </c>
      <c r="R52" s="622">
        <v>0</v>
      </c>
      <c r="S52" s="622"/>
      <c r="T52" s="622">
        <f t="shared" si="51"/>
        <v>-1387664.942304</v>
      </c>
      <c r="U52" s="622"/>
      <c r="V52" s="622">
        <v>0</v>
      </c>
      <c r="W52" s="622"/>
      <c r="X52" s="622">
        <f t="shared" si="52"/>
        <v>-1387664.942304</v>
      </c>
      <c r="Y52" s="622"/>
      <c r="Z52" s="316" t="s">
        <v>1382</v>
      </c>
      <c r="AA52" s="622"/>
      <c r="AB52" s="622">
        <v>0</v>
      </c>
      <c r="AC52" s="622"/>
      <c r="AD52" s="627">
        <v>-140774.18407764609</v>
      </c>
      <c r="AE52" s="622"/>
      <c r="AF52" s="622">
        <v>0</v>
      </c>
      <c r="AG52" s="622"/>
      <c r="AH52" s="316" t="s">
        <v>1357</v>
      </c>
      <c r="AI52" s="622"/>
      <c r="AJ52" s="315">
        <f t="shared" si="42"/>
        <v>0</v>
      </c>
      <c r="AK52" s="622"/>
      <c r="AL52" s="315">
        <f t="shared" si="43"/>
        <v>-1246890.7582263539</v>
      </c>
      <c r="AM52" s="622"/>
      <c r="AN52" s="315">
        <f t="shared" si="44"/>
        <v>0</v>
      </c>
      <c r="AO52" s="622"/>
      <c r="AP52" s="622">
        <f t="shared" si="45"/>
        <v>-1246890.7582263539</v>
      </c>
      <c r="AR52" s="622">
        <v>0</v>
      </c>
      <c r="AS52" s="622"/>
      <c r="AT52" s="627">
        <v>-39352.575086640434</v>
      </c>
      <c r="AU52" s="622"/>
      <c r="AV52" s="622">
        <v>0</v>
      </c>
      <c r="AW52" s="622"/>
      <c r="AX52" s="315">
        <f t="shared" si="46"/>
        <v>0</v>
      </c>
      <c r="AY52" s="622"/>
      <c r="AZ52" s="315">
        <f t="shared" si="47"/>
        <v>-1207538.1831397135</v>
      </c>
      <c r="BA52" s="622"/>
      <c r="BB52" s="315">
        <f t="shared" si="48"/>
        <v>0</v>
      </c>
      <c r="BC52" s="622"/>
      <c r="BD52" s="622">
        <f t="shared" si="49"/>
        <v>-1207538.1831397135</v>
      </c>
      <c r="BF52" s="622">
        <f t="shared" si="50"/>
        <v>-1676754.4380720411</v>
      </c>
      <c r="BI52" s="304">
        <f t="shared" si="40"/>
        <v>318</v>
      </c>
    </row>
    <row r="53" spans="1:61" ht="14.5">
      <c r="A53" s="304">
        <f t="shared" si="41"/>
        <v>319</v>
      </c>
      <c r="B53" s="626" t="s">
        <v>1400</v>
      </c>
      <c r="F53" s="630" t="s">
        <v>1354</v>
      </c>
      <c r="H53" s="627">
        <v>-71671362.898285717</v>
      </c>
      <c r="J53" s="627">
        <v>-25084977.014399998</v>
      </c>
      <c r="K53" s="622"/>
      <c r="L53" s="627">
        <v>-15050986.064351998</v>
      </c>
      <c r="M53" s="622"/>
      <c r="N53" s="627">
        <v>-10033990.950048001</v>
      </c>
      <c r="P53" s="632" t="s">
        <v>1355</v>
      </c>
      <c r="R53" s="622">
        <v>0</v>
      </c>
      <c r="S53" s="622"/>
      <c r="T53" s="622">
        <f t="shared" si="51"/>
        <v>-10033990.950048001</v>
      </c>
      <c r="U53" s="622"/>
      <c r="V53" s="622">
        <v>0</v>
      </c>
      <c r="W53" s="622"/>
      <c r="X53" s="622">
        <f t="shared" si="52"/>
        <v>-10033990.950048001</v>
      </c>
      <c r="Y53" s="622"/>
      <c r="Z53" s="316" t="s">
        <v>1382</v>
      </c>
      <c r="AA53" s="622"/>
      <c r="AB53" s="622">
        <v>0</v>
      </c>
      <c r="AC53" s="622"/>
      <c r="AD53" s="627">
        <v>-1017916.3903140861</v>
      </c>
      <c r="AE53" s="622"/>
      <c r="AF53" s="622">
        <v>0</v>
      </c>
      <c r="AG53" s="622"/>
      <c r="AH53" s="316" t="s">
        <v>1357</v>
      </c>
      <c r="AI53" s="622"/>
      <c r="AJ53" s="315">
        <f t="shared" si="42"/>
        <v>0</v>
      </c>
      <c r="AK53" s="622"/>
      <c r="AL53" s="315">
        <f t="shared" si="43"/>
        <v>-9016074.5597339161</v>
      </c>
      <c r="AM53" s="622"/>
      <c r="AN53" s="315">
        <f t="shared" si="44"/>
        <v>0</v>
      </c>
      <c r="AO53" s="622"/>
      <c r="AP53" s="622">
        <f t="shared" si="45"/>
        <v>-9016074.5597339161</v>
      </c>
      <c r="AR53" s="622">
        <v>0</v>
      </c>
      <c r="AS53" s="622"/>
      <c r="AT53" s="627">
        <v>-284552.39463268837</v>
      </c>
      <c r="AU53" s="622"/>
      <c r="AV53" s="622">
        <v>0</v>
      </c>
      <c r="AW53" s="622"/>
      <c r="AX53" s="315">
        <f t="shared" si="46"/>
        <v>0</v>
      </c>
      <c r="AY53" s="622"/>
      <c r="AZ53" s="315">
        <f t="shared" si="47"/>
        <v>-8731522.1651012283</v>
      </c>
      <c r="BA53" s="622"/>
      <c r="BB53" s="315">
        <f t="shared" si="48"/>
        <v>0</v>
      </c>
      <c r="BC53" s="622"/>
      <c r="BD53" s="622">
        <f t="shared" si="49"/>
        <v>-8731522.1651012283</v>
      </c>
      <c r="BF53" s="622">
        <f t="shared" si="50"/>
        <v>-12124352.460135786</v>
      </c>
      <c r="BI53" s="304">
        <f t="shared" si="40"/>
        <v>319</v>
      </c>
    </row>
    <row r="54" spans="1:61" ht="14.5">
      <c r="A54" s="304">
        <f t="shared" si="41"/>
        <v>320</v>
      </c>
      <c r="B54" s="626" t="s">
        <v>1401</v>
      </c>
      <c r="F54" s="630" t="s">
        <v>1354</v>
      </c>
      <c r="H54" s="627">
        <v>52695788.404571429</v>
      </c>
      <c r="J54" s="627">
        <v>18443525.941599999</v>
      </c>
      <c r="K54" s="622"/>
      <c r="L54" s="627">
        <v>11066115.734552527</v>
      </c>
      <c r="M54" s="622"/>
      <c r="N54" s="627">
        <v>7377410.2070474727</v>
      </c>
      <c r="P54" s="632" t="s">
        <v>1355</v>
      </c>
      <c r="R54" s="622">
        <v>0</v>
      </c>
      <c r="S54" s="622"/>
      <c r="T54" s="622">
        <f t="shared" si="51"/>
        <v>7377410.2070474727</v>
      </c>
      <c r="U54" s="622"/>
      <c r="V54" s="622">
        <v>0</v>
      </c>
      <c r="W54" s="622"/>
      <c r="X54" s="622">
        <f t="shared" si="52"/>
        <v>7377410.2070474727</v>
      </c>
      <c r="Y54" s="622"/>
      <c r="Z54" s="316" t="s">
        <v>1382</v>
      </c>
      <c r="AA54" s="622"/>
      <c r="AB54" s="622">
        <v>0</v>
      </c>
      <c r="AC54" s="622"/>
      <c r="AD54" s="627">
        <v>748414.74396467686</v>
      </c>
      <c r="AE54" s="622"/>
      <c r="AF54" s="622">
        <v>0</v>
      </c>
      <c r="AG54" s="622"/>
      <c r="AH54" s="316" t="s">
        <v>1357</v>
      </c>
      <c r="AI54" s="622"/>
      <c r="AJ54" s="315">
        <f t="shared" si="42"/>
        <v>0</v>
      </c>
      <c r="AK54" s="622"/>
      <c r="AL54" s="315">
        <f t="shared" si="43"/>
        <v>6628995.463082796</v>
      </c>
      <c r="AM54" s="622"/>
      <c r="AN54" s="315">
        <f t="shared" si="44"/>
        <v>0</v>
      </c>
      <c r="AO54" s="622"/>
      <c r="AP54" s="622">
        <f t="shared" si="45"/>
        <v>6628995.463082796</v>
      </c>
      <c r="AR54" s="622">
        <v>0</v>
      </c>
      <c r="AS54" s="622"/>
      <c r="AT54" s="627">
        <v>209214.83296663259</v>
      </c>
      <c r="AU54" s="622"/>
      <c r="AV54" s="622">
        <v>0</v>
      </c>
      <c r="AW54" s="622"/>
      <c r="AX54" s="315">
        <f t="shared" si="46"/>
        <v>0</v>
      </c>
      <c r="AY54" s="622"/>
      <c r="AZ54" s="315">
        <f t="shared" si="47"/>
        <v>6419780.6301161638</v>
      </c>
      <c r="BA54" s="622"/>
      <c r="BB54" s="315">
        <f t="shared" si="48"/>
        <v>0</v>
      </c>
      <c r="BC54" s="622"/>
      <c r="BD54" s="622">
        <f t="shared" si="49"/>
        <v>6419780.6301161638</v>
      </c>
      <c r="BF54" s="622">
        <f t="shared" si="50"/>
        <v>8914331.4996530842</v>
      </c>
      <c r="BI54" s="304">
        <f t="shared" si="40"/>
        <v>320</v>
      </c>
    </row>
    <row r="55" spans="1:61" ht="14.5">
      <c r="A55" s="304">
        <f t="shared" si="41"/>
        <v>321</v>
      </c>
      <c r="B55" s="626" t="s">
        <v>1402</v>
      </c>
      <c r="F55" s="630" t="s">
        <v>1354</v>
      </c>
      <c r="H55" s="627">
        <v>37674687.677714288</v>
      </c>
      <c r="J55" s="627">
        <v>13186140.687200001</v>
      </c>
      <c r="K55" s="622"/>
      <c r="L55" s="627">
        <v>7911685.1078593545</v>
      </c>
      <c r="M55" s="622"/>
      <c r="N55" s="627">
        <v>5274455.579340646</v>
      </c>
      <c r="P55" s="632" t="s">
        <v>1355</v>
      </c>
      <c r="R55" s="622">
        <v>0</v>
      </c>
      <c r="S55" s="622"/>
      <c r="T55" s="622">
        <f t="shared" si="51"/>
        <v>5274455.579340646</v>
      </c>
      <c r="U55" s="622"/>
      <c r="V55" s="622">
        <v>0</v>
      </c>
      <c r="W55" s="622"/>
      <c r="X55" s="622">
        <f t="shared" si="52"/>
        <v>5274455.579340646</v>
      </c>
      <c r="Y55" s="622"/>
      <c r="Z55" s="316" t="s">
        <v>1382</v>
      </c>
      <c r="AA55" s="622"/>
      <c r="AB55" s="622">
        <v>0</v>
      </c>
      <c r="AC55" s="622"/>
      <c r="AD55" s="627">
        <v>535076.70187491435</v>
      </c>
      <c r="AE55" s="622"/>
      <c r="AF55" s="622">
        <v>0</v>
      </c>
      <c r="AG55" s="622"/>
      <c r="AH55" s="316" t="s">
        <v>1357</v>
      </c>
      <c r="AI55" s="622"/>
      <c r="AJ55" s="315">
        <f t="shared" si="42"/>
        <v>0</v>
      </c>
      <c r="AK55" s="622"/>
      <c r="AL55" s="315">
        <f t="shared" si="43"/>
        <v>4739378.8774657315</v>
      </c>
      <c r="AM55" s="622"/>
      <c r="AN55" s="315">
        <f t="shared" si="44"/>
        <v>0</v>
      </c>
      <c r="AO55" s="622"/>
      <c r="AP55" s="622">
        <f t="shared" si="45"/>
        <v>4739378.8774657315</v>
      </c>
      <c r="AR55" s="622">
        <v>0</v>
      </c>
      <c r="AS55" s="622"/>
      <c r="AT55" s="627">
        <v>149577.4685224272</v>
      </c>
      <c r="AU55" s="622"/>
      <c r="AV55" s="622">
        <v>0</v>
      </c>
      <c r="AW55" s="622"/>
      <c r="AX55" s="315">
        <f t="shared" si="46"/>
        <v>0</v>
      </c>
      <c r="AY55" s="622"/>
      <c r="AZ55" s="315">
        <f t="shared" si="47"/>
        <v>4589801.4089433039</v>
      </c>
      <c r="BA55" s="622"/>
      <c r="BB55" s="315">
        <f t="shared" si="48"/>
        <v>0</v>
      </c>
      <c r="BC55" s="622"/>
      <c r="BD55" s="622">
        <f t="shared" si="49"/>
        <v>4589801.4089433039</v>
      </c>
      <c r="BF55" s="622">
        <f t="shared" si="50"/>
        <v>6373272.4892431498</v>
      </c>
      <c r="BI55" s="304">
        <f t="shared" si="40"/>
        <v>321</v>
      </c>
    </row>
    <row r="56" spans="1:61" ht="14.5">
      <c r="A56" s="304">
        <f t="shared" si="41"/>
        <v>322</v>
      </c>
      <c r="B56" s="626" t="s">
        <v>1403</v>
      </c>
      <c r="F56" s="630" t="s">
        <v>1354</v>
      </c>
      <c r="H56" s="627">
        <v>-57733.115428571436</v>
      </c>
      <c r="J56" s="627">
        <v>-20206.590400000001</v>
      </c>
      <c r="K56" s="622"/>
      <c r="L56" s="627">
        <v>-12124.41925554987</v>
      </c>
      <c r="M56" s="622"/>
      <c r="N56" s="627">
        <v>-8082.1711444501288</v>
      </c>
      <c r="P56" s="632" t="s">
        <v>1355</v>
      </c>
      <c r="R56" s="622">
        <v>0</v>
      </c>
      <c r="S56" s="622"/>
      <c r="T56" s="622">
        <f t="shared" si="51"/>
        <v>-8082.1711444501288</v>
      </c>
      <c r="U56" s="622"/>
      <c r="V56" s="622">
        <v>0</v>
      </c>
      <c r="W56" s="622"/>
      <c r="X56" s="622">
        <f t="shared" si="52"/>
        <v>-8082.1711444501288</v>
      </c>
      <c r="Y56" s="622"/>
      <c r="Z56" s="316" t="s">
        <v>1382</v>
      </c>
      <c r="AA56" s="622"/>
      <c r="AB56" s="622">
        <v>0</v>
      </c>
      <c r="AC56" s="622"/>
      <c r="AD56" s="627">
        <v>-819.91049406118759</v>
      </c>
      <c r="AE56" s="622"/>
      <c r="AF56" s="622">
        <v>0</v>
      </c>
      <c r="AG56" s="622"/>
      <c r="AH56" s="316" t="s">
        <v>1357</v>
      </c>
      <c r="AI56" s="622"/>
      <c r="AJ56" s="315">
        <f t="shared" si="42"/>
        <v>0</v>
      </c>
      <c r="AK56" s="622"/>
      <c r="AL56" s="315">
        <f t="shared" si="43"/>
        <v>-7262.260650388941</v>
      </c>
      <c r="AM56" s="622"/>
      <c r="AN56" s="315">
        <f t="shared" si="44"/>
        <v>0</v>
      </c>
      <c r="AO56" s="622"/>
      <c r="AP56" s="622">
        <f t="shared" si="45"/>
        <v>-7262.260650388941</v>
      </c>
      <c r="AR56" s="622">
        <v>0</v>
      </c>
      <c r="AS56" s="622"/>
      <c r="AT56" s="627">
        <v>-229.20103919104068</v>
      </c>
      <c r="AU56" s="622"/>
      <c r="AV56" s="622">
        <v>0</v>
      </c>
      <c r="AW56" s="622"/>
      <c r="AX56" s="315">
        <f t="shared" si="46"/>
        <v>0</v>
      </c>
      <c r="AY56" s="622"/>
      <c r="AZ56" s="315">
        <f t="shared" si="47"/>
        <v>-7033.0596111979003</v>
      </c>
      <c r="BA56" s="622"/>
      <c r="BB56" s="315">
        <f t="shared" si="48"/>
        <v>0</v>
      </c>
      <c r="BC56" s="622"/>
      <c r="BD56" s="622">
        <f t="shared" si="49"/>
        <v>-7033.0596111979003</v>
      </c>
      <c r="BF56" s="622">
        <f t="shared" si="50"/>
        <v>-9765.9138907219731</v>
      </c>
      <c r="BI56" s="304">
        <f t="shared" si="40"/>
        <v>322</v>
      </c>
    </row>
    <row r="57" spans="1:61" ht="14.5">
      <c r="A57" s="304">
        <f t="shared" si="41"/>
        <v>323</v>
      </c>
      <c r="B57" s="626" t="s">
        <v>1404</v>
      </c>
      <c r="F57" s="630" t="s">
        <v>1354</v>
      </c>
      <c r="H57" s="627">
        <v>19203939.561142858</v>
      </c>
      <c r="J57" s="627">
        <v>6721378.8464000002</v>
      </c>
      <c r="K57" s="622"/>
      <c r="L57" s="627">
        <v>4032827.7427398837</v>
      </c>
      <c r="M57" s="622"/>
      <c r="N57" s="627">
        <v>2688551.1036601164</v>
      </c>
      <c r="P57" s="632" t="s">
        <v>1355</v>
      </c>
      <c r="R57" s="622">
        <v>0</v>
      </c>
      <c r="S57" s="622"/>
      <c r="T57" s="622">
        <f t="shared" si="51"/>
        <v>2688551.1036601164</v>
      </c>
      <c r="U57" s="622"/>
      <c r="V57" s="622">
        <v>0</v>
      </c>
      <c r="W57" s="622"/>
      <c r="X57" s="622">
        <f t="shared" si="52"/>
        <v>2688551.1036601164</v>
      </c>
      <c r="Y57" s="622"/>
      <c r="Z57" s="316" t="s">
        <v>1382</v>
      </c>
      <c r="AA57" s="622"/>
      <c r="AB57" s="622">
        <v>0</v>
      </c>
      <c r="AC57" s="622"/>
      <c r="AD57" s="627">
        <v>272744.93750660261</v>
      </c>
      <c r="AE57" s="622"/>
      <c r="AF57" s="622">
        <v>0</v>
      </c>
      <c r="AG57" s="622"/>
      <c r="AH57" s="316" t="s">
        <v>1357</v>
      </c>
      <c r="AI57" s="622"/>
      <c r="AJ57" s="315">
        <f t="shared" si="42"/>
        <v>0</v>
      </c>
      <c r="AK57" s="622"/>
      <c r="AL57" s="315">
        <f t="shared" si="43"/>
        <v>2415806.1661535138</v>
      </c>
      <c r="AM57" s="622"/>
      <c r="AN57" s="315">
        <f t="shared" si="44"/>
        <v>0</v>
      </c>
      <c r="AO57" s="622"/>
      <c r="AP57" s="622">
        <f t="shared" si="45"/>
        <v>2415806.1661535138</v>
      </c>
      <c r="AR57" s="622">
        <v>0</v>
      </c>
      <c r="AS57" s="622"/>
      <c r="AT57" s="627">
        <v>76244.204170343946</v>
      </c>
      <c r="AU57" s="622"/>
      <c r="AV57" s="622">
        <v>0</v>
      </c>
      <c r="AW57" s="622"/>
      <c r="AX57" s="315">
        <f t="shared" si="46"/>
        <v>0</v>
      </c>
      <c r="AY57" s="622"/>
      <c r="AZ57" s="315">
        <f t="shared" si="47"/>
        <v>2339561.9619831699</v>
      </c>
      <c r="BA57" s="622"/>
      <c r="BB57" s="315">
        <f t="shared" si="48"/>
        <v>0</v>
      </c>
      <c r="BC57" s="622"/>
      <c r="BD57" s="622">
        <f t="shared" si="49"/>
        <v>2339561.9619831699</v>
      </c>
      <c r="BF57" s="622">
        <f t="shared" si="50"/>
        <v>3248651.6432134481</v>
      </c>
      <c r="BI57" s="304">
        <f t="shared" si="40"/>
        <v>323</v>
      </c>
    </row>
    <row r="58" spans="1:61" ht="14.5">
      <c r="A58" s="304">
        <f t="shared" si="41"/>
        <v>324</v>
      </c>
      <c r="B58" s="626" t="s">
        <v>1405</v>
      </c>
      <c r="F58" s="630" t="s">
        <v>1354</v>
      </c>
      <c r="H58" s="627">
        <v>-13574.660633484164</v>
      </c>
      <c r="J58" s="627">
        <v>420</v>
      </c>
      <c r="K58" s="622"/>
      <c r="L58" s="627">
        <v>251.82208</v>
      </c>
      <c r="M58" s="622"/>
      <c r="N58" s="627">
        <v>168</v>
      </c>
      <c r="P58" s="632" t="s">
        <v>1355</v>
      </c>
      <c r="R58" s="622">
        <v>0</v>
      </c>
      <c r="S58" s="622"/>
      <c r="T58" s="622">
        <f t="shared" si="51"/>
        <v>168</v>
      </c>
      <c r="U58" s="622"/>
      <c r="V58" s="622">
        <v>0</v>
      </c>
      <c r="W58" s="622"/>
      <c r="X58" s="622">
        <f t="shared" si="52"/>
        <v>168</v>
      </c>
      <c r="Y58" s="622"/>
      <c r="Z58" s="316" t="s">
        <v>1382</v>
      </c>
      <c r="AA58" s="622"/>
      <c r="AB58" s="622">
        <v>0</v>
      </c>
      <c r="AC58" s="622"/>
      <c r="AD58" s="627">
        <v>17.043064362336146</v>
      </c>
      <c r="AE58" s="622"/>
      <c r="AF58" s="622">
        <v>0</v>
      </c>
      <c r="AG58" s="622"/>
      <c r="AH58" s="316" t="s">
        <v>1357</v>
      </c>
      <c r="AI58" s="622"/>
      <c r="AJ58" s="315">
        <f t="shared" si="42"/>
        <v>0</v>
      </c>
      <c r="AK58" s="622"/>
      <c r="AL58" s="315">
        <f t="shared" si="43"/>
        <v>150.95693563766386</v>
      </c>
      <c r="AM58" s="622"/>
      <c r="AN58" s="315">
        <f t="shared" si="44"/>
        <v>0</v>
      </c>
      <c r="AO58" s="622"/>
      <c r="AP58" s="622">
        <f t="shared" si="45"/>
        <v>150.95693563766386</v>
      </c>
      <c r="AR58" s="622">
        <v>0</v>
      </c>
      <c r="AS58" s="622"/>
      <c r="AT58" s="627">
        <v>4.764285969189852</v>
      </c>
      <c r="AU58" s="622"/>
      <c r="AV58" s="622">
        <v>0</v>
      </c>
      <c r="AW58" s="622"/>
      <c r="AX58" s="315">
        <f t="shared" si="46"/>
        <v>0</v>
      </c>
      <c r="AY58" s="622"/>
      <c r="AZ58" s="315">
        <f t="shared" si="47"/>
        <v>146.19264966847402</v>
      </c>
      <c r="BA58" s="622"/>
      <c r="BB58" s="315">
        <f t="shared" si="48"/>
        <v>0</v>
      </c>
      <c r="BC58" s="622"/>
      <c r="BD58" s="622">
        <f t="shared" si="49"/>
        <v>146.19264966847402</v>
      </c>
      <c r="BF58" s="622">
        <f t="shared" si="50"/>
        <v>202.99910807604101</v>
      </c>
      <c r="BI58" s="304">
        <f t="shared" si="40"/>
        <v>324</v>
      </c>
    </row>
    <row r="59" spans="1:61" ht="14.5">
      <c r="A59" s="304">
        <f t="shared" si="41"/>
        <v>325</v>
      </c>
      <c r="B59" s="626" t="s">
        <v>1406</v>
      </c>
      <c r="F59" s="630" t="s">
        <v>1354</v>
      </c>
      <c r="H59" s="627">
        <v>-274950112.13962507</v>
      </c>
      <c r="J59" s="627">
        <v>8506956.4695999995</v>
      </c>
      <c r="K59" s="622"/>
      <c r="L59" s="627">
        <v>5103074.2178012161</v>
      </c>
      <c r="M59" s="622"/>
      <c r="N59" s="627">
        <v>3402793.7276601344</v>
      </c>
      <c r="P59" s="632" t="s">
        <v>1355</v>
      </c>
      <c r="R59" s="622">
        <v>0</v>
      </c>
      <c r="S59" s="622"/>
      <c r="T59" s="622">
        <f t="shared" si="51"/>
        <v>3402793.7276601344</v>
      </c>
      <c r="U59" s="622"/>
      <c r="V59" s="622">
        <v>0</v>
      </c>
      <c r="W59" s="622"/>
      <c r="X59" s="622">
        <f t="shared" si="52"/>
        <v>3402793.7276601344</v>
      </c>
      <c r="Y59" s="622"/>
      <c r="Z59" s="316" t="s">
        <v>1382</v>
      </c>
      <c r="AA59" s="622"/>
      <c r="AB59" s="622">
        <v>0</v>
      </c>
      <c r="AC59" s="622"/>
      <c r="AD59" s="627">
        <v>345202.57447777025</v>
      </c>
      <c r="AE59" s="622"/>
      <c r="AF59" s="622">
        <v>0</v>
      </c>
      <c r="AG59" s="622"/>
      <c r="AH59" s="316" t="s">
        <v>1357</v>
      </c>
      <c r="AI59" s="622"/>
      <c r="AJ59" s="315">
        <f t="shared" si="42"/>
        <v>0</v>
      </c>
      <c r="AK59" s="622"/>
      <c r="AL59" s="315">
        <f t="shared" si="43"/>
        <v>3057591.1531823641</v>
      </c>
      <c r="AM59" s="622"/>
      <c r="AN59" s="315">
        <f t="shared" si="44"/>
        <v>0</v>
      </c>
      <c r="AO59" s="622"/>
      <c r="AP59" s="622">
        <f t="shared" si="45"/>
        <v>3057591.1531823641</v>
      </c>
      <c r="AR59" s="622">
        <v>0</v>
      </c>
      <c r="AS59" s="622"/>
      <c r="AT59" s="627">
        <v>96499.300075823892</v>
      </c>
      <c r="AU59" s="622"/>
      <c r="AV59" s="622">
        <v>0</v>
      </c>
      <c r="AW59" s="622"/>
      <c r="AX59" s="315">
        <f t="shared" si="46"/>
        <v>0</v>
      </c>
      <c r="AY59" s="622"/>
      <c r="AZ59" s="315">
        <f t="shared" si="47"/>
        <v>2961091.8531065402</v>
      </c>
      <c r="BA59" s="622"/>
      <c r="BB59" s="315">
        <f t="shared" si="48"/>
        <v>0</v>
      </c>
      <c r="BC59" s="622"/>
      <c r="BD59" s="622">
        <f t="shared" si="49"/>
        <v>2961091.8531065402</v>
      </c>
      <c r="BF59" s="622">
        <f t="shared" si="50"/>
        <v>4111691.0219152025</v>
      </c>
      <c r="BI59" s="304">
        <f t="shared" si="40"/>
        <v>325</v>
      </c>
    </row>
    <row r="60" spans="1:61" ht="14.5">
      <c r="A60" s="304">
        <f t="shared" si="41"/>
        <v>326</v>
      </c>
      <c r="B60" s="626" t="s">
        <v>1407</v>
      </c>
      <c r="F60" s="630" t="s">
        <v>1354</v>
      </c>
      <c r="H60" s="627">
        <v>-144745762.01680672</v>
      </c>
      <c r="J60" s="627">
        <v>4478433.8767999997</v>
      </c>
      <c r="K60" s="622"/>
      <c r="L60" s="627">
        <v>2686481.6133693438</v>
      </c>
      <c r="M60" s="622"/>
      <c r="N60" s="627">
        <v>1791373.7774865497</v>
      </c>
      <c r="P60" s="632" t="s">
        <v>1355</v>
      </c>
      <c r="R60" s="622">
        <v>0</v>
      </c>
      <c r="S60" s="622"/>
      <c r="T60" s="622">
        <f t="shared" si="51"/>
        <v>1791373.7774865497</v>
      </c>
      <c r="U60" s="622"/>
      <c r="V60" s="622">
        <v>0</v>
      </c>
      <c r="W60" s="622"/>
      <c r="X60" s="622">
        <f t="shared" si="52"/>
        <v>1791373.7774865497</v>
      </c>
      <c r="Y60" s="622"/>
      <c r="Z60" s="316" t="s">
        <v>1382</v>
      </c>
      <c r="AA60" s="622"/>
      <c r="AB60" s="622">
        <v>0</v>
      </c>
      <c r="AC60" s="622"/>
      <c r="AD60" s="627">
        <v>181729.15825419337</v>
      </c>
      <c r="AE60" s="622"/>
      <c r="AF60" s="622">
        <v>0</v>
      </c>
      <c r="AG60" s="622"/>
      <c r="AH60" s="316" t="s">
        <v>1357</v>
      </c>
      <c r="AI60" s="622"/>
      <c r="AJ60" s="315">
        <f t="shared" si="42"/>
        <v>0</v>
      </c>
      <c r="AK60" s="622"/>
      <c r="AL60" s="315">
        <f t="shared" si="43"/>
        <v>1609644.6192323563</v>
      </c>
      <c r="AM60" s="622"/>
      <c r="AN60" s="315">
        <f t="shared" si="44"/>
        <v>0</v>
      </c>
      <c r="AO60" s="622"/>
      <c r="AP60" s="622">
        <f t="shared" si="45"/>
        <v>1609644.6192323563</v>
      </c>
      <c r="AR60" s="622">
        <v>0</v>
      </c>
      <c r="AS60" s="622"/>
      <c r="AT60" s="627">
        <v>50801.291390796381</v>
      </c>
      <c r="AU60" s="622"/>
      <c r="AV60" s="622">
        <v>0</v>
      </c>
      <c r="AW60" s="622"/>
      <c r="AX60" s="315">
        <f t="shared" si="46"/>
        <v>0</v>
      </c>
      <c r="AY60" s="622"/>
      <c r="AZ60" s="315">
        <f t="shared" si="47"/>
        <v>1558843.3278415599</v>
      </c>
      <c r="BA60" s="622"/>
      <c r="BB60" s="315">
        <f t="shared" si="48"/>
        <v>0</v>
      </c>
      <c r="BC60" s="622"/>
      <c r="BD60" s="622">
        <f t="shared" si="49"/>
        <v>1558843.3278415599</v>
      </c>
      <c r="BF60" s="622">
        <f t="shared" si="50"/>
        <v>2164567.1372653446</v>
      </c>
      <c r="BI60" s="304">
        <f t="shared" si="40"/>
        <v>326</v>
      </c>
    </row>
    <row r="61" spans="1:61" ht="14.5">
      <c r="A61" s="304">
        <f t="shared" si="41"/>
        <v>327</v>
      </c>
      <c r="B61" s="626" t="s">
        <v>1408</v>
      </c>
      <c r="F61" s="630" t="s">
        <v>1354</v>
      </c>
      <c r="H61" s="627">
        <v>-141115490.96315449</v>
      </c>
      <c r="J61" s="627">
        <v>4366113.2904000003</v>
      </c>
      <c r="K61" s="622"/>
      <c r="L61" s="627">
        <v>2619103.5449277442</v>
      </c>
      <c r="M61" s="622"/>
      <c r="N61" s="627">
        <v>1746445.7617024286</v>
      </c>
      <c r="P61" s="632" t="s">
        <v>1355</v>
      </c>
      <c r="R61" s="622">
        <v>0</v>
      </c>
      <c r="S61" s="622"/>
      <c r="T61" s="622">
        <f t="shared" si="51"/>
        <v>1746445.7617024286</v>
      </c>
      <c r="U61" s="622"/>
      <c r="V61" s="622">
        <v>0</v>
      </c>
      <c r="W61" s="622"/>
      <c r="X61" s="622">
        <f t="shared" si="52"/>
        <v>1746445.7617024286</v>
      </c>
      <c r="Y61" s="622"/>
      <c r="Z61" s="316" t="s">
        <v>1382</v>
      </c>
      <c r="AA61" s="622"/>
      <c r="AB61" s="622">
        <v>0</v>
      </c>
      <c r="AC61" s="622"/>
      <c r="AD61" s="627">
        <v>177171.35429775991</v>
      </c>
      <c r="AE61" s="622"/>
      <c r="AF61" s="622">
        <v>0</v>
      </c>
      <c r="AG61" s="622"/>
      <c r="AH61" s="316" t="s">
        <v>1357</v>
      </c>
      <c r="AI61" s="622"/>
      <c r="AJ61" s="315">
        <f t="shared" si="42"/>
        <v>0</v>
      </c>
      <c r="AK61" s="622"/>
      <c r="AL61" s="315">
        <f t="shared" si="43"/>
        <v>1569274.4074046686</v>
      </c>
      <c r="AM61" s="622"/>
      <c r="AN61" s="315">
        <f t="shared" si="44"/>
        <v>0</v>
      </c>
      <c r="AO61" s="622"/>
      <c r="AP61" s="622">
        <f t="shared" si="45"/>
        <v>1569274.4074046686</v>
      </c>
      <c r="AR61" s="622">
        <v>0</v>
      </c>
      <c r="AS61" s="622"/>
      <c r="AT61" s="627">
        <v>49527.184752559311</v>
      </c>
      <c r="AU61" s="622"/>
      <c r="AV61" s="622">
        <v>0</v>
      </c>
      <c r="AW61" s="622"/>
      <c r="AX61" s="315">
        <f t="shared" si="46"/>
        <v>0</v>
      </c>
      <c r="AY61" s="622"/>
      <c r="AZ61" s="315">
        <f t="shared" si="47"/>
        <v>1519747.2226521093</v>
      </c>
      <c r="BA61" s="622"/>
      <c r="BB61" s="315">
        <f t="shared" si="48"/>
        <v>0</v>
      </c>
      <c r="BC61" s="622"/>
      <c r="BD61" s="622">
        <f t="shared" si="49"/>
        <v>1519747.2226521093</v>
      </c>
      <c r="BF61" s="622">
        <f t="shared" si="50"/>
        <v>2110279.3567188992</v>
      </c>
      <c r="BI61" s="304">
        <f t="shared" si="40"/>
        <v>327</v>
      </c>
    </row>
    <row r="62" spans="1:61" ht="14.5">
      <c r="A62" s="304">
        <f t="shared" si="41"/>
        <v>328</v>
      </c>
      <c r="B62" s="626" t="s">
        <v>1409</v>
      </c>
      <c r="F62" s="630" t="s">
        <v>1354</v>
      </c>
      <c r="H62" s="627">
        <v>-3968619.5216548159</v>
      </c>
      <c r="J62" s="627">
        <v>122789.088</v>
      </c>
      <c r="K62" s="622"/>
      <c r="L62" s="627">
        <v>74088.701864447998</v>
      </c>
      <c r="M62" s="622"/>
      <c r="N62" s="627">
        <v>48700.386135551998</v>
      </c>
      <c r="P62" s="632" t="s">
        <v>1355</v>
      </c>
      <c r="R62" s="622">
        <v>0</v>
      </c>
      <c r="S62" s="622"/>
      <c r="T62" s="622">
        <f t="shared" si="51"/>
        <v>48700.386135551998</v>
      </c>
      <c r="U62" s="622"/>
      <c r="V62" s="622">
        <v>0</v>
      </c>
      <c r="W62" s="622"/>
      <c r="X62" s="622">
        <f t="shared" si="52"/>
        <v>48700.386135551998</v>
      </c>
      <c r="Y62" s="622"/>
      <c r="Z62" s="316" t="s">
        <v>1382</v>
      </c>
      <c r="AA62" s="622"/>
      <c r="AB62" s="622">
        <v>0</v>
      </c>
      <c r="AC62" s="622"/>
      <c r="AD62" s="627">
        <v>4940.4989010644967</v>
      </c>
      <c r="AE62" s="622"/>
      <c r="AF62" s="622">
        <v>0</v>
      </c>
      <c r="AG62" s="622"/>
      <c r="AH62" s="316" t="s">
        <v>1357</v>
      </c>
      <c r="AI62" s="622"/>
      <c r="AJ62" s="315">
        <f t="shared" si="42"/>
        <v>0</v>
      </c>
      <c r="AK62" s="622"/>
      <c r="AL62" s="315">
        <f t="shared" si="43"/>
        <v>43759.887234487498</v>
      </c>
      <c r="AM62" s="622"/>
      <c r="AN62" s="315">
        <f t="shared" si="44"/>
        <v>0</v>
      </c>
      <c r="AO62" s="622"/>
      <c r="AP62" s="622">
        <f t="shared" si="45"/>
        <v>43759.887234487498</v>
      </c>
      <c r="AR62" s="622">
        <v>0</v>
      </c>
      <c r="AS62" s="622"/>
      <c r="AT62" s="627">
        <v>1381.0867045222524</v>
      </c>
      <c r="AU62" s="622"/>
      <c r="AV62" s="622">
        <v>0</v>
      </c>
      <c r="AW62" s="622"/>
      <c r="AX62" s="315">
        <f t="shared" si="46"/>
        <v>0</v>
      </c>
      <c r="AY62" s="622"/>
      <c r="AZ62" s="315">
        <f t="shared" si="47"/>
        <v>42378.800529965243</v>
      </c>
      <c r="BA62" s="622"/>
      <c r="BB62" s="315">
        <f t="shared" si="48"/>
        <v>0</v>
      </c>
      <c r="BC62" s="622"/>
      <c r="BD62" s="622">
        <f t="shared" si="49"/>
        <v>42378.800529965243</v>
      </c>
      <c r="BF62" s="622">
        <f t="shared" si="50"/>
        <v>58846.041359975279</v>
      </c>
      <c r="BI62" s="304">
        <f t="shared" si="40"/>
        <v>328</v>
      </c>
    </row>
    <row r="63" spans="1:61" ht="14.5">
      <c r="A63" s="304">
        <f t="shared" si="41"/>
        <v>329</v>
      </c>
      <c r="B63" s="626" t="s">
        <v>1410</v>
      </c>
      <c r="F63" s="630" t="s">
        <v>1354</v>
      </c>
      <c r="H63" s="627">
        <v>-880.87912087912093</v>
      </c>
      <c r="J63" s="627">
        <v>27.2544</v>
      </c>
      <c r="K63" s="622"/>
      <c r="L63" s="627">
        <v>16.506803712</v>
      </c>
      <c r="M63" s="622"/>
      <c r="N63" s="627">
        <v>10.747596287999999</v>
      </c>
      <c r="P63" s="632" t="s">
        <v>1355</v>
      </c>
      <c r="R63" s="622">
        <v>0</v>
      </c>
      <c r="S63" s="622"/>
      <c r="T63" s="622">
        <f t="shared" si="51"/>
        <v>10.747596287999999</v>
      </c>
      <c r="U63" s="622"/>
      <c r="V63" s="622">
        <v>0</v>
      </c>
      <c r="W63" s="622"/>
      <c r="X63" s="622">
        <f t="shared" si="52"/>
        <v>10.747596287999999</v>
      </c>
      <c r="Y63" s="622"/>
      <c r="Z63" s="316" t="s">
        <v>1382</v>
      </c>
      <c r="AA63" s="622"/>
      <c r="AB63" s="622">
        <v>0</v>
      </c>
      <c r="AC63" s="622"/>
      <c r="AD63" s="627">
        <v>1.0903093766475536</v>
      </c>
      <c r="AE63" s="622"/>
      <c r="AF63" s="622">
        <v>0</v>
      </c>
      <c r="AG63" s="622"/>
      <c r="AH63" s="316" t="s">
        <v>1357</v>
      </c>
      <c r="AI63" s="622"/>
      <c r="AJ63" s="315">
        <f t="shared" si="42"/>
        <v>0</v>
      </c>
      <c r="AK63" s="622"/>
      <c r="AL63" s="315">
        <f t="shared" si="43"/>
        <v>9.6572869113524451</v>
      </c>
      <c r="AM63" s="622"/>
      <c r="AN63" s="315">
        <f t="shared" si="44"/>
        <v>0</v>
      </c>
      <c r="AO63" s="622"/>
      <c r="AP63" s="622">
        <f t="shared" si="45"/>
        <v>9.6572869113524451</v>
      </c>
      <c r="AR63" s="622">
        <v>0</v>
      </c>
      <c r="AS63" s="622"/>
      <c r="AT63" s="627">
        <v>0.30478941784187696</v>
      </c>
      <c r="AU63" s="622"/>
      <c r="AV63" s="622">
        <v>0</v>
      </c>
      <c r="AW63" s="622"/>
      <c r="AX63" s="315">
        <f t="shared" si="46"/>
        <v>0</v>
      </c>
      <c r="AY63" s="622"/>
      <c r="AZ63" s="315">
        <f t="shared" si="47"/>
        <v>9.3524974935105689</v>
      </c>
      <c r="BA63" s="622"/>
      <c r="BB63" s="315">
        <f t="shared" si="48"/>
        <v>0</v>
      </c>
      <c r="BC63" s="622"/>
      <c r="BD63" s="622">
        <f t="shared" si="49"/>
        <v>9.3524974935105689</v>
      </c>
      <c r="BF63" s="622">
        <f t="shared" si="50"/>
        <v>12.986621788246245</v>
      </c>
      <c r="BI63" s="304">
        <f t="shared" si="40"/>
        <v>329</v>
      </c>
    </row>
    <row r="64" spans="1:61" ht="14.5">
      <c r="A64" s="304">
        <f t="shared" si="41"/>
        <v>330</v>
      </c>
      <c r="B64" s="626" t="s">
        <v>1411</v>
      </c>
      <c r="F64" s="630" t="s">
        <v>1354</v>
      </c>
      <c r="H64" s="627">
        <v>15589528.118939884</v>
      </c>
      <c r="J64" s="627">
        <v>-482340</v>
      </c>
      <c r="K64" s="622"/>
      <c r="L64" s="627">
        <v>-289341.62112000003</v>
      </c>
      <c r="M64" s="622"/>
      <c r="N64" s="627">
        <v>-192935.65226813068</v>
      </c>
      <c r="P64" s="632" t="s">
        <v>1355</v>
      </c>
      <c r="R64" s="622">
        <v>0</v>
      </c>
      <c r="S64" s="622"/>
      <c r="T64" s="622">
        <f t="shared" si="51"/>
        <v>-192935.65226813068</v>
      </c>
      <c r="U64" s="622"/>
      <c r="V64" s="622">
        <v>0</v>
      </c>
      <c r="W64" s="622"/>
      <c r="X64" s="622">
        <f t="shared" si="52"/>
        <v>-192935.65226813068</v>
      </c>
      <c r="Y64" s="622"/>
      <c r="Z64" s="316" t="s">
        <v>1382</v>
      </c>
      <c r="AA64" s="622"/>
      <c r="AB64" s="622">
        <v>0</v>
      </c>
      <c r="AC64" s="622"/>
      <c r="AD64" s="627">
        <v>-19572.706782113433</v>
      </c>
      <c r="AE64" s="622"/>
      <c r="AF64" s="622">
        <v>0</v>
      </c>
      <c r="AG64" s="622"/>
      <c r="AH64" s="316" t="s">
        <v>1357</v>
      </c>
      <c r="AI64" s="622"/>
      <c r="AJ64" s="315">
        <f t="shared" si="42"/>
        <v>0</v>
      </c>
      <c r="AK64" s="622"/>
      <c r="AL64" s="315">
        <f t="shared" si="43"/>
        <v>-173362.94548601724</v>
      </c>
      <c r="AM64" s="622"/>
      <c r="AN64" s="315">
        <f t="shared" si="44"/>
        <v>0</v>
      </c>
      <c r="AO64" s="622"/>
      <c r="AP64" s="622">
        <f t="shared" si="45"/>
        <v>-173362.94548601724</v>
      </c>
      <c r="AR64" s="622">
        <v>0</v>
      </c>
      <c r="AS64" s="622"/>
      <c r="AT64" s="627">
        <v>-5471.4322681996864</v>
      </c>
      <c r="AU64" s="622"/>
      <c r="AV64" s="622">
        <v>0</v>
      </c>
      <c r="AW64" s="622"/>
      <c r="AX64" s="315">
        <f t="shared" si="46"/>
        <v>0</v>
      </c>
      <c r="AY64" s="622"/>
      <c r="AZ64" s="315">
        <f t="shared" si="47"/>
        <v>-167891.51321781756</v>
      </c>
      <c r="BA64" s="622"/>
      <c r="BB64" s="315">
        <f t="shared" si="48"/>
        <v>0</v>
      </c>
      <c r="BC64" s="622"/>
      <c r="BD64" s="622">
        <f t="shared" si="49"/>
        <v>-167891.51321781756</v>
      </c>
      <c r="BF64" s="622">
        <f t="shared" si="50"/>
        <v>-233129.55551487932</v>
      </c>
      <c r="BI64" s="304">
        <f t="shared" si="40"/>
        <v>330</v>
      </c>
    </row>
    <row r="65" spans="1:61" ht="14.5">
      <c r="A65" s="304">
        <f t="shared" si="41"/>
        <v>331</v>
      </c>
      <c r="B65" s="626" t="s">
        <v>1412</v>
      </c>
      <c r="F65" s="630" t="s">
        <v>1354</v>
      </c>
      <c r="H65" s="627">
        <v>-14443083.387201035</v>
      </c>
      <c r="J65" s="627">
        <v>446869</v>
      </c>
      <c r="K65" s="622"/>
      <c r="L65" s="627">
        <v>268063.47200000001</v>
      </c>
      <c r="M65" s="622"/>
      <c r="N65" s="627">
        <v>178747.69686545752</v>
      </c>
      <c r="P65" s="632" t="s">
        <v>1355</v>
      </c>
      <c r="R65" s="622">
        <v>0</v>
      </c>
      <c r="S65" s="622"/>
      <c r="T65" s="622">
        <f t="shared" si="51"/>
        <v>178747.69686545752</v>
      </c>
      <c r="U65" s="622"/>
      <c r="V65" s="622">
        <v>0</v>
      </c>
      <c r="W65" s="622"/>
      <c r="X65" s="622">
        <f t="shared" si="52"/>
        <v>178747.69686545752</v>
      </c>
      <c r="Y65" s="622"/>
      <c r="Z65" s="316" t="s">
        <v>1382</v>
      </c>
      <c r="AA65" s="622"/>
      <c r="AB65" s="622">
        <v>0</v>
      </c>
      <c r="AC65" s="622"/>
      <c r="AD65" s="627">
        <v>18133.383942246091</v>
      </c>
      <c r="AE65" s="622"/>
      <c r="AF65" s="622">
        <v>0</v>
      </c>
      <c r="AG65" s="622"/>
      <c r="AH65" s="316" t="s">
        <v>1357</v>
      </c>
      <c r="AI65" s="622"/>
      <c r="AJ65" s="315">
        <f t="shared" si="42"/>
        <v>0</v>
      </c>
      <c r="AK65" s="622"/>
      <c r="AL65" s="315">
        <f t="shared" si="43"/>
        <v>160614.31292321143</v>
      </c>
      <c r="AM65" s="622"/>
      <c r="AN65" s="315">
        <f t="shared" si="44"/>
        <v>0</v>
      </c>
      <c r="AO65" s="622"/>
      <c r="AP65" s="622">
        <f t="shared" si="45"/>
        <v>160614.31292321143</v>
      </c>
      <c r="AR65" s="622">
        <v>0</v>
      </c>
      <c r="AS65" s="622"/>
      <c r="AT65" s="627">
        <v>5069.0782392922629</v>
      </c>
      <c r="AU65" s="622"/>
      <c r="AV65" s="622">
        <v>0</v>
      </c>
      <c r="AW65" s="622"/>
      <c r="AX65" s="315">
        <f t="shared" si="46"/>
        <v>0</v>
      </c>
      <c r="AY65" s="622"/>
      <c r="AZ65" s="315">
        <f t="shared" si="47"/>
        <v>155545.23468391917</v>
      </c>
      <c r="BA65" s="622"/>
      <c r="BB65" s="315">
        <f t="shared" si="48"/>
        <v>0</v>
      </c>
      <c r="BC65" s="622"/>
      <c r="BD65" s="622">
        <f t="shared" si="49"/>
        <v>155545.23468391917</v>
      </c>
      <c r="BF65" s="622">
        <f t="shared" si="50"/>
        <v>215985.85139484779</v>
      </c>
      <c r="BI65" s="304">
        <f t="shared" si="40"/>
        <v>331</v>
      </c>
    </row>
    <row r="66" spans="1:61" ht="14.5">
      <c r="A66" s="304">
        <f t="shared" si="41"/>
        <v>332</v>
      </c>
      <c r="B66" s="626" t="s">
        <v>1413</v>
      </c>
      <c r="F66" s="630" t="s">
        <v>1354</v>
      </c>
      <c r="H66" s="627">
        <v>-886600032.32062054</v>
      </c>
      <c r="J66" s="627">
        <v>27431405</v>
      </c>
      <c r="K66" s="622"/>
      <c r="L66" s="627">
        <v>16458843.48416</v>
      </c>
      <c r="M66" s="622"/>
      <c r="N66" s="627">
        <v>10969014.385444462</v>
      </c>
      <c r="P66" s="632" t="s">
        <v>1355</v>
      </c>
      <c r="R66" s="622">
        <v>0</v>
      </c>
      <c r="S66" s="622"/>
      <c r="T66" s="622">
        <f t="shared" si="51"/>
        <v>10969014.385444462</v>
      </c>
      <c r="U66" s="622"/>
      <c r="V66" s="622">
        <v>0</v>
      </c>
      <c r="W66" s="622"/>
      <c r="X66" s="622">
        <f t="shared" si="52"/>
        <v>10969014.385444462</v>
      </c>
      <c r="Y66" s="622"/>
      <c r="Z66" s="316" t="s">
        <v>1382</v>
      </c>
      <c r="AA66" s="622"/>
      <c r="AB66" s="622">
        <v>0</v>
      </c>
      <c r="AC66" s="622"/>
      <c r="AD66" s="627">
        <v>1112771.5366816728</v>
      </c>
      <c r="AE66" s="622"/>
      <c r="AF66" s="622">
        <v>0</v>
      </c>
      <c r="AG66" s="622"/>
      <c r="AH66" s="316" t="s">
        <v>1357</v>
      </c>
      <c r="AI66" s="622"/>
      <c r="AJ66" s="315">
        <f t="shared" si="42"/>
        <v>0</v>
      </c>
      <c r="AK66" s="622"/>
      <c r="AL66" s="315">
        <f t="shared" si="43"/>
        <v>9856242.8487627897</v>
      </c>
      <c r="AM66" s="622"/>
      <c r="AN66" s="315">
        <f t="shared" si="44"/>
        <v>0</v>
      </c>
      <c r="AO66" s="622"/>
      <c r="AP66" s="622">
        <f t="shared" si="45"/>
        <v>9856242.8487627897</v>
      </c>
      <c r="AR66" s="622">
        <v>0</v>
      </c>
      <c r="AS66" s="622"/>
      <c r="AT66" s="627">
        <v>311068.57935961132</v>
      </c>
      <c r="AU66" s="622"/>
      <c r="AV66" s="622">
        <v>0</v>
      </c>
      <c r="AW66" s="622"/>
      <c r="AX66" s="315">
        <f t="shared" si="46"/>
        <v>0</v>
      </c>
      <c r="AY66" s="622"/>
      <c r="AZ66" s="315">
        <f t="shared" si="47"/>
        <v>9545174.2694031782</v>
      </c>
      <c r="BA66" s="622"/>
      <c r="BB66" s="315">
        <f t="shared" si="48"/>
        <v>0</v>
      </c>
      <c r="BC66" s="622"/>
      <c r="BD66" s="622">
        <f t="shared" si="49"/>
        <v>9545174.2694031782</v>
      </c>
      <c r="BF66" s="622">
        <f t="shared" si="50"/>
        <v>13254167.480467195</v>
      </c>
      <c r="BI66" s="304">
        <f t="shared" si="40"/>
        <v>332</v>
      </c>
    </row>
    <row r="67" spans="1:61" ht="14.5">
      <c r="A67" s="304">
        <f t="shared" si="41"/>
        <v>333</v>
      </c>
      <c r="B67" s="626" t="s">
        <v>1414</v>
      </c>
      <c r="F67" s="630" t="s">
        <v>1354</v>
      </c>
      <c r="H67" s="627">
        <v>1286820103.4259858</v>
      </c>
      <c r="J67" s="627">
        <v>-39814214</v>
      </c>
      <c r="K67" s="622"/>
      <c r="L67" s="627">
        <v>-23929738.219519999</v>
      </c>
      <c r="M67" s="622"/>
      <c r="N67" s="627">
        <v>-15879318.904024091</v>
      </c>
      <c r="P67" s="632" t="s">
        <v>1355</v>
      </c>
      <c r="R67" s="622">
        <f>+N67</f>
        <v>-15879318.904024091</v>
      </c>
      <c r="S67" s="622"/>
      <c r="T67" s="622"/>
      <c r="U67" s="622"/>
      <c r="V67" s="622">
        <v>0</v>
      </c>
      <c r="W67" s="622"/>
      <c r="X67" s="622">
        <f t="shared" si="52"/>
        <v>-15879318.904024091</v>
      </c>
      <c r="Y67" s="622"/>
      <c r="Z67" s="316" t="s">
        <v>1356</v>
      </c>
      <c r="AA67" s="622"/>
      <c r="AB67" s="627">
        <v>-5032959.4709967058</v>
      </c>
      <c r="AC67" s="622"/>
      <c r="AD67" s="622">
        <v>0</v>
      </c>
      <c r="AE67" s="622"/>
      <c r="AF67" s="622">
        <v>0</v>
      </c>
      <c r="AG67" s="622"/>
      <c r="AH67" s="316" t="s">
        <v>1357</v>
      </c>
      <c r="AI67" s="622"/>
      <c r="AJ67" s="315">
        <f t="shared" si="42"/>
        <v>-10846359.433027385</v>
      </c>
      <c r="AK67" s="622"/>
      <c r="AL67" s="315">
        <f t="shared" si="43"/>
        <v>0</v>
      </c>
      <c r="AM67" s="622"/>
      <c r="AN67" s="315">
        <f t="shared" si="44"/>
        <v>0</v>
      </c>
      <c r="AO67" s="622"/>
      <c r="AP67" s="622">
        <f t="shared" si="45"/>
        <v>-10846359.433027385</v>
      </c>
      <c r="AR67" s="627">
        <v>-1537745.3264169826</v>
      </c>
      <c r="AS67" s="622"/>
      <c r="AT67" s="622"/>
      <c r="AU67" s="622"/>
      <c r="AV67" s="622">
        <v>0</v>
      </c>
      <c r="AW67" s="622"/>
      <c r="AX67" s="315">
        <f t="shared" si="46"/>
        <v>-9308614.1066104025</v>
      </c>
      <c r="AY67" s="622"/>
      <c r="AZ67" s="315">
        <f t="shared" si="47"/>
        <v>0</v>
      </c>
      <c r="BA67" s="622"/>
      <c r="BB67" s="315">
        <f t="shared" si="48"/>
        <v>0</v>
      </c>
      <c r="BC67" s="622"/>
      <c r="BD67" s="622">
        <f t="shared" si="49"/>
        <v>-9308614.1066104025</v>
      </c>
      <c r="BF67" s="622">
        <f t="shared" si="50"/>
        <v>-12925686.519473899</v>
      </c>
      <c r="BI67" s="304">
        <f t="shared" si="40"/>
        <v>333</v>
      </c>
    </row>
    <row r="68" spans="1:61" ht="14.5">
      <c r="A68" s="304">
        <f t="shared" si="41"/>
        <v>334</v>
      </c>
      <c r="B68" s="626" t="s">
        <v>1415</v>
      </c>
      <c r="F68" s="630" t="s">
        <v>1354</v>
      </c>
      <c r="H68" s="627">
        <v>-1894440.8532643828</v>
      </c>
      <c r="J68" s="627">
        <v>58614</v>
      </c>
      <c r="K68" s="622"/>
      <c r="L68" s="627">
        <v>35160.973440000002</v>
      </c>
      <c r="M68" s="622"/>
      <c r="N68" s="627">
        <v>23445</v>
      </c>
      <c r="P68" s="632" t="s">
        <v>1355</v>
      </c>
      <c r="R68" s="622">
        <v>0</v>
      </c>
      <c r="S68" s="622"/>
      <c r="T68" s="622">
        <f t="shared" si="51"/>
        <v>23445</v>
      </c>
      <c r="U68" s="622"/>
      <c r="V68" s="622">
        <v>0</v>
      </c>
      <c r="W68" s="622"/>
      <c r="X68" s="622">
        <f t="shared" si="52"/>
        <v>23445</v>
      </c>
      <c r="Y68" s="622"/>
      <c r="Z68" s="316" t="s">
        <v>1382</v>
      </c>
      <c r="AA68" s="622"/>
      <c r="AB68" s="622">
        <v>0</v>
      </c>
      <c r="AC68" s="622"/>
      <c r="AD68" s="627">
        <v>2378.4204998510172</v>
      </c>
      <c r="AE68" s="622"/>
      <c r="AF68" s="622">
        <v>0</v>
      </c>
      <c r="AG68" s="622"/>
      <c r="AH68" s="316" t="s">
        <v>1357</v>
      </c>
      <c r="AI68" s="622"/>
      <c r="AJ68" s="315">
        <f t="shared" si="42"/>
        <v>0</v>
      </c>
      <c r="AK68" s="622"/>
      <c r="AL68" s="315">
        <f t="shared" si="43"/>
        <v>21066.579500148982</v>
      </c>
      <c r="AM68" s="622"/>
      <c r="AN68" s="315">
        <f t="shared" si="44"/>
        <v>0</v>
      </c>
      <c r="AO68" s="622"/>
      <c r="AP68" s="622">
        <f t="shared" si="45"/>
        <v>21066.579500148982</v>
      </c>
      <c r="AR68" s="622">
        <v>0</v>
      </c>
      <c r="AS68" s="622"/>
      <c r="AT68" s="627">
        <v>664.87312230747659</v>
      </c>
      <c r="AU68" s="622"/>
      <c r="AV68" s="622">
        <v>0</v>
      </c>
      <c r="AW68" s="622"/>
      <c r="AX68" s="315">
        <f t="shared" si="46"/>
        <v>0</v>
      </c>
      <c r="AY68" s="622"/>
      <c r="AZ68" s="315">
        <f t="shared" si="47"/>
        <v>20401.706377841507</v>
      </c>
      <c r="BA68" s="622"/>
      <c r="BB68" s="315">
        <f t="shared" si="48"/>
        <v>0</v>
      </c>
      <c r="BC68" s="622"/>
      <c r="BD68" s="622">
        <f t="shared" si="49"/>
        <v>20401.706377841507</v>
      </c>
      <c r="BF68" s="622">
        <f t="shared" si="50"/>
        <v>28329.25052882608</v>
      </c>
      <c r="BI68" s="304">
        <f t="shared" si="40"/>
        <v>334</v>
      </c>
    </row>
    <row r="69" spans="1:61" ht="14.5">
      <c r="A69" s="304">
        <f t="shared" si="41"/>
        <v>335</v>
      </c>
      <c r="B69" s="626" t="s">
        <v>1416</v>
      </c>
      <c r="F69" s="630" t="s">
        <v>1354</v>
      </c>
      <c r="H69" s="627">
        <v>-9917200.7756948937</v>
      </c>
      <c r="J69" s="627">
        <v>306838.19199999998</v>
      </c>
      <c r="K69" s="622"/>
      <c r="L69" s="627">
        <v>185140.45328640001</v>
      </c>
      <c r="M69" s="622"/>
      <c r="N69" s="627">
        <v>121673.12137318996</v>
      </c>
      <c r="P69" s="632" t="s">
        <v>1355</v>
      </c>
      <c r="R69" s="622">
        <v>0</v>
      </c>
      <c r="S69" s="622"/>
      <c r="T69" s="622">
        <f t="shared" si="51"/>
        <v>121673.12137318996</v>
      </c>
      <c r="U69" s="622"/>
      <c r="V69" s="622">
        <v>0</v>
      </c>
      <c r="W69" s="622"/>
      <c r="X69" s="622">
        <f t="shared" si="52"/>
        <v>121673.12137318996</v>
      </c>
      <c r="Y69" s="622"/>
      <c r="Z69" s="316" t="s">
        <v>1382</v>
      </c>
      <c r="AA69" s="622"/>
      <c r="AB69" s="622">
        <v>0</v>
      </c>
      <c r="AC69" s="622"/>
      <c r="AD69" s="627">
        <v>12343.350230533419</v>
      </c>
      <c r="AE69" s="622"/>
      <c r="AF69" s="622">
        <v>0</v>
      </c>
      <c r="AG69" s="622"/>
      <c r="AH69" s="316" t="s">
        <v>1357</v>
      </c>
      <c r="AI69" s="622"/>
      <c r="AJ69" s="315">
        <f t="shared" si="42"/>
        <v>0</v>
      </c>
      <c r="AK69" s="622"/>
      <c r="AL69" s="315">
        <f t="shared" si="43"/>
        <v>109329.77114265654</v>
      </c>
      <c r="AM69" s="622"/>
      <c r="AN69" s="315">
        <f t="shared" si="44"/>
        <v>0</v>
      </c>
      <c r="AO69" s="622"/>
      <c r="AP69" s="622">
        <f t="shared" si="45"/>
        <v>109329.77114265654</v>
      </c>
      <c r="AR69" s="622">
        <v>0</v>
      </c>
      <c r="AS69" s="622"/>
      <c r="AT69" s="627">
        <v>3450.5091963441837</v>
      </c>
      <c r="AU69" s="622"/>
      <c r="AV69" s="622">
        <v>0</v>
      </c>
      <c r="AW69" s="622"/>
      <c r="AX69" s="315">
        <f t="shared" si="46"/>
        <v>0</v>
      </c>
      <c r="AY69" s="622"/>
      <c r="AZ69" s="315">
        <f t="shared" si="47"/>
        <v>105879.26194631236</v>
      </c>
      <c r="BA69" s="622"/>
      <c r="BB69" s="315">
        <f t="shared" si="48"/>
        <v>0</v>
      </c>
      <c r="BC69" s="622"/>
      <c r="BD69" s="622">
        <f t="shared" si="49"/>
        <v>105879.26194631236</v>
      </c>
      <c r="BF69" s="622">
        <f t="shared" si="50"/>
        <v>147021.04235467524</v>
      </c>
      <c r="BI69" s="304">
        <f t="shared" si="40"/>
        <v>335</v>
      </c>
    </row>
    <row r="70" spans="1:61" ht="14.5">
      <c r="A70" s="304">
        <f t="shared" si="41"/>
        <v>336</v>
      </c>
      <c r="B70" s="626" t="s">
        <v>1417</v>
      </c>
      <c r="F70" s="630" t="s">
        <v>1354</v>
      </c>
      <c r="H70" s="627">
        <v>3811317.8539107954</v>
      </c>
      <c r="J70" s="627">
        <v>-117922.1744</v>
      </c>
      <c r="K70" s="622"/>
      <c r="L70" s="627">
        <v>-71151.934237184003</v>
      </c>
      <c r="M70" s="622"/>
      <c r="N70" s="627">
        <v>-46771.162561949262</v>
      </c>
      <c r="P70" s="632" t="s">
        <v>1355</v>
      </c>
      <c r="R70" s="622">
        <v>0</v>
      </c>
      <c r="S70" s="622"/>
      <c r="T70" s="622">
        <f t="shared" si="51"/>
        <v>-46771.162561949262</v>
      </c>
      <c r="U70" s="622"/>
      <c r="V70" s="622">
        <v>0</v>
      </c>
      <c r="W70" s="622"/>
      <c r="X70" s="622">
        <f t="shared" si="52"/>
        <v>-46771.162561949262</v>
      </c>
      <c r="Y70" s="622"/>
      <c r="Z70" s="316" t="s">
        <v>1382</v>
      </c>
      <c r="AA70" s="622"/>
      <c r="AB70" s="622">
        <v>0</v>
      </c>
      <c r="AC70" s="622"/>
      <c r="AD70" s="627">
        <v>-4744.7853205034999</v>
      </c>
      <c r="AE70" s="622"/>
      <c r="AF70" s="622">
        <v>0</v>
      </c>
      <c r="AG70" s="622"/>
      <c r="AH70" s="316" t="s">
        <v>1357</v>
      </c>
      <c r="AI70" s="622"/>
      <c r="AJ70" s="315">
        <f t="shared" si="42"/>
        <v>0</v>
      </c>
      <c r="AK70" s="622"/>
      <c r="AL70" s="315">
        <f t="shared" si="43"/>
        <v>-42026.377241445764</v>
      </c>
      <c r="AM70" s="622"/>
      <c r="AN70" s="315">
        <f t="shared" si="44"/>
        <v>0</v>
      </c>
      <c r="AO70" s="622"/>
      <c r="AP70" s="622">
        <f t="shared" si="45"/>
        <v>-42026.377241445764</v>
      </c>
      <c r="AR70" s="622">
        <v>0</v>
      </c>
      <c r="AS70" s="622"/>
      <c r="AT70" s="627">
        <v>-1326.3761521225747</v>
      </c>
      <c r="AU70" s="622"/>
      <c r="AV70" s="622">
        <v>0</v>
      </c>
      <c r="AW70" s="622"/>
      <c r="AX70" s="315">
        <f t="shared" si="46"/>
        <v>0</v>
      </c>
      <c r="AY70" s="622"/>
      <c r="AZ70" s="315">
        <f t="shared" si="47"/>
        <v>-40700.001089323188</v>
      </c>
      <c r="BA70" s="622"/>
      <c r="BB70" s="315">
        <f t="shared" si="48"/>
        <v>0</v>
      </c>
      <c r="BC70" s="622"/>
      <c r="BD70" s="622">
        <f t="shared" si="49"/>
        <v>-40700.001089323188</v>
      </c>
      <c r="BF70" s="622">
        <f t="shared" si="50"/>
        <v>-56514.906450923932</v>
      </c>
      <c r="BI70" s="304">
        <f t="shared" si="40"/>
        <v>336</v>
      </c>
    </row>
    <row r="71" spans="1:61" ht="14.5">
      <c r="A71" s="304">
        <f t="shared" si="41"/>
        <v>337</v>
      </c>
      <c r="B71" s="626" t="s">
        <v>1418</v>
      </c>
      <c r="F71" s="630" t="s">
        <v>1354</v>
      </c>
      <c r="H71" s="627">
        <v>82548642.301228195</v>
      </c>
      <c r="J71" s="627">
        <v>-2554054.9928000001</v>
      </c>
      <c r="K71" s="622"/>
      <c r="L71" s="627">
        <v>-1541067.8169226239</v>
      </c>
      <c r="M71" s="622"/>
      <c r="N71" s="627">
        <v>-1012669.8247086008</v>
      </c>
      <c r="P71" s="632" t="s">
        <v>1355</v>
      </c>
      <c r="R71" s="622">
        <v>0</v>
      </c>
      <c r="S71" s="622"/>
      <c r="T71" s="622">
        <f t="shared" si="51"/>
        <v>-1012669.8247086008</v>
      </c>
      <c r="U71" s="622"/>
      <c r="V71" s="622">
        <v>0</v>
      </c>
      <c r="W71" s="622"/>
      <c r="X71" s="622">
        <f t="shared" si="52"/>
        <v>-1012669.8247086008</v>
      </c>
      <c r="Y71" s="622"/>
      <c r="Z71" s="316" t="s">
        <v>1382</v>
      </c>
      <c r="AA71" s="622"/>
      <c r="AB71" s="622">
        <v>0</v>
      </c>
      <c r="AC71" s="622"/>
      <c r="AD71" s="627">
        <v>-102732.12500181158</v>
      </c>
      <c r="AE71" s="622"/>
      <c r="AF71" s="622">
        <v>0</v>
      </c>
      <c r="AG71" s="622"/>
      <c r="AH71" s="316" t="s">
        <v>1357</v>
      </c>
      <c r="AI71" s="622"/>
      <c r="AJ71" s="315">
        <f t="shared" si="42"/>
        <v>0</v>
      </c>
      <c r="AK71" s="622"/>
      <c r="AL71" s="315">
        <f t="shared" si="43"/>
        <v>-909937.69970678922</v>
      </c>
      <c r="AM71" s="622"/>
      <c r="AN71" s="315">
        <f t="shared" si="44"/>
        <v>0</v>
      </c>
      <c r="AO71" s="622"/>
      <c r="AP71" s="622">
        <f t="shared" si="45"/>
        <v>-909937.69970678922</v>
      </c>
      <c r="AR71" s="622">
        <v>0</v>
      </c>
      <c r="AS71" s="622"/>
      <c r="AT71" s="627">
        <v>-28718.146650482937</v>
      </c>
      <c r="AU71" s="622"/>
      <c r="AV71" s="622">
        <v>0</v>
      </c>
      <c r="AW71" s="622"/>
      <c r="AX71" s="315">
        <f t="shared" si="46"/>
        <v>0</v>
      </c>
      <c r="AY71" s="622"/>
      <c r="AZ71" s="315">
        <f t="shared" si="47"/>
        <v>-881219.55305630632</v>
      </c>
      <c r="BA71" s="622"/>
      <c r="BB71" s="315">
        <f t="shared" si="48"/>
        <v>0</v>
      </c>
      <c r="BC71" s="622"/>
      <c r="BD71" s="622">
        <f t="shared" si="49"/>
        <v>-881219.55305630632</v>
      </c>
      <c r="BF71" s="622">
        <f t="shared" si="50"/>
        <v>-1223637.3285200403</v>
      </c>
      <c r="BI71" s="304">
        <f t="shared" si="40"/>
        <v>337</v>
      </c>
    </row>
    <row r="72" spans="1:61" ht="14.5">
      <c r="A72" s="304">
        <f t="shared" si="41"/>
        <v>338</v>
      </c>
      <c r="B72" s="626" t="s">
        <v>1419</v>
      </c>
      <c r="F72" s="630" t="s">
        <v>1354</v>
      </c>
      <c r="H72" s="627">
        <v>-206829414.58306399</v>
      </c>
      <c r="J72" s="627">
        <v>6399302.0872</v>
      </c>
      <c r="K72" s="622"/>
      <c r="L72" s="627">
        <v>3859009.5899391999</v>
      </c>
      <c r="M72" s="622"/>
      <c r="N72" s="627">
        <v>2539444.1115617389</v>
      </c>
      <c r="P72" s="632" t="s">
        <v>1355</v>
      </c>
      <c r="R72" s="622">
        <v>0</v>
      </c>
      <c r="S72" s="622"/>
      <c r="T72" s="622">
        <f t="shared" si="51"/>
        <v>2539444.1115617389</v>
      </c>
      <c r="U72" s="622"/>
      <c r="V72" s="622">
        <v>0</v>
      </c>
      <c r="W72" s="622"/>
      <c r="X72" s="622">
        <f t="shared" si="52"/>
        <v>2539444.1115617389</v>
      </c>
      <c r="Y72" s="622"/>
      <c r="Z72" s="316" t="s">
        <v>1382</v>
      </c>
      <c r="AA72" s="622"/>
      <c r="AB72" s="622">
        <v>0</v>
      </c>
      <c r="AC72" s="622"/>
      <c r="AD72" s="627">
        <v>257618.50855894189</v>
      </c>
      <c r="AE72" s="622"/>
      <c r="AF72" s="622">
        <v>0</v>
      </c>
      <c r="AG72" s="622"/>
      <c r="AH72" s="316" t="s">
        <v>1357</v>
      </c>
      <c r="AI72" s="622"/>
      <c r="AJ72" s="315">
        <f t="shared" si="42"/>
        <v>0</v>
      </c>
      <c r="AK72" s="622"/>
      <c r="AL72" s="315">
        <f t="shared" si="43"/>
        <v>2281825.6030027969</v>
      </c>
      <c r="AM72" s="622"/>
      <c r="AN72" s="315">
        <f t="shared" si="44"/>
        <v>0</v>
      </c>
      <c r="AO72" s="622"/>
      <c r="AP72" s="622">
        <f t="shared" si="45"/>
        <v>2281825.6030027969</v>
      </c>
      <c r="AR72" s="622">
        <v>0</v>
      </c>
      <c r="AS72" s="622"/>
      <c r="AT72" s="627">
        <v>72015.702084853459</v>
      </c>
      <c r="AU72" s="622"/>
      <c r="AV72" s="622">
        <v>0</v>
      </c>
      <c r="AW72" s="622"/>
      <c r="AX72" s="315">
        <f t="shared" si="46"/>
        <v>0</v>
      </c>
      <c r="AY72" s="622"/>
      <c r="AZ72" s="315">
        <f t="shared" si="47"/>
        <v>2209809.9009179436</v>
      </c>
      <c r="BA72" s="622"/>
      <c r="BB72" s="315">
        <f t="shared" si="48"/>
        <v>0</v>
      </c>
      <c r="BC72" s="622"/>
      <c r="BD72" s="622">
        <f t="shared" si="49"/>
        <v>2209809.9009179436</v>
      </c>
      <c r="BF72" s="622">
        <f t="shared" si="50"/>
        <v>3068481.4860475441</v>
      </c>
      <c r="BI72" s="304">
        <f t="shared" si="40"/>
        <v>338</v>
      </c>
    </row>
    <row r="73" spans="1:61" ht="14.5">
      <c r="A73" s="304">
        <f t="shared" si="41"/>
        <v>339</v>
      </c>
      <c r="B73" s="626" t="s">
        <v>1420</v>
      </c>
      <c r="F73" s="630" t="s">
        <v>1354</v>
      </c>
      <c r="H73" s="627">
        <v>2780935.7983193276</v>
      </c>
      <c r="J73" s="627">
        <v>-86042.153599999991</v>
      </c>
      <c r="K73" s="622"/>
      <c r="L73" s="627">
        <v>-52236.797545984009</v>
      </c>
      <c r="M73" s="622"/>
      <c r="N73" s="627">
        <v>-33825.769305745198</v>
      </c>
      <c r="P73" s="632" t="s">
        <v>1355</v>
      </c>
      <c r="R73" s="622">
        <v>0</v>
      </c>
      <c r="S73" s="622"/>
      <c r="T73" s="622">
        <f t="shared" si="51"/>
        <v>-33825.769305745198</v>
      </c>
      <c r="U73" s="622"/>
      <c r="V73" s="622">
        <v>0</v>
      </c>
      <c r="W73" s="622"/>
      <c r="X73" s="622">
        <f t="shared" si="52"/>
        <v>-33825.769305745198</v>
      </c>
      <c r="Y73" s="622"/>
      <c r="Z73" s="316" t="s">
        <v>1382</v>
      </c>
      <c r="AA73" s="622"/>
      <c r="AB73" s="622">
        <v>0</v>
      </c>
      <c r="AC73" s="622"/>
      <c r="AD73" s="627">
        <v>-3431.5164487104157</v>
      </c>
      <c r="AE73" s="622"/>
      <c r="AF73" s="622">
        <v>0</v>
      </c>
      <c r="AG73" s="622"/>
      <c r="AH73" s="316" t="s">
        <v>1357</v>
      </c>
      <c r="AI73" s="622"/>
      <c r="AJ73" s="315">
        <f t="shared" si="42"/>
        <v>0</v>
      </c>
      <c r="AK73" s="622"/>
      <c r="AL73" s="315">
        <f t="shared" si="43"/>
        <v>-30394.252857034782</v>
      </c>
      <c r="AM73" s="622"/>
      <c r="AN73" s="315">
        <f t="shared" si="44"/>
        <v>0</v>
      </c>
      <c r="AO73" s="622"/>
      <c r="AP73" s="622">
        <f t="shared" si="45"/>
        <v>-30394.252857034782</v>
      </c>
      <c r="AR73" s="622">
        <v>0</v>
      </c>
      <c r="AS73" s="622"/>
      <c r="AT73" s="627">
        <v>-959.25975059770599</v>
      </c>
      <c r="AU73" s="622"/>
      <c r="AV73" s="622">
        <v>0</v>
      </c>
      <c r="AW73" s="622"/>
      <c r="AX73" s="315">
        <f t="shared" si="46"/>
        <v>0</v>
      </c>
      <c r="AY73" s="622"/>
      <c r="AZ73" s="315">
        <f t="shared" si="47"/>
        <v>-29434.993106437076</v>
      </c>
      <c r="BA73" s="622"/>
      <c r="BB73" s="315">
        <f t="shared" si="48"/>
        <v>0</v>
      </c>
      <c r="BC73" s="622"/>
      <c r="BD73" s="622">
        <f t="shared" si="49"/>
        <v>-29434.993106437076</v>
      </c>
      <c r="BF73" s="622">
        <f t="shared" si="50"/>
        <v>-40872.624994358332</v>
      </c>
      <c r="BI73" s="304">
        <f t="shared" si="40"/>
        <v>339</v>
      </c>
    </row>
    <row r="74" spans="1:61" ht="14.5">
      <c r="A74" s="304">
        <f t="shared" si="41"/>
        <v>340</v>
      </c>
      <c r="B74" s="626" t="s">
        <v>1421</v>
      </c>
      <c r="F74" s="630" t="s">
        <v>1354</v>
      </c>
      <c r="H74" s="627">
        <v>20214246.877828054</v>
      </c>
      <c r="J74" s="627">
        <v>-625428.79839999997</v>
      </c>
      <c r="K74" s="622"/>
      <c r="L74" s="627">
        <v>-375176.48781004804</v>
      </c>
      <c r="M74" s="622"/>
      <c r="N74" s="627">
        <v>-250183.84381963813</v>
      </c>
      <c r="P74" s="632" t="s">
        <v>1355</v>
      </c>
      <c r="R74" s="622">
        <v>0</v>
      </c>
      <c r="S74" s="622"/>
      <c r="T74" s="622">
        <f t="shared" si="51"/>
        <v>-250183.84381963813</v>
      </c>
      <c r="U74" s="622"/>
      <c r="V74" s="622">
        <v>0</v>
      </c>
      <c r="W74" s="622"/>
      <c r="X74" s="622">
        <f t="shared" si="52"/>
        <v>-250183.84381963813</v>
      </c>
      <c r="Y74" s="622"/>
      <c r="Z74" s="316" t="s">
        <v>1382</v>
      </c>
      <c r="AA74" s="622"/>
      <c r="AB74" s="622">
        <v>0</v>
      </c>
      <c r="AC74" s="622"/>
      <c r="AD74" s="627">
        <v>-25380.353289492537</v>
      </c>
      <c r="AE74" s="622"/>
      <c r="AF74" s="622">
        <v>0</v>
      </c>
      <c r="AG74" s="622"/>
      <c r="AH74" s="316" t="s">
        <v>1357</v>
      </c>
      <c r="AI74" s="622"/>
      <c r="AJ74" s="315">
        <f t="shared" si="42"/>
        <v>0</v>
      </c>
      <c r="AK74" s="622"/>
      <c r="AL74" s="315">
        <f t="shared" si="43"/>
        <v>-224803.49053014559</v>
      </c>
      <c r="AM74" s="622"/>
      <c r="AN74" s="315">
        <f t="shared" si="44"/>
        <v>0</v>
      </c>
      <c r="AO74" s="622"/>
      <c r="AP74" s="622">
        <f t="shared" si="45"/>
        <v>-224803.49053014559</v>
      </c>
      <c r="AR74" s="622">
        <v>0</v>
      </c>
      <c r="AS74" s="622"/>
      <c r="AT74" s="627">
        <v>-7094.9248620707567</v>
      </c>
      <c r="AU74" s="622"/>
      <c r="AV74" s="622">
        <v>0</v>
      </c>
      <c r="AW74" s="622"/>
      <c r="AX74" s="315">
        <f t="shared" si="46"/>
        <v>0</v>
      </c>
      <c r="AY74" s="622"/>
      <c r="AZ74" s="315">
        <f t="shared" si="47"/>
        <v>-217708.56566807482</v>
      </c>
      <c r="BA74" s="622"/>
      <c r="BB74" s="315">
        <f t="shared" si="48"/>
        <v>0</v>
      </c>
      <c r="BC74" s="622"/>
      <c r="BD74" s="622">
        <f t="shared" si="49"/>
        <v>-217708.56566807482</v>
      </c>
      <c r="BF74" s="622">
        <f t="shared" si="50"/>
        <v>-302304.14970489335</v>
      </c>
      <c r="BI74" s="304">
        <f t="shared" si="40"/>
        <v>340</v>
      </c>
    </row>
    <row r="75" spans="1:61" ht="14.5">
      <c r="A75" s="304">
        <f t="shared" si="41"/>
        <v>341</v>
      </c>
      <c r="B75" s="626" t="s">
        <v>1422</v>
      </c>
      <c r="F75" s="630" t="s">
        <v>1354</v>
      </c>
      <c r="H75" s="627">
        <v>-1683355106.5287654</v>
      </c>
      <c r="J75" s="627">
        <v>52083006.995999999</v>
      </c>
      <c r="K75" s="622"/>
      <c r="L75" s="627">
        <v>32797969.86714112</v>
      </c>
      <c r="M75" s="622"/>
      <c r="N75" s="627">
        <v>19278002.225408651</v>
      </c>
      <c r="P75" s="632" t="s">
        <v>1355</v>
      </c>
      <c r="R75" s="622">
        <v>0</v>
      </c>
      <c r="S75" s="622"/>
      <c r="T75" s="622">
        <f t="shared" si="51"/>
        <v>19278002.225408651</v>
      </c>
      <c r="U75" s="622"/>
      <c r="V75" s="622">
        <v>0</v>
      </c>
      <c r="W75" s="622"/>
      <c r="X75" s="622">
        <f t="shared" si="52"/>
        <v>19278002.225408651</v>
      </c>
      <c r="Y75" s="622"/>
      <c r="Z75" s="316" t="s">
        <v>1382</v>
      </c>
      <c r="AA75" s="622"/>
      <c r="AB75" s="622">
        <v>0</v>
      </c>
      <c r="AC75" s="622"/>
      <c r="AD75" s="627">
        <v>1955691.8613386848</v>
      </c>
      <c r="AE75" s="622"/>
      <c r="AF75" s="622">
        <v>0</v>
      </c>
      <c r="AG75" s="622"/>
      <c r="AH75" s="316" t="s">
        <v>1357</v>
      </c>
      <c r="AI75" s="622"/>
      <c r="AJ75" s="315">
        <f t="shared" si="42"/>
        <v>0</v>
      </c>
      <c r="AK75" s="622"/>
      <c r="AL75" s="315">
        <f t="shared" si="43"/>
        <v>17322310.364069965</v>
      </c>
      <c r="AM75" s="622"/>
      <c r="AN75" s="315">
        <f t="shared" si="44"/>
        <v>0</v>
      </c>
      <c r="AO75" s="622"/>
      <c r="AP75" s="622">
        <f t="shared" si="45"/>
        <v>17322310.364069965</v>
      </c>
      <c r="AR75" s="622">
        <v>0</v>
      </c>
      <c r="AS75" s="622"/>
      <c r="AT75" s="627">
        <v>546701.87807455461</v>
      </c>
      <c r="AU75" s="622"/>
      <c r="AV75" s="622">
        <v>0</v>
      </c>
      <c r="AW75" s="622"/>
      <c r="AX75" s="315">
        <f t="shared" si="46"/>
        <v>0</v>
      </c>
      <c r="AY75" s="622"/>
      <c r="AZ75" s="315">
        <f t="shared" si="47"/>
        <v>16775608.48599541</v>
      </c>
      <c r="BA75" s="622"/>
      <c r="BB75" s="315">
        <f t="shared" si="48"/>
        <v>0</v>
      </c>
      <c r="BC75" s="622"/>
      <c r="BD75" s="622">
        <f t="shared" si="49"/>
        <v>16775608.48599541</v>
      </c>
      <c r="BF75" s="622">
        <f t="shared" si="50"/>
        <v>23294150.340749342</v>
      </c>
      <c r="BI75" s="304">
        <f t="shared" si="40"/>
        <v>341</v>
      </c>
    </row>
    <row r="76" spans="1:61" ht="14.5">
      <c r="A76" s="304">
        <f t="shared" si="41"/>
        <v>342</v>
      </c>
      <c r="B76" s="626" t="s">
        <v>1423</v>
      </c>
      <c r="F76" s="630" t="s">
        <v>1354</v>
      </c>
      <c r="H76" s="627">
        <v>-80030.458952811881</v>
      </c>
      <c r="J76" s="627">
        <v>2476.1423999999997</v>
      </c>
      <c r="K76" s="622"/>
      <c r="L76" s="627">
        <v>1485.4561182719999</v>
      </c>
      <c r="M76" s="622"/>
      <c r="N76" s="627">
        <v>990.68628172799993</v>
      </c>
      <c r="P76" s="632" t="s">
        <v>1355</v>
      </c>
      <c r="R76" s="622">
        <v>0</v>
      </c>
      <c r="S76" s="622"/>
      <c r="T76" s="622">
        <f t="shared" si="51"/>
        <v>990.68628172799993</v>
      </c>
      <c r="U76" s="622"/>
      <c r="V76" s="622">
        <v>0</v>
      </c>
      <c r="W76" s="622"/>
      <c r="X76" s="622">
        <f t="shared" si="52"/>
        <v>990.68628172799993</v>
      </c>
      <c r="Y76" s="622"/>
      <c r="Z76" s="316" t="s">
        <v>1382</v>
      </c>
      <c r="AA76" s="622"/>
      <c r="AB76" s="622">
        <v>0</v>
      </c>
      <c r="AC76" s="622"/>
      <c r="AD76" s="627">
        <v>100.5019646569868</v>
      </c>
      <c r="AE76" s="622"/>
      <c r="AF76" s="622">
        <v>0</v>
      </c>
      <c r="AG76" s="622"/>
      <c r="AH76" s="316" t="s">
        <v>1357</v>
      </c>
      <c r="AI76" s="622"/>
      <c r="AJ76" s="315">
        <f t="shared" si="42"/>
        <v>0</v>
      </c>
      <c r="AK76" s="622"/>
      <c r="AL76" s="315">
        <f t="shared" si="43"/>
        <v>890.18431707101308</v>
      </c>
      <c r="AM76" s="622"/>
      <c r="AN76" s="315">
        <f t="shared" si="44"/>
        <v>0</v>
      </c>
      <c r="AO76" s="622"/>
      <c r="AP76" s="622">
        <f t="shared" si="45"/>
        <v>890.18431707101308</v>
      </c>
      <c r="AR76" s="622">
        <v>0</v>
      </c>
      <c r="AS76" s="622"/>
      <c r="AT76" s="627">
        <v>28.094718761342708</v>
      </c>
      <c r="AU76" s="622"/>
      <c r="AV76" s="622">
        <v>0</v>
      </c>
      <c r="AW76" s="622"/>
      <c r="AX76" s="315">
        <f t="shared" si="46"/>
        <v>0</v>
      </c>
      <c r="AY76" s="622"/>
      <c r="AZ76" s="315">
        <f t="shared" si="47"/>
        <v>862.08959830967035</v>
      </c>
      <c r="BA76" s="622"/>
      <c r="BB76" s="315">
        <f t="shared" si="48"/>
        <v>0</v>
      </c>
      <c r="BC76" s="622"/>
      <c r="BD76" s="622">
        <f t="shared" si="49"/>
        <v>862.08959830967035</v>
      </c>
      <c r="BF76" s="622">
        <f t="shared" si="50"/>
        <v>1197.0739974640085</v>
      </c>
      <c r="BI76" s="304">
        <f t="shared" si="40"/>
        <v>342</v>
      </c>
    </row>
    <row r="77" spans="1:61" ht="14.5">
      <c r="A77" s="304">
        <f t="shared" si="41"/>
        <v>343</v>
      </c>
      <c r="B77" s="626" t="s">
        <v>1424</v>
      </c>
      <c r="F77" s="630" t="s">
        <v>1354</v>
      </c>
      <c r="H77" s="627">
        <v>-101522526.36069812</v>
      </c>
      <c r="J77" s="627">
        <v>3141106.9655999998</v>
      </c>
      <c r="K77" s="622"/>
      <c r="L77" s="627">
        <v>33370.798588416001</v>
      </c>
      <c r="M77" s="622"/>
      <c r="N77" s="627">
        <v>3107736.1670115842</v>
      </c>
      <c r="P77" s="632" t="s">
        <v>1355</v>
      </c>
      <c r="R77" s="622">
        <v>0</v>
      </c>
      <c r="S77" s="622"/>
      <c r="T77" s="622">
        <f t="shared" si="51"/>
        <v>3107736.1670115842</v>
      </c>
      <c r="U77" s="622"/>
      <c r="V77" s="622">
        <v>0</v>
      </c>
      <c r="W77" s="622"/>
      <c r="X77" s="622">
        <f t="shared" si="52"/>
        <v>3107736.1670115842</v>
      </c>
      <c r="Y77" s="622"/>
      <c r="Z77" s="316" t="s">
        <v>1382</v>
      </c>
      <c r="AA77" s="622"/>
      <c r="AB77" s="622">
        <v>0</v>
      </c>
      <c r="AC77" s="622"/>
      <c r="AD77" s="627">
        <v>315269.92568772769</v>
      </c>
      <c r="AE77" s="622"/>
      <c r="AF77" s="622">
        <v>0</v>
      </c>
      <c r="AG77" s="622"/>
      <c r="AH77" s="316" t="s">
        <v>1357</v>
      </c>
      <c r="AI77" s="622"/>
      <c r="AJ77" s="315">
        <f t="shared" si="42"/>
        <v>0</v>
      </c>
      <c r="AK77" s="622"/>
      <c r="AL77" s="315">
        <f t="shared" si="43"/>
        <v>2792466.2413238566</v>
      </c>
      <c r="AM77" s="622"/>
      <c r="AN77" s="315">
        <f t="shared" si="44"/>
        <v>0</v>
      </c>
      <c r="AO77" s="622"/>
      <c r="AP77" s="622">
        <f t="shared" si="45"/>
        <v>2792466.2413238566</v>
      </c>
      <c r="AR77" s="622">
        <v>0</v>
      </c>
      <c r="AS77" s="622"/>
      <c r="AT77" s="627">
        <v>88131.808431173456</v>
      </c>
      <c r="AU77" s="622"/>
      <c r="AV77" s="622">
        <v>0</v>
      </c>
      <c r="AW77" s="622"/>
      <c r="AX77" s="315">
        <f t="shared" si="46"/>
        <v>0</v>
      </c>
      <c r="AY77" s="622"/>
      <c r="AZ77" s="315">
        <f t="shared" si="47"/>
        <v>2704334.432892683</v>
      </c>
      <c r="BA77" s="622"/>
      <c r="BB77" s="315">
        <f t="shared" si="48"/>
        <v>0</v>
      </c>
      <c r="BC77" s="622"/>
      <c r="BD77" s="622">
        <f t="shared" si="49"/>
        <v>2704334.432892683</v>
      </c>
      <c r="BF77" s="622">
        <f t="shared" si="50"/>
        <v>3755164.7026131307</v>
      </c>
      <c r="BI77" s="304">
        <f t="shared" si="40"/>
        <v>343</v>
      </c>
    </row>
    <row r="78" spans="1:61" ht="14.5">
      <c r="A78" s="304">
        <f t="shared" si="41"/>
        <v>344</v>
      </c>
      <c r="B78" s="626" t="s">
        <v>1425</v>
      </c>
      <c r="F78" s="630" t="s">
        <v>1354</v>
      </c>
      <c r="H78" s="627">
        <v>-316188914.02714932</v>
      </c>
      <c r="J78" s="627">
        <v>9782885</v>
      </c>
      <c r="K78" s="622"/>
      <c r="L78" s="627">
        <v>5862332.2937600007</v>
      </c>
      <c r="M78" s="622"/>
      <c r="N78" s="627">
        <v>3919288.6145502506</v>
      </c>
      <c r="P78" s="632" t="s">
        <v>1355</v>
      </c>
      <c r="R78" s="622">
        <v>0</v>
      </c>
      <c r="S78" s="622"/>
      <c r="T78" s="622">
        <f t="shared" si="51"/>
        <v>3919288.6145502506</v>
      </c>
      <c r="U78" s="622"/>
      <c r="V78" s="622">
        <v>0</v>
      </c>
      <c r="W78" s="622"/>
      <c r="X78" s="622">
        <f t="shared" si="52"/>
        <v>3919288.6145502506</v>
      </c>
      <c r="Y78" s="622"/>
      <c r="Z78" s="316" t="s">
        <v>1382</v>
      </c>
      <c r="AA78" s="622"/>
      <c r="AB78" s="622">
        <v>0</v>
      </c>
      <c r="AC78" s="622"/>
      <c r="AD78" s="627">
        <v>397599.33400209033</v>
      </c>
      <c r="AE78" s="622"/>
      <c r="AF78" s="622">
        <v>0</v>
      </c>
      <c r="AG78" s="622"/>
      <c r="AH78" s="316" t="s">
        <v>1357</v>
      </c>
      <c r="AI78" s="622"/>
      <c r="AJ78" s="315">
        <f t="shared" si="42"/>
        <v>0</v>
      </c>
      <c r="AK78" s="622"/>
      <c r="AL78" s="315">
        <f t="shared" si="43"/>
        <v>3521689.2805481604</v>
      </c>
      <c r="AM78" s="622"/>
      <c r="AN78" s="315">
        <f t="shared" si="44"/>
        <v>0</v>
      </c>
      <c r="AO78" s="622"/>
      <c r="AP78" s="622">
        <f t="shared" si="45"/>
        <v>3521689.2805481604</v>
      </c>
      <c r="AR78" s="622">
        <v>0</v>
      </c>
      <c r="AS78" s="622"/>
      <c r="AT78" s="627">
        <v>111146.49854468627</v>
      </c>
      <c r="AU78" s="622"/>
      <c r="AV78" s="622">
        <v>0</v>
      </c>
      <c r="AW78" s="622"/>
      <c r="AX78" s="315">
        <f t="shared" si="46"/>
        <v>0</v>
      </c>
      <c r="AY78" s="622"/>
      <c r="AZ78" s="315">
        <f t="shared" si="47"/>
        <v>3410542.782003474</v>
      </c>
      <c r="BA78" s="622"/>
      <c r="BB78" s="315">
        <f t="shared" si="48"/>
        <v>0</v>
      </c>
      <c r="BC78" s="622"/>
      <c r="BD78" s="622">
        <f t="shared" si="49"/>
        <v>3410542.782003474</v>
      </c>
      <c r="BF78" s="622">
        <f t="shared" si="50"/>
        <v>4735786.2681326391</v>
      </c>
      <c r="BI78" s="304">
        <f t="shared" si="40"/>
        <v>344</v>
      </c>
    </row>
    <row r="79" spans="1:61" ht="14.5">
      <c r="A79" s="304">
        <f t="shared" si="41"/>
        <v>345</v>
      </c>
      <c r="B79" s="626" t="s">
        <v>1426</v>
      </c>
      <c r="F79" s="630" t="s">
        <v>1354</v>
      </c>
      <c r="H79" s="627">
        <v>-705076955.39754367</v>
      </c>
      <c r="J79" s="627">
        <v>21815081</v>
      </c>
      <c r="K79" s="622"/>
      <c r="L79" s="627">
        <v>13093466.90752</v>
      </c>
      <c r="M79" s="622"/>
      <c r="N79" s="627">
        <v>8718792.3050656114</v>
      </c>
      <c r="P79" s="632" t="s">
        <v>1355</v>
      </c>
      <c r="R79" s="622">
        <v>0</v>
      </c>
      <c r="S79" s="622"/>
      <c r="T79" s="622">
        <f t="shared" si="51"/>
        <v>8718792.3050656114</v>
      </c>
      <c r="U79" s="622"/>
      <c r="V79" s="622">
        <v>0</v>
      </c>
      <c r="W79" s="622"/>
      <c r="X79" s="622">
        <f t="shared" si="52"/>
        <v>8718792.3050656114</v>
      </c>
      <c r="Y79" s="622"/>
      <c r="Z79" s="316" t="s">
        <v>1382</v>
      </c>
      <c r="AA79" s="622"/>
      <c r="AB79" s="622">
        <v>0</v>
      </c>
      <c r="AC79" s="622"/>
      <c r="AD79" s="627">
        <v>884493.6810540139</v>
      </c>
      <c r="AE79" s="622"/>
      <c r="AF79" s="622">
        <v>0</v>
      </c>
      <c r="AG79" s="622"/>
      <c r="AH79" s="316" t="s">
        <v>1357</v>
      </c>
      <c r="AI79" s="622"/>
      <c r="AJ79" s="315">
        <f t="shared" si="42"/>
        <v>0</v>
      </c>
      <c r="AK79" s="622"/>
      <c r="AL79" s="315">
        <f t="shared" si="43"/>
        <v>7834298.6240115976</v>
      </c>
      <c r="AM79" s="622"/>
      <c r="AN79" s="315">
        <f t="shared" si="44"/>
        <v>0</v>
      </c>
      <c r="AO79" s="622"/>
      <c r="AP79" s="622">
        <f t="shared" si="45"/>
        <v>7834298.6240115976</v>
      </c>
      <c r="AR79" s="622">
        <v>0</v>
      </c>
      <c r="AS79" s="622"/>
      <c r="AT79" s="627">
        <v>247254.88004347941</v>
      </c>
      <c r="AU79" s="622"/>
      <c r="AV79" s="622">
        <v>0</v>
      </c>
      <c r="AW79" s="622"/>
      <c r="AX79" s="315">
        <f t="shared" si="46"/>
        <v>0</v>
      </c>
      <c r="AY79" s="622"/>
      <c r="AZ79" s="315">
        <f t="shared" si="47"/>
        <v>7587043.743968118</v>
      </c>
      <c r="BA79" s="622"/>
      <c r="BB79" s="315">
        <f t="shared" si="48"/>
        <v>0</v>
      </c>
      <c r="BC79" s="622"/>
      <c r="BD79" s="622">
        <f t="shared" si="49"/>
        <v>7587043.743968118</v>
      </c>
      <c r="BF79" s="622">
        <f t="shared" si="50"/>
        <v>10535161.079931956</v>
      </c>
      <c r="BI79" s="304">
        <f t="shared" si="40"/>
        <v>345</v>
      </c>
    </row>
    <row r="80" spans="1:61" ht="14.5">
      <c r="A80" s="304">
        <f t="shared" si="41"/>
        <v>346</v>
      </c>
      <c r="B80" s="626" t="s">
        <v>1427</v>
      </c>
      <c r="F80" s="630" t="s">
        <v>1354</v>
      </c>
      <c r="H80" s="627">
        <v>396525958.06076276</v>
      </c>
      <c r="J80" s="627">
        <v>-12268513.1424</v>
      </c>
      <c r="K80" s="622"/>
      <c r="L80" s="627">
        <v>-7359521.8983582715</v>
      </c>
      <c r="M80" s="622"/>
      <c r="N80" s="627">
        <v>-4907405.0094369473</v>
      </c>
      <c r="P80" s="632" t="s">
        <v>1355</v>
      </c>
      <c r="R80" s="622">
        <v>0</v>
      </c>
      <c r="S80" s="622"/>
      <c r="T80" s="622">
        <f t="shared" si="51"/>
        <v>-4907405.0094369473</v>
      </c>
      <c r="U80" s="622"/>
      <c r="V80" s="622">
        <v>0</v>
      </c>
      <c r="W80" s="622"/>
      <c r="X80" s="622">
        <f t="shared" si="52"/>
        <v>-4907405.0094369473</v>
      </c>
      <c r="Y80" s="622"/>
      <c r="Z80" s="316" t="s">
        <v>1382</v>
      </c>
      <c r="AA80" s="622"/>
      <c r="AB80" s="622">
        <v>0</v>
      </c>
      <c r="AC80" s="622"/>
      <c r="AD80" s="627">
        <v>-497840.5918326471</v>
      </c>
      <c r="AE80" s="622"/>
      <c r="AF80" s="622">
        <v>0</v>
      </c>
      <c r="AG80" s="622"/>
      <c r="AH80" s="316" t="s">
        <v>1357</v>
      </c>
      <c r="AI80" s="622"/>
      <c r="AJ80" s="315">
        <f t="shared" si="42"/>
        <v>0</v>
      </c>
      <c r="AK80" s="622"/>
      <c r="AL80" s="315">
        <f t="shared" si="43"/>
        <v>-4409564.4176043002</v>
      </c>
      <c r="AM80" s="622"/>
      <c r="AN80" s="315">
        <f t="shared" si="44"/>
        <v>0</v>
      </c>
      <c r="AO80" s="622"/>
      <c r="AP80" s="622">
        <f t="shared" si="45"/>
        <v>-4409564.4176043002</v>
      </c>
      <c r="AR80" s="622">
        <v>0</v>
      </c>
      <c r="AS80" s="622"/>
      <c r="AT80" s="627">
        <v>-139168.33828328835</v>
      </c>
      <c r="AU80" s="622"/>
      <c r="AV80" s="622">
        <v>0</v>
      </c>
      <c r="AW80" s="622"/>
      <c r="AX80" s="315">
        <f t="shared" si="46"/>
        <v>0</v>
      </c>
      <c r="AY80" s="622"/>
      <c r="AZ80" s="315">
        <f t="shared" si="47"/>
        <v>-4270396.0793210119</v>
      </c>
      <c r="BA80" s="622"/>
      <c r="BB80" s="315">
        <f t="shared" si="48"/>
        <v>0</v>
      </c>
      <c r="BC80" s="622"/>
      <c r="BD80" s="622">
        <f t="shared" si="49"/>
        <v>-4270396.0793210119</v>
      </c>
      <c r="BF80" s="622">
        <f t="shared" si="50"/>
        <v>-5929754.9993071184</v>
      </c>
      <c r="BI80" s="304">
        <f t="shared" si="40"/>
        <v>346</v>
      </c>
    </row>
    <row r="81" spans="1:61" ht="14.5">
      <c r="A81" s="304">
        <f t="shared" si="41"/>
        <v>347</v>
      </c>
      <c r="B81" s="626" t="s">
        <v>1428</v>
      </c>
      <c r="F81" s="630" t="s">
        <v>1354</v>
      </c>
      <c r="H81" s="627">
        <v>-818712863.60698128</v>
      </c>
      <c r="J81" s="627">
        <v>25330976</v>
      </c>
      <c r="K81" s="622"/>
      <c r="L81" s="627">
        <v>15195310.978560001</v>
      </c>
      <c r="M81" s="622"/>
      <c r="N81" s="627">
        <v>10132390.552993109</v>
      </c>
      <c r="P81" s="632" t="s">
        <v>1355</v>
      </c>
      <c r="R81" s="622">
        <v>0</v>
      </c>
      <c r="S81" s="622"/>
      <c r="T81" s="622">
        <f t="shared" si="51"/>
        <v>10132390.552993109</v>
      </c>
      <c r="U81" s="622"/>
      <c r="V81" s="622">
        <v>0</v>
      </c>
      <c r="W81" s="622"/>
      <c r="X81" s="622">
        <f t="shared" si="52"/>
        <v>10132390.552993109</v>
      </c>
      <c r="Y81" s="622"/>
      <c r="Z81" s="316" t="s">
        <v>1382</v>
      </c>
      <c r="AA81" s="622"/>
      <c r="AB81" s="622">
        <v>0</v>
      </c>
      <c r="AC81" s="622"/>
      <c r="AD81" s="627">
        <v>1027898.7163035017</v>
      </c>
      <c r="AE81" s="622"/>
      <c r="AF81" s="622">
        <v>0</v>
      </c>
      <c r="AG81" s="622"/>
      <c r="AH81" s="316" t="s">
        <v>1357</v>
      </c>
      <c r="AI81" s="622"/>
      <c r="AJ81" s="315">
        <f t="shared" si="42"/>
        <v>0</v>
      </c>
      <c r="AK81" s="622"/>
      <c r="AL81" s="315">
        <f t="shared" si="43"/>
        <v>9104491.8366896082</v>
      </c>
      <c r="AM81" s="622"/>
      <c r="AN81" s="315">
        <f t="shared" si="44"/>
        <v>0</v>
      </c>
      <c r="AO81" s="622"/>
      <c r="AP81" s="622">
        <f t="shared" si="45"/>
        <v>9104491.8366896082</v>
      </c>
      <c r="AR81" s="622">
        <v>0</v>
      </c>
      <c r="AS81" s="622"/>
      <c r="AT81" s="627">
        <v>287342.89372605283</v>
      </c>
      <c r="AU81" s="622"/>
      <c r="AV81" s="622">
        <v>0</v>
      </c>
      <c r="AW81" s="622"/>
      <c r="AX81" s="315">
        <f t="shared" si="46"/>
        <v>0</v>
      </c>
      <c r="AY81" s="622"/>
      <c r="AZ81" s="315">
        <f t="shared" si="47"/>
        <v>8817148.9429635555</v>
      </c>
      <c r="BA81" s="622"/>
      <c r="BB81" s="315">
        <f t="shared" si="48"/>
        <v>0</v>
      </c>
      <c r="BC81" s="622"/>
      <c r="BD81" s="622">
        <f t="shared" si="49"/>
        <v>8817148.9429635555</v>
      </c>
      <c r="BF81" s="622">
        <f t="shared" si="50"/>
        <v>12243251.457950626</v>
      </c>
      <c r="BI81" s="304">
        <f t="shared" si="40"/>
        <v>347</v>
      </c>
    </row>
    <row r="82" spans="1:61" ht="14.5">
      <c r="A82" s="304">
        <f t="shared" si="41"/>
        <v>348</v>
      </c>
      <c r="B82" s="626" t="s">
        <v>1429</v>
      </c>
      <c r="F82" s="630" t="s">
        <v>1354</v>
      </c>
      <c r="H82" s="627">
        <v>-25044326.102133159</v>
      </c>
      <c r="J82" s="627">
        <v>774871.44959999993</v>
      </c>
      <c r="K82" s="622"/>
      <c r="L82" s="627">
        <v>465181.65727795195</v>
      </c>
      <c r="M82" s="622"/>
      <c r="N82" s="627">
        <v>309689.79232204799</v>
      </c>
      <c r="P82" s="632" t="s">
        <v>1355</v>
      </c>
      <c r="R82" s="622">
        <v>0</v>
      </c>
      <c r="S82" s="622"/>
      <c r="T82" s="622">
        <f t="shared" si="51"/>
        <v>309689.79232204799</v>
      </c>
      <c r="U82" s="622"/>
      <c r="V82" s="622">
        <v>0</v>
      </c>
      <c r="W82" s="622"/>
      <c r="X82" s="622">
        <f t="shared" si="52"/>
        <v>309689.79232204799</v>
      </c>
      <c r="Y82" s="622"/>
      <c r="Z82" s="316" t="s">
        <v>1382</v>
      </c>
      <c r="AA82" s="622"/>
      <c r="AB82" s="622">
        <v>0</v>
      </c>
      <c r="AC82" s="622"/>
      <c r="AD82" s="627">
        <v>31417.042041090343</v>
      </c>
      <c r="AE82" s="622"/>
      <c r="AF82" s="622">
        <v>0</v>
      </c>
      <c r="AG82" s="622"/>
      <c r="AH82" s="316" t="s">
        <v>1357</v>
      </c>
      <c r="AI82" s="622"/>
      <c r="AJ82" s="315">
        <f t="shared" si="42"/>
        <v>0</v>
      </c>
      <c r="AK82" s="622"/>
      <c r="AL82" s="315">
        <f t="shared" si="43"/>
        <v>278272.75028095767</v>
      </c>
      <c r="AM82" s="622"/>
      <c r="AN82" s="315">
        <f t="shared" si="44"/>
        <v>0</v>
      </c>
      <c r="AO82" s="622"/>
      <c r="AP82" s="622">
        <f t="shared" si="45"/>
        <v>278272.75028095767</v>
      </c>
      <c r="AR82" s="622">
        <v>0</v>
      </c>
      <c r="AS82" s="622"/>
      <c r="AT82" s="627">
        <v>8782.4448354836441</v>
      </c>
      <c r="AU82" s="622"/>
      <c r="AV82" s="622">
        <v>0</v>
      </c>
      <c r="AW82" s="622"/>
      <c r="AX82" s="315">
        <f t="shared" si="46"/>
        <v>0</v>
      </c>
      <c r="AY82" s="622"/>
      <c r="AZ82" s="315">
        <f t="shared" si="47"/>
        <v>269490.30544547405</v>
      </c>
      <c r="BA82" s="622"/>
      <c r="BB82" s="315">
        <f t="shared" si="48"/>
        <v>0</v>
      </c>
      <c r="BC82" s="622"/>
      <c r="BD82" s="622">
        <f t="shared" si="49"/>
        <v>269490.30544547405</v>
      </c>
      <c r="BF82" s="622">
        <f t="shared" si="50"/>
        <v>374206.85489065549</v>
      </c>
      <c r="BI82" s="304">
        <f t="shared" si="40"/>
        <v>348</v>
      </c>
    </row>
    <row r="83" spans="1:61" ht="14.5">
      <c r="A83" s="304">
        <f t="shared" si="41"/>
        <v>349</v>
      </c>
      <c r="B83" s="626" t="s">
        <v>1430</v>
      </c>
      <c r="F83" s="630" t="s">
        <v>1354</v>
      </c>
      <c r="H83" s="627">
        <v>-9911897.9961215258</v>
      </c>
      <c r="J83" s="627">
        <v>306674.12400000001</v>
      </c>
      <c r="K83" s="622"/>
      <c r="L83" s="627">
        <v>183964.734406656</v>
      </c>
      <c r="M83" s="622"/>
      <c r="N83" s="627">
        <v>122709.38959334401</v>
      </c>
      <c r="P83" s="632" t="s">
        <v>1355</v>
      </c>
      <c r="R83" s="622">
        <v>0</v>
      </c>
      <c r="S83" s="622"/>
      <c r="T83" s="622">
        <f t="shared" si="51"/>
        <v>122709.38959334401</v>
      </c>
      <c r="U83" s="622"/>
      <c r="V83" s="622">
        <v>0</v>
      </c>
      <c r="W83" s="622"/>
      <c r="X83" s="622">
        <f t="shared" si="52"/>
        <v>122709.38959334401</v>
      </c>
      <c r="Y83" s="622"/>
      <c r="Z83" s="316" t="s">
        <v>1382</v>
      </c>
      <c r="AA83" s="622"/>
      <c r="AB83" s="622">
        <v>0</v>
      </c>
      <c r="AC83" s="622"/>
      <c r="AD83" s="627">
        <v>12448.476337513946</v>
      </c>
      <c r="AE83" s="622"/>
      <c r="AF83" s="622">
        <v>0</v>
      </c>
      <c r="AG83" s="622"/>
      <c r="AH83" s="316" t="s">
        <v>1357</v>
      </c>
      <c r="AI83" s="622"/>
      <c r="AJ83" s="315">
        <f t="shared" si="42"/>
        <v>0</v>
      </c>
      <c r="AK83" s="622"/>
      <c r="AL83" s="315">
        <f t="shared" si="43"/>
        <v>110260.91325583006</v>
      </c>
      <c r="AM83" s="622"/>
      <c r="AN83" s="315">
        <f t="shared" si="44"/>
        <v>0</v>
      </c>
      <c r="AO83" s="622"/>
      <c r="AP83" s="622">
        <f t="shared" si="45"/>
        <v>110260.91325583006</v>
      </c>
      <c r="AR83" s="622">
        <v>0</v>
      </c>
      <c r="AS83" s="622"/>
      <c r="AT83" s="627">
        <v>3479.8965662346432</v>
      </c>
      <c r="AU83" s="622"/>
      <c r="AV83" s="622">
        <v>0</v>
      </c>
      <c r="AW83" s="622"/>
      <c r="AX83" s="315">
        <f t="shared" si="46"/>
        <v>0</v>
      </c>
      <c r="AY83" s="622"/>
      <c r="AZ83" s="315">
        <f t="shared" si="47"/>
        <v>106781.01668959542</v>
      </c>
      <c r="BA83" s="622"/>
      <c r="BB83" s="315">
        <f t="shared" si="48"/>
        <v>0</v>
      </c>
      <c r="BC83" s="622"/>
      <c r="BD83" s="622">
        <f t="shared" si="49"/>
        <v>106781.01668959542</v>
      </c>
      <c r="BF83" s="622">
        <f t="shared" si="50"/>
        <v>148273.19428573965</v>
      </c>
      <c r="BI83" s="304">
        <f t="shared" si="40"/>
        <v>349</v>
      </c>
    </row>
    <row r="84" spans="1:61" ht="14.5">
      <c r="A84" s="304">
        <f t="shared" si="41"/>
        <v>350</v>
      </c>
      <c r="B84" s="626" t="s">
        <v>1431</v>
      </c>
      <c r="F84" s="630" t="s">
        <v>1354</v>
      </c>
      <c r="H84" s="627">
        <v>-71671356.535229474</v>
      </c>
      <c r="J84" s="627">
        <v>2217511.7711999998</v>
      </c>
      <c r="K84" s="622"/>
      <c r="L84" s="627">
        <v>1330220.482639872</v>
      </c>
      <c r="M84" s="622"/>
      <c r="N84" s="627">
        <v>887291.28856012796</v>
      </c>
      <c r="P84" s="632" t="s">
        <v>1355</v>
      </c>
      <c r="R84" s="622">
        <v>0</v>
      </c>
      <c r="S84" s="622"/>
      <c r="T84" s="622">
        <f t="shared" si="51"/>
        <v>887291.28856012796</v>
      </c>
      <c r="U84" s="622"/>
      <c r="V84" s="622">
        <v>0</v>
      </c>
      <c r="W84" s="622"/>
      <c r="X84" s="622">
        <f t="shared" si="52"/>
        <v>887291.28856012796</v>
      </c>
      <c r="Y84" s="622"/>
      <c r="Z84" s="316" t="s">
        <v>1382</v>
      </c>
      <c r="AA84" s="622"/>
      <c r="AB84" s="622">
        <v>0</v>
      </c>
      <c r="AC84" s="622"/>
      <c r="AD84" s="627">
        <v>90012.872256371629</v>
      </c>
      <c r="AE84" s="622"/>
      <c r="AF84" s="622">
        <v>0</v>
      </c>
      <c r="AG84" s="622"/>
      <c r="AH84" s="316" t="s">
        <v>1357</v>
      </c>
      <c r="AI84" s="622"/>
      <c r="AJ84" s="315">
        <f t="shared" si="42"/>
        <v>0</v>
      </c>
      <c r="AK84" s="622"/>
      <c r="AL84" s="315">
        <f t="shared" si="43"/>
        <v>797278.4163037563</v>
      </c>
      <c r="AM84" s="622"/>
      <c r="AN84" s="315">
        <f t="shared" si="44"/>
        <v>0</v>
      </c>
      <c r="AO84" s="622"/>
      <c r="AP84" s="622">
        <f t="shared" si="45"/>
        <v>797278.4163037563</v>
      </c>
      <c r="AR84" s="622">
        <v>0</v>
      </c>
      <c r="AS84" s="622"/>
      <c r="AT84" s="627">
        <v>25162.556170663105</v>
      </c>
      <c r="AU84" s="622"/>
      <c r="AV84" s="622">
        <v>0</v>
      </c>
      <c r="AW84" s="622"/>
      <c r="AX84" s="315">
        <f t="shared" si="46"/>
        <v>0</v>
      </c>
      <c r="AY84" s="622"/>
      <c r="AZ84" s="315">
        <f t="shared" si="47"/>
        <v>772115.8601330932</v>
      </c>
      <c r="BA84" s="622"/>
      <c r="BB84" s="315">
        <f t="shared" si="48"/>
        <v>0</v>
      </c>
      <c r="BC84" s="622"/>
      <c r="BD84" s="622">
        <f t="shared" si="49"/>
        <v>772115.8601330932</v>
      </c>
      <c r="BF84" s="622">
        <f t="shared" si="50"/>
        <v>1072138.9296508755</v>
      </c>
      <c r="BI84" s="304">
        <f t="shared" si="40"/>
        <v>350</v>
      </c>
    </row>
    <row r="85" spans="1:61" ht="14.5">
      <c r="A85" s="304">
        <f t="shared" si="41"/>
        <v>351</v>
      </c>
      <c r="B85" s="626" t="s">
        <v>1432</v>
      </c>
      <c r="F85" s="630" t="s">
        <v>1354</v>
      </c>
      <c r="H85" s="627">
        <v>38249585.210084036</v>
      </c>
      <c r="J85" s="627">
        <v>-1183442.1664</v>
      </c>
      <c r="K85" s="622"/>
      <c r="L85" s="627">
        <v>-709912.49233152007</v>
      </c>
      <c r="M85" s="622"/>
      <c r="N85" s="627">
        <v>-473374.28936369304</v>
      </c>
      <c r="P85" s="632" t="s">
        <v>1355</v>
      </c>
      <c r="R85" s="622">
        <v>0</v>
      </c>
      <c r="S85" s="622"/>
      <c r="T85" s="622">
        <f t="shared" si="51"/>
        <v>-473374.28936369304</v>
      </c>
      <c r="U85" s="622"/>
      <c r="V85" s="622">
        <v>0</v>
      </c>
      <c r="W85" s="622"/>
      <c r="X85" s="622">
        <f t="shared" si="52"/>
        <v>-473374.28936369304</v>
      </c>
      <c r="Y85" s="622"/>
      <c r="Z85" s="316" t="s">
        <v>1382</v>
      </c>
      <c r="AA85" s="622"/>
      <c r="AB85" s="622">
        <v>0</v>
      </c>
      <c r="AC85" s="622"/>
      <c r="AD85" s="627">
        <v>-48022.312387503298</v>
      </c>
      <c r="AE85" s="622"/>
      <c r="AF85" s="622">
        <v>0</v>
      </c>
      <c r="AG85" s="622"/>
      <c r="AH85" s="316" t="s">
        <v>1357</v>
      </c>
      <c r="AI85" s="622"/>
      <c r="AJ85" s="315">
        <f t="shared" si="42"/>
        <v>0</v>
      </c>
      <c r="AK85" s="622"/>
      <c r="AL85" s="315">
        <f t="shared" si="43"/>
        <v>-425351.97697618976</v>
      </c>
      <c r="AM85" s="622"/>
      <c r="AN85" s="315">
        <f t="shared" si="44"/>
        <v>0</v>
      </c>
      <c r="AO85" s="622"/>
      <c r="AP85" s="622">
        <f t="shared" si="45"/>
        <v>-425351.97697618976</v>
      </c>
      <c r="AR85" s="622">
        <v>0</v>
      </c>
      <c r="AS85" s="622"/>
      <c r="AT85" s="627">
        <v>-13424.348124944403</v>
      </c>
      <c r="AU85" s="622"/>
      <c r="AV85" s="622">
        <v>0</v>
      </c>
      <c r="AW85" s="622"/>
      <c r="AX85" s="315">
        <f t="shared" si="46"/>
        <v>0</v>
      </c>
      <c r="AY85" s="622"/>
      <c r="AZ85" s="315">
        <f t="shared" si="47"/>
        <v>-411927.62885124533</v>
      </c>
      <c r="BA85" s="622"/>
      <c r="BB85" s="315">
        <f t="shared" si="48"/>
        <v>0</v>
      </c>
      <c r="BC85" s="622"/>
      <c r="BD85" s="622">
        <f t="shared" si="49"/>
        <v>-411927.62885124533</v>
      </c>
      <c r="BF85" s="622">
        <f t="shared" si="50"/>
        <v>-571991.41980332998</v>
      </c>
      <c r="BI85" s="304">
        <f t="shared" si="40"/>
        <v>351</v>
      </c>
    </row>
    <row r="86" spans="1:61" ht="14.5">
      <c r="A86" s="304">
        <f t="shared" si="41"/>
        <v>352</v>
      </c>
      <c r="B86" s="626" t="s">
        <v>1433</v>
      </c>
      <c r="F86" s="630" t="s">
        <v>1354</v>
      </c>
      <c r="H86" s="627">
        <v>21102.236586942468</v>
      </c>
      <c r="J86" s="627">
        <v>-652.90319999999997</v>
      </c>
      <c r="K86" s="622"/>
      <c r="L86" s="627">
        <v>-391.595836416</v>
      </c>
      <c r="M86" s="622"/>
      <c r="N86" s="627">
        <v>-261.30736358399997</v>
      </c>
      <c r="P86" s="632" t="s">
        <v>1355</v>
      </c>
      <c r="R86" s="622">
        <v>0</v>
      </c>
      <c r="S86" s="622"/>
      <c r="T86" s="622">
        <f t="shared" si="51"/>
        <v>-261.30736358399997</v>
      </c>
      <c r="U86" s="622"/>
      <c r="V86" s="622">
        <v>0</v>
      </c>
      <c r="W86" s="622"/>
      <c r="X86" s="622">
        <f t="shared" si="52"/>
        <v>-261.30736358399997</v>
      </c>
      <c r="Y86" s="622"/>
      <c r="Z86" s="316" t="s">
        <v>1382</v>
      </c>
      <c r="AA86" s="622"/>
      <c r="AB86" s="622">
        <v>0</v>
      </c>
      <c r="AC86" s="622"/>
      <c r="AD86" s="627">
        <v>-26.508798904252878</v>
      </c>
      <c r="AE86" s="622"/>
      <c r="AF86" s="622">
        <v>0</v>
      </c>
      <c r="AG86" s="622"/>
      <c r="AH86" s="316" t="s">
        <v>1357</v>
      </c>
      <c r="AI86" s="622"/>
      <c r="AJ86" s="315">
        <f t="shared" si="42"/>
        <v>0</v>
      </c>
      <c r="AK86" s="622"/>
      <c r="AL86" s="315">
        <f t="shared" si="43"/>
        <v>-234.7985646797471</v>
      </c>
      <c r="AM86" s="622"/>
      <c r="AN86" s="315">
        <f t="shared" si="44"/>
        <v>0</v>
      </c>
      <c r="AO86" s="622"/>
      <c r="AP86" s="622">
        <f t="shared" si="45"/>
        <v>-234.7985646797471</v>
      </c>
      <c r="AR86" s="622">
        <v>0</v>
      </c>
      <c r="AS86" s="622"/>
      <c r="AT86" s="627">
        <v>-7.4103750355312039</v>
      </c>
      <c r="AU86" s="622"/>
      <c r="AV86" s="622">
        <v>0</v>
      </c>
      <c r="AW86" s="622"/>
      <c r="AX86" s="315">
        <f t="shared" si="46"/>
        <v>0</v>
      </c>
      <c r="AY86" s="622"/>
      <c r="AZ86" s="315">
        <f t="shared" si="47"/>
        <v>-227.38818964421588</v>
      </c>
      <c r="BA86" s="622"/>
      <c r="BB86" s="315">
        <f t="shared" si="48"/>
        <v>0</v>
      </c>
      <c r="BC86" s="622"/>
      <c r="BD86" s="622">
        <f t="shared" si="49"/>
        <v>-227.38818964421588</v>
      </c>
      <c r="BF86" s="622">
        <f t="shared" si="50"/>
        <v>-315.74501036460566</v>
      </c>
      <c r="BI86" s="304">
        <f t="shared" si="40"/>
        <v>352</v>
      </c>
    </row>
    <row r="87" spans="1:61" ht="14.5">
      <c r="A87" s="304">
        <f t="shared" si="41"/>
        <v>353</v>
      </c>
      <c r="B87" s="626" t="s">
        <v>1434</v>
      </c>
      <c r="F87" s="630" t="s">
        <v>1354</v>
      </c>
      <c r="H87" s="627">
        <v>102566504.22753718</v>
      </c>
      <c r="J87" s="627">
        <v>-3173407.6408000002</v>
      </c>
      <c r="K87" s="622"/>
      <c r="L87" s="627">
        <v>-1905700.722070528</v>
      </c>
      <c r="M87" s="622"/>
      <c r="N87" s="627">
        <v>-1267301.6551422826</v>
      </c>
      <c r="P87" s="632" t="s">
        <v>1355</v>
      </c>
      <c r="R87" s="622">
        <v>0</v>
      </c>
      <c r="S87" s="622"/>
      <c r="T87" s="622">
        <f t="shared" si="51"/>
        <v>-1267301.6551422826</v>
      </c>
      <c r="U87" s="622"/>
      <c r="V87" s="622">
        <v>0</v>
      </c>
      <c r="W87" s="622"/>
      <c r="X87" s="622">
        <f t="shared" si="52"/>
        <v>-1267301.6551422826</v>
      </c>
      <c r="Y87" s="622"/>
      <c r="Z87" s="316" t="s">
        <v>1382</v>
      </c>
      <c r="AA87" s="622"/>
      <c r="AB87" s="622">
        <v>0</v>
      </c>
      <c r="AC87" s="622"/>
      <c r="AD87" s="627">
        <v>-128563.71235169671</v>
      </c>
      <c r="AE87" s="622"/>
      <c r="AF87" s="622">
        <v>0</v>
      </c>
      <c r="AG87" s="622"/>
      <c r="AH87" s="316" t="s">
        <v>1357</v>
      </c>
      <c r="AI87" s="622"/>
      <c r="AJ87" s="315">
        <f t="shared" si="42"/>
        <v>0</v>
      </c>
      <c r="AK87" s="622"/>
      <c r="AL87" s="315">
        <f t="shared" si="43"/>
        <v>-1138737.9427905858</v>
      </c>
      <c r="AM87" s="622"/>
      <c r="AN87" s="315">
        <f t="shared" si="44"/>
        <v>0</v>
      </c>
      <c r="AO87" s="622"/>
      <c r="AP87" s="622">
        <f t="shared" si="45"/>
        <v>-1138737.9427905858</v>
      </c>
      <c r="AR87" s="622">
        <v>0</v>
      </c>
      <c r="AS87" s="622"/>
      <c r="AT87" s="627">
        <v>-35939.211275746748</v>
      </c>
      <c r="AU87" s="622"/>
      <c r="AV87" s="622">
        <v>0</v>
      </c>
      <c r="AW87" s="622"/>
      <c r="AX87" s="315">
        <f t="shared" si="46"/>
        <v>0</v>
      </c>
      <c r="AY87" s="622"/>
      <c r="AZ87" s="315">
        <f t="shared" si="47"/>
        <v>-1102798.731514839</v>
      </c>
      <c r="BA87" s="622"/>
      <c r="BB87" s="315">
        <f t="shared" si="48"/>
        <v>0</v>
      </c>
      <c r="BC87" s="622"/>
      <c r="BD87" s="622">
        <f t="shared" si="49"/>
        <v>-1102798.731514839</v>
      </c>
      <c r="BF87" s="622">
        <f t="shared" si="50"/>
        <v>-1531316.1051022252</v>
      </c>
      <c r="BI87" s="304">
        <f t="shared" si="40"/>
        <v>353</v>
      </c>
    </row>
    <row r="88" spans="1:61" ht="14.5">
      <c r="A88" s="304">
        <f t="shared" si="41"/>
        <v>354</v>
      </c>
      <c r="B88" s="626" t="s">
        <v>1435</v>
      </c>
      <c r="F88" s="630" t="s">
        <v>1354</v>
      </c>
      <c r="H88" s="627">
        <v>123.2579185520362</v>
      </c>
      <c r="J88" s="627">
        <v>-3.8136000000000001</v>
      </c>
      <c r="K88" s="622"/>
      <c r="L88" s="627">
        <v>-2.1798348799999996</v>
      </c>
      <c r="M88" s="622"/>
      <c r="N88" s="627">
        <v>0.35215487999999961</v>
      </c>
      <c r="P88" s="632" t="s">
        <v>1355</v>
      </c>
      <c r="R88" s="622">
        <v>0</v>
      </c>
      <c r="S88" s="622"/>
      <c r="T88" s="622">
        <f t="shared" si="51"/>
        <v>0.35215487999999961</v>
      </c>
      <c r="U88" s="622"/>
      <c r="V88" s="622">
        <v>0</v>
      </c>
      <c r="W88" s="622"/>
      <c r="X88" s="622">
        <f t="shared" si="52"/>
        <v>0.35215487999999961</v>
      </c>
      <c r="Y88" s="622"/>
      <c r="Z88" s="316" t="s">
        <v>1382</v>
      </c>
      <c r="AA88" s="622"/>
      <c r="AB88" s="622">
        <v>0</v>
      </c>
      <c r="AC88" s="622"/>
      <c r="AD88" s="627">
        <v>0</v>
      </c>
      <c r="AE88" s="622"/>
      <c r="AF88" s="622">
        <v>0</v>
      </c>
      <c r="AG88" s="622"/>
      <c r="AH88" s="316" t="s">
        <v>1357</v>
      </c>
      <c r="AI88" s="622"/>
      <c r="AJ88" s="315">
        <f t="shared" si="42"/>
        <v>0</v>
      </c>
      <c r="AK88" s="622"/>
      <c r="AL88" s="315">
        <f t="shared" si="43"/>
        <v>0.35215487999999961</v>
      </c>
      <c r="AM88" s="622"/>
      <c r="AN88" s="315">
        <f t="shared" si="44"/>
        <v>0</v>
      </c>
      <c r="AO88" s="622"/>
      <c r="AP88" s="622">
        <f t="shared" si="45"/>
        <v>0.35215487999999961</v>
      </c>
      <c r="AR88" s="622">
        <v>0</v>
      </c>
      <c r="AS88" s="622"/>
      <c r="AT88" s="627">
        <v>0</v>
      </c>
      <c r="AU88" s="622"/>
      <c r="AV88" s="622">
        <v>0</v>
      </c>
      <c r="AW88" s="622"/>
      <c r="AX88" s="315">
        <f t="shared" si="46"/>
        <v>0</v>
      </c>
      <c r="AY88" s="622"/>
      <c r="AZ88" s="315">
        <f t="shared" si="47"/>
        <v>0.35215487999999961</v>
      </c>
      <c r="BA88" s="622"/>
      <c r="BB88" s="315">
        <f t="shared" si="48"/>
        <v>0</v>
      </c>
      <c r="BC88" s="622"/>
      <c r="BD88" s="622">
        <f t="shared" si="49"/>
        <v>0.35215487999999961</v>
      </c>
      <c r="BF88" s="622">
        <f t="shared" si="50"/>
        <v>0.48899261834804236</v>
      </c>
      <c r="BI88" s="304">
        <f t="shared" si="40"/>
        <v>354</v>
      </c>
    </row>
    <row r="89" spans="1:61" ht="14.5">
      <c r="A89" s="304">
        <f t="shared" si="41"/>
        <v>355</v>
      </c>
      <c r="B89" s="626" t="s">
        <v>1436</v>
      </c>
      <c r="F89" s="630" t="s">
        <v>1354</v>
      </c>
      <c r="H89" s="627">
        <v>-60668.054298642535</v>
      </c>
      <c r="J89" s="627">
        <v>1877.0696</v>
      </c>
      <c r="K89" s="622"/>
      <c r="L89" s="627">
        <v>1132.7570529279999</v>
      </c>
      <c r="M89" s="622"/>
      <c r="N89" s="627">
        <v>744.50171015989156</v>
      </c>
      <c r="P89" s="632" t="s">
        <v>1355</v>
      </c>
      <c r="R89" s="622">
        <v>0</v>
      </c>
      <c r="S89" s="622"/>
      <c r="T89" s="622">
        <f t="shared" si="51"/>
        <v>744.50171015989156</v>
      </c>
      <c r="U89" s="622"/>
      <c r="V89" s="622">
        <v>0</v>
      </c>
      <c r="W89" s="622"/>
      <c r="X89" s="622">
        <f t="shared" si="52"/>
        <v>744.50171015989156</v>
      </c>
      <c r="Y89" s="622"/>
      <c r="Z89" s="316" t="s">
        <v>1382</v>
      </c>
      <c r="AA89" s="622"/>
      <c r="AB89" s="622">
        <v>0</v>
      </c>
      <c r="AC89" s="622"/>
      <c r="AD89" s="627">
        <v>75.527324786454543</v>
      </c>
      <c r="AE89" s="622"/>
      <c r="AF89" s="622">
        <v>0</v>
      </c>
      <c r="AG89" s="622"/>
      <c r="AH89" s="316" t="s">
        <v>1357</v>
      </c>
      <c r="AI89" s="622"/>
      <c r="AJ89" s="315">
        <f t="shared" si="42"/>
        <v>0</v>
      </c>
      <c r="AK89" s="622"/>
      <c r="AL89" s="315">
        <f t="shared" si="43"/>
        <v>668.97438537343703</v>
      </c>
      <c r="AM89" s="622"/>
      <c r="AN89" s="315">
        <f t="shared" si="44"/>
        <v>0</v>
      </c>
      <c r="AO89" s="622"/>
      <c r="AP89" s="622">
        <f t="shared" si="45"/>
        <v>668.97438537343703</v>
      </c>
      <c r="AR89" s="622">
        <v>0</v>
      </c>
      <c r="AS89" s="622"/>
      <c r="AT89" s="627">
        <v>21.113208641384652</v>
      </c>
      <c r="AU89" s="622"/>
      <c r="AV89" s="622">
        <v>0</v>
      </c>
      <c r="AW89" s="622"/>
      <c r="AX89" s="315">
        <f t="shared" si="46"/>
        <v>0</v>
      </c>
      <c r="AY89" s="622"/>
      <c r="AZ89" s="315">
        <f t="shared" si="47"/>
        <v>647.8611767320524</v>
      </c>
      <c r="BA89" s="622"/>
      <c r="BB89" s="315">
        <f t="shared" si="48"/>
        <v>0</v>
      </c>
      <c r="BC89" s="622"/>
      <c r="BD89" s="622">
        <f t="shared" si="49"/>
        <v>647.8611767320524</v>
      </c>
      <c r="BF89" s="622">
        <f t="shared" si="50"/>
        <v>899.60228049729278</v>
      </c>
      <c r="BI89" s="304">
        <f t="shared" si="40"/>
        <v>355</v>
      </c>
    </row>
    <row r="90" spans="1:61" ht="14.5">
      <c r="A90" s="304">
        <f t="shared" si="41"/>
        <v>356</v>
      </c>
      <c r="B90" s="628" t="s">
        <v>119</v>
      </c>
      <c r="F90" s="630"/>
      <c r="H90" s="627"/>
      <c r="J90" s="627"/>
      <c r="K90" s="622"/>
      <c r="L90" s="627"/>
      <c r="M90" s="622"/>
      <c r="N90" s="627"/>
      <c r="P90" s="632"/>
      <c r="R90" s="622">
        <v>0</v>
      </c>
      <c r="S90" s="622"/>
      <c r="T90" s="622">
        <f t="shared" si="51"/>
        <v>0</v>
      </c>
      <c r="U90" s="622"/>
      <c r="V90" s="622">
        <v>0</v>
      </c>
      <c r="W90" s="622"/>
      <c r="X90" s="622">
        <f t="shared" si="52"/>
        <v>0</v>
      </c>
      <c r="Y90" s="622"/>
      <c r="Z90" s="316"/>
      <c r="AA90" s="622"/>
      <c r="AB90" s="622">
        <v>0</v>
      </c>
      <c r="AC90" s="622"/>
      <c r="AD90" s="627">
        <v>0</v>
      </c>
      <c r="AE90" s="622"/>
      <c r="AF90" s="622">
        <v>0</v>
      </c>
      <c r="AG90" s="622"/>
      <c r="AH90" s="316"/>
      <c r="AI90" s="622"/>
      <c r="AJ90" s="315">
        <f t="shared" si="42"/>
        <v>0</v>
      </c>
      <c r="AK90" s="622"/>
      <c r="AL90" s="315">
        <f t="shared" si="43"/>
        <v>0</v>
      </c>
      <c r="AM90" s="622"/>
      <c r="AN90" s="315">
        <f t="shared" si="44"/>
        <v>0</v>
      </c>
      <c r="AO90" s="622"/>
      <c r="AP90" s="622">
        <f t="shared" si="45"/>
        <v>0</v>
      </c>
      <c r="AR90" s="622">
        <v>0</v>
      </c>
      <c r="AS90" s="622"/>
      <c r="AT90" s="627"/>
      <c r="AU90" s="622"/>
      <c r="AV90" s="622">
        <v>0</v>
      </c>
      <c r="AW90" s="622"/>
      <c r="AX90" s="315">
        <f t="shared" si="46"/>
        <v>0</v>
      </c>
      <c r="AY90" s="622"/>
      <c r="AZ90" s="315">
        <f t="shared" si="47"/>
        <v>0</v>
      </c>
      <c r="BA90" s="622"/>
      <c r="BB90" s="315">
        <f t="shared" si="48"/>
        <v>0</v>
      </c>
      <c r="BC90" s="622"/>
      <c r="BD90" s="622">
        <f t="shared" si="49"/>
        <v>0</v>
      </c>
      <c r="BF90" s="622">
        <f t="shared" si="50"/>
        <v>0</v>
      </c>
      <c r="BI90" s="304">
        <f t="shared" si="40"/>
        <v>356</v>
      </c>
    </row>
    <row r="91" spans="1:61" ht="14.5">
      <c r="A91" s="304">
        <f t="shared" si="41"/>
        <v>357</v>
      </c>
      <c r="B91" s="628" t="s">
        <v>119</v>
      </c>
      <c r="F91" s="630"/>
      <c r="H91" s="627"/>
      <c r="J91" s="627"/>
      <c r="K91" s="622"/>
      <c r="L91" s="627"/>
      <c r="M91" s="622"/>
      <c r="N91" s="627"/>
      <c r="P91" s="632"/>
      <c r="R91" s="622">
        <v>0</v>
      </c>
      <c r="S91" s="622"/>
      <c r="T91" s="622">
        <f t="shared" si="51"/>
        <v>0</v>
      </c>
      <c r="U91" s="622"/>
      <c r="V91" s="622">
        <v>0</v>
      </c>
      <c r="W91" s="622"/>
      <c r="X91" s="622">
        <f t="shared" si="52"/>
        <v>0</v>
      </c>
      <c r="Y91" s="622"/>
      <c r="Z91" s="316"/>
      <c r="AA91" s="622"/>
      <c r="AB91" s="622">
        <v>0</v>
      </c>
      <c r="AC91" s="622"/>
      <c r="AD91" s="627">
        <v>0</v>
      </c>
      <c r="AE91" s="622"/>
      <c r="AF91" s="622">
        <v>0</v>
      </c>
      <c r="AG91" s="622"/>
      <c r="AH91" s="316"/>
      <c r="AI91" s="622"/>
      <c r="AJ91" s="315">
        <f t="shared" si="42"/>
        <v>0</v>
      </c>
      <c r="AK91" s="622"/>
      <c r="AL91" s="315">
        <f t="shared" si="43"/>
        <v>0</v>
      </c>
      <c r="AM91" s="622"/>
      <c r="AN91" s="315">
        <f t="shared" si="44"/>
        <v>0</v>
      </c>
      <c r="AO91" s="622"/>
      <c r="AP91" s="622">
        <f t="shared" si="45"/>
        <v>0</v>
      </c>
      <c r="AR91" s="622">
        <v>0</v>
      </c>
      <c r="AS91" s="622"/>
      <c r="AT91" s="627"/>
      <c r="AU91" s="622"/>
      <c r="AV91" s="622">
        <v>0</v>
      </c>
      <c r="AW91" s="622"/>
      <c r="AX91" s="315">
        <f t="shared" si="46"/>
        <v>0</v>
      </c>
      <c r="AY91" s="622"/>
      <c r="AZ91" s="315">
        <f t="shared" si="47"/>
        <v>0</v>
      </c>
      <c r="BA91" s="622"/>
      <c r="BB91" s="315">
        <f t="shared" si="48"/>
        <v>0</v>
      </c>
      <c r="BC91" s="622"/>
      <c r="BD91" s="622">
        <f t="shared" si="49"/>
        <v>0</v>
      </c>
      <c r="BF91" s="622">
        <f t="shared" si="50"/>
        <v>0</v>
      </c>
      <c r="BI91" s="304">
        <f t="shared" si="40"/>
        <v>357</v>
      </c>
    </row>
    <row r="92" spans="1:61" ht="14.5">
      <c r="A92" s="304"/>
      <c r="B92" s="524"/>
      <c r="F92" s="630"/>
      <c r="H92" s="622"/>
      <c r="J92" s="622"/>
      <c r="K92" s="622"/>
      <c r="L92" s="622"/>
      <c r="M92" s="622"/>
      <c r="N92" s="622"/>
      <c r="P92" s="632"/>
      <c r="R92" s="622"/>
      <c r="S92" s="622"/>
      <c r="T92" s="622"/>
      <c r="U92" s="622"/>
      <c r="V92" s="622"/>
      <c r="W92" s="622"/>
      <c r="X92" s="622"/>
      <c r="Y92" s="622"/>
      <c r="Z92" s="316"/>
      <c r="AA92" s="622"/>
      <c r="AB92" s="622"/>
      <c r="AC92" s="622"/>
      <c r="AD92" s="622"/>
      <c r="AE92" s="622"/>
      <c r="AF92" s="622"/>
      <c r="AG92" s="622"/>
      <c r="AH92" s="316"/>
      <c r="AI92" s="622"/>
      <c r="AJ92" s="622"/>
      <c r="AK92" s="622"/>
      <c r="AL92" s="622"/>
      <c r="AM92" s="622"/>
      <c r="AN92" s="622"/>
      <c r="AO92" s="622"/>
      <c r="AP92" s="622"/>
      <c r="AR92" s="622"/>
      <c r="AS92" s="622"/>
      <c r="AT92" s="622"/>
      <c r="AU92" s="622"/>
      <c r="AV92" s="622"/>
      <c r="AW92" s="622"/>
      <c r="AX92" s="622"/>
      <c r="AY92" s="622"/>
      <c r="AZ92" s="622"/>
      <c r="BA92" s="622"/>
      <c r="BB92" s="622"/>
      <c r="BC92" s="622"/>
      <c r="BD92" s="622"/>
      <c r="BF92" s="622"/>
      <c r="BI92" s="304"/>
    </row>
    <row r="93" spans="1:61" ht="14.5">
      <c r="A93" s="201" t="s">
        <v>92</v>
      </c>
      <c r="F93" s="630"/>
      <c r="H93" s="556"/>
      <c r="P93" s="632"/>
      <c r="X93" s="622"/>
      <c r="Z93" s="611"/>
      <c r="AH93" s="611"/>
      <c r="BI93" s="621" t="s">
        <v>92</v>
      </c>
    </row>
    <row r="94" spans="1:61" ht="14.5">
      <c r="A94" s="304">
        <v>400</v>
      </c>
      <c r="B94" s="615" t="s">
        <v>1437</v>
      </c>
      <c r="F94" s="630"/>
      <c r="H94" s="625">
        <f>ROUND(SUM(H95:H105),0)</f>
        <v>93137648</v>
      </c>
      <c r="J94" s="625">
        <f>ROUND(SUM(J95:J105),0)</f>
        <v>19293379</v>
      </c>
      <c r="K94" s="622"/>
      <c r="L94" s="625">
        <f>ROUND(SUM(L95:L105),0)</f>
        <v>11576713</v>
      </c>
      <c r="M94" s="622"/>
      <c r="N94" s="625">
        <f>ROUND(SUM(N95:N105),0)</f>
        <v>7716800</v>
      </c>
      <c r="O94" s="304"/>
      <c r="P94" s="632"/>
      <c r="Q94" s="304"/>
      <c r="R94" s="625">
        <f>ROUND(SUM(R95:R105),0)</f>
        <v>0</v>
      </c>
      <c r="S94" s="622"/>
      <c r="T94" s="625">
        <f>ROUND(SUM(T95:T105),0)</f>
        <v>0</v>
      </c>
      <c r="U94" s="622"/>
      <c r="V94" s="625">
        <f>ROUND(SUM(V95:V105),0)</f>
        <v>7716800</v>
      </c>
      <c r="W94" s="622"/>
      <c r="X94" s="625">
        <f>ROUND(SUM(X95:X105),0)</f>
        <v>7716800</v>
      </c>
      <c r="Y94" s="622"/>
      <c r="Z94" s="316"/>
      <c r="AA94" s="622"/>
      <c r="AB94" s="625">
        <f>SUM(AB95:AB105)</f>
        <v>0</v>
      </c>
      <c r="AC94" s="622"/>
      <c r="AD94" s="625">
        <f>SUM(AD95:AD105)</f>
        <v>0</v>
      </c>
      <c r="AE94" s="622"/>
      <c r="AF94" s="625">
        <f>SUM(AF95:AF105)</f>
        <v>6066035.1671563126</v>
      </c>
      <c r="AG94" s="622"/>
      <c r="AH94" s="316"/>
      <c r="AI94" s="622"/>
      <c r="AJ94" s="625">
        <f>SUM(AJ95:AJ105)</f>
        <v>0</v>
      </c>
      <c r="AK94" s="622"/>
      <c r="AL94" s="625">
        <f>SUM(AL95:AL105)</f>
        <v>0</v>
      </c>
      <c r="AM94" s="622"/>
      <c r="AN94" s="625">
        <f>SUM(AN95:AN105)</f>
        <v>1650764.9767022582</v>
      </c>
      <c r="AO94" s="622"/>
      <c r="AP94" s="625">
        <f>SUM(AP95:AP105)</f>
        <v>1650764.9767022582</v>
      </c>
      <c r="AR94" s="625">
        <f>SUM(AR95:AR105)</f>
        <v>0</v>
      </c>
      <c r="AS94" s="622"/>
      <c r="AT94" s="625">
        <f>SUM(AT95:AT105)</f>
        <v>0</v>
      </c>
      <c r="AU94" s="622"/>
      <c r="AV94" s="625">
        <f>SUM(AV95:AV105)</f>
        <v>52099.104608853129</v>
      </c>
      <c r="AW94" s="622"/>
      <c r="AX94" s="625">
        <f>SUM(AX95:AX105)</f>
        <v>0</v>
      </c>
      <c r="AY94" s="622"/>
      <c r="AZ94" s="625">
        <f>SUM(AZ95:AZ105)</f>
        <v>0</v>
      </c>
      <c r="BA94" s="622"/>
      <c r="BB94" s="625">
        <f>SUM(BB95:BB105)</f>
        <v>1598665.8720934053</v>
      </c>
      <c r="BC94" s="622"/>
      <c r="BD94" s="625">
        <f>SUM(BD95:BD105)</f>
        <v>1598665.8720934053</v>
      </c>
      <c r="BF94" s="625">
        <f>ROUND(SUM(BF95:BF105),0)</f>
        <v>2219864</v>
      </c>
      <c r="BI94" s="304">
        <f t="shared" ref="BI94:BI105" si="53">A94</f>
        <v>400</v>
      </c>
    </row>
    <row r="95" spans="1:61" ht="14.5">
      <c r="A95" s="304">
        <f t="shared" ref="A95:A99" si="54">A94+1</f>
        <v>401</v>
      </c>
      <c r="B95" s="527" t="s">
        <v>1438</v>
      </c>
      <c r="F95" s="524" t="s">
        <v>1369</v>
      </c>
      <c r="H95" s="627">
        <v>41837921.444019467</v>
      </c>
      <c r="J95" s="627">
        <v>14643272.505406814</v>
      </c>
      <c r="K95" s="622"/>
      <c r="L95" s="627">
        <v>8785963.5032440871</v>
      </c>
      <c r="M95" s="622"/>
      <c r="N95" s="627">
        <v>5857309.0021627257</v>
      </c>
      <c r="P95" s="632" t="s">
        <v>1364</v>
      </c>
      <c r="R95" s="622">
        <v>0</v>
      </c>
      <c r="S95" s="622"/>
      <c r="T95" s="622">
        <v>0</v>
      </c>
      <c r="U95" s="622"/>
      <c r="V95" s="622">
        <f>+N95</f>
        <v>5857309.0021627257</v>
      </c>
      <c r="W95" s="622"/>
      <c r="X95" s="622">
        <f t="shared" si="52"/>
        <v>5857309.0021627257</v>
      </c>
      <c r="Y95" s="622"/>
      <c r="Z95" s="316" t="s">
        <v>1439</v>
      </c>
      <c r="AA95" s="622"/>
      <c r="AB95" s="622">
        <v>0</v>
      </c>
      <c r="AC95" s="622"/>
      <c r="AD95" s="622">
        <v>0</v>
      </c>
      <c r="AE95" s="622"/>
      <c r="AF95" s="627">
        <v>5857309.0021627257</v>
      </c>
      <c r="AG95" s="622"/>
      <c r="AH95" s="316" t="s">
        <v>1365</v>
      </c>
      <c r="AI95" s="622"/>
      <c r="AJ95" s="315">
        <f t="shared" ref="AJ95:AJ105" si="55">+R95-AB95</f>
        <v>0</v>
      </c>
      <c r="AK95" s="622"/>
      <c r="AL95" s="315">
        <f t="shared" ref="AL95:AL105" si="56">+T95-AD95</f>
        <v>0</v>
      </c>
      <c r="AM95" s="622"/>
      <c r="AN95" s="315">
        <f t="shared" ref="AN95:AN105" si="57">+V95-AF95</f>
        <v>0</v>
      </c>
      <c r="AO95" s="622"/>
      <c r="AP95" s="622">
        <f t="shared" ref="AP95:AP105" si="58">SUM(AJ95:AN95)</f>
        <v>0</v>
      </c>
      <c r="AR95" s="622">
        <v>0</v>
      </c>
      <c r="AS95" s="622"/>
      <c r="AT95" s="622">
        <v>0</v>
      </c>
      <c r="AU95" s="622"/>
      <c r="AV95" s="627"/>
      <c r="AW95" s="622"/>
      <c r="AX95" s="315">
        <f t="shared" ref="AX95:AX105" si="59">+AJ95-AR95</f>
        <v>0</v>
      </c>
      <c r="AY95" s="622"/>
      <c r="AZ95" s="315">
        <f t="shared" ref="AZ95:AZ105" si="60">+AL95-AT95</f>
        <v>0</v>
      </c>
      <c r="BA95" s="622"/>
      <c r="BB95" s="315">
        <f t="shared" ref="BB95:BB105" si="61">+AN95-AV95</f>
        <v>0</v>
      </c>
      <c r="BC95" s="622"/>
      <c r="BD95" s="622">
        <f>SUM(AX95:BB95)</f>
        <v>0</v>
      </c>
      <c r="BF95" s="622">
        <f t="shared" ref="BF95:BF105" si="62">+BD95*$BF$10</f>
        <v>0</v>
      </c>
      <c r="BI95" s="304">
        <f t="shared" si="53"/>
        <v>401</v>
      </c>
    </row>
    <row r="96" spans="1:61" ht="14.5">
      <c r="A96" s="304">
        <f t="shared" si="54"/>
        <v>402</v>
      </c>
      <c r="B96" s="527" t="s">
        <v>1118</v>
      </c>
      <c r="F96" s="524" t="s">
        <v>1369</v>
      </c>
      <c r="H96" s="627">
        <v>122045506.50833847</v>
      </c>
      <c r="J96" s="627">
        <v>42715927.277918458</v>
      </c>
      <c r="K96" s="622"/>
      <c r="L96" s="627">
        <v>25629556.366751075</v>
      </c>
      <c r="M96" s="622"/>
      <c r="N96" s="627">
        <v>17086370.911167383</v>
      </c>
      <c r="P96" s="632" t="s">
        <v>1364</v>
      </c>
      <c r="R96" s="622">
        <v>0</v>
      </c>
      <c r="S96" s="622"/>
      <c r="T96" s="622">
        <v>0</v>
      </c>
      <c r="U96" s="622"/>
      <c r="V96" s="622">
        <f>+N96</f>
        <v>17086370.911167383</v>
      </c>
      <c r="W96" s="622"/>
      <c r="X96" s="622">
        <f t="shared" si="52"/>
        <v>17086370.911167383</v>
      </c>
      <c r="Y96" s="622"/>
      <c r="Z96" s="316" t="s">
        <v>1439</v>
      </c>
      <c r="AA96" s="622"/>
      <c r="AB96" s="622">
        <v>0</v>
      </c>
      <c r="AC96" s="622"/>
      <c r="AD96" s="622">
        <v>0</v>
      </c>
      <c r="AE96" s="622"/>
      <c r="AF96" s="627">
        <v>17086370.911167383</v>
      </c>
      <c r="AG96" s="622"/>
      <c r="AH96" s="316" t="s">
        <v>1365</v>
      </c>
      <c r="AI96" s="622"/>
      <c r="AJ96" s="315">
        <f t="shared" si="55"/>
        <v>0</v>
      </c>
      <c r="AK96" s="622"/>
      <c r="AL96" s="315">
        <f t="shared" si="56"/>
        <v>0</v>
      </c>
      <c r="AM96" s="622"/>
      <c r="AN96" s="315">
        <f t="shared" si="57"/>
        <v>0</v>
      </c>
      <c r="AO96" s="622"/>
      <c r="AP96" s="622">
        <f t="shared" si="58"/>
        <v>0</v>
      </c>
      <c r="AR96" s="622">
        <v>0</v>
      </c>
      <c r="AS96" s="622"/>
      <c r="AT96" s="622">
        <v>0</v>
      </c>
      <c r="AU96" s="622"/>
      <c r="AV96" s="627"/>
      <c r="AW96" s="622"/>
      <c r="AX96" s="315">
        <f t="shared" si="59"/>
        <v>0</v>
      </c>
      <c r="AY96" s="622"/>
      <c r="AZ96" s="315">
        <f>+AL96-AT96</f>
        <v>0</v>
      </c>
      <c r="BA96" s="622"/>
      <c r="BB96" s="315">
        <f t="shared" si="61"/>
        <v>0</v>
      </c>
      <c r="BC96" s="622"/>
      <c r="BD96" s="622">
        <f t="shared" ref="BD96:BD105" si="63">SUM(AX96:BB96)</f>
        <v>0</v>
      </c>
      <c r="BF96" s="622">
        <f t="shared" si="62"/>
        <v>0</v>
      </c>
      <c r="BI96" s="304">
        <f t="shared" si="53"/>
        <v>402</v>
      </c>
    </row>
    <row r="97" spans="1:61" ht="14.5">
      <c r="A97" s="304" t="s">
        <v>1440</v>
      </c>
      <c r="B97" s="527" t="s">
        <v>1441</v>
      </c>
      <c r="F97" s="524" t="s">
        <v>1369</v>
      </c>
      <c r="H97" s="627">
        <v>-121885839.37756029</v>
      </c>
      <c r="J97" s="627">
        <v>-42660043.782146096</v>
      </c>
      <c r="K97" s="622"/>
      <c r="L97" s="627">
        <v>-25596026.269287657</v>
      </c>
      <c r="M97" s="622"/>
      <c r="N97" s="627">
        <v>-17064017.512858439</v>
      </c>
      <c r="P97" s="632" t="s">
        <v>1364</v>
      </c>
      <c r="R97" s="622">
        <v>0</v>
      </c>
      <c r="S97" s="622"/>
      <c r="T97" s="622">
        <v>0</v>
      </c>
      <c r="U97" s="622"/>
      <c r="V97" s="622">
        <f>+N97</f>
        <v>-17064017.512858439</v>
      </c>
      <c r="W97" s="622"/>
      <c r="X97" s="622">
        <f t="shared" si="52"/>
        <v>-17064017.512858439</v>
      </c>
      <c r="Y97" s="622"/>
      <c r="Z97" s="316" t="s">
        <v>1439</v>
      </c>
      <c r="AA97" s="622"/>
      <c r="AB97" s="622">
        <v>0</v>
      </c>
      <c r="AC97" s="622"/>
      <c r="AD97" s="622">
        <v>0</v>
      </c>
      <c r="AE97" s="622"/>
      <c r="AF97" s="627">
        <v>-17064016.512858439</v>
      </c>
      <c r="AG97" s="622"/>
      <c r="AH97" s="316" t="s">
        <v>1365</v>
      </c>
      <c r="AI97" s="622"/>
      <c r="AJ97" s="315">
        <f t="shared" si="55"/>
        <v>0</v>
      </c>
      <c r="AK97" s="622"/>
      <c r="AL97" s="315">
        <f t="shared" si="56"/>
        <v>0</v>
      </c>
      <c r="AM97" s="622"/>
      <c r="AN97" s="315">
        <f t="shared" si="57"/>
        <v>-1</v>
      </c>
      <c r="AO97" s="622"/>
      <c r="AP97" s="622">
        <f t="shared" si="58"/>
        <v>-1</v>
      </c>
      <c r="AR97" s="622">
        <v>0</v>
      </c>
      <c r="AS97" s="622"/>
      <c r="AT97" s="622">
        <v>0</v>
      </c>
      <c r="AU97" s="622"/>
      <c r="AV97" s="627"/>
      <c r="AW97" s="622"/>
      <c r="AX97" s="315">
        <f t="shared" si="59"/>
        <v>0</v>
      </c>
      <c r="AY97" s="622"/>
      <c r="AZ97" s="315">
        <f>+AL97-AT97</f>
        <v>0</v>
      </c>
      <c r="BA97" s="622"/>
      <c r="BB97" s="315">
        <f t="shared" si="61"/>
        <v>-1</v>
      </c>
      <c r="BC97" s="622"/>
      <c r="BD97" s="622">
        <f t="shared" si="63"/>
        <v>-1</v>
      </c>
      <c r="BF97" s="622">
        <f t="shared" si="62"/>
        <v>-1.3885726029071155</v>
      </c>
      <c r="BI97" s="304" t="str">
        <f t="shared" si="53"/>
        <v>402a</v>
      </c>
    </row>
    <row r="98" spans="1:61" ht="14.5">
      <c r="A98" s="304">
        <f>A96+1</f>
        <v>403</v>
      </c>
      <c r="B98" s="626" t="s">
        <v>1442</v>
      </c>
      <c r="F98" s="524" t="s">
        <v>1354</v>
      </c>
      <c r="H98" s="627">
        <v>-83282905.177142859</v>
      </c>
      <c r="J98" s="627">
        <v>-29149016.811999999</v>
      </c>
      <c r="K98" s="622"/>
      <c r="L98" s="627">
        <v>-17489410.881795358</v>
      </c>
      <c r="M98" s="622"/>
      <c r="N98" s="627">
        <v>-11659605.930204641</v>
      </c>
      <c r="P98" s="632" t="s">
        <v>1355</v>
      </c>
      <c r="R98" s="622">
        <v>0</v>
      </c>
      <c r="S98" s="622"/>
      <c r="T98" s="622">
        <v>0</v>
      </c>
      <c r="U98" s="622"/>
      <c r="V98" s="622">
        <f>N98</f>
        <v>-11659605.930204641</v>
      </c>
      <c r="W98" s="622"/>
      <c r="X98" s="622">
        <f>SUM(R98:V98)</f>
        <v>-11659605.930204641</v>
      </c>
      <c r="Y98" s="622"/>
      <c r="Z98" s="316" t="s">
        <v>1382</v>
      </c>
      <c r="AA98" s="622"/>
      <c r="AB98" s="622">
        <v>0</v>
      </c>
      <c r="AC98" s="622"/>
      <c r="AD98" s="622">
        <v>0</v>
      </c>
      <c r="AE98" s="622"/>
      <c r="AF98" s="627">
        <v>-1182829.847071154</v>
      </c>
      <c r="AG98" s="622"/>
      <c r="AH98" s="316" t="s">
        <v>1357</v>
      </c>
      <c r="AI98" s="622"/>
      <c r="AJ98" s="315">
        <f t="shared" si="55"/>
        <v>0</v>
      </c>
      <c r="AK98" s="622"/>
      <c r="AL98" s="315">
        <f t="shared" si="56"/>
        <v>0</v>
      </c>
      <c r="AM98" s="622"/>
      <c r="AN98" s="315">
        <f t="shared" si="57"/>
        <v>-10476776.083133487</v>
      </c>
      <c r="AO98" s="622"/>
      <c r="AP98" s="622">
        <f t="shared" si="58"/>
        <v>-10476776.083133487</v>
      </c>
      <c r="AR98" s="622">
        <v>0</v>
      </c>
      <c r="AS98" s="622"/>
      <c r="AT98" s="622">
        <v>0</v>
      </c>
      <c r="AU98" s="622"/>
      <c r="AV98" s="627">
        <v>-330652.95797355217</v>
      </c>
      <c r="AW98" s="622"/>
      <c r="AX98" s="315">
        <f t="shared" si="59"/>
        <v>0</v>
      </c>
      <c r="AY98" s="622"/>
      <c r="AZ98" s="315">
        <f t="shared" si="60"/>
        <v>0</v>
      </c>
      <c r="BA98" s="622"/>
      <c r="BB98" s="315">
        <f t="shared" si="61"/>
        <v>-10146123.125159934</v>
      </c>
      <c r="BC98" s="622"/>
      <c r="BD98" s="622">
        <f t="shared" si="63"/>
        <v>-10146123.125159934</v>
      </c>
      <c r="BF98" s="622">
        <f t="shared" si="62"/>
        <v>-14088628.597319407</v>
      </c>
      <c r="BI98" s="304">
        <f t="shared" si="53"/>
        <v>403</v>
      </c>
    </row>
    <row r="99" spans="1:61" ht="14.5">
      <c r="A99" s="304">
        <f t="shared" si="54"/>
        <v>404</v>
      </c>
      <c r="B99" s="626" t="s">
        <v>1443</v>
      </c>
      <c r="F99" s="630" t="s">
        <v>1354</v>
      </c>
      <c r="H99" s="627">
        <v>-268874.6537142857</v>
      </c>
      <c r="J99" s="627">
        <v>-94106.128799999991</v>
      </c>
      <c r="K99" s="622"/>
      <c r="L99" s="627">
        <v>-56463.31245544448</v>
      </c>
      <c r="M99" s="622"/>
      <c r="N99" s="627">
        <v>-37642.816344555518</v>
      </c>
      <c r="P99" s="632" t="s">
        <v>1355</v>
      </c>
      <c r="R99" s="622">
        <v>0</v>
      </c>
      <c r="S99" s="622"/>
      <c r="T99" s="622">
        <v>0</v>
      </c>
      <c r="U99" s="622"/>
      <c r="V99" s="622">
        <f>N99</f>
        <v>-37642.816344555518</v>
      </c>
      <c r="W99" s="622"/>
      <c r="X99" s="622">
        <f>SUM(R99:V99)</f>
        <v>-37642.816344555518</v>
      </c>
      <c r="Y99" s="622"/>
      <c r="Z99" s="316" t="s">
        <v>1382</v>
      </c>
      <c r="AA99" s="622"/>
      <c r="AB99" s="622">
        <v>0</v>
      </c>
      <c r="AC99" s="622"/>
      <c r="AD99" s="622">
        <v>0</v>
      </c>
      <c r="AE99" s="622"/>
      <c r="AF99" s="627">
        <v>-3818.7437008324923</v>
      </c>
      <c r="AG99" s="622"/>
      <c r="AH99" s="316" t="s">
        <v>1357</v>
      </c>
      <c r="AI99" s="622"/>
      <c r="AJ99" s="315">
        <f t="shared" si="55"/>
        <v>0</v>
      </c>
      <c r="AK99" s="622"/>
      <c r="AL99" s="315">
        <f t="shared" si="56"/>
        <v>0</v>
      </c>
      <c r="AM99" s="622"/>
      <c r="AN99" s="315">
        <f t="shared" si="57"/>
        <v>-33824.072643723026</v>
      </c>
      <c r="AO99" s="622"/>
      <c r="AP99" s="622">
        <f t="shared" si="58"/>
        <v>-33824.072643723026</v>
      </c>
      <c r="AR99" s="622">
        <v>0</v>
      </c>
      <c r="AS99" s="622"/>
      <c r="AT99" s="622">
        <v>0</v>
      </c>
      <c r="AU99" s="622"/>
      <c r="AV99" s="627">
        <v>-1067.506796137835</v>
      </c>
      <c r="AW99" s="622"/>
      <c r="AX99" s="315">
        <f t="shared" si="59"/>
        <v>0</v>
      </c>
      <c r="AY99" s="622"/>
      <c r="AZ99" s="315">
        <f t="shared" si="60"/>
        <v>0</v>
      </c>
      <c r="BA99" s="622"/>
      <c r="BB99" s="315">
        <f t="shared" si="61"/>
        <v>-32756.565847585192</v>
      </c>
      <c r="BC99" s="622"/>
      <c r="BD99" s="622">
        <f t="shared" si="63"/>
        <v>-32756.565847585192</v>
      </c>
      <c r="BF99" s="622">
        <f t="shared" si="62"/>
        <v>-45484.869901279693</v>
      </c>
      <c r="BI99" s="304">
        <f t="shared" si="53"/>
        <v>404</v>
      </c>
    </row>
    <row r="100" spans="1:61" ht="14.5">
      <c r="A100" s="304">
        <f>+A99+1</f>
        <v>405</v>
      </c>
      <c r="B100" s="626" t="s">
        <v>1444</v>
      </c>
      <c r="F100" s="630" t="s">
        <v>1354</v>
      </c>
      <c r="H100" s="627">
        <v>99765608.752000004</v>
      </c>
      <c r="J100" s="627">
        <v>34917963.063199997</v>
      </c>
      <c r="K100" s="622"/>
      <c r="L100" s="627">
        <v>20950777.168212995</v>
      </c>
      <c r="M100" s="622"/>
      <c r="N100" s="627">
        <v>13967185.894987006</v>
      </c>
      <c r="P100" s="632" t="s">
        <v>1355</v>
      </c>
      <c r="R100" s="622">
        <v>0</v>
      </c>
      <c r="S100" s="622"/>
      <c r="T100" s="622">
        <v>0</v>
      </c>
      <c r="U100" s="622"/>
      <c r="V100" s="622">
        <f>N100</f>
        <v>13967185.894987006</v>
      </c>
      <c r="W100" s="622"/>
      <c r="X100" s="622">
        <f>SUM(R100:V100)</f>
        <v>13967185.894987006</v>
      </c>
      <c r="Y100" s="622"/>
      <c r="Z100" s="316" t="s">
        <v>1382</v>
      </c>
      <c r="AA100" s="622"/>
      <c r="AB100" s="622">
        <v>0</v>
      </c>
      <c r="AC100" s="622"/>
      <c r="AD100" s="622">
        <v>0</v>
      </c>
      <c r="AE100" s="622"/>
      <c r="AF100" s="627">
        <v>1416926.4771962925</v>
      </c>
      <c r="AG100" s="622"/>
      <c r="AH100" s="316" t="s">
        <v>1357</v>
      </c>
      <c r="AI100" s="622"/>
      <c r="AJ100" s="315">
        <f t="shared" si="55"/>
        <v>0</v>
      </c>
      <c r="AK100" s="622"/>
      <c r="AL100" s="315">
        <f t="shared" si="56"/>
        <v>0</v>
      </c>
      <c r="AM100" s="622"/>
      <c r="AN100" s="315">
        <f t="shared" si="57"/>
        <v>12550259.417790713</v>
      </c>
      <c r="AO100" s="622"/>
      <c r="AP100" s="622">
        <f t="shared" si="58"/>
        <v>12550259.417790713</v>
      </c>
      <c r="AR100" s="622">
        <v>0</v>
      </c>
      <c r="AS100" s="622"/>
      <c r="AT100" s="622">
        <v>0</v>
      </c>
      <c r="AU100" s="622"/>
      <c r="AV100" s="627">
        <v>396093.26064614882</v>
      </c>
      <c r="AW100" s="622"/>
      <c r="AX100" s="315">
        <f t="shared" si="59"/>
        <v>0</v>
      </c>
      <c r="AY100" s="622"/>
      <c r="AZ100" s="315">
        <f t="shared" si="60"/>
        <v>0</v>
      </c>
      <c r="BA100" s="622"/>
      <c r="BB100" s="315">
        <f t="shared" si="61"/>
        <v>12154166.157144563</v>
      </c>
      <c r="BC100" s="622"/>
      <c r="BD100" s="622">
        <f t="shared" si="63"/>
        <v>12154166.157144563</v>
      </c>
      <c r="BF100" s="622">
        <f t="shared" si="62"/>
        <v>16876942.136991799</v>
      </c>
      <c r="BI100" s="304">
        <f t="shared" si="53"/>
        <v>405</v>
      </c>
    </row>
    <row r="101" spans="1:61" ht="14.5">
      <c r="A101" s="304">
        <f>+A100+1</f>
        <v>406</v>
      </c>
      <c r="B101" s="626" t="s">
        <v>1445</v>
      </c>
      <c r="F101" s="630" t="s">
        <v>1354</v>
      </c>
      <c r="H101" s="627">
        <v>-83082302.262443438</v>
      </c>
      <c r="J101" s="627">
        <v>2570566.432</v>
      </c>
      <c r="K101" s="622"/>
      <c r="L101" s="627">
        <v>1545730.7397104639</v>
      </c>
      <c r="M101" s="622"/>
      <c r="N101" s="627">
        <v>1024565.7973965784</v>
      </c>
      <c r="P101" s="632" t="s">
        <v>1355</v>
      </c>
      <c r="R101" s="622">
        <v>0</v>
      </c>
      <c r="S101" s="622"/>
      <c r="T101" s="622">
        <v>0</v>
      </c>
      <c r="U101" s="622"/>
      <c r="V101" s="622">
        <f>N101</f>
        <v>1024565.7973965784</v>
      </c>
      <c r="W101" s="622"/>
      <c r="X101" s="622">
        <f>SUM(R101:V101)</f>
        <v>1024565.7973965784</v>
      </c>
      <c r="Y101" s="622"/>
      <c r="Z101" s="316" t="s">
        <v>1382</v>
      </c>
      <c r="AA101" s="622"/>
      <c r="AB101" s="622">
        <v>0</v>
      </c>
      <c r="AC101" s="622"/>
      <c r="AD101" s="622">
        <v>0</v>
      </c>
      <c r="AE101" s="622"/>
      <c r="AF101" s="627">
        <v>103938.93350284605</v>
      </c>
      <c r="AG101" s="622"/>
      <c r="AH101" s="316" t="s">
        <v>1357</v>
      </c>
      <c r="AI101" s="622"/>
      <c r="AJ101" s="315">
        <f t="shared" si="55"/>
        <v>0</v>
      </c>
      <c r="AK101" s="622"/>
      <c r="AL101" s="315">
        <f t="shared" si="56"/>
        <v>0</v>
      </c>
      <c r="AM101" s="622"/>
      <c r="AN101" s="315">
        <f t="shared" si="57"/>
        <v>920626.86389373231</v>
      </c>
      <c r="AO101" s="622"/>
      <c r="AP101" s="622">
        <f t="shared" si="58"/>
        <v>920626.86389373231</v>
      </c>
      <c r="AR101" s="622">
        <v>0</v>
      </c>
      <c r="AS101" s="622"/>
      <c r="AT101" s="622">
        <v>0</v>
      </c>
      <c r="AU101" s="622"/>
      <c r="AV101" s="627">
        <v>29055.502696716252</v>
      </c>
      <c r="AW101" s="622"/>
      <c r="AX101" s="315">
        <f t="shared" si="59"/>
        <v>0</v>
      </c>
      <c r="AY101" s="622"/>
      <c r="AZ101" s="315">
        <f t="shared" si="60"/>
        <v>0</v>
      </c>
      <c r="BA101" s="622"/>
      <c r="BB101" s="315">
        <f t="shared" si="61"/>
        <v>891571.36119701609</v>
      </c>
      <c r="BC101" s="622"/>
      <c r="BD101" s="622">
        <f t="shared" si="63"/>
        <v>891571.36119701609</v>
      </c>
      <c r="BF101" s="622">
        <f t="shared" si="62"/>
        <v>1238011.5656947806</v>
      </c>
      <c r="BI101" s="304">
        <f t="shared" si="53"/>
        <v>406</v>
      </c>
    </row>
    <row r="102" spans="1:61" ht="14.5">
      <c r="A102" s="304">
        <f t="shared" ref="A102:A104" si="64">+A101+1</f>
        <v>407</v>
      </c>
      <c r="B102" s="626" t="s">
        <v>1446</v>
      </c>
      <c r="F102" s="630" t="s">
        <v>1354</v>
      </c>
      <c r="H102" s="627">
        <v>-267315.21654815774</v>
      </c>
      <c r="J102" s="627">
        <v>8270.7327999999998</v>
      </c>
      <c r="K102" s="622"/>
      <c r="L102" s="627">
        <v>4990.2960650239993</v>
      </c>
      <c r="M102" s="622"/>
      <c r="N102" s="627">
        <v>3280.9595957260935</v>
      </c>
      <c r="P102" s="632" t="s">
        <v>1355</v>
      </c>
      <c r="R102" s="622">
        <v>0</v>
      </c>
      <c r="S102" s="622"/>
      <c r="T102" s="622">
        <v>0</v>
      </c>
      <c r="U102" s="622"/>
      <c r="V102" s="622">
        <f t="shared" ref="V102:V105" si="65">N102</f>
        <v>3280.9595957260935</v>
      </c>
      <c r="W102" s="622"/>
      <c r="X102" s="622">
        <f t="shared" ref="X102:X105" si="66">SUM(R102:V102)</f>
        <v>3280.9595957260935</v>
      </c>
      <c r="Y102" s="622"/>
      <c r="Z102" s="316" t="s">
        <v>1382</v>
      </c>
      <c r="AA102" s="622"/>
      <c r="AB102" s="622">
        <v>0</v>
      </c>
      <c r="AC102" s="622"/>
      <c r="AD102" s="622">
        <v>0</v>
      </c>
      <c r="AE102" s="622"/>
      <c r="AF102" s="627">
        <v>332.8428902391916</v>
      </c>
      <c r="AG102" s="622"/>
      <c r="AH102" s="316" t="s">
        <v>1357</v>
      </c>
      <c r="AI102" s="622"/>
      <c r="AJ102" s="315">
        <f t="shared" si="55"/>
        <v>0</v>
      </c>
      <c r="AK102" s="622"/>
      <c r="AL102" s="315">
        <f t="shared" si="56"/>
        <v>0</v>
      </c>
      <c r="AM102" s="622"/>
      <c r="AN102" s="315">
        <f t="shared" si="57"/>
        <v>2948.116705486902</v>
      </c>
      <c r="AO102" s="622"/>
      <c r="AP102" s="622">
        <f t="shared" si="58"/>
        <v>2948.116705486902</v>
      </c>
      <c r="AR102" s="622">
        <v>0</v>
      </c>
      <c r="AS102" s="622"/>
      <c r="AT102" s="622">
        <v>0</v>
      </c>
      <c r="AU102" s="622"/>
      <c r="AV102" s="627">
        <v>93.044224805932359</v>
      </c>
      <c r="AW102" s="622"/>
      <c r="AX102" s="315">
        <f t="shared" si="59"/>
        <v>0</v>
      </c>
      <c r="AY102" s="622"/>
      <c r="AZ102" s="315">
        <f t="shared" si="60"/>
        <v>0</v>
      </c>
      <c r="BA102" s="622"/>
      <c r="BB102" s="315">
        <f t="shared" si="61"/>
        <v>2855.0724806809694</v>
      </c>
      <c r="BC102" s="622"/>
      <c r="BD102" s="622">
        <f t="shared" si="63"/>
        <v>2855.0724806809694</v>
      </c>
      <c r="BF102" s="622">
        <f t="shared" si="62"/>
        <v>3964.475425987649</v>
      </c>
      <c r="BI102" s="304">
        <f t="shared" si="53"/>
        <v>407</v>
      </c>
    </row>
    <row r="103" spans="1:61" ht="14.5">
      <c r="A103" s="304">
        <f t="shared" si="64"/>
        <v>408</v>
      </c>
      <c r="B103" s="626" t="s">
        <v>1447</v>
      </c>
      <c r="F103" s="630" t="s">
        <v>1354</v>
      </c>
      <c r="H103" s="627">
        <v>118275848.37750486</v>
      </c>
      <c r="J103" s="627">
        <v>-3659454.7488000002</v>
      </c>
      <c r="K103" s="622"/>
      <c r="L103" s="627">
        <v>-2198404.9817031678</v>
      </c>
      <c r="M103" s="622"/>
      <c r="N103" s="627">
        <v>-1460646.162043212</v>
      </c>
      <c r="P103" s="632" t="s">
        <v>1448</v>
      </c>
      <c r="R103" s="622">
        <v>0</v>
      </c>
      <c r="S103" s="622"/>
      <c r="T103" s="622">
        <v>0</v>
      </c>
      <c r="U103" s="622"/>
      <c r="V103" s="622">
        <f t="shared" si="65"/>
        <v>-1460646.162043212</v>
      </c>
      <c r="W103" s="622"/>
      <c r="X103" s="622">
        <f t="shared" si="66"/>
        <v>-1460646.162043212</v>
      </c>
      <c r="Y103" s="622"/>
      <c r="Z103" s="316" t="s">
        <v>1382</v>
      </c>
      <c r="AA103" s="622"/>
      <c r="AB103" s="622">
        <v>0</v>
      </c>
      <c r="AC103" s="622"/>
      <c r="AD103" s="622">
        <v>0</v>
      </c>
      <c r="AE103" s="622"/>
      <c r="AF103" s="627">
        <v>-148177.8961327484</v>
      </c>
      <c r="AG103" s="622"/>
      <c r="AH103" s="316" t="s">
        <v>1357</v>
      </c>
      <c r="AI103" s="622"/>
      <c r="AJ103" s="315">
        <f t="shared" si="55"/>
        <v>0</v>
      </c>
      <c r="AK103" s="622"/>
      <c r="AL103" s="315">
        <f t="shared" si="56"/>
        <v>0</v>
      </c>
      <c r="AM103" s="622"/>
      <c r="AN103" s="315">
        <f t="shared" si="57"/>
        <v>-1312468.2659104636</v>
      </c>
      <c r="AO103" s="622"/>
      <c r="AP103" s="622">
        <f t="shared" si="58"/>
        <v>-1312468.2659104636</v>
      </c>
      <c r="AR103" s="622">
        <v>0</v>
      </c>
      <c r="AS103" s="622"/>
      <c r="AT103" s="622">
        <v>0</v>
      </c>
      <c r="AU103" s="622"/>
      <c r="AV103" s="627">
        <v>-41422.238189127864</v>
      </c>
      <c r="AW103" s="622"/>
      <c r="AX103" s="315">
        <f t="shared" si="59"/>
        <v>0</v>
      </c>
      <c r="AY103" s="622"/>
      <c r="AZ103" s="315">
        <f t="shared" si="60"/>
        <v>0</v>
      </c>
      <c r="BA103" s="622"/>
      <c r="BB103" s="315">
        <f t="shared" si="61"/>
        <v>-1271046.0277213359</v>
      </c>
      <c r="BC103" s="622"/>
      <c r="BD103" s="622">
        <f t="shared" si="63"/>
        <v>-1271046.0277213359</v>
      </c>
      <c r="BF103" s="622">
        <f t="shared" si="62"/>
        <v>-1764939.691127765</v>
      </c>
      <c r="BI103" s="304">
        <f t="shared" si="53"/>
        <v>408</v>
      </c>
    </row>
    <row r="104" spans="1:61" ht="14.5">
      <c r="A104" s="304">
        <f t="shared" si="64"/>
        <v>409</v>
      </c>
      <c r="B104" s="628" t="s">
        <v>119</v>
      </c>
      <c r="F104" s="630"/>
      <c r="H104" s="627"/>
      <c r="J104" s="627"/>
      <c r="K104" s="622"/>
      <c r="L104" s="627"/>
      <c r="M104" s="622"/>
      <c r="N104" s="627"/>
      <c r="P104" s="631"/>
      <c r="R104" s="622">
        <v>0</v>
      </c>
      <c r="S104" s="622"/>
      <c r="T104" s="622">
        <v>0</v>
      </c>
      <c r="U104" s="622"/>
      <c r="V104" s="622">
        <f t="shared" si="65"/>
        <v>0</v>
      </c>
      <c r="W104" s="622"/>
      <c r="X104" s="622">
        <f t="shared" si="66"/>
        <v>0</v>
      </c>
      <c r="Y104" s="622"/>
      <c r="Z104" s="316"/>
      <c r="AA104" s="622"/>
      <c r="AB104" s="622">
        <v>0</v>
      </c>
      <c r="AC104" s="622"/>
      <c r="AD104" s="622">
        <v>0</v>
      </c>
      <c r="AE104" s="622"/>
      <c r="AF104" s="627">
        <v>0</v>
      </c>
      <c r="AG104" s="622"/>
      <c r="AH104" s="316"/>
      <c r="AI104" s="622"/>
      <c r="AJ104" s="315">
        <f t="shared" si="55"/>
        <v>0</v>
      </c>
      <c r="AK104" s="622"/>
      <c r="AL104" s="315">
        <f t="shared" si="56"/>
        <v>0</v>
      </c>
      <c r="AM104" s="622"/>
      <c r="AN104" s="315">
        <f t="shared" si="57"/>
        <v>0</v>
      </c>
      <c r="AO104" s="622"/>
      <c r="AP104" s="622">
        <f t="shared" si="58"/>
        <v>0</v>
      </c>
      <c r="AR104" s="622">
        <v>0</v>
      </c>
      <c r="AS104" s="622"/>
      <c r="AT104" s="622">
        <v>0</v>
      </c>
      <c r="AU104" s="622"/>
      <c r="AV104" s="627"/>
      <c r="AW104" s="622"/>
      <c r="AX104" s="315">
        <f t="shared" si="59"/>
        <v>0</v>
      </c>
      <c r="AY104" s="622"/>
      <c r="AZ104" s="315">
        <f t="shared" si="60"/>
        <v>0</v>
      </c>
      <c r="BA104" s="622"/>
      <c r="BB104" s="315">
        <f t="shared" si="61"/>
        <v>0</v>
      </c>
      <c r="BC104" s="622"/>
      <c r="BD104" s="622">
        <f t="shared" si="63"/>
        <v>0</v>
      </c>
      <c r="BF104" s="622">
        <f t="shared" si="62"/>
        <v>0</v>
      </c>
      <c r="BI104" s="304">
        <f t="shared" si="53"/>
        <v>409</v>
      </c>
    </row>
    <row r="105" spans="1:61" ht="14.5">
      <c r="A105" s="304">
        <f>+A102+1</f>
        <v>408</v>
      </c>
      <c r="B105" s="628" t="s">
        <v>119</v>
      </c>
      <c r="F105" s="630"/>
      <c r="H105" s="627"/>
      <c r="J105" s="627"/>
      <c r="K105" s="622"/>
      <c r="L105" s="627"/>
      <c r="M105" s="622"/>
      <c r="N105" s="627"/>
      <c r="P105" s="631"/>
      <c r="R105" s="622">
        <v>0</v>
      </c>
      <c r="S105" s="622"/>
      <c r="T105" s="622">
        <v>0</v>
      </c>
      <c r="U105" s="622"/>
      <c r="V105" s="622">
        <f t="shared" si="65"/>
        <v>0</v>
      </c>
      <c r="W105" s="622"/>
      <c r="X105" s="622">
        <f t="shared" si="66"/>
        <v>0</v>
      </c>
      <c r="Y105" s="622"/>
      <c r="Z105" s="316"/>
      <c r="AA105" s="622"/>
      <c r="AB105" s="622">
        <v>0</v>
      </c>
      <c r="AC105" s="622"/>
      <c r="AD105" s="622">
        <v>0</v>
      </c>
      <c r="AE105" s="622"/>
      <c r="AF105" s="627">
        <v>0</v>
      </c>
      <c r="AG105" s="622"/>
      <c r="AH105" s="316"/>
      <c r="AI105" s="622"/>
      <c r="AJ105" s="315">
        <f t="shared" si="55"/>
        <v>0</v>
      </c>
      <c r="AK105" s="622"/>
      <c r="AL105" s="315">
        <f t="shared" si="56"/>
        <v>0</v>
      </c>
      <c r="AM105" s="622"/>
      <c r="AN105" s="315">
        <f t="shared" si="57"/>
        <v>0</v>
      </c>
      <c r="AO105" s="622"/>
      <c r="AP105" s="622">
        <f t="shared" si="58"/>
        <v>0</v>
      </c>
      <c r="AR105" s="622">
        <v>0</v>
      </c>
      <c r="AS105" s="622"/>
      <c r="AT105" s="622">
        <v>0</v>
      </c>
      <c r="AU105" s="622"/>
      <c r="AV105" s="627"/>
      <c r="AW105" s="622"/>
      <c r="AX105" s="315">
        <f t="shared" si="59"/>
        <v>0</v>
      </c>
      <c r="AY105" s="622"/>
      <c r="AZ105" s="315">
        <f t="shared" si="60"/>
        <v>0</v>
      </c>
      <c r="BA105" s="622"/>
      <c r="BB105" s="315">
        <f t="shared" si="61"/>
        <v>0</v>
      </c>
      <c r="BC105" s="622"/>
      <c r="BD105" s="622">
        <f t="shared" si="63"/>
        <v>0</v>
      </c>
      <c r="BF105" s="622">
        <f t="shared" si="62"/>
        <v>0</v>
      </c>
      <c r="BI105" s="304">
        <f t="shared" si="53"/>
        <v>408</v>
      </c>
    </row>
    <row r="106" spans="1:61" ht="14.5">
      <c r="A106" s="304"/>
      <c r="B106" s="524"/>
      <c r="F106" s="630"/>
      <c r="H106" s="556"/>
      <c r="J106" s="622"/>
      <c r="K106" s="622"/>
      <c r="L106" s="622"/>
      <c r="M106" s="622"/>
      <c r="N106" s="622"/>
      <c r="P106" s="631"/>
      <c r="R106" s="622"/>
      <c r="S106" s="622"/>
      <c r="T106" s="622"/>
      <c r="U106" s="622"/>
      <c r="V106" s="622"/>
      <c r="W106" s="622"/>
      <c r="X106" s="622"/>
      <c r="Y106" s="622"/>
      <c r="Z106" s="316"/>
      <c r="AA106" s="622"/>
      <c r="AB106" s="622"/>
      <c r="AC106" s="622"/>
      <c r="AD106" s="622"/>
      <c r="AE106" s="622"/>
      <c r="AF106" s="622"/>
      <c r="AG106" s="622"/>
      <c r="AH106" s="316"/>
      <c r="AI106" s="622"/>
      <c r="AJ106" s="622"/>
      <c r="AK106" s="622"/>
      <c r="AL106" s="622"/>
      <c r="AM106" s="622"/>
      <c r="AN106" s="622"/>
      <c r="AO106" s="622"/>
      <c r="AP106" s="622"/>
      <c r="AR106" s="622"/>
      <c r="AS106" s="622"/>
      <c r="AT106" s="622"/>
      <c r="AU106" s="622"/>
      <c r="AV106" s="622"/>
      <c r="AW106" s="622"/>
      <c r="AX106" s="622"/>
      <c r="AY106" s="622"/>
      <c r="AZ106" s="622"/>
      <c r="BA106" s="622"/>
      <c r="BB106" s="622"/>
      <c r="BC106" s="622"/>
      <c r="BD106" s="622"/>
      <c r="BI106" s="304"/>
    </row>
    <row r="107" spans="1:61" ht="14.5">
      <c r="A107" s="201" t="s">
        <v>92</v>
      </c>
      <c r="F107" s="630"/>
      <c r="P107" s="631"/>
      <c r="Z107" s="611"/>
      <c r="AH107" s="611"/>
      <c r="BI107" s="621" t="s">
        <v>92</v>
      </c>
    </row>
    <row r="108" spans="1:61" ht="14.5">
      <c r="A108" s="304">
        <v>500</v>
      </c>
      <c r="B108" s="615" t="s">
        <v>1449</v>
      </c>
      <c r="F108" s="630"/>
      <c r="H108" s="625">
        <f>ROUND(SUM(H109:H113),0)</f>
        <v>-83282905</v>
      </c>
      <c r="J108" s="625">
        <f>ROUND(SUM(J109:J113),0)</f>
        <v>434750466</v>
      </c>
      <c r="K108" s="622"/>
      <c r="L108" s="625">
        <f>ROUND(SUM(L109:L113),0)</f>
        <v>260850280</v>
      </c>
      <c r="M108" s="622"/>
      <c r="N108" s="625">
        <f>ROUND(SUM(N109:N113),0)</f>
        <v>173900186</v>
      </c>
      <c r="O108" s="304"/>
      <c r="P108" s="524"/>
      <c r="Q108" s="304"/>
      <c r="R108" s="625">
        <f>ROUND(SUM(R109:R113),0)</f>
        <v>173900186</v>
      </c>
      <c r="S108" s="622"/>
      <c r="T108" s="625">
        <f>ROUND(SUM(T109:T113),0)</f>
        <v>0</v>
      </c>
      <c r="U108" s="622"/>
      <c r="V108" s="625">
        <f>ROUND(SUM(V109:V113),0)</f>
        <v>0</v>
      </c>
      <c r="W108" s="622"/>
      <c r="X108" s="625">
        <f>ROUND(SUM(X109:X113),0)</f>
        <v>173900186</v>
      </c>
      <c r="Y108" s="622"/>
      <c r="Z108" s="316"/>
      <c r="AA108" s="622"/>
      <c r="AB108" s="625">
        <f>SUM(AB109:AB113)</f>
        <v>16184409.801370051</v>
      </c>
      <c r="AC108" s="622"/>
      <c r="AD108" s="625">
        <f>SUM(AD109:AD113)</f>
        <v>0</v>
      </c>
      <c r="AE108" s="622"/>
      <c r="AF108" s="625">
        <f>SUM(AF109:AF113)</f>
        <v>0</v>
      </c>
      <c r="AG108" s="622"/>
      <c r="AH108" s="316"/>
      <c r="AI108" s="622"/>
      <c r="AJ108" s="625">
        <f>SUM(AJ109:AJ113)</f>
        <v>157715776.64720595</v>
      </c>
      <c r="AK108" s="622"/>
      <c r="AL108" s="625">
        <f>SUM(AL109:AL113)</f>
        <v>0</v>
      </c>
      <c r="AM108" s="622"/>
      <c r="AN108" s="625">
        <f>SUM(AN109:AN113)</f>
        <v>0</v>
      </c>
      <c r="AO108" s="622"/>
      <c r="AP108" s="625">
        <f>SUM(AP109:AP113)</f>
        <v>157715776.64720595</v>
      </c>
      <c r="AR108" s="625">
        <f>SUM(AR109:AR113)</f>
        <v>3843391.6652320041</v>
      </c>
      <c r="AS108" s="622"/>
      <c r="AT108" s="625">
        <f>SUM(AT109:AT113)</f>
        <v>0</v>
      </c>
      <c r="AU108" s="622"/>
      <c r="AV108" s="625">
        <f>SUM(AV109:AV113)</f>
        <v>0</v>
      </c>
      <c r="AW108" s="622"/>
      <c r="AX108" s="625">
        <f>SUM(AX109:AX113)</f>
        <v>153872384.98197395</v>
      </c>
      <c r="AY108" s="622"/>
      <c r="AZ108" s="625">
        <f>SUM(AZ109:AZ113)</f>
        <v>0</v>
      </c>
      <c r="BA108" s="622"/>
      <c r="BB108" s="625">
        <f>SUM(BB109:BB113)</f>
        <v>0</v>
      </c>
      <c r="BC108" s="622"/>
      <c r="BD108" s="625">
        <f>SUM(BD109:BD113)</f>
        <v>153872384.98197395</v>
      </c>
      <c r="BF108" s="625">
        <f>ROUND(SUM(BF109:BF113),0)</f>
        <v>213662978</v>
      </c>
      <c r="BI108" s="304">
        <f t="shared" ref="BI108:BI113" si="67">A108</f>
        <v>500</v>
      </c>
    </row>
    <row r="109" spans="1:61" ht="14.5">
      <c r="A109" s="304">
        <f t="shared" ref="A109:A112" si="68">A108+1</f>
        <v>501</v>
      </c>
      <c r="B109" s="527" t="s">
        <v>1450</v>
      </c>
      <c r="F109" s="630" t="s">
        <v>1369</v>
      </c>
      <c r="H109" s="627">
        <v>-83282905</v>
      </c>
      <c r="J109" s="627">
        <v>434750466.12143999</v>
      </c>
      <c r="K109" s="622"/>
      <c r="L109" s="627">
        <v>260850279.67286399</v>
      </c>
      <c r="M109" s="622"/>
      <c r="N109" s="627">
        <v>173900186.448576</v>
      </c>
      <c r="P109" s="633" t="s">
        <v>1364</v>
      </c>
      <c r="R109" s="622">
        <f>+N109</f>
        <v>173900186.448576</v>
      </c>
      <c r="S109" s="622"/>
      <c r="T109" s="622">
        <v>0</v>
      </c>
      <c r="U109" s="622"/>
      <c r="V109" s="622">
        <v>0</v>
      </c>
      <c r="W109" s="622"/>
      <c r="X109" s="622">
        <f>SUM(R109:V109)</f>
        <v>173900186.448576</v>
      </c>
      <c r="Y109" s="622"/>
      <c r="Z109" s="316" t="s">
        <v>1356</v>
      </c>
      <c r="AA109" s="622"/>
      <c r="AB109" s="627">
        <v>16184409.801370051</v>
      </c>
      <c r="AC109" s="622"/>
      <c r="AD109" s="622">
        <v>0</v>
      </c>
      <c r="AE109" s="622"/>
      <c r="AF109" s="622">
        <v>0</v>
      </c>
      <c r="AG109" s="622"/>
      <c r="AH109" s="316" t="s">
        <v>1365</v>
      </c>
      <c r="AI109" s="622"/>
      <c r="AJ109" s="315">
        <f t="shared" ref="AJ109:AJ114" si="69">+R109-AB109</f>
        <v>157715776.64720595</v>
      </c>
      <c r="AK109" s="622"/>
      <c r="AL109" s="315">
        <f t="shared" ref="AL109:AL114" si="70">+T109-AD109</f>
        <v>0</v>
      </c>
      <c r="AM109" s="622"/>
      <c r="AN109" s="315">
        <f t="shared" ref="AN109:AN114" si="71">+V109-AF109</f>
        <v>0</v>
      </c>
      <c r="AO109" s="622"/>
      <c r="AP109" s="622">
        <f t="shared" ref="AP109:AP114" si="72">SUM(AJ109:AN109)</f>
        <v>157715776.64720595</v>
      </c>
      <c r="AR109" s="627">
        <v>3843391.6652320041</v>
      </c>
      <c r="AS109" s="622"/>
      <c r="AT109" s="622">
        <v>0</v>
      </c>
      <c r="AU109" s="622"/>
      <c r="AV109" s="622">
        <v>0</v>
      </c>
      <c r="AW109" s="622"/>
      <c r="AX109" s="315">
        <f t="shared" ref="AX109:AX114" si="73">+AJ109-AR109</f>
        <v>153872384.98197395</v>
      </c>
      <c r="AY109" s="622"/>
      <c r="AZ109" s="315">
        <f t="shared" ref="AZ109:AZ114" si="74">+AL109-AT109</f>
        <v>0</v>
      </c>
      <c r="BA109" s="622"/>
      <c r="BB109" s="315">
        <f t="shared" ref="BB109:BB114" si="75">+AN109-AV109</f>
        <v>0</v>
      </c>
      <c r="BC109" s="622"/>
      <c r="BD109" s="622">
        <f>SUM(AX109:BB109)</f>
        <v>153872384.98197395</v>
      </c>
      <c r="BF109" s="622">
        <f>+BD109*$BF$10</f>
        <v>213662978.12994531</v>
      </c>
      <c r="BI109" s="304">
        <f t="shared" si="67"/>
        <v>501</v>
      </c>
    </row>
    <row r="110" spans="1:61" ht="14.5">
      <c r="A110" s="304">
        <f t="shared" si="68"/>
        <v>502</v>
      </c>
      <c r="B110" s="628" t="s">
        <v>119</v>
      </c>
      <c r="F110" s="630"/>
      <c r="H110" s="627"/>
      <c r="J110" s="627">
        <v>0</v>
      </c>
      <c r="K110" s="622"/>
      <c r="L110" s="627">
        <v>0</v>
      </c>
      <c r="M110" s="622"/>
      <c r="N110" s="627">
        <v>0</v>
      </c>
      <c r="P110" s="633"/>
      <c r="R110" s="622">
        <v>0</v>
      </c>
      <c r="S110" s="622"/>
      <c r="T110" s="622">
        <v>0</v>
      </c>
      <c r="U110" s="622"/>
      <c r="V110" s="622">
        <v>0</v>
      </c>
      <c r="W110" s="622"/>
      <c r="X110" s="622">
        <f t="shared" ref="X110:X113" si="76">SUM(R110:V110)</f>
        <v>0</v>
      </c>
      <c r="Y110" s="622"/>
      <c r="Z110" s="316"/>
      <c r="AA110" s="622"/>
      <c r="AB110" s="627"/>
      <c r="AC110" s="622"/>
      <c r="AD110" s="622">
        <v>0</v>
      </c>
      <c r="AE110" s="622"/>
      <c r="AF110" s="622">
        <v>0</v>
      </c>
      <c r="AG110" s="622"/>
      <c r="AH110" s="316"/>
      <c r="AI110" s="622"/>
      <c r="AJ110" s="315">
        <f t="shared" si="69"/>
        <v>0</v>
      </c>
      <c r="AK110" s="622"/>
      <c r="AL110" s="315">
        <f t="shared" si="70"/>
        <v>0</v>
      </c>
      <c r="AM110" s="622"/>
      <c r="AN110" s="315">
        <f t="shared" si="71"/>
        <v>0</v>
      </c>
      <c r="AO110" s="622"/>
      <c r="AP110" s="622">
        <f t="shared" si="72"/>
        <v>0</v>
      </c>
      <c r="AR110" s="627"/>
      <c r="AS110" s="622"/>
      <c r="AT110" s="622">
        <v>0</v>
      </c>
      <c r="AU110" s="622"/>
      <c r="AV110" s="622">
        <v>0</v>
      </c>
      <c r="AW110" s="622"/>
      <c r="AX110" s="315">
        <f t="shared" si="73"/>
        <v>0</v>
      </c>
      <c r="AY110" s="622"/>
      <c r="AZ110" s="315">
        <f t="shared" si="74"/>
        <v>0</v>
      </c>
      <c r="BA110" s="622"/>
      <c r="BB110" s="315">
        <f t="shared" si="75"/>
        <v>0</v>
      </c>
      <c r="BC110" s="622"/>
      <c r="BD110" s="622">
        <f t="shared" ref="BD110:BD113" si="77">SUM(AX110:BB110)</f>
        <v>0</v>
      </c>
      <c r="BF110" s="622">
        <f>+BD110*$BF$10</f>
        <v>0</v>
      </c>
      <c r="BI110" s="304">
        <f t="shared" si="67"/>
        <v>502</v>
      </c>
    </row>
    <row r="111" spans="1:61" ht="14.5">
      <c r="A111" s="304">
        <f t="shared" si="68"/>
        <v>503</v>
      </c>
      <c r="B111" s="628" t="s">
        <v>119</v>
      </c>
      <c r="F111" s="630"/>
      <c r="H111" s="627"/>
      <c r="J111" s="627">
        <v>0</v>
      </c>
      <c r="K111" s="622"/>
      <c r="L111" s="627">
        <v>0</v>
      </c>
      <c r="M111" s="622"/>
      <c r="N111" s="627">
        <v>0</v>
      </c>
      <c r="P111" s="633"/>
      <c r="R111" s="622">
        <v>0</v>
      </c>
      <c r="S111" s="622"/>
      <c r="T111" s="622">
        <v>0</v>
      </c>
      <c r="U111" s="622"/>
      <c r="V111" s="622">
        <v>0</v>
      </c>
      <c r="W111" s="622"/>
      <c r="X111" s="622">
        <f t="shared" si="76"/>
        <v>0</v>
      </c>
      <c r="Y111" s="622"/>
      <c r="Z111" s="316"/>
      <c r="AA111" s="622"/>
      <c r="AB111" s="627"/>
      <c r="AC111" s="622"/>
      <c r="AD111" s="622">
        <v>0</v>
      </c>
      <c r="AE111" s="622"/>
      <c r="AF111" s="622">
        <v>0</v>
      </c>
      <c r="AG111" s="622"/>
      <c r="AH111" s="316"/>
      <c r="AI111" s="622"/>
      <c r="AJ111" s="315">
        <f t="shared" si="69"/>
        <v>0</v>
      </c>
      <c r="AK111" s="622"/>
      <c r="AL111" s="315">
        <f t="shared" si="70"/>
        <v>0</v>
      </c>
      <c r="AM111" s="622"/>
      <c r="AN111" s="315">
        <f t="shared" si="71"/>
        <v>0</v>
      </c>
      <c r="AO111" s="622"/>
      <c r="AP111" s="622">
        <f t="shared" si="72"/>
        <v>0</v>
      </c>
      <c r="AR111" s="627"/>
      <c r="AS111" s="622"/>
      <c r="AT111" s="622">
        <v>0</v>
      </c>
      <c r="AU111" s="622"/>
      <c r="AV111" s="622">
        <v>0</v>
      </c>
      <c r="AW111" s="622"/>
      <c r="AX111" s="315">
        <f t="shared" si="73"/>
        <v>0</v>
      </c>
      <c r="AY111" s="622"/>
      <c r="AZ111" s="315">
        <f t="shared" si="74"/>
        <v>0</v>
      </c>
      <c r="BA111" s="622"/>
      <c r="BB111" s="315">
        <f t="shared" si="75"/>
        <v>0</v>
      </c>
      <c r="BC111" s="622"/>
      <c r="BD111" s="622">
        <f t="shared" si="77"/>
        <v>0</v>
      </c>
      <c r="BF111" s="622">
        <f>+BD110*$BF$10</f>
        <v>0</v>
      </c>
      <c r="BI111" s="304">
        <f t="shared" si="67"/>
        <v>503</v>
      </c>
    </row>
    <row r="112" spans="1:61" ht="14.5">
      <c r="A112" s="304">
        <f t="shared" si="68"/>
        <v>504</v>
      </c>
      <c r="B112" s="628" t="s">
        <v>119</v>
      </c>
      <c r="F112" s="623"/>
      <c r="H112" s="627"/>
      <c r="J112" s="627">
        <v>0</v>
      </c>
      <c r="K112" s="622"/>
      <c r="L112" s="627">
        <v>0</v>
      </c>
      <c r="M112" s="622"/>
      <c r="N112" s="627">
        <v>0</v>
      </c>
      <c r="P112" s="631"/>
      <c r="R112" s="622">
        <v>0</v>
      </c>
      <c r="S112" s="622"/>
      <c r="T112" s="622">
        <v>0</v>
      </c>
      <c r="U112" s="622"/>
      <c r="V112" s="622">
        <v>0</v>
      </c>
      <c r="W112" s="622"/>
      <c r="X112" s="622">
        <f t="shared" si="76"/>
        <v>0</v>
      </c>
      <c r="Y112" s="622"/>
      <c r="Z112" s="316"/>
      <c r="AA112" s="622"/>
      <c r="AB112" s="627"/>
      <c r="AC112" s="622"/>
      <c r="AD112" s="622">
        <v>0</v>
      </c>
      <c r="AE112" s="622"/>
      <c r="AF112" s="622">
        <v>0</v>
      </c>
      <c r="AG112" s="622"/>
      <c r="AH112" s="316"/>
      <c r="AI112" s="622"/>
      <c r="AJ112" s="315">
        <f t="shared" si="69"/>
        <v>0</v>
      </c>
      <c r="AK112" s="622"/>
      <c r="AL112" s="315">
        <f t="shared" si="70"/>
        <v>0</v>
      </c>
      <c r="AM112" s="622"/>
      <c r="AN112" s="315">
        <f t="shared" si="71"/>
        <v>0</v>
      </c>
      <c r="AO112" s="622"/>
      <c r="AP112" s="622">
        <f t="shared" si="72"/>
        <v>0</v>
      </c>
      <c r="AR112" s="627"/>
      <c r="AS112" s="622"/>
      <c r="AT112" s="622">
        <v>0</v>
      </c>
      <c r="AU112" s="622"/>
      <c r="AV112" s="622">
        <v>0</v>
      </c>
      <c r="AW112" s="622"/>
      <c r="AX112" s="315">
        <f t="shared" si="73"/>
        <v>0</v>
      </c>
      <c r="AY112" s="622"/>
      <c r="AZ112" s="315">
        <f t="shared" si="74"/>
        <v>0</v>
      </c>
      <c r="BA112" s="622"/>
      <c r="BB112" s="315">
        <f t="shared" si="75"/>
        <v>0</v>
      </c>
      <c r="BC112" s="622"/>
      <c r="BD112" s="622">
        <f t="shared" si="77"/>
        <v>0</v>
      </c>
      <c r="BF112" s="622">
        <f>+BD111*$BF$10</f>
        <v>0</v>
      </c>
      <c r="BI112" s="304">
        <f t="shared" si="67"/>
        <v>504</v>
      </c>
    </row>
    <row r="113" spans="1:61" ht="14.5">
      <c r="A113" s="304">
        <f>+A112+1</f>
        <v>505</v>
      </c>
      <c r="B113" s="628" t="s">
        <v>119</v>
      </c>
      <c r="F113" s="623"/>
      <c r="H113" s="627"/>
      <c r="J113" s="627">
        <v>0</v>
      </c>
      <c r="K113" s="622"/>
      <c r="L113" s="627">
        <v>0</v>
      </c>
      <c r="M113" s="622"/>
      <c r="N113" s="627">
        <v>0</v>
      </c>
      <c r="P113" s="631"/>
      <c r="R113" s="622">
        <v>0</v>
      </c>
      <c r="S113" s="622"/>
      <c r="T113" s="622">
        <v>0</v>
      </c>
      <c r="U113" s="622"/>
      <c r="V113" s="622">
        <v>0</v>
      </c>
      <c r="W113" s="622"/>
      <c r="X113" s="622">
        <f t="shared" si="76"/>
        <v>0</v>
      </c>
      <c r="Y113" s="622"/>
      <c r="Z113" s="316"/>
      <c r="AA113" s="622"/>
      <c r="AB113" s="627"/>
      <c r="AC113" s="622"/>
      <c r="AD113" s="622">
        <v>0</v>
      </c>
      <c r="AE113" s="622"/>
      <c r="AF113" s="622">
        <v>0</v>
      </c>
      <c r="AG113" s="622"/>
      <c r="AH113" s="316"/>
      <c r="AI113" s="622"/>
      <c r="AJ113" s="315">
        <f t="shared" si="69"/>
        <v>0</v>
      </c>
      <c r="AK113" s="622"/>
      <c r="AL113" s="315">
        <f t="shared" si="70"/>
        <v>0</v>
      </c>
      <c r="AM113" s="622"/>
      <c r="AN113" s="315">
        <f t="shared" si="71"/>
        <v>0</v>
      </c>
      <c r="AO113" s="622"/>
      <c r="AP113" s="622">
        <f t="shared" si="72"/>
        <v>0</v>
      </c>
      <c r="AR113" s="627"/>
      <c r="AS113" s="622"/>
      <c r="AT113" s="622">
        <v>0</v>
      </c>
      <c r="AU113" s="622"/>
      <c r="AV113" s="622">
        <v>0</v>
      </c>
      <c r="AW113" s="622"/>
      <c r="AX113" s="315">
        <f t="shared" si="73"/>
        <v>0</v>
      </c>
      <c r="AY113" s="622"/>
      <c r="AZ113" s="315">
        <f t="shared" si="74"/>
        <v>0</v>
      </c>
      <c r="BA113" s="622"/>
      <c r="BB113" s="315">
        <f t="shared" si="75"/>
        <v>0</v>
      </c>
      <c r="BC113" s="622"/>
      <c r="BD113" s="622">
        <f t="shared" si="77"/>
        <v>0</v>
      </c>
      <c r="BF113" s="622">
        <f>+BD112*$BF$10</f>
        <v>0</v>
      </c>
      <c r="BI113" s="304">
        <f t="shared" si="67"/>
        <v>505</v>
      </c>
    </row>
    <row r="114" spans="1:61" ht="14.5">
      <c r="A114" s="304"/>
      <c r="B114" s="524"/>
      <c r="F114" s="623"/>
      <c r="H114" s="622"/>
      <c r="J114" s="622"/>
      <c r="K114" s="622"/>
      <c r="L114" s="622"/>
      <c r="M114" s="622"/>
      <c r="N114" s="622"/>
      <c r="P114" s="631"/>
      <c r="R114" s="622"/>
      <c r="S114" s="622"/>
      <c r="T114" s="622"/>
      <c r="U114" s="622"/>
      <c r="V114" s="622"/>
      <c r="W114" s="622"/>
      <c r="X114" s="622"/>
      <c r="Y114" s="622"/>
      <c r="Z114" s="316"/>
      <c r="AA114" s="622"/>
      <c r="AB114" s="622"/>
      <c r="AC114" s="622"/>
      <c r="AD114" s="622"/>
      <c r="AE114" s="622"/>
      <c r="AF114" s="622"/>
      <c r="AG114" s="622"/>
      <c r="AH114" s="316"/>
      <c r="AI114" s="622"/>
      <c r="AJ114" s="622">
        <f t="shared" si="69"/>
        <v>0</v>
      </c>
      <c r="AK114" s="622"/>
      <c r="AL114" s="622">
        <f t="shared" si="70"/>
        <v>0</v>
      </c>
      <c r="AM114" s="622"/>
      <c r="AN114" s="622">
        <f t="shared" si="71"/>
        <v>0</v>
      </c>
      <c r="AO114" s="622"/>
      <c r="AP114" s="622">
        <f t="shared" si="72"/>
        <v>0</v>
      </c>
      <c r="AR114" s="622"/>
      <c r="AS114" s="622"/>
      <c r="AT114" s="622"/>
      <c r="AU114" s="622"/>
      <c r="AV114" s="622"/>
      <c r="AW114" s="622"/>
      <c r="AX114" s="622">
        <f t="shared" si="73"/>
        <v>0</v>
      </c>
      <c r="AY114" s="622"/>
      <c r="AZ114" s="622">
        <f t="shared" si="74"/>
        <v>0</v>
      </c>
      <c r="BA114" s="622"/>
      <c r="BB114" s="622">
        <f t="shared" si="75"/>
        <v>0</v>
      </c>
      <c r="BC114" s="622"/>
      <c r="BD114" s="622"/>
      <c r="BF114" s="622"/>
      <c r="BI114" s="304"/>
    </row>
    <row r="115" spans="1:61" ht="14.5">
      <c r="A115" s="201" t="s">
        <v>92</v>
      </c>
      <c r="F115" s="623"/>
      <c r="H115" s="556"/>
      <c r="P115" s="631"/>
      <c r="Z115" s="611"/>
      <c r="AH115" s="611"/>
      <c r="BI115" s="621" t="s">
        <v>92</v>
      </c>
    </row>
    <row r="116" spans="1:61" ht="14.5">
      <c r="A116" s="304">
        <v>600</v>
      </c>
      <c r="B116" s="624" t="s">
        <v>1370</v>
      </c>
      <c r="F116" s="623"/>
      <c r="H116" s="625">
        <f>SUM(H117:H121)</f>
        <v>-400413354</v>
      </c>
      <c r="J116" s="625">
        <f>SUM(J117:J121)</f>
        <v>-140144673.792</v>
      </c>
      <c r="K116" s="622"/>
      <c r="L116" s="625">
        <f>SUM(L117:L121)</f>
        <v>-84086803.483769998</v>
      </c>
      <c r="M116" s="622"/>
      <c r="N116" s="625">
        <f>SUM(N117:N121)</f>
        <v>-56057870.308230013</v>
      </c>
      <c r="O116" s="304"/>
      <c r="P116" s="524"/>
      <c r="Q116" s="304"/>
      <c r="R116" s="625">
        <f>SUM(R117:R121)</f>
        <v>0</v>
      </c>
      <c r="S116" s="622"/>
      <c r="T116" s="625">
        <f>SUM(T117:T121)</f>
        <v>-56057870.308230013</v>
      </c>
      <c r="U116" s="622"/>
      <c r="V116" s="625">
        <f>SUM(V117:V121)</f>
        <v>0</v>
      </c>
      <c r="W116" s="622"/>
      <c r="X116" s="625">
        <f>SUM(X117:X121)</f>
        <v>-56057870.308230013</v>
      </c>
      <c r="Y116" s="622"/>
      <c r="Z116" s="316"/>
      <c r="AA116" s="622"/>
      <c r="AB116" s="625">
        <f>SUM(AB117:AB121)</f>
        <v>0</v>
      </c>
      <c r="AC116" s="622"/>
      <c r="AD116" s="625">
        <f>SUM(AD117:AD121)</f>
        <v>-5686892.2123729549</v>
      </c>
      <c r="AE116" s="622"/>
      <c r="AF116" s="625">
        <f>SUM(AF117:AF121)</f>
        <v>0</v>
      </c>
      <c r="AG116" s="622"/>
      <c r="AH116" s="316"/>
      <c r="AI116" s="622"/>
      <c r="AJ116" s="625">
        <f>SUM(AJ117:AJ121)</f>
        <v>0</v>
      </c>
      <c r="AK116" s="622"/>
      <c r="AL116" s="625">
        <f>SUM(AL117:AL121)</f>
        <v>-50370978.095857061</v>
      </c>
      <c r="AM116" s="622"/>
      <c r="AN116" s="625">
        <f>SUM(AN117:AN121)</f>
        <v>0</v>
      </c>
      <c r="AO116" s="622"/>
      <c r="AP116" s="625">
        <f>SUM(AP117:AP121)</f>
        <v>-50370978.095857061</v>
      </c>
      <c r="AR116" s="625">
        <f>SUM(AR117:AR121)</f>
        <v>0</v>
      </c>
      <c r="AS116" s="622"/>
      <c r="AT116" s="625">
        <f>SUM(AT117:AT121)</f>
        <v>-1589736.4581676468</v>
      </c>
      <c r="AU116" s="622"/>
      <c r="AV116" s="625">
        <f>SUM(AV117:AV121)</f>
        <v>0</v>
      </c>
      <c r="AW116" s="622"/>
      <c r="AX116" s="625">
        <f>SUM(AX117:AX121)</f>
        <v>0</v>
      </c>
      <c r="AY116" s="622"/>
      <c r="AZ116" s="625">
        <f>SUM(AZ117:AZ121)</f>
        <v>-48781241.637689419</v>
      </c>
      <c r="BA116" s="622"/>
      <c r="BB116" s="625">
        <f>SUM(BB117:BB121)</f>
        <v>0</v>
      </c>
      <c r="BC116" s="622"/>
      <c r="BD116" s="625">
        <f>SUM(BD117:BD121)</f>
        <v>-48781241.637689419</v>
      </c>
      <c r="BF116" s="625">
        <f>SUM(BF117:BF121)</f>
        <v>-67736295.673887357</v>
      </c>
      <c r="BI116" s="304">
        <f t="shared" ref="BI116:BI121" si="78">A116</f>
        <v>600</v>
      </c>
    </row>
    <row r="117" spans="1:61" ht="14.5">
      <c r="A117" s="304">
        <f t="shared" ref="A117:A120" si="79">A116+1</f>
        <v>601</v>
      </c>
      <c r="B117" s="626" t="s">
        <v>1451</v>
      </c>
      <c r="F117" s="631" t="s">
        <v>1354</v>
      </c>
      <c r="H117" s="627">
        <v>-503886394</v>
      </c>
      <c r="J117" s="627">
        <v>-176360237.792</v>
      </c>
      <c r="K117" s="622"/>
      <c r="L117" s="627">
        <v>-105816142.47279657</v>
      </c>
      <c r="M117" s="622"/>
      <c r="N117" s="627">
        <v>-70544095.319203436</v>
      </c>
      <c r="P117" s="631" t="s">
        <v>1355</v>
      </c>
      <c r="R117" s="622">
        <v>0</v>
      </c>
      <c r="S117" s="622"/>
      <c r="T117" s="622">
        <f>+N117</f>
        <v>-70544095.319203436</v>
      </c>
      <c r="U117" s="622"/>
      <c r="V117" s="622">
        <v>0</v>
      </c>
      <c r="W117" s="622"/>
      <c r="X117" s="622">
        <f>SUM(R117:V117)</f>
        <v>-70544095.319203436</v>
      </c>
      <c r="Y117" s="622"/>
      <c r="Z117" s="316" t="s">
        <v>1382</v>
      </c>
      <c r="AA117" s="622"/>
      <c r="AB117" s="627"/>
      <c r="AC117" s="622"/>
      <c r="AD117" s="627">
        <v>-7156473.5530235711</v>
      </c>
      <c r="AE117" s="622"/>
      <c r="AF117" s="627"/>
      <c r="AG117" s="622"/>
      <c r="AH117" s="316" t="s">
        <v>1357</v>
      </c>
      <c r="AI117" s="622"/>
      <c r="AJ117" s="315">
        <f t="shared" ref="AJ117:AJ121" si="80">+R117-AB117</f>
        <v>0</v>
      </c>
      <c r="AK117" s="622"/>
      <c r="AL117" s="315">
        <f t="shared" ref="AL117:AL121" si="81">+T117-AD117</f>
        <v>-63387621.766179867</v>
      </c>
      <c r="AM117" s="622"/>
      <c r="AN117" s="315">
        <f t="shared" ref="AN117:AN121" si="82">+V117-AF117</f>
        <v>0</v>
      </c>
      <c r="AO117" s="622"/>
      <c r="AP117" s="622">
        <f t="shared" ref="AP117:AP121" si="83">SUM(AJ117:AN117)</f>
        <v>-63387621.766179867</v>
      </c>
      <c r="AR117" s="627"/>
      <c r="AS117" s="622"/>
      <c r="AT117" s="627">
        <v>-2000549.0686813835</v>
      </c>
      <c r="AU117" s="622"/>
      <c r="AV117" s="627"/>
      <c r="AW117" s="622"/>
      <c r="AX117" s="315">
        <f>+AJ117-AR117</f>
        <v>0</v>
      </c>
      <c r="AY117" s="622"/>
      <c r="AZ117" s="315">
        <f>+AL117-AT117</f>
        <v>-61387072.697498485</v>
      </c>
      <c r="BA117" s="622"/>
      <c r="BB117" s="315">
        <f>+AN117-AV117</f>
        <v>0</v>
      </c>
      <c r="BC117" s="622"/>
      <c r="BD117" s="622">
        <f>SUM(AX117:BB117)</f>
        <v>-61387072.697498485</v>
      </c>
      <c r="BF117" s="622">
        <f>+BD117*$BF$10</f>
        <v>-85240407.320413798</v>
      </c>
      <c r="BI117" s="304">
        <f t="shared" si="78"/>
        <v>601</v>
      </c>
    </row>
    <row r="118" spans="1:61" ht="14.5">
      <c r="A118" s="304">
        <f t="shared" si="79"/>
        <v>602</v>
      </c>
      <c r="B118" s="626" t="s">
        <v>1452</v>
      </c>
      <c r="F118" s="631" t="s">
        <v>1354</v>
      </c>
      <c r="H118" s="627">
        <v>103473040</v>
      </c>
      <c r="J118" s="627">
        <v>36215564</v>
      </c>
      <c r="K118" s="622"/>
      <c r="L118" s="627">
        <v>21729338.98902658</v>
      </c>
      <c r="M118" s="622"/>
      <c r="N118" s="627">
        <v>14486225.01097342</v>
      </c>
      <c r="P118" s="631" t="s">
        <v>1355</v>
      </c>
      <c r="R118" s="622">
        <v>0</v>
      </c>
      <c r="S118" s="622"/>
      <c r="T118" s="622">
        <f>+N118</f>
        <v>14486225.01097342</v>
      </c>
      <c r="U118" s="622"/>
      <c r="V118" s="622">
        <v>0</v>
      </c>
      <c r="W118" s="622"/>
      <c r="X118" s="622">
        <f t="shared" ref="X118:X121" si="84">SUM(R118:V118)</f>
        <v>14486225.01097342</v>
      </c>
      <c r="Y118" s="622"/>
      <c r="Z118" s="316" t="s">
        <v>1382</v>
      </c>
      <c r="AA118" s="622"/>
      <c r="AB118" s="627"/>
      <c r="AC118" s="622"/>
      <c r="AD118" s="627">
        <v>1469581.3406506167</v>
      </c>
      <c r="AE118" s="622"/>
      <c r="AF118" s="627"/>
      <c r="AG118" s="622"/>
      <c r="AH118" s="316" t="s">
        <v>1357</v>
      </c>
      <c r="AI118" s="622"/>
      <c r="AJ118" s="315">
        <f t="shared" si="80"/>
        <v>0</v>
      </c>
      <c r="AK118" s="622"/>
      <c r="AL118" s="315">
        <f t="shared" si="81"/>
        <v>13016643.670322804</v>
      </c>
      <c r="AM118" s="622"/>
      <c r="AN118" s="315">
        <f t="shared" si="82"/>
        <v>0</v>
      </c>
      <c r="AO118" s="622"/>
      <c r="AP118" s="622">
        <f t="shared" si="83"/>
        <v>13016643.670322804</v>
      </c>
      <c r="AR118" s="627"/>
      <c r="AS118" s="622"/>
      <c r="AT118" s="627">
        <v>410812.61051373678</v>
      </c>
      <c r="AU118" s="622"/>
      <c r="AV118" s="627"/>
      <c r="AW118" s="622"/>
      <c r="AX118" s="315">
        <f>+AJ118-AR118</f>
        <v>0</v>
      </c>
      <c r="AY118" s="622"/>
      <c r="AZ118" s="315">
        <f>+AL118-AT118</f>
        <v>12605831.059809066</v>
      </c>
      <c r="BA118" s="622"/>
      <c r="BB118" s="315">
        <f>+AN118-AV118</f>
        <v>0</v>
      </c>
      <c r="BC118" s="622"/>
      <c r="BD118" s="622">
        <f t="shared" ref="BD118:BD121" si="85">SUM(AX118:BB118)</f>
        <v>12605831.059809066</v>
      </c>
      <c r="BF118" s="622">
        <f>+BD118*$BF$10</f>
        <v>17504111.646526437</v>
      </c>
      <c r="BI118" s="304">
        <f t="shared" si="78"/>
        <v>602</v>
      </c>
    </row>
    <row r="119" spans="1:61" ht="14.5">
      <c r="A119" s="304">
        <f t="shared" si="79"/>
        <v>603</v>
      </c>
      <c r="B119" s="626" t="s">
        <v>1453</v>
      </c>
      <c r="F119" s="631" t="s">
        <v>1354</v>
      </c>
      <c r="H119" s="627">
        <v>0</v>
      </c>
      <c r="J119" s="627">
        <v>0</v>
      </c>
      <c r="K119" s="622"/>
      <c r="L119" s="627">
        <v>0</v>
      </c>
      <c r="M119" s="622"/>
      <c r="N119" s="627">
        <v>0</v>
      </c>
      <c r="P119" s="631" t="s">
        <v>1355</v>
      </c>
      <c r="R119" s="622">
        <f t="shared" ref="R119:R120" si="86">+N119</f>
        <v>0</v>
      </c>
      <c r="S119" s="622"/>
      <c r="T119" s="622">
        <v>0</v>
      </c>
      <c r="U119" s="622"/>
      <c r="V119" s="622">
        <v>0</v>
      </c>
      <c r="W119" s="622"/>
      <c r="X119" s="622">
        <f t="shared" si="84"/>
        <v>0</v>
      </c>
      <c r="Y119" s="622"/>
      <c r="Z119" s="316"/>
      <c r="AA119" s="622"/>
      <c r="AB119" s="627"/>
      <c r="AC119" s="622"/>
      <c r="AD119" s="627">
        <v>0</v>
      </c>
      <c r="AE119" s="622"/>
      <c r="AF119" s="627"/>
      <c r="AG119" s="622"/>
      <c r="AH119" s="316"/>
      <c r="AI119" s="622"/>
      <c r="AJ119" s="315">
        <f t="shared" si="80"/>
        <v>0</v>
      </c>
      <c r="AK119" s="622"/>
      <c r="AL119" s="315">
        <f t="shared" si="81"/>
        <v>0</v>
      </c>
      <c r="AM119" s="622"/>
      <c r="AN119" s="315">
        <f t="shared" si="82"/>
        <v>0</v>
      </c>
      <c r="AO119" s="622"/>
      <c r="AP119" s="622">
        <f t="shared" si="83"/>
        <v>0</v>
      </c>
      <c r="AR119" s="627"/>
      <c r="AS119" s="622"/>
      <c r="AT119" s="627">
        <v>0</v>
      </c>
      <c r="AU119" s="622"/>
      <c r="AV119" s="627"/>
      <c r="AW119" s="622"/>
      <c r="AX119" s="315">
        <f>+AJ119-AR119</f>
        <v>0</v>
      </c>
      <c r="AY119" s="622"/>
      <c r="AZ119" s="315">
        <f>+AL119-AT119</f>
        <v>0</v>
      </c>
      <c r="BA119" s="622"/>
      <c r="BB119" s="315">
        <f>+AN119-AV119</f>
        <v>0</v>
      </c>
      <c r="BC119" s="622"/>
      <c r="BD119" s="622">
        <f t="shared" si="85"/>
        <v>0</v>
      </c>
      <c r="BF119" s="622">
        <f>+N119*$BF$10</f>
        <v>0</v>
      </c>
      <c r="BI119" s="304">
        <f t="shared" si="78"/>
        <v>603</v>
      </c>
    </row>
    <row r="120" spans="1:61" ht="14.5">
      <c r="A120" s="304">
        <f t="shared" si="79"/>
        <v>604</v>
      </c>
      <c r="B120" s="628" t="s">
        <v>119</v>
      </c>
      <c r="F120" s="623"/>
      <c r="H120" s="627"/>
      <c r="J120" s="627">
        <v>0</v>
      </c>
      <c r="K120" s="622"/>
      <c r="L120" s="627">
        <v>0</v>
      </c>
      <c r="M120" s="622"/>
      <c r="N120" s="627">
        <v>0</v>
      </c>
      <c r="P120" s="631"/>
      <c r="R120" s="622">
        <f t="shared" si="86"/>
        <v>0</v>
      </c>
      <c r="S120" s="622"/>
      <c r="T120" s="622">
        <v>0</v>
      </c>
      <c r="U120" s="622"/>
      <c r="V120" s="622">
        <v>0</v>
      </c>
      <c r="W120" s="622"/>
      <c r="X120" s="622">
        <f t="shared" si="84"/>
        <v>0</v>
      </c>
      <c r="Y120" s="622"/>
      <c r="Z120" s="316"/>
      <c r="AA120" s="622"/>
      <c r="AB120" s="627"/>
      <c r="AC120" s="622"/>
      <c r="AD120" s="627">
        <v>0</v>
      </c>
      <c r="AE120" s="622"/>
      <c r="AF120" s="627"/>
      <c r="AG120" s="622"/>
      <c r="AH120" s="622"/>
      <c r="AI120" s="622"/>
      <c r="AJ120" s="315">
        <f t="shared" si="80"/>
        <v>0</v>
      </c>
      <c r="AK120" s="622"/>
      <c r="AL120" s="315">
        <f t="shared" si="81"/>
        <v>0</v>
      </c>
      <c r="AM120" s="622"/>
      <c r="AN120" s="315">
        <f t="shared" si="82"/>
        <v>0</v>
      </c>
      <c r="AO120" s="622"/>
      <c r="AP120" s="622">
        <f t="shared" si="83"/>
        <v>0</v>
      </c>
      <c r="AR120" s="627"/>
      <c r="AS120" s="622"/>
      <c r="AT120" s="627"/>
      <c r="AU120" s="622"/>
      <c r="AV120" s="627"/>
      <c r="AW120" s="622"/>
      <c r="AX120" s="315">
        <f>+AJ120-AR120</f>
        <v>0</v>
      </c>
      <c r="AY120" s="622"/>
      <c r="AZ120" s="315">
        <f>+AL120-AT120</f>
        <v>0</v>
      </c>
      <c r="BA120" s="622"/>
      <c r="BB120" s="315">
        <f>+AN120-AV120</f>
        <v>0</v>
      </c>
      <c r="BC120" s="622"/>
      <c r="BD120" s="622">
        <f t="shared" si="85"/>
        <v>0</v>
      </c>
      <c r="BF120" s="622">
        <f>+N119*$BF$10</f>
        <v>0</v>
      </c>
      <c r="BI120" s="304">
        <f t="shared" si="78"/>
        <v>604</v>
      </c>
    </row>
    <row r="121" spans="1:61" ht="14.5">
      <c r="A121" s="304">
        <f>+A120+1</f>
        <v>605</v>
      </c>
      <c r="B121" s="628" t="s">
        <v>119</v>
      </c>
      <c r="F121" s="623"/>
      <c r="H121" s="627"/>
      <c r="J121" s="627">
        <v>0</v>
      </c>
      <c r="K121" s="622"/>
      <c r="L121" s="627">
        <v>0</v>
      </c>
      <c r="M121" s="622"/>
      <c r="N121" s="627">
        <v>0</v>
      </c>
      <c r="P121" s="623"/>
      <c r="R121" s="622">
        <v>0</v>
      </c>
      <c r="S121" s="622"/>
      <c r="T121" s="622">
        <v>0</v>
      </c>
      <c r="U121" s="622"/>
      <c r="V121" s="622">
        <v>0</v>
      </c>
      <c r="W121" s="622"/>
      <c r="X121" s="622">
        <f t="shared" si="84"/>
        <v>0</v>
      </c>
      <c r="Y121" s="622"/>
      <c r="Z121" s="316"/>
      <c r="AA121" s="622"/>
      <c r="AB121" s="627"/>
      <c r="AC121" s="622"/>
      <c r="AD121" s="627">
        <v>0</v>
      </c>
      <c r="AE121" s="622"/>
      <c r="AF121" s="627"/>
      <c r="AG121" s="622"/>
      <c r="AH121" s="622"/>
      <c r="AI121" s="622"/>
      <c r="AJ121" s="315">
        <f t="shared" si="80"/>
        <v>0</v>
      </c>
      <c r="AK121" s="622"/>
      <c r="AL121" s="315">
        <f t="shared" si="81"/>
        <v>0</v>
      </c>
      <c r="AM121" s="622"/>
      <c r="AN121" s="315">
        <f t="shared" si="82"/>
        <v>0</v>
      </c>
      <c r="AO121" s="622"/>
      <c r="AP121" s="622">
        <f t="shared" si="83"/>
        <v>0</v>
      </c>
      <c r="AR121" s="627"/>
      <c r="AS121" s="622"/>
      <c r="AT121" s="627"/>
      <c r="AU121" s="622"/>
      <c r="AV121" s="627"/>
      <c r="AW121" s="622"/>
      <c r="AX121" s="315">
        <f>+AJ121-AR121</f>
        <v>0</v>
      </c>
      <c r="AY121" s="622"/>
      <c r="AZ121" s="315">
        <f>+AL121-AT121</f>
        <v>0</v>
      </c>
      <c r="BA121" s="622"/>
      <c r="BB121" s="315">
        <f>+AN121-AV121</f>
        <v>0</v>
      </c>
      <c r="BC121" s="622"/>
      <c r="BD121" s="622">
        <f t="shared" si="85"/>
        <v>0</v>
      </c>
      <c r="BF121" s="622">
        <f>+N120*$BF$10</f>
        <v>0</v>
      </c>
      <c r="BI121" s="304">
        <f t="shared" si="78"/>
        <v>605</v>
      </c>
    </row>
    <row r="122" spans="1:61" ht="14.5">
      <c r="A122" s="304"/>
      <c r="B122" s="524"/>
      <c r="H122" s="622"/>
      <c r="J122" s="622"/>
      <c r="K122" s="622"/>
      <c r="L122" s="622"/>
      <c r="M122" s="622"/>
      <c r="N122" s="622"/>
      <c r="R122" s="622"/>
      <c r="S122" s="622"/>
      <c r="T122" s="622"/>
      <c r="U122" s="622"/>
      <c r="V122" s="622"/>
      <c r="W122" s="622"/>
      <c r="X122" s="622"/>
      <c r="Y122" s="622"/>
      <c r="Z122" s="316"/>
      <c r="AA122" s="622"/>
      <c r="AB122" s="622"/>
      <c r="AC122" s="622"/>
      <c r="AD122" s="622"/>
      <c r="AE122" s="622"/>
      <c r="AF122" s="622"/>
      <c r="AG122" s="622"/>
      <c r="AH122" s="622"/>
      <c r="AI122" s="622"/>
      <c r="AJ122" s="315"/>
      <c r="AK122" s="622"/>
      <c r="AL122" s="315"/>
      <c r="AM122" s="622"/>
      <c r="AN122" s="315"/>
      <c r="AO122" s="622"/>
      <c r="AP122" s="622"/>
      <c r="AR122" s="622"/>
      <c r="AS122" s="622"/>
      <c r="AT122" s="622"/>
      <c r="AU122" s="622"/>
      <c r="AV122" s="622"/>
      <c r="AW122" s="622"/>
      <c r="AX122" s="315"/>
      <c r="AY122" s="622"/>
      <c r="AZ122" s="315"/>
      <c r="BA122" s="622"/>
      <c r="BB122" s="315"/>
      <c r="BC122" s="622"/>
      <c r="BD122" s="622"/>
      <c r="BI122" s="304"/>
    </row>
    <row r="123" spans="1:61" ht="14.5">
      <c r="A123" s="304"/>
      <c r="B123" s="524"/>
      <c r="H123" s="622"/>
      <c r="J123" s="622"/>
      <c r="K123" s="622"/>
      <c r="L123" s="622"/>
      <c r="M123" s="622"/>
      <c r="N123" s="622"/>
      <c r="R123" s="622"/>
      <c r="S123" s="622"/>
      <c r="T123" s="622"/>
      <c r="U123" s="622"/>
      <c r="V123" s="622"/>
      <c r="W123" s="622"/>
      <c r="X123" s="622"/>
      <c r="Y123" s="622"/>
      <c r="Z123" s="316"/>
      <c r="AA123" s="622"/>
      <c r="AB123" s="622"/>
      <c r="AC123" s="622"/>
      <c r="AD123" s="622"/>
      <c r="AE123" s="622"/>
      <c r="AF123" s="622"/>
      <c r="AG123" s="622"/>
      <c r="AH123" s="622"/>
      <c r="AI123" s="622"/>
      <c r="AJ123" s="315"/>
      <c r="AK123" s="622"/>
      <c r="AL123" s="315"/>
      <c r="AM123" s="622"/>
      <c r="AN123" s="315"/>
      <c r="AO123" s="622"/>
      <c r="AP123" s="622"/>
      <c r="AR123" s="622"/>
      <c r="AS123" s="622"/>
      <c r="AT123" s="622"/>
      <c r="AU123" s="622"/>
      <c r="AV123" s="622"/>
      <c r="AW123" s="622"/>
      <c r="AX123" s="315"/>
      <c r="AY123" s="622"/>
      <c r="AZ123" s="315"/>
      <c r="BA123" s="622"/>
      <c r="BB123" s="315"/>
      <c r="BC123" s="622"/>
      <c r="BD123" s="622"/>
      <c r="BI123" s="304"/>
    </row>
    <row r="124" spans="1:61">
      <c r="A124" s="555" t="s">
        <v>103</v>
      </c>
      <c r="B124" s="750" t="s">
        <v>1454</v>
      </c>
      <c r="C124" s="750"/>
      <c r="D124" s="750"/>
      <c r="E124" s="750"/>
      <c r="F124" s="750"/>
      <c r="G124" s="750"/>
      <c r="H124" s="750"/>
      <c r="I124" s="750"/>
      <c r="J124" s="750"/>
      <c r="K124" s="750"/>
      <c r="L124" s="750"/>
      <c r="Z124" s="611"/>
    </row>
    <row r="125" spans="1:61">
      <c r="A125" s="555" t="s">
        <v>1353</v>
      </c>
      <c r="B125" s="750" t="s">
        <v>1455</v>
      </c>
      <c r="C125" s="750"/>
      <c r="D125" s="750"/>
      <c r="Z125" s="611"/>
    </row>
    <row r="126" spans="1:61">
      <c r="A126" s="555" t="s">
        <v>1456</v>
      </c>
      <c r="B126" s="750" t="s">
        <v>1457</v>
      </c>
      <c r="C126" s="750"/>
      <c r="D126" s="750"/>
      <c r="Z126" s="611"/>
    </row>
    <row r="127" spans="1:61">
      <c r="A127" s="555" t="s">
        <v>1359</v>
      </c>
      <c r="B127" s="750" t="s">
        <v>1458</v>
      </c>
      <c r="C127" s="750"/>
      <c r="D127" s="750"/>
      <c r="Z127" s="611"/>
    </row>
    <row r="128" spans="1:61">
      <c r="A128" s="555" t="s">
        <v>1362</v>
      </c>
      <c r="B128" s="750" t="s">
        <v>1459</v>
      </c>
      <c r="C128" s="750"/>
      <c r="D128" s="750"/>
    </row>
    <row r="129" spans="1:10">
      <c r="A129" s="555" t="s">
        <v>1368</v>
      </c>
      <c r="B129" s="750" t="s">
        <v>1460</v>
      </c>
      <c r="C129" s="750"/>
      <c r="D129" s="750"/>
    </row>
    <row r="130" spans="1:10">
      <c r="A130" s="555" t="s">
        <v>1331</v>
      </c>
      <c r="B130" s="750" t="s">
        <v>1461</v>
      </c>
      <c r="C130" s="750"/>
      <c r="D130" s="750"/>
    </row>
    <row r="131" spans="1:10">
      <c r="A131" s="555" t="s">
        <v>1462</v>
      </c>
      <c r="B131" s="750" t="s">
        <v>1463</v>
      </c>
      <c r="C131" s="750"/>
      <c r="D131" s="750"/>
    </row>
    <row r="132" spans="1:10" ht="12.75" customHeight="1">
      <c r="A132" s="555" t="s">
        <v>1336</v>
      </c>
      <c r="B132" s="750" t="s">
        <v>1464</v>
      </c>
      <c r="C132" s="750"/>
      <c r="D132" s="750"/>
      <c r="E132" s="750"/>
      <c r="F132" s="750"/>
      <c r="G132" s="750"/>
      <c r="H132" s="750"/>
      <c r="I132" s="750"/>
      <c r="J132" s="750"/>
    </row>
    <row r="133" spans="1:10">
      <c r="A133" s="555" t="s">
        <v>1465</v>
      </c>
      <c r="B133" s="556" t="s">
        <v>1466</v>
      </c>
      <c r="C133" s="556"/>
      <c r="D133" s="556"/>
    </row>
  </sheetData>
  <mergeCells count="18">
    <mergeCell ref="B131:D131"/>
    <mergeCell ref="B132:J132"/>
    <mergeCell ref="B126:D126"/>
    <mergeCell ref="B127:D127"/>
    <mergeCell ref="B128:D128"/>
    <mergeCell ref="B129:D129"/>
    <mergeCell ref="B130:D130"/>
    <mergeCell ref="R7:X7"/>
    <mergeCell ref="AJ7:AP7"/>
    <mergeCell ref="AX7:BD7"/>
    <mergeCell ref="B124:L124"/>
    <mergeCell ref="B125:D125"/>
    <mergeCell ref="J4:N4"/>
    <mergeCell ref="R4:V4"/>
    <mergeCell ref="AJ4:AN4"/>
    <mergeCell ref="AX4:BB4"/>
    <mergeCell ref="AB6:AF6"/>
    <mergeCell ref="AR6:AV6"/>
  </mergeCells>
  <phoneticPr fontId="104" type="noConversion"/>
  <printOptions horizontalCentered="1"/>
  <pageMargins left="1" right="1" top="1" bottom="1" header="0.5" footer="0.5"/>
  <pageSetup scale="13" fitToHeight="0" orientation="landscape" r:id="rId1"/>
  <headerFooter>
    <oddHeader xml:space="preserve">&amp;C&amp;"-,Bold"Pacific Gas and Electric Company
Formula Rate Model
Schedule &amp;A&amp;R&amp;10Docket No. ER20-2878-000, et al.
Annual Update RY2024
&amp;F
</oddHeader>
  </headerFooter>
  <colBreaks count="2" manualBreakCount="2">
    <brk id="25" max="142" man="1"/>
    <brk id="43" max="142" man="1"/>
  </colBreaks>
  <customProperties>
    <customPr name="EpmWorksheetKeyString_GU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0C332-EE45-4FD9-9890-9172B781A573}">
  <sheetPr>
    <pageSetUpPr fitToPage="1"/>
  </sheetPr>
  <dimension ref="A1:BI132"/>
  <sheetViews>
    <sheetView view="pageBreakPreview" topLeftCell="A4" zoomScale="25" zoomScaleNormal="55" zoomScaleSheetLayoutView="25" zoomScalePageLayoutView="70" workbookViewId="0">
      <selection activeCell="D45" sqref="D45"/>
    </sheetView>
  </sheetViews>
  <sheetFormatPr defaultColWidth="9.1796875" defaultRowHeight="12.5"/>
  <cols>
    <col min="1" max="1" width="7.54296875" style="610" bestFit="1" customWidth="1"/>
    <col min="2" max="2" width="44.54296875" style="610" customWidth="1"/>
    <col min="3" max="3" width="29.81640625" style="610" customWidth="1"/>
    <col min="4" max="4" width="38.81640625" style="610" customWidth="1"/>
    <col min="5" max="5" width="1.7265625" style="610" customWidth="1"/>
    <col min="6" max="6" width="21" style="610" bestFit="1" customWidth="1"/>
    <col min="7" max="7" width="2.26953125" style="610" customWidth="1"/>
    <col min="8" max="8" width="18.54296875" style="610" bestFit="1" customWidth="1"/>
    <col min="9" max="9" width="1.81640625" style="610" customWidth="1"/>
    <col min="10" max="10" width="19.1796875" style="610" customWidth="1"/>
    <col min="11" max="11" width="1.7265625" style="610" customWidth="1"/>
    <col min="12" max="12" width="20.453125" style="610" bestFit="1" customWidth="1"/>
    <col min="13" max="13" width="1.7265625" style="610" customWidth="1"/>
    <col min="14" max="14" width="23.26953125" style="610" customWidth="1"/>
    <col min="15" max="15" width="1.7265625" style="610" customWidth="1"/>
    <col min="16" max="16" width="22.1796875" style="610" customWidth="1"/>
    <col min="17" max="17" width="1.7265625" style="610" customWidth="1"/>
    <col min="18" max="18" width="21" style="610" customWidth="1"/>
    <col min="19" max="19" width="1.7265625" style="610" customWidth="1"/>
    <col min="20" max="20" width="20.453125" style="610" customWidth="1"/>
    <col min="21" max="21" width="1.7265625" style="610" customWidth="1"/>
    <col min="22" max="22" width="21.26953125" style="610" customWidth="1"/>
    <col min="23" max="23" width="1.7265625" style="610" customWidth="1"/>
    <col min="24" max="24" width="22.453125" style="610" customWidth="1"/>
    <col min="25" max="25" width="1.7265625" style="610" customWidth="1"/>
    <col min="26" max="26" width="25.81640625" style="610" bestFit="1" customWidth="1"/>
    <col min="27" max="27" width="1.7265625" style="610" customWidth="1"/>
    <col min="28" max="28" width="17.26953125" style="610" customWidth="1"/>
    <col min="29" max="29" width="1.7265625" style="610" customWidth="1"/>
    <col min="30" max="30" width="17.26953125" style="610" customWidth="1"/>
    <col min="31" max="31" width="1.7265625" style="610" customWidth="1"/>
    <col min="32" max="32" width="17.26953125" style="610" customWidth="1"/>
    <col min="33" max="33" width="1.7265625" style="610" customWidth="1"/>
    <col min="34" max="34" width="21.81640625" style="610" bestFit="1" customWidth="1"/>
    <col min="35" max="35" width="1.7265625" style="610" customWidth="1"/>
    <col min="36" max="36" width="21.81640625" style="610" customWidth="1"/>
    <col min="37" max="37" width="1.7265625" style="610" customWidth="1"/>
    <col min="38" max="38" width="21.81640625" style="610" customWidth="1"/>
    <col min="39" max="39" width="1.7265625" style="610" customWidth="1"/>
    <col min="40" max="40" width="21.81640625" style="610" customWidth="1"/>
    <col min="41" max="41" width="1.7265625" style="610" customWidth="1"/>
    <col min="42" max="42" width="21.81640625" style="610" customWidth="1"/>
    <col min="43" max="43" width="1.7265625" style="610" customWidth="1"/>
    <col min="44" max="44" width="17.26953125" style="610" customWidth="1"/>
    <col min="45" max="45" width="1.7265625" style="610" customWidth="1"/>
    <col min="46" max="46" width="17.26953125" style="610" customWidth="1"/>
    <col min="47" max="47" width="1.7265625" style="610" customWidth="1"/>
    <col min="48" max="48" width="17.26953125" style="610" customWidth="1"/>
    <col min="49" max="49" width="1.7265625" style="610" customWidth="1"/>
    <col min="50" max="50" width="30.1796875" style="610" customWidth="1"/>
    <col min="51" max="51" width="1.7265625" style="610" customWidth="1"/>
    <col min="52" max="52" width="27.81640625" style="610" customWidth="1"/>
    <col min="53" max="53" width="1.7265625" style="610" customWidth="1"/>
    <col min="54" max="54" width="27.81640625" style="610" customWidth="1"/>
    <col min="55" max="55" width="1.7265625" style="610" customWidth="1"/>
    <col min="56" max="56" width="25.26953125" style="610" customWidth="1"/>
    <col min="57" max="57" width="1.7265625" style="610" customWidth="1"/>
    <col min="58" max="58" width="25.54296875" style="556" customWidth="1"/>
    <col min="59" max="59" width="1.7265625" style="610" customWidth="1"/>
    <col min="60" max="60" width="22.7265625" style="610" bestFit="1" customWidth="1"/>
    <col min="61" max="61" width="7.54296875" style="610" bestFit="1" customWidth="1"/>
    <col min="62" max="16384" width="9.1796875" style="610"/>
  </cols>
  <sheetData>
    <row r="1" spans="1:61" ht="14.5">
      <c r="B1" s="54" t="s">
        <v>1298</v>
      </c>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90" t="str">
        <f>CONCATENATE("Prior Year: ",'1-DRR'!$K$2)</f>
        <v>Prior Year: 2022</v>
      </c>
    </row>
    <row r="2" spans="1:61" ht="14.5">
      <c r="A2" s="54"/>
      <c r="B2" s="320" t="s">
        <v>122</v>
      </c>
      <c r="C2" s="320"/>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row>
    <row r="3" spans="1:61" ht="14.5">
      <c r="A3" s="293"/>
      <c r="B3" s="293"/>
      <c r="C3" s="293"/>
      <c r="D3" s="293"/>
      <c r="E3" s="293"/>
      <c r="F3" s="293"/>
      <c r="G3" s="293"/>
      <c r="H3" s="293"/>
      <c r="I3" s="293"/>
      <c r="J3" s="293"/>
      <c r="K3" s="293"/>
      <c r="L3" s="293"/>
      <c r="M3" s="293"/>
      <c r="N3" s="293"/>
      <c r="O3" s="293"/>
      <c r="P3" s="293"/>
      <c r="Q3" s="293"/>
      <c r="R3" s="293"/>
      <c r="S3" s="293"/>
      <c r="T3" s="29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row>
    <row r="4" spans="1:61" ht="12" customHeight="1">
      <c r="J4" s="747" t="s">
        <v>1299</v>
      </c>
      <c r="K4" s="747"/>
      <c r="L4" s="747"/>
      <c r="M4" s="747"/>
      <c r="N4" s="747"/>
      <c r="O4" s="611"/>
      <c r="P4" s="612" t="s">
        <v>1300</v>
      </c>
      <c r="R4" s="747" t="s">
        <v>1301</v>
      </c>
      <c r="S4" s="747"/>
      <c r="T4" s="747"/>
      <c r="U4" s="747"/>
      <c r="V4" s="747"/>
      <c r="Z4" s="613" t="s">
        <v>1302</v>
      </c>
      <c r="AH4" s="612" t="s">
        <v>1303</v>
      </c>
      <c r="AI4" s="611"/>
      <c r="AJ4" s="747" t="s">
        <v>1301</v>
      </c>
      <c r="AK4" s="747"/>
      <c r="AL4" s="747"/>
      <c r="AM4" s="747"/>
      <c r="AN4" s="747"/>
      <c r="AO4" s="611"/>
      <c r="AP4" s="611"/>
      <c r="AX4" s="747" t="s">
        <v>1301</v>
      </c>
      <c r="AY4" s="747"/>
      <c r="AZ4" s="747"/>
      <c r="BA4" s="747"/>
      <c r="BB4" s="747"/>
      <c r="BC4" s="611"/>
      <c r="BD4" s="611"/>
      <c r="BF4" s="614"/>
    </row>
    <row r="5" spans="1:61" ht="21" customHeight="1">
      <c r="A5" s="615"/>
      <c r="B5" s="615"/>
      <c r="C5" s="615"/>
      <c r="D5" s="615"/>
      <c r="E5" s="615"/>
      <c r="F5" s="524"/>
      <c r="G5" s="615"/>
      <c r="H5" s="303" t="s">
        <v>1304</v>
      </c>
      <c r="I5" s="615"/>
      <c r="J5" s="303" t="s">
        <v>124</v>
      </c>
      <c r="K5" s="303"/>
      <c r="L5" s="303" t="s">
        <v>125</v>
      </c>
      <c r="M5" s="303"/>
      <c r="N5" s="303" t="s">
        <v>126</v>
      </c>
      <c r="O5" s="303"/>
      <c r="P5" s="303" t="s">
        <v>127</v>
      </c>
      <c r="Q5" s="303"/>
      <c r="R5" s="303" t="s">
        <v>420</v>
      </c>
      <c r="S5" s="303"/>
      <c r="T5" s="303" t="s">
        <v>421</v>
      </c>
      <c r="U5" s="303"/>
      <c r="V5" s="303" t="s">
        <v>422</v>
      </c>
      <c r="W5" s="303"/>
      <c r="X5" s="303" t="s">
        <v>423</v>
      </c>
      <c r="Y5" s="303"/>
      <c r="Z5" s="303" t="s">
        <v>424</v>
      </c>
      <c r="AA5" s="304"/>
      <c r="AB5" s="304" t="s">
        <v>692</v>
      </c>
      <c r="AC5" s="304"/>
      <c r="AD5" s="304" t="s">
        <v>693</v>
      </c>
      <c r="AE5" s="304"/>
      <c r="AF5" s="304" t="s">
        <v>694</v>
      </c>
      <c r="AG5" s="304"/>
      <c r="AH5" s="525" t="s">
        <v>695</v>
      </c>
      <c r="AI5" s="304"/>
      <c r="AJ5" s="304" t="s">
        <v>696</v>
      </c>
      <c r="AK5" s="304"/>
      <c r="AL5" s="304" t="s">
        <v>697</v>
      </c>
      <c r="AM5" s="304"/>
      <c r="AN5" s="304" t="s">
        <v>698</v>
      </c>
      <c r="AO5" s="304"/>
      <c r="AP5" s="304" t="s">
        <v>699</v>
      </c>
      <c r="AQ5" s="304"/>
      <c r="AR5" s="304" t="s">
        <v>700</v>
      </c>
      <c r="AS5" s="304"/>
      <c r="AT5" s="304" t="s">
        <v>701</v>
      </c>
      <c r="AU5" s="304"/>
      <c r="AV5" s="304" t="s">
        <v>702</v>
      </c>
      <c r="AW5" s="304"/>
      <c r="AX5" s="304" t="s">
        <v>703</v>
      </c>
      <c r="AY5" s="304"/>
      <c r="AZ5" s="304" t="s">
        <v>704</v>
      </c>
      <c r="BA5" s="304"/>
      <c r="BB5" s="304" t="s">
        <v>705</v>
      </c>
      <c r="BC5" s="304"/>
      <c r="BD5" s="304" t="s">
        <v>706</v>
      </c>
      <c r="BE5" s="304"/>
      <c r="BF5" s="303" t="s">
        <v>707</v>
      </c>
      <c r="BG5" s="304"/>
      <c r="BH5" s="615"/>
      <c r="BI5" s="615"/>
    </row>
    <row r="6" spans="1:61" ht="51.75" customHeight="1">
      <c r="A6" s="615"/>
      <c r="B6" s="615"/>
      <c r="C6" s="615"/>
      <c r="D6" s="615"/>
      <c r="E6" s="615"/>
      <c r="F6" s="524"/>
      <c r="G6" s="615"/>
      <c r="H6" s="304"/>
      <c r="I6" s="615"/>
      <c r="J6" s="304"/>
      <c r="K6" s="304"/>
      <c r="L6" s="304"/>
      <c r="M6" s="304"/>
      <c r="N6" s="304" t="s">
        <v>1305</v>
      </c>
      <c r="O6" s="304"/>
      <c r="P6" s="304"/>
      <c r="Q6" s="304"/>
      <c r="R6" s="303"/>
      <c r="S6" s="303"/>
      <c r="T6" s="303"/>
      <c r="U6" s="303"/>
      <c r="V6" s="303"/>
      <c r="W6" s="303"/>
      <c r="X6" s="303" t="s">
        <v>1306</v>
      </c>
      <c r="Y6" s="304"/>
      <c r="Z6" s="304"/>
      <c r="AA6" s="304"/>
      <c r="AB6" s="748" t="s">
        <v>1307</v>
      </c>
      <c r="AC6" s="748"/>
      <c r="AD6" s="748"/>
      <c r="AE6" s="748"/>
      <c r="AF6" s="748"/>
      <c r="AG6" s="304"/>
      <c r="AH6" s="304"/>
      <c r="AI6" s="304"/>
      <c r="AJ6" s="304" t="s">
        <v>1308</v>
      </c>
      <c r="AK6" s="304"/>
      <c r="AL6" s="304" t="s">
        <v>1309</v>
      </c>
      <c r="AM6" s="304"/>
      <c r="AN6" s="304" t="s">
        <v>1310</v>
      </c>
      <c r="AO6" s="304"/>
      <c r="AP6" s="304" t="s">
        <v>1311</v>
      </c>
      <c r="AQ6" s="304"/>
      <c r="AR6" s="748" t="s">
        <v>1312</v>
      </c>
      <c r="AS6" s="748"/>
      <c r="AT6" s="748"/>
      <c r="AU6" s="748"/>
      <c r="AV6" s="748"/>
      <c r="AW6" s="304"/>
      <c r="AX6" s="304" t="s">
        <v>1313</v>
      </c>
      <c r="AY6" s="304"/>
      <c r="AZ6" s="304" t="s">
        <v>1314</v>
      </c>
      <c r="BA6" s="304"/>
      <c r="BB6" s="304" t="s">
        <v>1315</v>
      </c>
      <c r="BC6" s="304"/>
      <c r="BD6" s="304" t="s">
        <v>1316</v>
      </c>
      <c r="BE6" s="304"/>
      <c r="BF6" s="526" t="s">
        <v>1317</v>
      </c>
      <c r="BG6" s="304"/>
      <c r="BH6" s="615"/>
      <c r="BI6" s="615"/>
    </row>
    <row r="7" spans="1:61" ht="31.5" customHeight="1">
      <c r="B7" s="305"/>
      <c r="C7" s="305"/>
      <c r="D7" s="305"/>
      <c r="E7" s="305"/>
      <c r="F7" s="307" t="s">
        <v>1318</v>
      </c>
      <c r="G7" s="305"/>
      <c r="H7" s="306" t="s">
        <v>1319</v>
      </c>
      <c r="I7" s="305"/>
      <c r="J7" s="306" t="s">
        <v>1320</v>
      </c>
      <c r="K7" s="305"/>
      <c r="L7" s="306" t="s">
        <v>1321</v>
      </c>
      <c r="M7" s="305"/>
      <c r="N7" s="526" t="s">
        <v>1322</v>
      </c>
      <c r="O7" s="307"/>
      <c r="P7" s="307" t="s">
        <v>608</v>
      </c>
      <c r="Q7" s="305"/>
      <c r="R7" s="749" t="s">
        <v>1323</v>
      </c>
      <c r="S7" s="749"/>
      <c r="T7" s="749"/>
      <c r="U7" s="749"/>
      <c r="V7" s="749"/>
      <c r="W7" s="749"/>
      <c r="X7" s="749"/>
      <c r="Y7" s="306"/>
      <c r="Z7" s="306"/>
      <c r="AA7" s="306"/>
      <c r="AB7" s="306" t="s">
        <v>1324</v>
      </c>
      <c r="AC7" s="306"/>
      <c r="AD7" s="306" t="s">
        <v>1324</v>
      </c>
      <c r="AE7" s="306"/>
      <c r="AF7" s="306" t="s">
        <v>1324</v>
      </c>
      <c r="AG7" s="306"/>
      <c r="AH7" s="306" t="s">
        <v>608</v>
      </c>
      <c r="AI7" s="306"/>
      <c r="AJ7" s="749" t="s">
        <v>1325</v>
      </c>
      <c r="AK7" s="749"/>
      <c r="AL7" s="749"/>
      <c r="AM7" s="749"/>
      <c r="AN7" s="749"/>
      <c r="AO7" s="749"/>
      <c r="AP7" s="749"/>
      <c r="AQ7" s="306"/>
      <c r="AR7" s="306" t="s">
        <v>1324</v>
      </c>
      <c r="AS7" s="306"/>
      <c r="AT7" s="306" t="s">
        <v>1324</v>
      </c>
      <c r="AU7" s="306"/>
      <c r="AV7" s="306" t="s">
        <v>1324</v>
      </c>
      <c r="AW7" s="306"/>
      <c r="AX7" s="749" t="s">
        <v>1326</v>
      </c>
      <c r="AY7" s="749"/>
      <c r="AZ7" s="749"/>
      <c r="BA7" s="749"/>
      <c r="BB7" s="749"/>
      <c r="BC7" s="749"/>
      <c r="BD7" s="749"/>
      <c r="BE7" s="306"/>
      <c r="BF7" s="526" t="s">
        <v>1322</v>
      </c>
      <c r="BG7" s="306"/>
      <c r="BH7" s="305"/>
    </row>
    <row r="8" spans="1:61" ht="12.75" customHeight="1">
      <c r="B8" s="305"/>
      <c r="C8" s="305"/>
      <c r="D8" s="305"/>
      <c r="E8" s="305"/>
      <c r="F8" s="307" t="s">
        <v>1327</v>
      </c>
      <c r="G8" s="305"/>
      <c r="H8" s="306" t="s">
        <v>1328</v>
      </c>
      <c r="I8" s="305"/>
      <c r="J8" s="306" t="s">
        <v>1329</v>
      </c>
      <c r="K8" s="305"/>
      <c r="L8" s="306" t="s">
        <v>1330</v>
      </c>
      <c r="M8" s="305"/>
      <c r="N8" s="307" t="s">
        <v>1331</v>
      </c>
      <c r="O8" s="307"/>
      <c r="P8" s="307" t="s">
        <v>1327</v>
      </c>
      <c r="Q8" s="305"/>
      <c r="R8" s="306" t="s">
        <v>1332</v>
      </c>
      <c r="S8" s="306"/>
      <c r="T8" s="306" t="s">
        <v>1332</v>
      </c>
      <c r="U8" s="306"/>
      <c r="V8" s="306" t="s">
        <v>1332</v>
      </c>
      <c r="W8" s="306"/>
      <c r="X8" s="306"/>
      <c r="Y8" s="306"/>
      <c r="Z8" s="306" t="s">
        <v>1324</v>
      </c>
      <c r="AA8" s="306"/>
      <c r="AB8" s="306" t="s">
        <v>1333</v>
      </c>
      <c r="AC8" s="306"/>
      <c r="AD8" s="306" t="s">
        <v>1333</v>
      </c>
      <c r="AE8" s="306"/>
      <c r="AF8" s="306" t="s">
        <v>1333</v>
      </c>
      <c r="AG8" s="306"/>
      <c r="AH8" s="306" t="s">
        <v>1334</v>
      </c>
      <c r="AI8" s="306"/>
      <c r="AJ8" s="306" t="s">
        <v>1335</v>
      </c>
      <c r="AK8" s="306"/>
      <c r="AL8" s="306" t="s">
        <v>1335</v>
      </c>
      <c r="AM8" s="306"/>
      <c r="AN8" s="306" t="s">
        <v>1335</v>
      </c>
      <c r="AO8" s="306"/>
      <c r="AP8" s="306"/>
      <c r="AQ8" s="306"/>
      <c r="AR8" s="306" t="s">
        <v>1333</v>
      </c>
      <c r="AS8" s="306"/>
      <c r="AT8" s="306" t="s">
        <v>1333</v>
      </c>
      <c r="AU8" s="306"/>
      <c r="AV8" s="306" t="s">
        <v>1333</v>
      </c>
      <c r="AW8" s="306"/>
      <c r="AX8" s="306" t="s">
        <v>1335</v>
      </c>
      <c r="AY8" s="306"/>
      <c r="AZ8" s="306" t="s">
        <v>1335</v>
      </c>
      <c r="BA8" s="306"/>
      <c r="BB8" s="306" t="s">
        <v>1335</v>
      </c>
      <c r="BC8" s="306"/>
      <c r="BD8" s="306"/>
      <c r="BE8" s="306"/>
      <c r="BF8" s="614" t="s">
        <v>1336</v>
      </c>
      <c r="BG8" s="306"/>
      <c r="BH8" s="305"/>
    </row>
    <row r="9" spans="1:61" ht="14.5">
      <c r="A9" s="304"/>
      <c r="B9" s="615"/>
      <c r="C9" s="615"/>
      <c r="D9" s="615"/>
      <c r="E9" s="615"/>
      <c r="F9" s="307" t="s">
        <v>1337</v>
      </c>
      <c r="G9" s="615"/>
      <c r="H9" s="306" t="s">
        <v>1338</v>
      </c>
      <c r="I9" s="615"/>
      <c r="J9" s="616" t="s">
        <v>1339</v>
      </c>
      <c r="K9" s="615"/>
      <c r="L9" s="616" t="s">
        <v>1340</v>
      </c>
      <c r="M9" s="615"/>
      <c r="N9" s="524" t="s">
        <v>662</v>
      </c>
      <c r="O9" s="524"/>
      <c r="P9" s="524" t="s">
        <v>1337</v>
      </c>
      <c r="Q9" s="615"/>
      <c r="R9" s="306" t="s">
        <v>1341</v>
      </c>
      <c r="S9" s="306"/>
      <c r="T9" s="304" t="s">
        <v>1342</v>
      </c>
      <c r="U9" s="304"/>
      <c r="V9" s="308" t="s">
        <v>1342</v>
      </c>
      <c r="W9" s="308"/>
      <c r="X9" s="308" t="s">
        <v>1332</v>
      </c>
      <c r="Y9" s="308"/>
      <c r="Z9" s="308" t="s">
        <v>1343</v>
      </c>
      <c r="AA9" s="308"/>
      <c r="AB9" s="306" t="s">
        <v>1341</v>
      </c>
      <c r="AC9" s="306"/>
      <c r="AD9" s="304" t="s">
        <v>1342</v>
      </c>
      <c r="AE9" s="304"/>
      <c r="AF9" s="308" t="s">
        <v>1342</v>
      </c>
      <c r="AG9" s="308"/>
      <c r="AH9" s="308" t="s">
        <v>1344</v>
      </c>
      <c r="AI9" s="308"/>
      <c r="AJ9" s="306" t="s">
        <v>1341</v>
      </c>
      <c r="AK9" s="306"/>
      <c r="AL9" s="304" t="s">
        <v>1342</v>
      </c>
      <c r="AM9" s="304"/>
      <c r="AN9" s="308" t="s">
        <v>1342</v>
      </c>
      <c r="AO9" s="308"/>
      <c r="AP9" s="308" t="s">
        <v>1335</v>
      </c>
      <c r="AQ9" s="308"/>
      <c r="AR9" s="306" t="s">
        <v>1341</v>
      </c>
      <c r="AS9" s="306"/>
      <c r="AT9" s="304" t="s">
        <v>1342</v>
      </c>
      <c r="AU9" s="304"/>
      <c r="AV9" s="308" t="s">
        <v>1342</v>
      </c>
      <c r="AW9" s="308"/>
      <c r="AX9" s="306" t="s">
        <v>1341</v>
      </c>
      <c r="AY9" s="306"/>
      <c r="AZ9" s="304" t="s">
        <v>1342</v>
      </c>
      <c r="BA9" s="304"/>
      <c r="BB9" s="308" t="s">
        <v>1342</v>
      </c>
      <c r="BC9" s="308"/>
      <c r="BD9" s="308" t="s">
        <v>1335</v>
      </c>
      <c r="BE9" s="308"/>
      <c r="BF9" s="617" t="s">
        <v>1345</v>
      </c>
      <c r="BG9" s="308"/>
      <c r="BH9" s="304"/>
      <c r="BI9" s="304"/>
    </row>
    <row r="10" spans="1:61" ht="15" thickBot="1">
      <c r="A10" s="201" t="s">
        <v>92</v>
      </c>
      <c r="B10" s="618" t="s">
        <v>1094</v>
      </c>
      <c r="C10" s="618"/>
      <c r="D10" s="618"/>
      <c r="E10" s="618"/>
      <c r="F10" s="312" t="s">
        <v>1075</v>
      </c>
      <c r="G10" s="618"/>
      <c r="H10" s="619">
        <v>43100</v>
      </c>
      <c r="I10" s="618"/>
      <c r="J10" s="619">
        <v>43100</v>
      </c>
      <c r="K10" s="618"/>
      <c r="L10" s="619">
        <v>43100</v>
      </c>
      <c r="M10" s="618"/>
      <c r="N10" s="619">
        <v>43100</v>
      </c>
      <c r="O10" s="619"/>
      <c r="P10" s="619" t="s">
        <v>1346</v>
      </c>
      <c r="Q10" s="618"/>
      <c r="R10" s="309" t="s">
        <v>1347</v>
      </c>
      <c r="S10" s="309"/>
      <c r="T10" s="310" t="s">
        <v>1347</v>
      </c>
      <c r="U10" s="310"/>
      <c r="V10" s="311" t="s">
        <v>1348</v>
      </c>
      <c r="W10" s="311"/>
      <c r="X10" s="311" t="s">
        <v>1349</v>
      </c>
      <c r="Y10" s="311"/>
      <c r="Z10" s="311" t="s">
        <v>1350</v>
      </c>
      <c r="AA10" s="311"/>
      <c r="AB10" s="309" t="s">
        <v>1347</v>
      </c>
      <c r="AC10" s="309"/>
      <c r="AD10" s="310" t="s">
        <v>1347</v>
      </c>
      <c r="AE10" s="310"/>
      <c r="AF10" s="311" t="s">
        <v>1348</v>
      </c>
      <c r="AG10" s="311"/>
      <c r="AH10" s="311" t="s">
        <v>1351</v>
      </c>
      <c r="AI10" s="311"/>
      <c r="AJ10" s="309" t="s">
        <v>1347</v>
      </c>
      <c r="AK10" s="309"/>
      <c r="AL10" s="310" t="s">
        <v>1347</v>
      </c>
      <c r="AM10" s="310"/>
      <c r="AN10" s="311" t="s">
        <v>1348</v>
      </c>
      <c r="AO10" s="311"/>
      <c r="AP10" s="311" t="s">
        <v>1349</v>
      </c>
      <c r="AQ10" s="311"/>
      <c r="AR10" s="309" t="s">
        <v>1347</v>
      </c>
      <c r="AS10" s="309"/>
      <c r="AT10" s="310" t="s">
        <v>1347</v>
      </c>
      <c r="AU10" s="310"/>
      <c r="AV10" s="311" t="s">
        <v>1348</v>
      </c>
      <c r="AW10" s="311"/>
      <c r="AX10" s="309" t="s">
        <v>1347</v>
      </c>
      <c r="AY10" s="309"/>
      <c r="AZ10" s="310" t="s">
        <v>1347</v>
      </c>
      <c r="BA10" s="310"/>
      <c r="BB10" s="311" t="s">
        <v>1348</v>
      </c>
      <c r="BC10" s="311"/>
      <c r="BD10" s="311" t="s">
        <v>1349</v>
      </c>
      <c r="BE10" s="311"/>
      <c r="BF10" s="620">
        <f>1/(1-(0.21+0.0884-(0.21*0.0884)))</f>
        <v>1.3885726029071155</v>
      </c>
      <c r="BG10" s="311"/>
      <c r="BH10" s="312" t="s">
        <v>555</v>
      </c>
      <c r="BI10" s="621" t="s">
        <v>92</v>
      </c>
    </row>
    <row r="11" spans="1:61" ht="14.5">
      <c r="A11" s="304"/>
      <c r="B11" s="615"/>
      <c r="C11" s="615"/>
      <c r="D11" s="615"/>
      <c r="E11" s="615"/>
      <c r="F11" s="524"/>
      <c r="G11" s="615"/>
      <c r="H11" s="615"/>
      <c r="I11" s="615"/>
      <c r="J11" s="615"/>
      <c r="K11" s="615"/>
      <c r="L11" s="615"/>
      <c r="M11" s="615"/>
      <c r="N11" s="615"/>
      <c r="O11" s="615"/>
      <c r="P11" s="615"/>
      <c r="Q11" s="615"/>
      <c r="R11" s="306"/>
      <c r="S11" s="306"/>
      <c r="T11" s="313"/>
      <c r="U11" s="313"/>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4"/>
      <c r="AR11" s="314"/>
      <c r="AS11" s="314"/>
      <c r="AT11" s="314"/>
      <c r="AU11" s="314"/>
      <c r="AV11" s="314"/>
      <c r="AW11" s="314"/>
      <c r="AX11" s="314"/>
      <c r="AY11" s="314"/>
      <c r="AZ11" s="314"/>
      <c r="BA11" s="314"/>
      <c r="BB11" s="314"/>
      <c r="BC11" s="314"/>
      <c r="BD11" s="314"/>
      <c r="BE11" s="314"/>
      <c r="BG11" s="314"/>
      <c r="BH11" s="304"/>
      <c r="BI11" s="304"/>
    </row>
    <row r="12" spans="1:61" ht="14.5">
      <c r="A12" s="304">
        <v>100</v>
      </c>
      <c r="B12" s="615" t="s">
        <v>1352</v>
      </c>
      <c r="C12" s="615"/>
      <c r="D12" s="615" t="s">
        <v>1353</v>
      </c>
      <c r="E12" s="615"/>
      <c r="F12" s="524" t="s">
        <v>1354</v>
      </c>
      <c r="G12" s="615"/>
      <c r="H12" s="315">
        <f>+H25</f>
        <v>0</v>
      </c>
      <c r="I12" s="615"/>
      <c r="J12" s="315">
        <f>+J25</f>
        <v>0</v>
      </c>
      <c r="K12" s="615"/>
      <c r="L12" s="315">
        <f>+L25</f>
        <v>0</v>
      </c>
      <c r="M12" s="615"/>
      <c r="N12" s="315">
        <f>+N25</f>
        <v>0</v>
      </c>
      <c r="O12" s="615"/>
      <c r="P12" s="524" t="s">
        <v>1355</v>
      </c>
      <c r="Q12" s="615"/>
      <c r="R12" s="315">
        <f>R25</f>
        <v>0</v>
      </c>
      <c r="S12" s="315"/>
      <c r="T12" s="315">
        <f>T25</f>
        <v>0</v>
      </c>
      <c r="U12" s="315"/>
      <c r="V12" s="315">
        <f>V25</f>
        <v>0</v>
      </c>
      <c r="W12" s="315"/>
      <c r="X12" s="315">
        <f>SUM(R12:V12)</f>
        <v>0</v>
      </c>
      <c r="Y12" s="315"/>
      <c r="Z12" s="316" t="s">
        <v>1356</v>
      </c>
      <c r="AA12" s="315"/>
      <c r="AB12" s="315">
        <f>AB25</f>
        <v>0</v>
      </c>
      <c r="AC12" s="315"/>
      <c r="AD12" s="315">
        <f>AD25</f>
        <v>0</v>
      </c>
      <c r="AE12" s="315"/>
      <c r="AF12" s="315">
        <f>AF25</f>
        <v>0</v>
      </c>
      <c r="AG12" s="315"/>
      <c r="AH12" s="524" t="s">
        <v>1357</v>
      </c>
      <c r="AI12" s="315"/>
      <c r="AJ12" s="315">
        <f>AJ25</f>
        <v>0</v>
      </c>
      <c r="AK12" s="315"/>
      <c r="AL12" s="315">
        <f>AL25</f>
        <v>0</v>
      </c>
      <c r="AM12" s="315"/>
      <c r="AN12" s="315">
        <f>AN25</f>
        <v>0</v>
      </c>
      <c r="AO12" s="315"/>
      <c r="AP12" s="315">
        <f>SUM(AJ12:AN12)</f>
        <v>0</v>
      </c>
      <c r="AQ12" s="315"/>
      <c r="AR12" s="315">
        <f>AR25</f>
        <v>0</v>
      </c>
      <c r="AS12" s="315"/>
      <c r="AT12" s="315">
        <f>AT25</f>
        <v>0</v>
      </c>
      <c r="AU12" s="315"/>
      <c r="AV12" s="315">
        <f>AV25</f>
        <v>0</v>
      </c>
      <c r="AW12" s="315"/>
      <c r="AX12" s="315">
        <f>AX25</f>
        <v>0</v>
      </c>
      <c r="AY12" s="315"/>
      <c r="AZ12" s="315">
        <f>AZ25</f>
        <v>0</v>
      </c>
      <c r="BA12" s="315"/>
      <c r="BB12" s="315">
        <f>BB25</f>
        <v>0</v>
      </c>
      <c r="BC12" s="315"/>
      <c r="BD12" s="315">
        <f>SUM(AX12:BB12)</f>
        <v>0</v>
      </c>
      <c r="BE12" s="315"/>
      <c r="BF12" s="315">
        <f>BF25</f>
        <v>0</v>
      </c>
      <c r="BG12" s="315"/>
      <c r="BH12" s="304"/>
      <c r="BI12" s="304">
        <f t="shared" ref="BI12:BI16" si="0">A12</f>
        <v>100</v>
      </c>
    </row>
    <row r="13" spans="1:61" ht="14.5">
      <c r="A13" s="304">
        <f>A12+1</f>
        <v>101</v>
      </c>
      <c r="B13" s="615" t="s">
        <v>1358</v>
      </c>
      <c r="C13" s="615"/>
      <c r="D13" s="615" t="s">
        <v>1359</v>
      </c>
      <c r="E13" s="615"/>
      <c r="F13" s="524" t="s">
        <v>1354</v>
      </c>
      <c r="G13" s="615"/>
      <c r="H13" s="315">
        <f>+H33</f>
        <v>0</v>
      </c>
      <c r="I13" s="615"/>
      <c r="J13" s="315">
        <f>+J33</f>
        <v>0</v>
      </c>
      <c r="K13" s="615"/>
      <c r="L13" s="315">
        <f>+L33</f>
        <v>0</v>
      </c>
      <c r="M13" s="615"/>
      <c r="N13" s="315">
        <f>+N33</f>
        <v>0</v>
      </c>
      <c r="O13" s="615"/>
      <c r="P13" s="524" t="s">
        <v>1355</v>
      </c>
      <c r="Q13" s="615"/>
      <c r="R13" s="315">
        <f>R33</f>
        <v>0</v>
      </c>
      <c r="S13" s="315"/>
      <c r="T13" s="315">
        <f>T33</f>
        <v>0</v>
      </c>
      <c r="U13" s="315"/>
      <c r="V13" s="315">
        <f>V33</f>
        <v>0</v>
      </c>
      <c r="W13" s="315"/>
      <c r="X13" s="315">
        <f t="shared" ref="X13:X15" si="1">SUM(R13:V13)</f>
        <v>0</v>
      </c>
      <c r="Y13" s="315"/>
      <c r="Z13" s="316" t="s">
        <v>1360</v>
      </c>
      <c r="AA13" s="315"/>
      <c r="AB13" s="315">
        <f>AB33</f>
        <v>0</v>
      </c>
      <c r="AC13" s="315"/>
      <c r="AD13" s="315">
        <f>AD33</f>
        <v>0</v>
      </c>
      <c r="AE13" s="315"/>
      <c r="AF13" s="315">
        <f>AF33</f>
        <v>0</v>
      </c>
      <c r="AG13" s="315"/>
      <c r="AH13" s="524" t="s">
        <v>1357</v>
      </c>
      <c r="AI13" s="315"/>
      <c r="AJ13" s="315">
        <f>AJ33</f>
        <v>0</v>
      </c>
      <c r="AK13" s="315"/>
      <c r="AL13" s="315">
        <f>AL33</f>
        <v>0</v>
      </c>
      <c r="AM13" s="315"/>
      <c r="AN13" s="315">
        <f>AN33</f>
        <v>0</v>
      </c>
      <c r="AO13" s="315"/>
      <c r="AP13" s="315">
        <f t="shared" ref="AP13:AP15" si="2">SUM(AJ13:AN13)</f>
        <v>0</v>
      </c>
      <c r="AQ13" s="315"/>
      <c r="AR13" s="315">
        <f>AR33</f>
        <v>0</v>
      </c>
      <c r="AS13" s="315"/>
      <c r="AT13" s="315">
        <f>AT33</f>
        <v>0</v>
      </c>
      <c r="AU13" s="315"/>
      <c r="AV13" s="315">
        <f>AV33</f>
        <v>0</v>
      </c>
      <c r="AW13" s="315"/>
      <c r="AX13" s="315">
        <f>AX33</f>
        <v>0</v>
      </c>
      <c r="AY13" s="315"/>
      <c r="AZ13" s="315">
        <f>AZ33</f>
        <v>0</v>
      </c>
      <c r="BA13" s="315"/>
      <c r="BB13" s="315">
        <f>BB33</f>
        <v>0</v>
      </c>
      <c r="BC13" s="315"/>
      <c r="BD13" s="315">
        <f t="shared" ref="BD13:BD15" si="3">SUM(AX13:BB13)</f>
        <v>0</v>
      </c>
      <c r="BE13" s="315"/>
      <c r="BF13" s="315">
        <f>BF33</f>
        <v>0</v>
      </c>
      <c r="BG13" s="315"/>
      <c r="BH13" s="304"/>
      <c r="BI13" s="304">
        <f t="shared" si="0"/>
        <v>101</v>
      </c>
    </row>
    <row r="14" spans="1:61" ht="14.5">
      <c r="A14" s="304">
        <f t="shared" ref="A14" si="4">+A13+1</f>
        <v>102</v>
      </c>
      <c r="B14" s="615" t="s">
        <v>1361</v>
      </c>
      <c r="C14" s="615"/>
      <c r="D14" s="615" t="s">
        <v>1362</v>
      </c>
      <c r="E14" s="615"/>
      <c r="F14" s="524" t="s">
        <v>1363</v>
      </c>
      <c r="G14" s="615"/>
      <c r="H14" s="315">
        <f>+H93</f>
        <v>0</v>
      </c>
      <c r="I14" s="615"/>
      <c r="J14" s="315">
        <f>+J93</f>
        <v>0</v>
      </c>
      <c r="K14" s="615"/>
      <c r="L14" s="315">
        <f>+L93</f>
        <v>0</v>
      </c>
      <c r="M14" s="615"/>
      <c r="N14" s="315">
        <f>+N93</f>
        <v>0</v>
      </c>
      <c r="O14" s="615"/>
      <c r="P14" s="524" t="s">
        <v>1364</v>
      </c>
      <c r="Q14" s="615"/>
      <c r="R14" s="315">
        <f>R93</f>
        <v>0</v>
      </c>
      <c r="S14" s="315"/>
      <c r="T14" s="315">
        <f>T93</f>
        <v>0</v>
      </c>
      <c r="U14" s="315"/>
      <c r="V14" s="315">
        <f>V93</f>
        <v>0</v>
      </c>
      <c r="W14" s="315"/>
      <c r="X14" s="315">
        <f>SUM(R14:V14)</f>
        <v>0</v>
      </c>
      <c r="Y14" s="315"/>
      <c r="Z14" s="316" t="s">
        <v>1360</v>
      </c>
      <c r="AA14" s="315"/>
      <c r="AB14" s="315">
        <f>AB93</f>
        <v>0</v>
      </c>
      <c r="AC14" s="315"/>
      <c r="AD14" s="315">
        <f>AD93</f>
        <v>0</v>
      </c>
      <c r="AE14" s="315"/>
      <c r="AF14" s="315">
        <f>AF93</f>
        <v>0</v>
      </c>
      <c r="AG14" s="315"/>
      <c r="AH14" s="524" t="s">
        <v>1365</v>
      </c>
      <c r="AI14" s="315"/>
      <c r="AJ14" s="315">
        <f>AJ93</f>
        <v>0</v>
      </c>
      <c r="AK14" s="315"/>
      <c r="AL14" s="315">
        <f>AL93</f>
        <v>0</v>
      </c>
      <c r="AM14" s="315"/>
      <c r="AN14" s="315">
        <f>AN93</f>
        <v>0</v>
      </c>
      <c r="AO14" s="315"/>
      <c r="AP14" s="315">
        <f t="shared" si="2"/>
        <v>0</v>
      </c>
      <c r="AQ14" s="315"/>
      <c r="AR14" s="315">
        <f>AR93</f>
        <v>0</v>
      </c>
      <c r="AS14" s="315"/>
      <c r="AT14" s="315">
        <f>AT93</f>
        <v>0</v>
      </c>
      <c r="AU14" s="315"/>
      <c r="AV14" s="315">
        <f>AV93</f>
        <v>0</v>
      </c>
      <c r="AW14" s="315"/>
      <c r="AX14" s="315">
        <f>AX93</f>
        <v>0</v>
      </c>
      <c r="AY14" s="315"/>
      <c r="AZ14" s="315">
        <f>AZ93</f>
        <v>0</v>
      </c>
      <c r="BA14" s="315"/>
      <c r="BB14" s="315">
        <f>BB93</f>
        <v>0</v>
      </c>
      <c r="BC14" s="315"/>
      <c r="BD14" s="315">
        <f t="shared" si="3"/>
        <v>0</v>
      </c>
      <c r="BE14" s="315"/>
      <c r="BF14" s="315">
        <f>BF93</f>
        <v>0</v>
      </c>
      <c r="BG14" s="315"/>
      <c r="BH14" s="304"/>
      <c r="BI14" s="304">
        <f t="shared" si="0"/>
        <v>102</v>
      </c>
    </row>
    <row r="15" spans="1:61" ht="14.5">
      <c r="A15" s="304">
        <f>+A14+1</f>
        <v>103</v>
      </c>
      <c r="B15" s="615" t="s">
        <v>1366</v>
      </c>
      <c r="C15" s="615" t="s">
        <v>1367</v>
      </c>
      <c r="D15" s="615" t="s">
        <v>1368</v>
      </c>
      <c r="E15" s="615"/>
      <c r="F15" s="524" t="s">
        <v>1369</v>
      </c>
      <c r="G15" s="615"/>
      <c r="H15" s="317">
        <f>+H107</f>
        <v>0</v>
      </c>
      <c r="I15" s="615"/>
      <c r="J15" s="317">
        <f>+J107</f>
        <v>0</v>
      </c>
      <c r="K15" s="615"/>
      <c r="L15" s="317">
        <f>+L107</f>
        <v>0</v>
      </c>
      <c r="M15" s="615"/>
      <c r="N15" s="317">
        <f>+N107</f>
        <v>0</v>
      </c>
      <c r="O15" s="615"/>
      <c r="P15" s="524" t="s">
        <v>1364</v>
      </c>
      <c r="Q15" s="615"/>
      <c r="R15" s="317">
        <f>R107</f>
        <v>0</v>
      </c>
      <c r="S15" s="317"/>
      <c r="T15" s="317">
        <f t="shared" ref="T15" si="5">T107</f>
        <v>0</v>
      </c>
      <c r="U15" s="317"/>
      <c r="V15" s="317">
        <f t="shared" ref="V15" si="6">V107</f>
        <v>0</v>
      </c>
      <c r="W15" s="317"/>
      <c r="X15" s="317">
        <f t="shared" si="1"/>
        <v>0</v>
      </c>
      <c r="Y15" s="315"/>
      <c r="Z15" s="316" t="s">
        <v>1356</v>
      </c>
      <c r="AA15" s="315"/>
      <c r="AB15" s="317">
        <f>AB107</f>
        <v>0</v>
      </c>
      <c r="AC15" s="317"/>
      <c r="AD15" s="317">
        <f t="shared" ref="AD15:AF15" si="7">AD107</f>
        <v>0</v>
      </c>
      <c r="AE15" s="317"/>
      <c r="AF15" s="317">
        <f t="shared" si="7"/>
        <v>0</v>
      </c>
      <c r="AG15" s="315"/>
      <c r="AH15" s="524" t="s">
        <v>1365</v>
      </c>
      <c r="AI15" s="315"/>
      <c r="AJ15" s="317">
        <f>AJ107</f>
        <v>0</v>
      </c>
      <c r="AK15" s="317"/>
      <c r="AL15" s="317">
        <f t="shared" ref="AL15" si="8">AL107</f>
        <v>0</v>
      </c>
      <c r="AM15" s="317"/>
      <c r="AN15" s="317">
        <f t="shared" ref="AN15" si="9">AN107</f>
        <v>0</v>
      </c>
      <c r="AO15" s="317"/>
      <c r="AP15" s="317">
        <f t="shared" si="2"/>
        <v>0</v>
      </c>
      <c r="AQ15" s="315"/>
      <c r="AR15" s="317">
        <f>AR107</f>
        <v>0</v>
      </c>
      <c r="AS15" s="317"/>
      <c r="AT15" s="317">
        <f t="shared" ref="AT15:AV15" si="10">AT107</f>
        <v>0</v>
      </c>
      <c r="AU15" s="317"/>
      <c r="AV15" s="317">
        <f t="shared" si="10"/>
        <v>0</v>
      </c>
      <c r="AW15" s="315"/>
      <c r="AX15" s="317">
        <f>AX107</f>
        <v>0</v>
      </c>
      <c r="AY15" s="317"/>
      <c r="AZ15" s="317">
        <f t="shared" ref="AZ15" si="11">AZ107</f>
        <v>0</v>
      </c>
      <c r="BA15" s="317"/>
      <c r="BB15" s="317">
        <f t="shared" ref="BB15" si="12">BB107</f>
        <v>0</v>
      </c>
      <c r="BC15" s="317"/>
      <c r="BD15" s="317">
        <f t="shared" si="3"/>
        <v>0</v>
      </c>
      <c r="BE15" s="315"/>
      <c r="BF15" s="317">
        <f t="shared" ref="BF15" si="13">BF107</f>
        <v>0</v>
      </c>
      <c r="BG15" s="315"/>
      <c r="BH15" s="304"/>
      <c r="BI15" s="304">
        <f t="shared" si="0"/>
        <v>103</v>
      </c>
    </row>
    <row r="16" spans="1:61" ht="14.5">
      <c r="A16" s="304">
        <f>+A15+1</f>
        <v>104</v>
      </c>
      <c r="B16" s="615" t="s">
        <v>736</v>
      </c>
      <c r="C16" s="615"/>
      <c r="D16" s="304"/>
      <c r="E16" s="304"/>
      <c r="F16" s="304"/>
      <c r="G16" s="304"/>
      <c r="H16" s="622">
        <f>SUM(H12:H15)</f>
        <v>0</v>
      </c>
      <c r="I16" s="304"/>
      <c r="J16" s="622">
        <f>SUM(J12:J15)</f>
        <v>0</v>
      </c>
      <c r="K16" s="304"/>
      <c r="L16" s="622">
        <f>SUM(L12:L15)</f>
        <v>0</v>
      </c>
      <c r="M16" s="304"/>
      <c r="N16" s="622">
        <f>SUM(N12:N15)</f>
        <v>0</v>
      </c>
      <c r="O16" s="304"/>
      <c r="P16" s="524"/>
      <c r="Q16" s="304"/>
      <c r="R16" s="622">
        <f>SUM(R12:R15)</f>
        <v>0</v>
      </c>
      <c r="S16" s="622"/>
      <c r="T16" s="622">
        <f>SUM(T12:T15)</f>
        <v>0</v>
      </c>
      <c r="U16" s="622"/>
      <c r="V16" s="622">
        <f>SUM(V12:V15)</f>
        <v>0</v>
      </c>
      <c r="W16" s="622"/>
      <c r="X16" s="622">
        <f>SUM(X12:X15)</f>
        <v>0</v>
      </c>
      <c r="Y16" s="622"/>
      <c r="Z16" s="622"/>
      <c r="AA16" s="622"/>
      <c r="AB16" s="622">
        <f>SUM(AB12:AB15)</f>
        <v>0</v>
      </c>
      <c r="AC16" s="622"/>
      <c r="AD16" s="622">
        <f>SUM(AD12:AD15)</f>
        <v>0</v>
      </c>
      <c r="AE16" s="622"/>
      <c r="AF16" s="622">
        <f>SUM(AF12:AF15)</f>
        <v>0</v>
      </c>
      <c r="AG16" s="622"/>
      <c r="AH16" s="304"/>
      <c r="AI16" s="622"/>
      <c r="AJ16" s="622">
        <f>SUM(AJ12:AJ15)</f>
        <v>0</v>
      </c>
      <c r="AK16" s="622"/>
      <c r="AL16" s="622">
        <f>SUM(AL12:AL15)</f>
        <v>0</v>
      </c>
      <c r="AM16" s="622"/>
      <c r="AN16" s="622">
        <f>SUM(AN12:AN15)</f>
        <v>0</v>
      </c>
      <c r="AO16" s="622"/>
      <c r="AP16" s="622">
        <f>SUM(AP12:AP15)</f>
        <v>0</v>
      </c>
      <c r="AQ16" s="622"/>
      <c r="AR16" s="622">
        <f>SUM(AR12:AR15)</f>
        <v>0</v>
      </c>
      <c r="AS16" s="622"/>
      <c r="AT16" s="622">
        <f>SUM(AT12:AT15)</f>
        <v>0</v>
      </c>
      <c r="AU16" s="622"/>
      <c r="AV16" s="622">
        <f>SUM(AV12:AV15)</f>
        <v>0</v>
      </c>
      <c r="AW16" s="622"/>
      <c r="AX16" s="622">
        <f>SUM(AX12:AX15)</f>
        <v>0</v>
      </c>
      <c r="AY16" s="622"/>
      <c r="AZ16" s="622">
        <f>SUM(AZ12:AZ15)</f>
        <v>0</v>
      </c>
      <c r="BA16" s="622"/>
      <c r="BB16" s="622">
        <f>SUM(BB12:BB15)</f>
        <v>0</v>
      </c>
      <c r="BC16" s="622"/>
      <c r="BD16" s="622">
        <f>SUM(BD12:BD15)</f>
        <v>0</v>
      </c>
      <c r="BE16" s="622"/>
      <c r="BF16" s="622">
        <f>SUM(BF12:BF15)</f>
        <v>0</v>
      </c>
      <c r="BG16" s="622"/>
      <c r="BH16" s="623"/>
      <c r="BI16" s="304">
        <f t="shared" si="0"/>
        <v>104</v>
      </c>
    </row>
    <row r="17" spans="1:61" ht="14.5">
      <c r="A17" s="304"/>
      <c r="B17" s="615"/>
      <c r="C17" s="615"/>
      <c r="D17" s="304"/>
      <c r="E17" s="304"/>
      <c r="F17" s="304"/>
      <c r="G17" s="304"/>
      <c r="H17" s="304"/>
      <c r="I17" s="304"/>
      <c r="J17" s="304"/>
      <c r="K17" s="304"/>
      <c r="L17" s="304"/>
      <c r="M17" s="304"/>
      <c r="N17" s="304"/>
      <c r="O17" s="304"/>
      <c r="P17" s="524"/>
      <c r="Q17" s="304"/>
      <c r="R17" s="615"/>
      <c r="S17" s="615"/>
      <c r="T17" s="615"/>
      <c r="U17" s="615"/>
      <c r="V17" s="615"/>
      <c r="W17" s="615"/>
      <c r="X17" s="615"/>
      <c r="Y17" s="615"/>
      <c r="Z17" s="615"/>
      <c r="AA17" s="615"/>
      <c r="AB17" s="615"/>
      <c r="AC17" s="615"/>
      <c r="AD17" s="615"/>
      <c r="AE17" s="615"/>
      <c r="AF17" s="615"/>
      <c r="AG17" s="615"/>
      <c r="AH17" s="304"/>
      <c r="AI17" s="615"/>
      <c r="AJ17" s="615"/>
      <c r="AK17" s="615"/>
      <c r="AL17" s="615"/>
      <c r="AM17" s="615"/>
      <c r="AN17" s="615"/>
      <c r="AO17" s="615"/>
      <c r="AP17" s="615"/>
      <c r="AQ17" s="615"/>
      <c r="AR17" s="615"/>
      <c r="AS17" s="615"/>
      <c r="AT17" s="615"/>
      <c r="AU17" s="615"/>
      <c r="AV17" s="615"/>
      <c r="AW17" s="615"/>
      <c r="AX17" s="615"/>
      <c r="AY17" s="615"/>
      <c r="AZ17" s="615"/>
      <c r="BA17" s="615"/>
      <c r="BB17" s="615"/>
      <c r="BC17" s="615"/>
      <c r="BD17" s="615"/>
      <c r="BE17" s="615"/>
      <c r="BF17" s="304"/>
      <c r="BG17" s="615"/>
      <c r="BH17" s="623"/>
      <c r="BI17" s="304"/>
    </row>
    <row r="18" spans="1:61" ht="14.5">
      <c r="A18" s="304">
        <f>+A16+1</f>
        <v>105</v>
      </c>
      <c r="B18" s="624" t="s">
        <v>1370</v>
      </c>
      <c r="C18" s="624"/>
      <c r="D18" s="303"/>
      <c r="E18" s="304"/>
      <c r="F18" s="304"/>
      <c r="G18" s="304"/>
      <c r="H18" s="304"/>
      <c r="I18" s="304"/>
      <c r="J18" s="304"/>
      <c r="K18" s="304"/>
      <c r="L18" s="304"/>
      <c r="M18" s="304"/>
      <c r="N18" s="304"/>
      <c r="O18" s="304"/>
      <c r="P18" s="524"/>
      <c r="Q18" s="304"/>
      <c r="R18" s="615"/>
      <c r="S18" s="615"/>
      <c r="T18" s="615"/>
      <c r="U18" s="615"/>
      <c r="V18" s="615"/>
      <c r="W18" s="615"/>
      <c r="X18" s="615"/>
      <c r="Y18" s="615"/>
      <c r="Z18" s="615"/>
      <c r="AA18" s="615"/>
      <c r="AB18" s="615"/>
      <c r="AC18" s="615"/>
      <c r="AD18" s="615"/>
      <c r="AE18" s="615"/>
      <c r="AF18" s="615"/>
      <c r="AG18" s="615"/>
      <c r="AH18" s="304"/>
      <c r="AI18" s="615"/>
      <c r="AJ18" s="615"/>
      <c r="AK18" s="615"/>
      <c r="AL18" s="615"/>
      <c r="AM18" s="615"/>
      <c r="AN18" s="615"/>
      <c r="AO18" s="615"/>
      <c r="AP18" s="615"/>
      <c r="AQ18" s="615"/>
      <c r="AR18" s="615"/>
      <c r="AS18" s="615"/>
      <c r="AT18" s="615"/>
      <c r="AU18" s="615"/>
      <c r="AV18" s="615"/>
      <c r="AW18" s="615"/>
      <c r="AX18" s="615"/>
      <c r="AY18" s="615"/>
      <c r="AZ18" s="615"/>
      <c r="BA18" s="615"/>
      <c r="BB18" s="615"/>
      <c r="BC18" s="615"/>
      <c r="BD18" s="615"/>
      <c r="BE18" s="615"/>
      <c r="BF18" s="304"/>
      <c r="BG18" s="615"/>
      <c r="BH18" s="318"/>
      <c r="BI18" s="304">
        <f>A18</f>
        <v>105</v>
      </c>
    </row>
    <row r="19" spans="1:61" ht="14.5">
      <c r="A19" s="304">
        <f>+A18+1</f>
        <v>106</v>
      </c>
      <c r="B19" s="524" t="s">
        <v>1371</v>
      </c>
      <c r="C19" s="615" t="s">
        <v>1372</v>
      </c>
      <c r="D19" s="304"/>
      <c r="E19" s="304"/>
      <c r="F19" s="524" t="s">
        <v>1354</v>
      </c>
      <c r="G19" s="304"/>
      <c r="H19" s="622">
        <f>+H115</f>
        <v>0</v>
      </c>
      <c r="I19" s="304"/>
      <c r="J19" s="622">
        <f>+J115</f>
        <v>0</v>
      </c>
      <c r="K19" s="622"/>
      <c r="L19" s="622">
        <f>+L115</f>
        <v>0</v>
      </c>
      <c r="M19" s="622"/>
      <c r="N19" s="622">
        <f>+N115</f>
        <v>0</v>
      </c>
      <c r="O19" s="622"/>
      <c r="P19" s="524" t="s">
        <v>1355</v>
      </c>
      <c r="Q19" s="304"/>
      <c r="R19" s="622">
        <f>R115</f>
        <v>0</v>
      </c>
      <c r="S19" s="622"/>
      <c r="T19" s="622">
        <f>+T115</f>
        <v>0</v>
      </c>
      <c r="U19" s="622"/>
      <c r="V19" s="622">
        <f>+V115</f>
        <v>0</v>
      </c>
      <c r="W19" s="622"/>
      <c r="X19" s="622">
        <f>SUM(R19:V19)</f>
        <v>0</v>
      </c>
      <c r="Y19" s="622"/>
      <c r="Z19" s="316"/>
      <c r="AA19" s="622"/>
      <c r="AB19" s="622">
        <f>+AB115</f>
        <v>0</v>
      </c>
      <c r="AC19" s="622"/>
      <c r="AD19" s="622">
        <f>+AD115</f>
        <v>0</v>
      </c>
      <c r="AE19" s="622"/>
      <c r="AF19" s="622">
        <f>+AF115</f>
        <v>0</v>
      </c>
      <c r="AG19" s="622"/>
      <c r="AH19" s="524" t="s">
        <v>1357</v>
      </c>
      <c r="AI19" s="622"/>
      <c r="AJ19" s="622">
        <f>+AJ115</f>
        <v>0</v>
      </c>
      <c r="AK19" s="622"/>
      <c r="AL19" s="622">
        <f>+AL115</f>
        <v>0</v>
      </c>
      <c r="AM19" s="622"/>
      <c r="AN19" s="622">
        <f>+AN115</f>
        <v>0</v>
      </c>
      <c r="AO19" s="622"/>
      <c r="AP19" s="622">
        <f t="shared" ref="AP19:AP21" si="14">SUM(AJ19:AN19)</f>
        <v>0</v>
      </c>
      <c r="AQ19" s="622"/>
      <c r="AR19" s="622">
        <f>+AR115</f>
        <v>0</v>
      </c>
      <c r="AS19" s="622"/>
      <c r="AT19" s="622">
        <f>+AT115</f>
        <v>0</v>
      </c>
      <c r="AU19" s="622"/>
      <c r="AV19" s="622">
        <f>+AV115</f>
        <v>0</v>
      </c>
      <c r="AW19" s="622"/>
      <c r="AX19" s="622">
        <f>+AX115</f>
        <v>0</v>
      </c>
      <c r="AY19" s="622"/>
      <c r="AZ19" s="622">
        <f>+AZ115</f>
        <v>0</v>
      </c>
      <c r="BA19" s="622"/>
      <c r="BB19" s="622">
        <f>+BB115</f>
        <v>0</v>
      </c>
      <c r="BC19" s="622"/>
      <c r="BD19" s="622">
        <f>SUM(AX19:BB19)</f>
        <v>0</v>
      </c>
      <c r="BE19" s="622"/>
      <c r="BF19" s="622">
        <f>+BF115</f>
        <v>0</v>
      </c>
      <c r="BG19" s="622"/>
      <c r="BH19" s="623"/>
      <c r="BI19" s="304">
        <f>A19</f>
        <v>106</v>
      </c>
    </row>
    <row r="20" spans="1:61" ht="14.5">
      <c r="A20" s="304">
        <f t="shared" ref="A20:A29" si="15">A19+1</f>
        <v>107</v>
      </c>
      <c r="B20" s="524" t="s">
        <v>119</v>
      </c>
      <c r="C20" s="615"/>
      <c r="D20" s="304"/>
      <c r="E20" s="304"/>
      <c r="F20" s="304"/>
      <c r="G20" s="304"/>
      <c r="H20" s="622">
        <v>0</v>
      </c>
      <c r="I20" s="304"/>
      <c r="J20" s="622">
        <v>0</v>
      </c>
      <c r="K20" s="622"/>
      <c r="L20" s="622">
        <v>0</v>
      </c>
      <c r="M20" s="622"/>
      <c r="N20" s="622">
        <v>0</v>
      </c>
      <c r="O20" s="622"/>
      <c r="P20" s="524"/>
      <c r="Q20" s="304"/>
      <c r="R20" s="622">
        <v>0</v>
      </c>
      <c r="S20" s="622"/>
      <c r="T20" s="622">
        <v>0</v>
      </c>
      <c r="U20" s="622"/>
      <c r="V20" s="622">
        <v>0</v>
      </c>
      <c r="W20" s="622"/>
      <c r="X20" s="622">
        <f t="shared" ref="X20:X21" si="16">SUM(R20:V20)</f>
        <v>0</v>
      </c>
      <c r="Y20" s="622"/>
      <c r="Z20" s="316"/>
      <c r="AA20" s="622"/>
      <c r="AB20" s="622">
        <v>0</v>
      </c>
      <c r="AC20" s="622"/>
      <c r="AD20" s="622">
        <v>0</v>
      </c>
      <c r="AE20" s="622"/>
      <c r="AF20" s="622">
        <v>0</v>
      </c>
      <c r="AG20" s="622"/>
      <c r="AH20" s="524"/>
      <c r="AI20" s="622"/>
      <c r="AJ20" s="622">
        <v>0</v>
      </c>
      <c r="AK20" s="622"/>
      <c r="AL20" s="622">
        <v>0</v>
      </c>
      <c r="AM20" s="622"/>
      <c r="AN20" s="622">
        <v>0</v>
      </c>
      <c r="AO20" s="622"/>
      <c r="AP20" s="622">
        <f t="shared" si="14"/>
        <v>0</v>
      </c>
      <c r="AQ20" s="622"/>
      <c r="AR20" s="622">
        <v>0</v>
      </c>
      <c r="AS20" s="622"/>
      <c r="AT20" s="622">
        <v>0</v>
      </c>
      <c r="AU20" s="622"/>
      <c r="AV20" s="622">
        <v>0</v>
      </c>
      <c r="AW20" s="622"/>
      <c r="AX20" s="622">
        <v>0</v>
      </c>
      <c r="AY20" s="622"/>
      <c r="AZ20" s="622">
        <v>0</v>
      </c>
      <c r="BA20" s="622"/>
      <c r="BB20" s="622">
        <v>0</v>
      </c>
      <c r="BC20" s="622"/>
      <c r="BD20" s="622">
        <f t="shared" ref="BD20:BD21" si="17">SUM(AX20:BB20)</f>
        <v>0</v>
      </c>
      <c r="BE20" s="622"/>
      <c r="BF20" s="622">
        <v>0</v>
      </c>
      <c r="BG20" s="622"/>
      <c r="BH20" s="318"/>
      <c r="BI20" s="304">
        <f>A20</f>
        <v>107</v>
      </c>
    </row>
    <row r="21" spans="1:61" ht="14.5">
      <c r="A21" s="304">
        <f t="shared" si="15"/>
        <v>108</v>
      </c>
      <c r="B21" s="524" t="s">
        <v>119</v>
      </c>
      <c r="C21" s="615"/>
      <c r="D21" s="304"/>
      <c r="E21" s="304"/>
      <c r="F21" s="304"/>
      <c r="G21" s="304"/>
      <c r="H21" s="625">
        <v>0</v>
      </c>
      <c r="I21" s="304"/>
      <c r="J21" s="625">
        <v>0</v>
      </c>
      <c r="K21" s="625"/>
      <c r="L21" s="625">
        <v>0</v>
      </c>
      <c r="M21" s="625"/>
      <c r="N21" s="625">
        <v>0</v>
      </c>
      <c r="O21" s="625"/>
      <c r="P21" s="524"/>
      <c r="Q21" s="304"/>
      <c r="R21" s="625">
        <v>0</v>
      </c>
      <c r="S21" s="625"/>
      <c r="T21" s="625">
        <v>0</v>
      </c>
      <c r="U21" s="625"/>
      <c r="V21" s="625">
        <v>0</v>
      </c>
      <c r="W21" s="625"/>
      <c r="X21" s="625">
        <f t="shared" si="16"/>
        <v>0</v>
      </c>
      <c r="Y21" s="622"/>
      <c r="Z21" s="316"/>
      <c r="AA21" s="622"/>
      <c r="AB21" s="625">
        <v>0</v>
      </c>
      <c r="AC21" s="625"/>
      <c r="AD21" s="625">
        <v>0</v>
      </c>
      <c r="AE21" s="625"/>
      <c r="AF21" s="625">
        <v>0</v>
      </c>
      <c r="AG21" s="622"/>
      <c r="AH21" s="524"/>
      <c r="AI21" s="622"/>
      <c r="AJ21" s="625">
        <v>0</v>
      </c>
      <c r="AK21" s="625"/>
      <c r="AL21" s="625">
        <v>0</v>
      </c>
      <c r="AM21" s="625"/>
      <c r="AN21" s="625">
        <v>0</v>
      </c>
      <c r="AO21" s="625"/>
      <c r="AP21" s="625">
        <f t="shared" si="14"/>
        <v>0</v>
      </c>
      <c r="AQ21" s="622"/>
      <c r="AR21" s="625">
        <v>0</v>
      </c>
      <c r="AS21" s="625"/>
      <c r="AT21" s="625">
        <v>0</v>
      </c>
      <c r="AU21" s="625"/>
      <c r="AV21" s="625">
        <v>0</v>
      </c>
      <c r="AW21" s="622"/>
      <c r="AX21" s="625">
        <v>0</v>
      </c>
      <c r="AY21" s="625"/>
      <c r="AZ21" s="625">
        <v>0</v>
      </c>
      <c r="BA21" s="625"/>
      <c r="BB21" s="625">
        <v>0</v>
      </c>
      <c r="BC21" s="625"/>
      <c r="BD21" s="625">
        <f t="shared" si="17"/>
        <v>0</v>
      </c>
      <c r="BE21" s="622"/>
      <c r="BF21" s="625">
        <v>0</v>
      </c>
      <c r="BG21" s="622"/>
      <c r="BH21" s="318"/>
      <c r="BI21" s="304">
        <f>A21</f>
        <v>108</v>
      </c>
    </row>
    <row r="22" spans="1:61" ht="14.5">
      <c r="A22" s="304">
        <f t="shared" si="15"/>
        <v>109</v>
      </c>
      <c r="B22" s="615" t="s">
        <v>1373</v>
      </c>
      <c r="C22" s="615"/>
      <c r="D22" s="304"/>
      <c r="E22" s="304"/>
      <c r="F22" s="304"/>
      <c r="G22" s="304"/>
      <c r="H22" s="622">
        <f>SUM(H16:H21)</f>
        <v>0</v>
      </c>
      <c r="I22" s="304"/>
      <c r="J22" s="622">
        <f>SUM(J16:J21)</f>
        <v>0</v>
      </c>
      <c r="K22" s="622"/>
      <c r="L22" s="622">
        <f t="shared" ref="L22" si="18">SUM(L16:L21)</f>
        <v>0</v>
      </c>
      <c r="M22" s="622"/>
      <c r="N22" s="622">
        <f t="shared" ref="N22" si="19">SUM(N16:N21)</f>
        <v>0</v>
      </c>
      <c r="O22" s="622"/>
      <c r="P22" s="316"/>
      <c r="Q22" s="304"/>
      <c r="R22" s="622">
        <f>SUM(R16:R21)</f>
        <v>0</v>
      </c>
      <c r="S22" s="622"/>
      <c r="T22" s="622">
        <f t="shared" ref="T22" si="20">SUM(T16:T21)</f>
        <v>0</v>
      </c>
      <c r="U22" s="622"/>
      <c r="V22" s="622">
        <f t="shared" ref="V22" si="21">SUM(V16:V21)</f>
        <v>0</v>
      </c>
      <c r="W22" s="622"/>
      <c r="X22" s="622">
        <f>SUM(X16:X21)</f>
        <v>0</v>
      </c>
      <c r="Y22" s="622"/>
      <c r="Z22" s="622"/>
      <c r="AA22" s="622"/>
      <c r="AB22" s="622">
        <f>SUM(AB16:AB21)</f>
        <v>0</v>
      </c>
      <c r="AC22" s="622"/>
      <c r="AD22" s="622">
        <f t="shared" ref="AD22" si="22">SUM(AD16:AD21)</f>
        <v>0</v>
      </c>
      <c r="AE22" s="622"/>
      <c r="AF22" s="622">
        <f t="shared" ref="AF22" si="23">SUM(AF16:AF21)</f>
        <v>0</v>
      </c>
      <c r="AG22" s="622"/>
      <c r="AH22" s="316"/>
      <c r="AI22" s="622"/>
      <c r="AJ22" s="622">
        <f>SUM(AJ16:AJ21)</f>
        <v>0</v>
      </c>
      <c r="AK22" s="622"/>
      <c r="AL22" s="622">
        <f t="shared" ref="AL22" si="24">SUM(AL16:AL21)</f>
        <v>0</v>
      </c>
      <c r="AM22" s="622"/>
      <c r="AN22" s="622">
        <f t="shared" ref="AN22" si="25">SUM(AN16:AN21)</f>
        <v>0</v>
      </c>
      <c r="AO22" s="622"/>
      <c r="AP22" s="622">
        <f t="shared" ref="AP22" si="26">SUM(AP16:AP21)</f>
        <v>0</v>
      </c>
      <c r="AQ22" s="622"/>
      <c r="AR22" s="622">
        <f>SUM(AR16:AR21)</f>
        <v>0</v>
      </c>
      <c r="AS22" s="622"/>
      <c r="AT22" s="622">
        <f t="shared" ref="AT22" si="27">SUM(AT16:AT21)</f>
        <v>0</v>
      </c>
      <c r="AU22" s="622"/>
      <c r="AV22" s="622">
        <f t="shared" ref="AV22" si="28">SUM(AV16:AV21)</f>
        <v>0</v>
      </c>
      <c r="AW22" s="622"/>
      <c r="AX22" s="622">
        <f>SUM(AX16:AX21)</f>
        <v>0</v>
      </c>
      <c r="AY22" s="622"/>
      <c r="AZ22" s="622">
        <f t="shared" ref="AZ22" si="29">SUM(AZ16:AZ21)</f>
        <v>0</v>
      </c>
      <c r="BA22" s="622"/>
      <c r="BB22" s="622">
        <f t="shared" ref="BB22" si="30">SUM(BB16:BB21)</f>
        <v>0</v>
      </c>
      <c r="BC22" s="622"/>
      <c r="BD22" s="622">
        <f t="shared" ref="BD22" si="31">SUM(BD16:BD21)</f>
        <v>0</v>
      </c>
      <c r="BE22" s="622"/>
      <c r="BF22" s="622">
        <f>SUM(BF16:BF21)</f>
        <v>0</v>
      </c>
      <c r="BG22" s="622"/>
      <c r="BH22" s="318"/>
      <c r="BI22" s="304">
        <f>A22</f>
        <v>109</v>
      </c>
    </row>
    <row r="23" spans="1:61" ht="14.5">
      <c r="A23" s="304"/>
      <c r="B23" s="615"/>
      <c r="C23" s="615"/>
      <c r="D23" s="304"/>
      <c r="E23" s="304"/>
      <c r="F23" s="304"/>
      <c r="G23" s="304"/>
      <c r="H23" s="304"/>
      <c r="I23" s="304"/>
      <c r="J23" s="304"/>
      <c r="K23" s="304"/>
      <c r="L23" s="304"/>
      <c r="M23" s="304"/>
      <c r="N23" s="304"/>
      <c r="O23" s="304"/>
      <c r="P23" s="524"/>
      <c r="Q23" s="304"/>
      <c r="R23" s="622"/>
      <c r="S23" s="622"/>
      <c r="T23" s="622"/>
      <c r="U23" s="622"/>
      <c r="V23" s="622"/>
      <c r="W23" s="622"/>
      <c r="X23" s="622"/>
      <c r="Y23" s="622"/>
      <c r="Z23" s="622"/>
      <c r="AA23" s="622"/>
      <c r="AB23" s="622"/>
      <c r="AC23" s="622"/>
      <c r="AD23" s="622"/>
      <c r="AE23" s="622"/>
      <c r="AF23" s="622"/>
      <c r="AG23" s="622"/>
      <c r="AH23" s="316"/>
      <c r="AI23" s="622"/>
      <c r="AJ23" s="622"/>
      <c r="AK23" s="622"/>
      <c r="AL23" s="622"/>
      <c r="AM23" s="622"/>
      <c r="AN23" s="622"/>
      <c r="AO23" s="622"/>
      <c r="AP23" s="622"/>
      <c r="AQ23" s="622"/>
      <c r="AR23" s="622"/>
      <c r="AS23" s="622"/>
      <c r="AT23" s="622"/>
      <c r="AU23" s="622"/>
      <c r="AV23" s="622"/>
      <c r="AW23" s="622"/>
      <c r="AX23" s="622"/>
      <c r="AY23" s="622"/>
      <c r="AZ23" s="622"/>
      <c r="BA23" s="622"/>
      <c r="BB23" s="622"/>
      <c r="BC23" s="622"/>
      <c r="BD23" s="622"/>
      <c r="BE23" s="622"/>
      <c r="BF23" s="304"/>
      <c r="BG23" s="622"/>
      <c r="BH23" s="318"/>
      <c r="BI23" s="304"/>
    </row>
    <row r="24" spans="1:61" ht="14.5">
      <c r="A24" s="201" t="s">
        <v>92</v>
      </c>
      <c r="B24" s="624" t="s">
        <v>1374</v>
      </c>
      <c r="C24" s="319"/>
      <c r="D24" s="303" t="s">
        <v>103</v>
      </c>
      <c r="E24" s="304"/>
      <c r="F24" s="304"/>
      <c r="G24" s="304"/>
      <c r="H24" s="304"/>
      <c r="I24" s="304"/>
      <c r="J24" s="304"/>
      <c r="K24" s="304"/>
      <c r="L24" s="304"/>
      <c r="M24" s="304"/>
      <c r="N24" s="304"/>
      <c r="O24" s="304"/>
      <c r="P24" s="524"/>
      <c r="Q24" s="304"/>
      <c r="R24" s="622"/>
      <c r="S24" s="622"/>
      <c r="T24" s="622"/>
      <c r="U24" s="622"/>
      <c r="V24" s="615"/>
      <c r="W24" s="615"/>
      <c r="X24" s="615"/>
      <c r="Y24" s="615"/>
      <c r="Z24" s="615"/>
      <c r="AA24" s="615"/>
      <c r="AB24" s="615"/>
      <c r="AC24" s="615"/>
      <c r="AD24" s="615"/>
      <c r="AE24" s="615"/>
      <c r="AF24" s="615"/>
      <c r="AG24" s="615"/>
      <c r="AH24" s="524"/>
      <c r="AI24" s="615"/>
      <c r="AJ24" s="622"/>
      <c r="AK24" s="622"/>
      <c r="AL24" s="622"/>
      <c r="AM24" s="622"/>
      <c r="AN24" s="615"/>
      <c r="AO24" s="615"/>
      <c r="AP24" s="615"/>
      <c r="AQ24" s="615"/>
      <c r="AR24" s="615"/>
      <c r="AS24" s="615"/>
      <c r="AT24" s="615"/>
      <c r="AU24" s="615"/>
      <c r="AV24" s="615"/>
      <c r="AW24" s="615"/>
      <c r="AX24" s="622"/>
      <c r="AY24" s="622"/>
      <c r="AZ24" s="622"/>
      <c r="BA24" s="622"/>
      <c r="BB24" s="615"/>
      <c r="BC24" s="615"/>
      <c r="BD24" s="615"/>
      <c r="BE24" s="615"/>
      <c r="BF24" s="304"/>
      <c r="BG24" s="615"/>
      <c r="BH24" s="318"/>
      <c r="BI24" s="621" t="s">
        <v>92</v>
      </c>
    </row>
    <row r="25" spans="1:61" ht="14.5">
      <c r="A25" s="304">
        <f>A12+100</f>
        <v>200</v>
      </c>
      <c r="B25" s="615" t="s">
        <v>1375</v>
      </c>
      <c r="C25" s="615"/>
      <c r="D25" s="304"/>
      <c r="E25" s="304"/>
      <c r="F25" s="304"/>
      <c r="G25" s="304"/>
      <c r="H25" s="625">
        <f>ROUND(SUM(H26:H30),0)</f>
        <v>0</v>
      </c>
      <c r="I25" s="304"/>
      <c r="J25" s="625">
        <f>ROUND(SUM(J26:J30),0)</f>
        <v>0</v>
      </c>
      <c r="K25" s="622"/>
      <c r="L25" s="625">
        <f>ROUND(SUM(L26:L30),0)</f>
        <v>0</v>
      </c>
      <c r="M25" s="622"/>
      <c r="N25" s="625">
        <f>ROUND(SUM(N26:N30),0)</f>
        <v>0</v>
      </c>
      <c r="O25" s="304"/>
      <c r="P25" s="524"/>
      <c r="Q25" s="304"/>
      <c r="R25" s="625">
        <f>ROUND(SUM(R26:R30),0)</f>
        <v>0</v>
      </c>
      <c r="S25" s="622"/>
      <c r="T25" s="625">
        <f>ROUND(SUM(T26:T30),0)</f>
        <v>0</v>
      </c>
      <c r="U25" s="622"/>
      <c r="V25" s="625">
        <f>ROUND(SUM(V26:V30),0)</f>
        <v>0</v>
      </c>
      <c r="W25" s="622"/>
      <c r="X25" s="625">
        <f>ROUND(SUM(X26:X30),0)</f>
        <v>0</v>
      </c>
      <c r="Y25" s="622"/>
      <c r="Z25" s="622"/>
      <c r="AA25" s="622"/>
      <c r="AB25" s="625">
        <f>SUM(AB26:AB30)</f>
        <v>0</v>
      </c>
      <c r="AC25" s="622"/>
      <c r="AD25" s="625">
        <f>SUM(AD26:AD30)</f>
        <v>0</v>
      </c>
      <c r="AE25" s="622"/>
      <c r="AF25" s="625">
        <f>SUM(AF26:AF30)</f>
        <v>0</v>
      </c>
      <c r="AG25" s="622"/>
      <c r="AH25" s="316"/>
      <c r="AI25" s="622"/>
      <c r="AJ25" s="625">
        <f>SUM(AJ26:AJ30)</f>
        <v>0</v>
      </c>
      <c r="AK25" s="622"/>
      <c r="AL25" s="625">
        <f>SUM(AL26:AL30)</f>
        <v>0</v>
      </c>
      <c r="AM25" s="622"/>
      <c r="AN25" s="625">
        <f>SUM(AN26:AN30)</f>
        <v>0</v>
      </c>
      <c r="AO25" s="622"/>
      <c r="AP25" s="625">
        <f>SUM(AP26:AP30)</f>
        <v>0</v>
      </c>
      <c r="AQ25" s="622"/>
      <c r="AR25" s="625">
        <f>SUM(AR26:AR30)</f>
        <v>0</v>
      </c>
      <c r="AS25" s="622"/>
      <c r="AT25" s="625">
        <f>SUM(AT26:AT30)</f>
        <v>0</v>
      </c>
      <c r="AU25" s="622"/>
      <c r="AV25" s="625">
        <f>SUM(AV26:AV30)</f>
        <v>0</v>
      </c>
      <c r="AW25" s="622"/>
      <c r="AX25" s="625">
        <f>SUM(AX26:AX30)</f>
        <v>0</v>
      </c>
      <c r="AY25" s="622"/>
      <c r="AZ25" s="625">
        <f>SUM(AZ26:AZ30)</f>
        <v>0</v>
      </c>
      <c r="BA25" s="622"/>
      <c r="BB25" s="625">
        <f>SUM(BB26:BB30)</f>
        <v>0</v>
      </c>
      <c r="BC25" s="622"/>
      <c r="BD25" s="625">
        <f>SUM(BD26:BD30)</f>
        <v>0</v>
      </c>
      <c r="BE25" s="622"/>
      <c r="BF25" s="625">
        <f>ROUND(SUM(BF26:BF30),0)</f>
        <v>0</v>
      </c>
      <c r="BG25" s="622"/>
      <c r="BH25" s="623"/>
      <c r="BI25" s="304">
        <f t="shared" ref="BI25:BI30" si="32">A25</f>
        <v>200</v>
      </c>
    </row>
    <row r="26" spans="1:61" ht="14.5">
      <c r="A26" s="304">
        <f t="shared" si="15"/>
        <v>201</v>
      </c>
      <c r="B26" s="626"/>
      <c r="C26" s="615"/>
      <c r="D26" s="615" t="s">
        <v>1377</v>
      </c>
      <c r="E26" s="304"/>
      <c r="F26" s="524" t="s">
        <v>1354</v>
      </c>
      <c r="G26" s="304"/>
      <c r="H26" s="627"/>
      <c r="I26" s="304"/>
      <c r="J26" s="627"/>
      <c r="K26" s="622"/>
      <c r="L26" s="627"/>
      <c r="M26" s="622"/>
      <c r="N26" s="627"/>
      <c r="O26" s="304"/>
      <c r="P26" s="524" t="s">
        <v>1355</v>
      </c>
      <c r="Q26" s="304"/>
      <c r="R26" s="622">
        <f>N26</f>
        <v>0</v>
      </c>
      <c r="S26" s="622"/>
      <c r="T26" s="622">
        <v>0</v>
      </c>
      <c r="U26" s="622"/>
      <c r="V26" s="622">
        <v>0</v>
      </c>
      <c r="W26" s="622"/>
      <c r="X26" s="622">
        <f t="shared" ref="X26:X30" si="33">SUM(R26:V26)</f>
        <v>0</v>
      </c>
      <c r="Y26" s="622"/>
      <c r="Z26" s="316" t="s">
        <v>1356</v>
      </c>
      <c r="AA26" s="622"/>
      <c r="AB26" s="627"/>
      <c r="AC26" s="622"/>
      <c r="AD26" s="622">
        <v>0</v>
      </c>
      <c r="AE26" s="622"/>
      <c r="AF26" s="622">
        <v>0</v>
      </c>
      <c r="AG26" s="622"/>
      <c r="AH26" s="316" t="s">
        <v>1357</v>
      </c>
      <c r="AI26" s="622"/>
      <c r="AJ26" s="315">
        <f t="shared" ref="AJ26:AJ30" si="34">+R26-AB26</f>
        <v>0</v>
      </c>
      <c r="AK26" s="622"/>
      <c r="AL26" s="315">
        <f t="shared" ref="AL26:AL30" si="35">+T26-AD26</f>
        <v>0</v>
      </c>
      <c r="AM26" s="622"/>
      <c r="AN26" s="315">
        <f t="shared" ref="AN26:AN30" si="36">+V26-AF26</f>
        <v>0</v>
      </c>
      <c r="AO26" s="622"/>
      <c r="AP26" s="622">
        <f t="shared" ref="AP26:AP30" si="37">SUM(AJ26:AN26)</f>
        <v>0</v>
      </c>
      <c r="AQ26" s="622"/>
      <c r="AR26" s="627"/>
      <c r="AS26" s="622"/>
      <c r="AT26" s="622">
        <v>0</v>
      </c>
      <c r="AU26" s="622"/>
      <c r="AV26" s="622">
        <v>0</v>
      </c>
      <c r="AW26" s="622"/>
      <c r="AX26" s="315">
        <f>+AJ26-AR26</f>
        <v>0</v>
      </c>
      <c r="AY26" s="622"/>
      <c r="AZ26" s="315">
        <f>+AL26-AT26</f>
        <v>0</v>
      </c>
      <c r="BA26" s="622"/>
      <c r="BB26" s="315">
        <f>+AN26-AV26</f>
        <v>0</v>
      </c>
      <c r="BC26" s="622"/>
      <c r="BD26" s="622">
        <f t="shared" ref="BD26:BD30" si="38">SUM(AX26:BB26)</f>
        <v>0</v>
      </c>
      <c r="BE26" s="622"/>
      <c r="BF26" s="622">
        <f>+BD26*$BF$10</f>
        <v>0</v>
      </c>
      <c r="BG26" s="622"/>
      <c r="BH26" s="623"/>
      <c r="BI26" s="304">
        <f t="shared" si="32"/>
        <v>201</v>
      </c>
    </row>
    <row r="27" spans="1:61" ht="14.5">
      <c r="A27" s="304">
        <f t="shared" si="15"/>
        <v>202</v>
      </c>
      <c r="B27" s="626"/>
      <c r="C27" s="615"/>
      <c r="D27" s="615" t="s">
        <v>1377</v>
      </c>
      <c r="E27" s="304"/>
      <c r="F27" s="524" t="s">
        <v>1354</v>
      </c>
      <c r="G27" s="304"/>
      <c r="H27" s="627"/>
      <c r="I27" s="304"/>
      <c r="J27" s="627"/>
      <c r="K27" s="622"/>
      <c r="L27" s="627"/>
      <c r="M27" s="622"/>
      <c r="N27" s="627"/>
      <c r="O27" s="304"/>
      <c r="P27" s="524" t="s">
        <v>1355</v>
      </c>
      <c r="Q27" s="304"/>
      <c r="R27" s="622">
        <f t="shared" ref="R27:R28" si="39">N27</f>
        <v>0</v>
      </c>
      <c r="S27" s="622"/>
      <c r="T27" s="622">
        <v>0</v>
      </c>
      <c r="U27" s="622"/>
      <c r="V27" s="622">
        <v>0</v>
      </c>
      <c r="W27" s="622"/>
      <c r="X27" s="622">
        <f t="shared" si="33"/>
        <v>0</v>
      </c>
      <c r="Y27" s="622"/>
      <c r="Z27" s="316" t="s">
        <v>1356</v>
      </c>
      <c r="AA27" s="622"/>
      <c r="AB27" s="627"/>
      <c r="AC27" s="622"/>
      <c r="AD27" s="622">
        <v>0</v>
      </c>
      <c r="AE27" s="622"/>
      <c r="AF27" s="622">
        <v>0</v>
      </c>
      <c r="AG27" s="622"/>
      <c r="AH27" s="316" t="s">
        <v>1357</v>
      </c>
      <c r="AI27" s="622"/>
      <c r="AJ27" s="315">
        <f t="shared" si="34"/>
        <v>0</v>
      </c>
      <c r="AK27" s="622"/>
      <c r="AL27" s="315">
        <f t="shared" si="35"/>
        <v>0</v>
      </c>
      <c r="AM27" s="622"/>
      <c r="AN27" s="315">
        <f t="shared" si="36"/>
        <v>0</v>
      </c>
      <c r="AO27" s="622"/>
      <c r="AP27" s="622">
        <f t="shared" si="37"/>
        <v>0</v>
      </c>
      <c r="AQ27" s="622"/>
      <c r="AR27" s="627"/>
      <c r="AS27" s="622"/>
      <c r="AT27" s="622">
        <v>0</v>
      </c>
      <c r="AU27" s="622"/>
      <c r="AV27" s="622">
        <v>0</v>
      </c>
      <c r="AW27" s="622"/>
      <c r="AX27" s="315">
        <f>+AJ27-AR27</f>
        <v>0</v>
      </c>
      <c r="AY27" s="622"/>
      <c r="AZ27" s="315">
        <f>+AL27-AT27</f>
        <v>0</v>
      </c>
      <c r="BA27" s="622"/>
      <c r="BB27" s="315">
        <f>+AN27-AV27</f>
        <v>0</v>
      </c>
      <c r="BC27" s="622"/>
      <c r="BD27" s="622">
        <f t="shared" si="38"/>
        <v>0</v>
      </c>
      <c r="BE27" s="622"/>
      <c r="BF27" s="622">
        <f>+BD27*$BF$10</f>
        <v>0</v>
      </c>
      <c r="BG27" s="622"/>
      <c r="BH27" s="623"/>
      <c r="BI27" s="304">
        <f t="shared" si="32"/>
        <v>202</v>
      </c>
    </row>
    <row r="28" spans="1:61" ht="14.5">
      <c r="A28" s="304">
        <f t="shared" si="15"/>
        <v>203</v>
      </c>
      <c r="B28" s="626"/>
      <c r="C28" s="615"/>
      <c r="D28" s="615" t="s">
        <v>1377</v>
      </c>
      <c r="E28" s="304"/>
      <c r="F28" s="524" t="s">
        <v>1354</v>
      </c>
      <c r="G28" s="304"/>
      <c r="H28" s="627"/>
      <c r="I28" s="304"/>
      <c r="J28" s="627"/>
      <c r="K28" s="622"/>
      <c r="L28" s="627"/>
      <c r="M28" s="622"/>
      <c r="N28" s="627"/>
      <c r="O28" s="304"/>
      <c r="P28" s="524" t="s">
        <v>1355</v>
      </c>
      <c r="Q28" s="304"/>
      <c r="R28" s="622">
        <f t="shared" si="39"/>
        <v>0</v>
      </c>
      <c r="S28" s="622"/>
      <c r="T28" s="622">
        <v>0</v>
      </c>
      <c r="U28" s="622"/>
      <c r="V28" s="622">
        <v>0</v>
      </c>
      <c r="W28" s="622"/>
      <c r="X28" s="622">
        <f t="shared" si="33"/>
        <v>0</v>
      </c>
      <c r="Y28" s="622"/>
      <c r="Z28" s="316" t="s">
        <v>1356</v>
      </c>
      <c r="AA28" s="622"/>
      <c r="AB28" s="627"/>
      <c r="AC28" s="622"/>
      <c r="AD28" s="622">
        <v>0</v>
      </c>
      <c r="AE28" s="622"/>
      <c r="AF28" s="622">
        <v>0</v>
      </c>
      <c r="AG28" s="622"/>
      <c r="AH28" s="316" t="s">
        <v>1357</v>
      </c>
      <c r="AI28" s="622"/>
      <c r="AJ28" s="315">
        <f t="shared" si="34"/>
        <v>0</v>
      </c>
      <c r="AK28" s="622"/>
      <c r="AL28" s="315">
        <f t="shared" si="35"/>
        <v>0</v>
      </c>
      <c r="AM28" s="622"/>
      <c r="AN28" s="315">
        <f t="shared" si="36"/>
        <v>0</v>
      </c>
      <c r="AO28" s="622"/>
      <c r="AP28" s="622">
        <f t="shared" si="37"/>
        <v>0</v>
      </c>
      <c r="AQ28" s="622"/>
      <c r="AR28" s="627"/>
      <c r="AS28" s="622"/>
      <c r="AT28" s="622">
        <v>0</v>
      </c>
      <c r="AU28" s="622"/>
      <c r="AV28" s="622">
        <v>0</v>
      </c>
      <c r="AW28" s="622"/>
      <c r="AX28" s="315">
        <f>+AJ28-AR28</f>
        <v>0</v>
      </c>
      <c r="AY28" s="622"/>
      <c r="AZ28" s="315">
        <f>+AL28-AT28</f>
        <v>0</v>
      </c>
      <c r="BA28" s="622"/>
      <c r="BB28" s="315">
        <f>+AN28-AV28</f>
        <v>0</v>
      </c>
      <c r="BC28" s="622"/>
      <c r="BD28" s="622">
        <f t="shared" si="38"/>
        <v>0</v>
      </c>
      <c r="BE28" s="622"/>
      <c r="BF28" s="622">
        <f>+BD28*$BF$10</f>
        <v>0</v>
      </c>
      <c r="BG28" s="622"/>
      <c r="BH28" s="623"/>
      <c r="BI28" s="304">
        <f t="shared" si="32"/>
        <v>203</v>
      </c>
    </row>
    <row r="29" spans="1:61" ht="14.5">
      <c r="A29" s="304">
        <f t="shared" si="15"/>
        <v>204</v>
      </c>
      <c r="B29" s="628" t="s">
        <v>119</v>
      </c>
      <c r="C29" s="615"/>
      <c r="D29" s="304"/>
      <c r="E29" s="304"/>
      <c r="F29" s="304"/>
      <c r="G29" s="304"/>
      <c r="H29" s="627"/>
      <c r="I29" s="304"/>
      <c r="J29" s="627"/>
      <c r="K29" s="622"/>
      <c r="L29" s="627"/>
      <c r="M29" s="622"/>
      <c r="N29" s="627"/>
      <c r="O29" s="304"/>
      <c r="P29" s="524"/>
      <c r="Q29" s="304"/>
      <c r="R29" s="622">
        <v>0</v>
      </c>
      <c r="S29" s="622"/>
      <c r="T29" s="622">
        <v>0</v>
      </c>
      <c r="U29" s="622"/>
      <c r="V29" s="622">
        <v>0</v>
      </c>
      <c r="W29" s="622"/>
      <c r="X29" s="622">
        <f t="shared" si="33"/>
        <v>0</v>
      </c>
      <c r="Y29" s="622"/>
      <c r="Z29" s="316"/>
      <c r="AA29" s="622"/>
      <c r="AB29" s="627"/>
      <c r="AC29" s="622"/>
      <c r="AD29" s="622">
        <v>0</v>
      </c>
      <c r="AE29" s="622"/>
      <c r="AF29" s="622">
        <v>0</v>
      </c>
      <c r="AG29" s="622"/>
      <c r="AH29" s="316"/>
      <c r="AI29" s="622"/>
      <c r="AJ29" s="315">
        <f t="shared" si="34"/>
        <v>0</v>
      </c>
      <c r="AK29" s="622"/>
      <c r="AL29" s="315">
        <f t="shared" si="35"/>
        <v>0</v>
      </c>
      <c r="AM29" s="622"/>
      <c r="AN29" s="315">
        <f t="shared" si="36"/>
        <v>0</v>
      </c>
      <c r="AO29" s="622"/>
      <c r="AP29" s="622">
        <f t="shared" si="37"/>
        <v>0</v>
      </c>
      <c r="AQ29" s="622"/>
      <c r="AR29" s="627"/>
      <c r="AS29" s="622"/>
      <c r="AT29" s="622">
        <v>0</v>
      </c>
      <c r="AU29" s="622"/>
      <c r="AV29" s="622">
        <v>0</v>
      </c>
      <c r="AW29" s="622"/>
      <c r="AX29" s="315">
        <f>+AJ29-AR29</f>
        <v>0</v>
      </c>
      <c r="AY29" s="622"/>
      <c r="AZ29" s="315">
        <f>+AL29-AT29</f>
        <v>0</v>
      </c>
      <c r="BA29" s="622"/>
      <c r="BB29" s="315">
        <f>+AN29-AV29</f>
        <v>0</v>
      </c>
      <c r="BC29" s="622"/>
      <c r="BD29" s="622">
        <f t="shared" si="38"/>
        <v>0</v>
      </c>
      <c r="BE29" s="622"/>
      <c r="BF29" s="622">
        <f>+BD29*$BF$10</f>
        <v>0</v>
      </c>
      <c r="BG29" s="622"/>
      <c r="BH29" s="623"/>
      <c r="BI29" s="304">
        <f t="shared" si="32"/>
        <v>204</v>
      </c>
    </row>
    <row r="30" spans="1:61" ht="14.5">
      <c r="A30" s="304">
        <f>+A29+1</f>
        <v>205</v>
      </c>
      <c r="B30" s="628" t="s">
        <v>119</v>
      </c>
      <c r="C30" s="629"/>
      <c r="D30" s="615"/>
      <c r="E30" s="615"/>
      <c r="F30" s="524"/>
      <c r="G30" s="615"/>
      <c r="H30" s="627"/>
      <c r="I30" s="615"/>
      <c r="J30" s="627"/>
      <c r="K30" s="622"/>
      <c r="L30" s="627"/>
      <c r="M30" s="622"/>
      <c r="N30" s="627"/>
      <c r="O30" s="615"/>
      <c r="P30" s="524"/>
      <c r="Q30" s="615"/>
      <c r="R30" s="622">
        <v>0</v>
      </c>
      <c r="S30" s="622"/>
      <c r="T30" s="622">
        <v>0</v>
      </c>
      <c r="U30" s="622"/>
      <c r="V30" s="622">
        <v>0</v>
      </c>
      <c r="W30" s="622"/>
      <c r="X30" s="622">
        <f t="shared" si="33"/>
        <v>0</v>
      </c>
      <c r="Y30" s="622"/>
      <c r="Z30" s="316"/>
      <c r="AA30" s="622"/>
      <c r="AB30" s="627"/>
      <c r="AC30" s="622"/>
      <c r="AD30" s="622">
        <v>0</v>
      </c>
      <c r="AE30" s="622"/>
      <c r="AF30" s="622">
        <v>0</v>
      </c>
      <c r="AG30" s="622"/>
      <c r="AH30" s="316"/>
      <c r="AI30" s="622"/>
      <c r="AJ30" s="315">
        <f t="shared" si="34"/>
        <v>0</v>
      </c>
      <c r="AK30" s="622"/>
      <c r="AL30" s="315">
        <f t="shared" si="35"/>
        <v>0</v>
      </c>
      <c r="AM30" s="622"/>
      <c r="AN30" s="315">
        <f t="shared" si="36"/>
        <v>0</v>
      </c>
      <c r="AO30" s="622"/>
      <c r="AP30" s="622">
        <f t="shared" si="37"/>
        <v>0</v>
      </c>
      <c r="AQ30" s="305"/>
      <c r="AR30" s="627"/>
      <c r="AS30" s="622"/>
      <c r="AT30" s="622">
        <v>0</v>
      </c>
      <c r="AU30" s="622"/>
      <c r="AV30" s="622">
        <v>0</v>
      </c>
      <c r="AW30" s="622"/>
      <c r="AX30" s="315">
        <f>+AJ30-AR30</f>
        <v>0</v>
      </c>
      <c r="AY30" s="622"/>
      <c r="AZ30" s="315">
        <f>+AL30-AT30</f>
        <v>0</v>
      </c>
      <c r="BA30" s="622"/>
      <c r="BB30" s="315">
        <f>+AN30-AV30</f>
        <v>0</v>
      </c>
      <c r="BC30" s="622"/>
      <c r="BD30" s="622">
        <f t="shared" si="38"/>
        <v>0</v>
      </c>
      <c r="BE30" s="305"/>
      <c r="BF30" s="622">
        <f>+BD30*$BF$10</f>
        <v>0</v>
      </c>
      <c r="BG30" s="305"/>
      <c r="BH30" s="615"/>
      <c r="BI30" s="304">
        <f t="shared" si="32"/>
        <v>205</v>
      </c>
    </row>
    <row r="31" spans="1:61" ht="14.5">
      <c r="A31" s="304"/>
      <c r="B31" s="524"/>
      <c r="C31" s="629"/>
      <c r="D31" s="615"/>
      <c r="E31" s="615"/>
      <c r="F31" s="524"/>
      <c r="G31" s="615"/>
      <c r="H31" s="622"/>
      <c r="I31" s="615"/>
      <c r="J31" s="622"/>
      <c r="K31" s="622"/>
      <c r="L31" s="622"/>
      <c r="M31" s="622"/>
      <c r="N31" s="622"/>
      <c r="O31" s="615"/>
      <c r="P31" s="524"/>
      <c r="Q31" s="615"/>
      <c r="R31" s="622"/>
      <c r="S31" s="622"/>
      <c r="T31" s="622"/>
      <c r="U31" s="622"/>
      <c r="V31" s="622"/>
      <c r="W31" s="622"/>
      <c r="X31" s="622"/>
      <c r="Y31" s="622"/>
      <c r="Z31" s="316"/>
      <c r="AA31" s="622"/>
      <c r="AB31" s="622"/>
      <c r="AC31" s="622"/>
      <c r="AD31" s="622"/>
      <c r="AE31" s="622"/>
      <c r="AF31" s="622"/>
      <c r="AG31" s="622"/>
      <c r="AH31" s="316"/>
      <c r="AI31" s="622"/>
      <c r="AJ31" s="622"/>
      <c r="AK31" s="622"/>
      <c r="AL31" s="622"/>
      <c r="AM31" s="622"/>
      <c r="AN31" s="622"/>
      <c r="AO31" s="622"/>
      <c r="AP31" s="622"/>
      <c r="AQ31" s="305"/>
      <c r="AR31" s="622"/>
      <c r="AS31" s="622"/>
      <c r="AT31" s="622"/>
      <c r="AU31" s="622"/>
      <c r="AV31" s="622"/>
      <c r="AW31" s="622"/>
      <c r="AX31" s="622"/>
      <c r="AY31" s="622"/>
      <c r="AZ31" s="622"/>
      <c r="BA31" s="622"/>
      <c r="BB31" s="622"/>
      <c r="BC31" s="622"/>
      <c r="BD31" s="622"/>
      <c r="BE31" s="305"/>
      <c r="BF31" s="622"/>
      <c r="BG31" s="305"/>
      <c r="BH31" s="615"/>
      <c r="BI31" s="304"/>
    </row>
    <row r="32" spans="1:61" ht="14.5">
      <c r="A32" s="201" t="s">
        <v>92</v>
      </c>
      <c r="F32" s="630"/>
      <c r="H32" s="556"/>
      <c r="P32" s="631"/>
      <c r="R32" s="622"/>
      <c r="S32" s="622"/>
      <c r="T32" s="622"/>
      <c r="U32" s="622"/>
      <c r="V32" s="622"/>
      <c r="W32" s="622"/>
      <c r="X32" s="622"/>
      <c r="Y32" s="622"/>
      <c r="Z32" s="316"/>
      <c r="AA32" s="622"/>
      <c r="AC32" s="622"/>
      <c r="AE32" s="622"/>
      <c r="AG32" s="622"/>
      <c r="AH32" s="316"/>
      <c r="AI32" s="622"/>
      <c r="AJ32" s="622"/>
      <c r="AK32" s="622"/>
      <c r="AL32" s="622"/>
      <c r="AM32" s="622"/>
      <c r="AN32" s="622"/>
      <c r="AO32" s="622"/>
      <c r="AP32" s="622"/>
      <c r="AS32" s="622"/>
      <c r="AU32" s="622"/>
      <c r="AW32" s="622"/>
      <c r="AX32" s="622"/>
      <c r="AY32" s="622"/>
      <c r="AZ32" s="622"/>
      <c r="BA32" s="622"/>
      <c r="BB32" s="622"/>
      <c r="BC32" s="622"/>
      <c r="BD32" s="622"/>
      <c r="BI32" s="201" t="s">
        <v>92</v>
      </c>
    </row>
    <row r="33" spans="1:61" ht="14.5">
      <c r="A33" s="304">
        <f>A25+100</f>
        <v>300</v>
      </c>
      <c r="B33" s="615" t="s">
        <v>1380</v>
      </c>
      <c r="F33" s="630"/>
      <c r="H33" s="625">
        <f>ROUND(SUM(H34:H90),0)</f>
        <v>0</v>
      </c>
      <c r="J33" s="625">
        <f>ROUND(SUM(J34:J90),0)</f>
        <v>0</v>
      </c>
      <c r="K33" s="622"/>
      <c r="L33" s="625">
        <f>ROUND(SUM(L34:L90),0)</f>
        <v>0</v>
      </c>
      <c r="M33" s="622"/>
      <c r="N33" s="625">
        <f>ROUND(SUM(N34:N90),0)</f>
        <v>0</v>
      </c>
      <c r="O33" s="304"/>
      <c r="P33" s="524"/>
      <c r="Q33" s="304"/>
      <c r="R33" s="625">
        <f>ROUND(SUM(R34:R90),0)</f>
        <v>0</v>
      </c>
      <c r="S33" s="622"/>
      <c r="T33" s="625">
        <f>ROUND(SUM(T34:T90),0)</f>
        <v>0</v>
      </c>
      <c r="U33" s="622"/>
      <c r="V33" s="625">
        <f>ROUND(SUM(V34:V90),0)</f>
        <v>0</v>
      </c>
      <c r="W33" s="622"/>
      <c r="X33" s="625">
        <f>ROUND(SUM(X34:X90),0)</f>
        <v>0</v>
      </c>
      <c r="Y33" s="622"/>
      <c r="Z33" s="316"/>
      <c r="AA33" s="622"/>
      <c r="AB33" s="625">
        <f>SUM(AB34:AB90)</f>
        <v>0</v>
      </c>
      <c r="AC33" s="622"/>
      <c r="AD33" s="625">
        <f>SUM(AD34:AD90)</f>
        <v>0</v>
      </c>
      <c r="AE33" s="622"/>
      <c r="AF33" s="625">
        <f>SUM(AF34:AF90)</f>
        <v>0</v>
      </c>
      <c r="AG33" s="622"/>
      <c r="AH33" s="316"/>
      <c r="AI33" s="622"/>
      <c r="AJ33" s="625">
        <f>SUM(AJ34:AJ90)</f>
        <v>0</v>
      </c>
      <c r="AK33" s="622"/>
      <c r="AL33" s="625">
        <f>SUM(AL34:AL90)</f>
        <v>0</v>
      </c>
      <c r="AM33" s="622"/>
      <c r="AN33" s="625">
        <f>SUM(AN34:AN90)</f>
        <v>0</v>
      </c>
      <c r="AO33" s="622"/>
      <c r="AP33" s="625">
        <f>SUM(AP34:AP90)</f>
        <v>0</v>
      </c>
      <c r="AR33" s="625">
        <f>SUM(AR34:AR90)</f>
        <v>0</v>
      </c>
      <c r="AS33" s="622"/>
      <c r="AT33" s="625">
        <f>SUM(AT34:AT90)</f>
        <v>0</v>
      </c>
      <c r="AU33" s="622"/>
      <c r="AV33" s="625">
        <f>SUM(AV34:AV90)</f>
        <v>0</v>
      </c>
      <c r="AW33" s="622"/>
      <c r="AX33" s="625">
        <f>SUM(AX34:AX90)</f>
        <v>0</v>
      </c>
      <c r="AY33" s="622"/>
      <c r="AZ33" s="625">
        <f>SUM(AZ34:AZ90)</f>
        <v>0</v>
      </c>
      <c r="BA33" s="622"/>
      <c r="BB33" s="625">
        <f>SUM(BB34:BB90)</f>
        <v>0</v>
      </c>
      <c r="BC33" s="622"/>
      <c r="BD33" s="625">
        <f>SUM(BD34:BD90)</f>
        <v>0</v>
      </c>
      <c r="BF33" s="625">
        <f>ROUND(SUM(BF34:BF90),0)</f>
        <v>0</v>
      </c>
      <c r="BI33" s="304">
        <f t="shared" ref="BI33:BI90" si="40">A33</f>
        <v>300</v>
      </c>
    </row>
    <row r="34" spans="1:61" ht="14.5">
      <c r="A34" s="304">
        <f t="shared" ref="A34:A90" si="41">A33+1</f>
        <v>301</v>
      </c>
      <c r="B34" s="626"/>
      <c r="F34" s="630" t="s">
        <v>1354</v>
      </c>
      <c r="H34" s="627"/>
      <c r="J34" s="627"/>
      <c r="K34" s="622"/>
      <c r="L34" s="627"/>
      <c r="M34" s="622"/>
      <c r="N34" s="627"/>
      <c r="P34" s="632" t="s">
        <v>1355</v>
      </c>
      <c r="R34" s="622">
        <v>0</v>
      </c>
      <c r="S34" s="622"/>
      <c r="T34" s="622">
        <f>N34</f>
        <v>0</v>
      </c>
      <c r="U34" s="622"/>
      <c r="V34" s="622">
        <v>0</v>
      </c>
      <c r="W34" s="622"/>
      <c r="X34" s="622">
        <f>SUM(R34:V34)</f>
        <v>0</v>
      </c>
      <c r="Y34" s="622"/>
      <c r="Z34" s="316" t="s">
        <v>1382</v>
      </c>
      <c r="AA34" s="622"/>
      <c r="AB34" s="622">
        <v>0</v>
      </c>
      <c r="AC34" s="622"/>
      <c r="AD34" s="627"/>
      <c r="AE34" s="622"/>
      <c r="AF34" s="622">
        <v>0</v>
      </c>
      <c r="AG34" s="622"/>
      <c r="AH34" s="316" t="s">
        <v>1357</v>
      </c>
      <c r="AI34" s="622"/>
      <c r="AJ34" s="315">
        <f t="shared" ref="AJ34:AJ90" si="42">+R34-AB34</f>
        <v>0</v>
      </c>
      <c r="AK34" s="622"/>
      <c r="AL34" s="315">
        <f t="shared" ref="AL34:AL90" si="43">+T34-AD34</f>
        <v>0</v>
      </c>
      <c r="AM34" s="622"/>
      <c r="AN34" s="315">
        <f t="shared" ref="AN34:AN90" si="44">+V34-AF34</f>
        <v>0</v>
      </c>
      <c r="AO34" s="622"/>
      <c r="AP34" s="622">
        <f t="shared" ref="AP34:AP90" si="45">SUM(AJ34:AN34)</f>
        <v>0</v>
      </c>
      <c r="AR34" s="622">
        <v>0</v>
      </c>
      <c r="AS34" s="622"/>
      <c r="AT34" s="627"/>
      <c r="AU34" s="622"/>
      <c r="AV34" s="622">
        <v>0</v>
      </c>
      <c r="AW34" s="622"/>
      <c r="AX34" s="315">
        <f t="shared" ref="AX34:AX90" si="46">+AJ34-AR34</f>
        <v>0</v>
      </c>
      <c r="AY34" s="622"/>
      <c r="AZ34" s="315">
        <f t="shared" ref="AZ34:AZ90" si="47">+AL34-AT34</f>
        <v>0</v>
      </c>
      <c r="BA34" s="622"/>
      <c r="BB34" s="315">
        <f t="shared" ref="BB34:BB90" si="48">+AN34-AV34</f>
        <v>0</v>
      </c>
      <c r="BC34" s="622"/>
      <c r="BD34" s="622">
        <f t="shared" ref="BD34:BD90" si="49">SUM(AX34:BB34)</f>
        <v>0</v>
      </c>
      <c r="BF34" s="622">
        <f t="shared" ref="BF34:BF90" si="50">+BD34*$BF$10</f>
        <v>0</v>
      </c>
      <c r="BI34" s="304">
        <f t="shared" si="40"/>
        <v>301</v>
      </c>
    </row>
    <row r="35" spans="1:61" ht="14.5">
      <c r="A35" s="304">
        <f t="shared" si="41"/>
        <v>302</v>
      </c>
      <c r="B35" s="626"/>
      <c r="F35" s="630" t="s">
        <v>1354</v>
      </c>
      <c r="H35" s="627"/>
      <c r="J35" s="627"/>
      <c r="K35" s="622"/>
      <c r="L35" s="627"/>
      <c r="M35" s="622"/>
      <c r="N35" s="627"/>
      <c r="P35" s="632" t="s">
        <v>1355</v>
      </c>
      <c r="R35" s="622">
        <v>0</v>
      </c>
      <c r="S35" s="622"/>
      <c r="T35" s="622">
        <f t="shared" ref="T35:T90" si="51">N35</f>
        <v>0</v>
      </c>
      <c r="U35" s="622"/>
      <c r="V35" s="622">
        <v>0</v>
      </c>
      <c r="W35" s="622"/>
      <c r="X35" s="622">
        <f t="shared" ref="X35:X96" si="52">SUM(R35:V35)</f>
        <v>0</v>
      </c>
      <c r="Y35" s="622"/>
      <c r="Z35" s="316" t="s">
        <v>1382</v>
      </c>
      <c r="AA35" s="622"/>
      <c r="AB35" s="622">
        <v>0</v>
      </c>
      <c r="AC35" s="622"/>
      <c r="AD35" s="627"/>
      <c r="AE35" s="622"/>
      <c r="AF35" s="622">
        <v>0</v>
      </c>
      <c r="AG35" s="622"/>
      <c r="AH35" s="316" t="s">
        <v>1357</v>
      </c>
      <c r="AI35" s="622"/>
      <c r="AJ35" s="315">
        <f t="shared" si="42"/>
        <v>0</v>
      </c>
      <c r="AK35" s="622"/>
      <c r="AL35" s="315">
        <f t="shared" si="43"/>
        <v>0</v>
      </c>
      <c r="AM35" s="622"/>
      <c r="AN35" s="315">
        <f t="shared" si="44"/>
        <v>0</v>
      </c>
      <c r="AO35" s="622"/>
      <c r="AP35" s="622">
        <f t="shared" si="45"/>
        <v>0</v>
      </c>
      <c r="AR35" s="622">
        <v>0</v>
      </c>
      <c r="AS35" s="622"/>
      <c r="AT35" s="627"/>
      <c r="AU35" s="622"/>
      <c r="AV35" s="622">
        <v>0</v>
      </c>
      <c r="AW35" s="622"/>
      <c r="AX35" s="315">
        <f t="shared" si="46"/>
        <v>0</v>
      </c>
      <c r="AY35" s="622"/>
      <c r="AZ35" s="315">
        <f t="shared" si="47"/>
        <v>0</v>
      </c>
      <c r="BA35" s="622"/>
      <c r="BB35" s="315">
        <f t="shared" si="48"/>
        <v>0</v>
      </c>
      <c r="BC35" s="622"/>
      <c r="BD35" s="622">
        <f t="shared" si="49"/>
        <v>0</v>
      </c>
      <c r="BF35" s="622">
        <f t="shared" si="50"/>
        <v>0</v>
      </c>
      <c r="BI35" s="304">
        <f t="shared" si="40"/>
        <v>302</v>
      </c>
    </row>
    <row r="36" spans="1:61" ht="14.5">
      <c r="A36" s="304">
        <f t="shared" si="41"/>
        <v>303</v>
      </c>
      <c r="B36" s="626"/>
      <c r="F36" s="630" t="s">
        <v>1354</v>
      </c>
      <c r="H36" s="627"/>
      <c r="J36" s="627"/>
      <c r="K36" s="622"/>
      <c r="L36" s="627"/>
      <c r="M36" s="622"/>
      <c r="N36" s="627"/>
      <c r="P36" s="632" t="s">
        <v>1355</v>
      </c>
      <c r="R36" s="622">
        <v>0</v>
      </c>
      <c r="S36" s="622"/>
      <c r="T36" s="622">
        <f t="shared" si="51"/>
        <v>0</v>
      </c>
      <c r="U36" s="622"/>
      <c r="V36" s="622">
        <v>0</v>
      </c>
      <c r="W36" s="622"/>
      <c r="X36" s="622">
        <f t="shared" si="52"/>
        <v>0</v>
      </c>
      <c r="Y36" s="622"/>
      <c r="Z36" s="316" t="s">
        <v>1382</v>
      </c>
      <c r="AA36" s="622"/>
      <c r="AB36" s="622">
        <v>0</v>
      </c>
      <c r="AC36" s="622"/>
      <c r="AD36" s="627"/>
      <c r="AE36" s="622"/>
      <c r="AF36" s="622">
        <v>0</v>
      </c>
      <c r="AG36" s="622"/>
      <c r="AH36" s="316" t="s">
        <v>1357</v>
      </c>
      <c r="AI36" s="622"/>
      <c r="AJ36" s="315">
        <f t="shared" si="42"/>
        <v>0</v>
      </c>
      <c r="AK36" s="622"/>
      <c r="AL36" s="315">
        <f t="shared" si="43"/>
        <v>0</v>
      </c>
      <c r="AM36" s="622"/>
      <c r="AN36" s="315">
        <f t="shared" si="44"/>
        <v>0</v>
      </c>
      <c r="AO36" s="622"/>
      <c r="AP36" s="622">
        <f t="shared" si="45"/>
        <v>0</v>
      </c>
      <c r="AR36" s="622">
        <v>0</v>
      </c>
      <c r="AS36" s="622"/>
      <c r="AT36" s="627"/>
      <c r="AU36" s="622"/>
      <c r="AV36" s="622">
        <v>0</v>
      </c>
      <c r="AW36" s="622"/>
      <c r="AX36" s="315">
        <f t="shared" si="46"/>
        <v>0</v>
      </c>
      <c r="AY36" s="622"/>
      <c r="AZ36" s="315">
        <f t="shared" si="47"/>
        <v>0</v>
      </c>
      <c r="BA36" s="622"/>
      <c r="BB36" s="315">
        <f t="shared" si="48"/>
        <v>0</v>
      </c>
      <c r="BC36" s="622"/>
      <c r="BD36" s="622">
        <f t="shared" si="49"/>
        <v>0</v>
      </c>
      <c r="BF36" s="622">
        <f t="shared" si="50"/>
        <v>0</v>
      </c>
      <c r="BI36" s="304">
        <f t="shared" si="40"/>
        <v>303</v>
      </c>
    </row>
    <row r="37" spans="1:61" ht="14.5">
      <c r="A37" s="304">
        <f t="shared" si="41"/>
        <v>304</v>
      </c>
      <c r="B37" s="626"/>
      <c r="F37" s="630" t="s">
        <v>1354</v>
      </c>
      <c r="H37" s="627"/>
      <c r="J37" s="627"/>
      <c r="K37" s="622"/>
      <c r="L37" s="627"/>
      <c r="M37" s="622"/>
      <c r="N37" s="627"/>
      <c r="P37" s="632" t="s">
        <v>1355</v>
      </c>
      <c r="R37" s="622">
        <v>0</v>
      </c>
      <c r="S37" s="622"/>
      <c r="T37" s="622">
        <f t="shared" si="51"/>
        <v>0</v>
      </c>
      <c r="U37" s="622"/>
      <c r="V37" s="622">
        <v>0</v>
      </c>
      <c r="W37" s="622"/>
      <c r="X37" s="622">
        <f t="shared" si="52"/>
        <v>0</v>
      </c>
      <c r="Y37" s="622"/>
      <c r="Z37" s="316" t="s">
        <v>1382</v>
      </c>
      <c r="AA37" s="622"/>
      <c r="AB37" s="622">
        <v>0</v>
      </c>
      <c r="AC37" s="622"/>
      <c r="AD37" s="627"/>
      <c r="AE37" s="622"/>
      <c r="AF37" s="622">
        <v>0</v>
      </c>
      <c r="AG37" s="622"/>
      <c r="AH37" s="316" t="s">
        <v>1357</v>
      </c>
      <c r="AI37" s="622"/>
      <c r="AJ37" s="315">
        <f t="shared" si="42"/>
        <v>0</v>
      </c>
      <c r="AK37" s="622"/>
      <c r="AL37" s="315">
        <f t="shared" si="43"/>
        <v>0</v>
      </c>
      <c r="AM37" s="622"/>
      <c r="AN37" s="315">
        <f t="shared" si="44"/>
        <v>0</v>
      </c>
      <c r="AO37" s="622"/>
      <c r="AP37" s="622">
        <f t="shared" si="45"/>
        <v>0</v>
      </c>
      <c r="AR37" s="622">
        <v>0</v>
      </c>
      <c r="AS37" s="622"/>
      <c r="AT37" s="627"/>
      <c r="AU37" s="622"/>
      <c r="AV37" s="622">
        <v>0</v>
      </c>
      <c r="AW37" s="622"/>
      <c r="AX37" s="315">
        <f t="shared" si="46"/>
        <v>0</v>
      </c>
      <c r="AY37" s="622"/>
      <c r="AZ37" s="315">
        <f t="shared" si="47"/>
        <v>0</v>
      </c>
      <c r="BA37" s="622"/>
      <c r="BB37" s="315">
        <f t="shared" si="48"/>
        <v>0</v>
      </c>
      <c r="BC37" s="622"/>
      <c r="BD37" s="622">
        <f t="shared" si="49"/>
        <v>0</v>
      </c>
      <c r="BF37" s="622">
        <f t="shared" si="50"/>
        <v>0</v>
      </c>
      <c r="BI37" s="304">
        <f t="shared" si="40"/>
        <v>304</v>
      </c>
    </row>
    <row r="38" spans="1:61" ht="14.5">
      <c r="A38" s="304">
        <f t="shared" si="41"/>
        <v>305</v>
      </c>
      <c r="B38" s="626"/>
      <c r="F38" s="630" t="s">
        <v>1354</v>
      </c>
      <c r="H38" s="627"/>
      <c r="J38" s="627"/>
      <c r="K38" s="622"/>
      <c r="L38" s="627"/>
      <c r="M38" s="622"/>
      <c r="N38" s="627"/>
      <c r="P38" s="632" t="s">
        <v>1355</v>
      </c>
      <c r="R38" s="622">
        <v>0</v>
      </c>
      <c r="S38" s="622"/>
      <c r="T38" s="622">
        <f t="shared" si="51"/>
        <v>0</v>
      </c>
      <c r="U38" s="622"/>
      <c r="V38" s="622">
        <v>0</v>
      </c>
      <c r="W38" s="622"/>
      <c r="X38" s="622">
        <f t="shared" si="52"/>
        <v>0</v>
      </c>
      <c r="Y38" s="622"/>
      <c r="Z38" s="316" t="s">
        <v>1382</v>
      </c>
      <c r="AA38" s="622"/>
      <c r="AB38" s="622">
        <v>0</v>
      </c>
      <c r="AC38" s="622"/>
      <c r="AD38" s="627"/>
      <c r="AE38" s="622"/>
      <c r="AF38" s="622">
        <v>0</v>
      </c>
      <c r="AG38" s="622"/>
      <c r="AH38" s="316" t="s">
        <v>1357</v>
      </c>
      <c r="AI38" s="622"/>
      <c r="AJ38" s="315">
        <f t="shared" si="42"/>
        <v>0</v>
      </c>
      <c r="AK38" s="622"/>
      <c r="AL38" s="315">
        <f t="shared" si="43"/>
        <v>0</v>
      </c>
      <c r="AM38" s="622"/>
      <c r="AN38" s="315">
        <f t="shared" si="44"/>
        <v>0</v>
      </c>
      <c r="AO38" s="622"/>
      <c r="AP38" s="622">
        <f t="shared" si="45"/>
        <v>0</v>
      </c>
      <c r="AR38" s="622">
        <v>0</v>
      </c>
      <c r="AS38" s="622"/>
      <c r="AT38" s="627"/>
      <c r="AU38" s="622"/>
      <c r="AV38" s="622">
        <v>0</v>
      </c>
      <c r="AW38" s="622"/>
      <c r="AX38" s="315">
        <f t="shared" si="46"/>
        <v>0</v>
      </c>
      <c r="AY38" s="622"/>
      <c r="AZ38" s="315">
        <f t="shared" si="47"/>
        <v>0</v>
      </c>
      <c r="BA38" s="622"/>
      <c r="BB38" s="315">
        <f t="shared" si="48"/>
        <v>0</v>
      </c>
      <c r="BC38" s="622"/>
      <c r="BD38" s="622">
        <f t="shared" si="49"/>
        <v>0</v>
      </c>
      <c r="BF38" s="622">
        <f t="shared" si="50"/>
        <v>0</v>
      </c>
      <c r="BI38" s="304">
        <f t="shared" si="40"/>
        <v>305</v>
      </c>
    </row>
    <row r="39" spans="1:61" ht="14.5">
      <c r="A39" s="304">
        <f t="shared" si="41"/>
        <v>306</v>
      </c>
      <c r="B39" s="626"/>
      <c r="F39" s="630" t="s">
        <v>1354</v>
      </c>
      <c r="H39" s="627"/>
      <c r="J39" s="627"/>
      <c r="K39" s="622"/>
      <c r="L39" s="627"/>
      <c r="M39" s="622"/>
      <c r="N39" s="627"/>
      <c r="P39" s="632" t="s">
        <v>1355</v>
      </c>
      <c r="R39" s="622">
        <v>0</v>
      </c>
      <c r="S39" s="622"/>
      <c r="T39" s="622">
        <f t="shared" si="51"/>
        <v>0</v>
      </c>
      <c r="U39" s="622"/>
      <c r="V39" s="622">
        <v>0</v>
      </c>
      <c r="W39" s="622"/>
      <c r="X39" s="622">
        <f t="shared" si="52"/>
        <v>0</v>
      </c>
      <c r="Y39" s="622"/>
      <c r="Z39" s="316" t="s">
        <v>1382</v>
      </c>
      <c r="AA39" s="622"/>
      <c r="AB39" s="622">
        <v>0</v>
      </c>
      <c r="AC39" s="622"/>
      <c r="AD39" s="627"/>
      <c r="AE39" s="622"/>
      <c r="AF39" s="622">
        <v>0</v>
      </c>
      <c r="AG39" s="622"/>
      <c r="AH39" s="316" t="s">
        <v>1357</v>
      </c>
      <c r="AI39" s="622"/>
      <c r="AJ39" s="315">
        <f t="shared" si="42"/>
        <v>0</v>
      </c>
      <c r="AK39" s="622"/>
      <c r="AL39" s="315">
        <f t="shared" si="43"/>
        <v>0</v>
      </c>
      <c r="AM39" s="622"/>
      <c r="AN39" s="315">
        <f t="shared" si="44"/>
        <v>0</v>
      </c>
      <c r="AO39" s="622"/>
      <c r="AP39" s="622">
        <f t="shared" si="45"/>
        <v>0</v>
      </c>
      <c r="AR39" s="622">
        <v>0</v>
      </c>
      <c r="AS39" s="622"/>
      <c r="AT39" s="627"/>
      <c r="AU39" s="622"/>
      <c r="AV39" s="622">
        <v>0</v>
      </c>
      <c r="AW39" s="622"/>
      <c r="AX39" s="315">
        <f t="shared" si="46"/>
        <v>0</v>
      </c>
      <c r="AY39" s="622"/>
      <c r="AZ39" s="315">
        <f t="shared" si="47"/>
        <v>0</v>
      </c>
      <c r="BA39" s="622"/>
      <c r="BB39" s="315">
        <f t="shared" si="48"/>
        <v>0</v>
      </c>
      <c r="BC39" s="622"/>
      <c r="BD39" s="622">
        <f t="shared" si="49"/>
        <v>0</v>
      </c>
      <c r="BF39" s="622">
        <f t="shared" si="50"/>
        <v>0</v>
      </c>
      <c r="BI39" s="304">
        <f t="shared" si="40"/>
        <v>306</v>
      </c>
    </row>
    <row r="40" spans="1:61" ht="14.5">
      <c r="A40" s="304">
        <f t="shared" si="41"/>
        <v>307</v>
      </c>
      <c r="B40" s="626"/>
      <c r="F40" s="630" t="s">
        <v>1354</v>
      </c>
      <c r="H40" s="627"/>
      <c r="J40" s="627"/>
      <c r="K40" s="622"/>
      <c r="L40" s="627"/>
      <c r="M40" s="622"/>
      <c r="N40" s="627"/>
      <c r="P40" s="632" t="s">
        <v>1355</v>
      </c>
      <c r="R40" s="622">
        <v>0</v>
      </c>
      <c r="S40" s="622"/>
      <c r="T40" s="622">
        <f t="shared" si="51"/>
        <v>0</v>
      </c>
      <c r="U40" s="622"/>
      <c r="V40" s="622">
        <v>0</v>
      </c>
      <c r="W40" s="622"/>
      <c r="X40" s="622">
        <f t="shared" si="52"/>
        <v>0</v>
      </c>
      <c r="Y40" s="622"/>
      <c r="Z40" s="316" t="s">
        <v>1382</v>
      </c>
      <c r="AA40" s="622"/>
      <c r="AB40" s="622">
        <v>0</v>
      </c>
      <c r="AC40" s="622"/>
      <c r="AD40" s="627"/>
      <c r="AE40" s="622"/>
      <c r="AF40" s="622">
        <v>0</v>
      </c>
      <c r="AG40" s="622"/>
      <c r="AH40" s="316" t="s">
        <v>1357</v>
      </c>
      <c r="AI40" s="622"/>
      <c r="AJ40" s="315">
        <f t="shared" si="42"/>
        <v>0</v>
      </c>
      <c r="AK40" s="622"/>
      <c r="AL40" s="315">
        <f t="shared" si="43"/>
        <v>0</v>
      </c>
      <c r="AM40" s="622"/>
      <c r="AN40" s="315">
        <f t="shared" si="44"/>
        <v>0</v>
      </c>
      <c r="AO40" s="622"/>
      <c r="AP40" s="622">
        <f t="shared" si="45"/>
        <v>0</v>
      </c>
      <c r="AR40" s="622">
        <v>0</v>
      </c>
      <c r="AS40" s="622"/>
      <c r="AT40" s="627"/>
      <c r="AU40" s="622"/>
      <c r="AV40" s="622">
        <v>0</v>
      </c>
      <c r="AW40" s="622"/>
      <c r="AX40" s="315">
        <f t="shared" si="46"/>
        <v>0</v>
      </c>
      <c r="AY40" s="622"/>
      <c r="AZ40" s="315">
        <f t="shared" si="47"/>
        <v>0</v>
      </c>
      <c r="BA40" s="622"/>
      <c r="BB40" s="315">
        <f t="shared" si="48"/>
        <v>0</v>
      </c>
      <c r="BC40" s="622"/>
      <c r="BD40" s="622">
        <f t="shared" si="49"/>
        <v>0</v>
      </c>
      <c r="BF40" s="622">
        <f t="shared" si="50"/>
        <v>0</v>
      </c>
      <c r="BI40" s="304">
        <f t="shared" si="40"/>
        <v>307</v>
      </c>
    </row>
    <row r="41" spans="1:61" ht="14.5">
      <c r="A41" s="304">
        <f t="shared" si="41"/>
        <v>308</v>
      </c>
      <c r="B41" s="626"/>
      <c r="F41" s="630" t="s">
        <v>1354</v>
      </c>
      <c r="H41" s="627"/>
      <c r="J41" s="627"/>
      <c r="K41" s="622"/>
      <c r="L41" s="627"/>
      <c r="M41" s="622"/>
      <c r="N41" s="627"/>
      <c r="P41" s="632" t="s">
        <v>1355</v>
      </c>
      <c r="R41" s="622">
        <f>N41</f>
        <v>0</v>
      </c>
      <c r="S41" s="622"/>
      <c r="T41" s="622"/>
      <c r="U41" s="622"/>
      <c r="V41" s="622">
        <v>0</v>
      </c>
      <c r="W41" s="622"/>
      <c r="X41" s="622">
        <f t="shared" si="52"/>
        <v>0</v>
      </c>
      <c r="Y41" s="622"/>
      <c r="Z41" s="316" t="s">
        <v>1382</v>
      </c>
      <c r="AA41" s="622"/>
      <c r="AB41" s="622">
        <v>0</v>
      </c>
      <c r="AC41" s="622"/>
      <c r="AD41" s="627"/>
      <c r="AE41" s="622"/>
      <c r="AF41" s="622">
        <v>0</v>
      </c>
      <c r="AG41" s="622"/>
      <c r="AH41" s="316" t="s">
        <v>1357</v>
      </c>
      <c r="AI41" s="622"/>
      <c r="AJ41" s="315">
        <f t="shared" si="42"/>
        <v>0</v>
      </c>
      <c r="AK41" s="622"/>
      <c r="AL41" s="315">
        <f t="shared" si="43"/>
        <v>0</v>
      </c>
      <c r="AM41" s="622"/>
      <c r="AN41" s="315">
        <f t="shared" si="44"/>
        <v>0</v>
      </c>
      <c r="AO41" s="622"/>
      <c r="AP41" s="622">
        <f t="shared" si="45"/>
        <v>0</v>
      </c>
      <c r="AR41" s="622">
        <v>0</v>
      </c>
      <c r="AS41" s="622"/>
      <c r="AT41" s="627"/>
      <c r="AU41" s="622"/>
      <c r="AV41" s="622">
        <v>0</v>
      </c>
      <c r="AW41" s="622"/>
      <c r="AX41" s="315">
        <f t="shared" si="46"/>
        <v>0</v>
      </c>
      <c r="AY41" s="622"/>
      <c r="AZ41" s="315">
        <f t="shared" si="47"/>
        <v>0</v>
      </c>
      <c r="BA41" s="622"/>
      <c r="BB41" s="315">
        <f t="shared" si="48"/>
        <v>0</v>
      </c>
      <c r="BC41" s="622"/>
      <c r="BD41" s="622">
        <f t="shared" si="49"/>
        <v>0</v>
      </c>
      <c r="BF41" s="622">
        <f t="shared" si="50"/>
        <v>0</v>
      </c>
      <c r="BI41" s="304">
        <f t="shared" si="40"/>
        <v>308</v>
      </c>
    </row>
    <row r="42" spans="1:61" ht="14.5">
      <c r="A42" s="304">
        <f t="shared" si="41"/>
        <v>309</v>
      </c>
      <c r="B42" s="626"/>
      <c r="F42" s="630" t="s">
        <v>1354</v>
      </c>
      <c r="H42" s="627"/>
      <c r="J42" s="627"/>
      <c r="K42" s="622"/>
      <c r="L42" s="627"/>
      <c r="M42" s="622"/>
      <c r="N42" s="627"/>
      <c r="P42" s="632" t="s">
        <v>1355</v>
      </c>
      <c r="R42" s="622">
        <v>0</v>
      </c>
      <c r="S42" s="622"/>
      <c r="T42" s="622">
        <f t="shared" si="51"/>
        <v>0</v>
      </c>
      <c r="U42" s="622"/>
      <c r="V42" s="622">
        <v>0</v>
      </c>
      <c r="W42" s="622"/>
      <c r="X42" s="622">
        <f t="shared" si="52"/>
        <v>0</v>
      </c>
      <c r="Y42" s="622"/>
      <c r="Z42" s="316" t="s">
        <v>1382</v>
      </c>
      <c r="AA42" s="622"/>
      <c r="AB42" s="622">
        <v>0</v>
      </c>
      <c r="AC42" s="622"/>
      <c r="AD42" s="627"/>
      <c r="AE42" s="622"/>
      <c r="AF42" s="622">
        <v>0</v>
      </c>
      <c r="AG42" s="622"/>
      <c r="AH42" s="316" t="s">
        <v>1357</v>
      </c>
      <c r="AI42" s="622"/>
      <c r="AJ42" s="315">
        <f t="shared" si="42"/>
        <v>0</v>
      </c>
      <c r="AK42" s="622"/>
      <c r="AL42" s="315">
        <f t="shared" si="43"/>
        <v>0</v>
      </c>
      <c r="AM42" s="622"/>
      <c r="AN42" s="315">
        <f t="shared" si="44"/>
        <v>0</v>
      </c>
      <c r="AO42" s="622"/>
      <c r="AP42" s="622">
        <f t="shared" si="45"/>
        <v>0</v>
      </c>
      <c r="AR42" s="622">
        <v>0</v>
      </c>
      <c r="AS42" s="622"/>
      <c r="AT42" s="627"/>
      <c r="AU42" s="622"/>
      <c r="AV42" s="622">
        <v>0</v>
      </c>
      <c r="AW42" s="622"/>
      <c r="AX42" s="315">
        <f t="shared" si="46"/>
        <v>0</v>
      </c>
      <c r="AY42" s="622"/>
      <c r="AZ42" s="315">
        <f t="shared" si="47"/>
        <v>0</v>
      </c>
      <c r="BA42" s="622"/>
      <c r="BB42" s="315">
        <f t="shared" si="48"/>
        <v>0</v>
      </c>
      <c r="BC42" s="622"/>
      <c r="BD42" s="622">
        <f t="shared" si="49"/>
        <v>0</v>
      </c>
      <c r="BF42" s="622">
        <f t="shared" si="50"/>
        <v>0</v>
      </c>
      <c r="BI42" s="304">
        <f t="shared" si="40"/>
        <v>309</v>
      </c>
    </row>
    <row r="43" spans="1:61" ht="14.5">
      <c r="A43" s="304">
        <f t="shared" si="41"/>
        <v>310</v>
      </c>
      <c r="B43" s="626"/>
      <c r="F43" s="630" t="s">
        <v>1354</v>
      </c>
      <c r="H43" s="627"/>
      <c r="J43" s="627"/>
      <c r="K43" s="622"/>
      <c r="L43" s="627"/>
      <c r="M43" s="622"/>
      <c r="N43" s="627"/>
      <c r="P43" s="632" t="s">
        <v>1355</v>
      </c>
      <c r="R43" s="622">
        <v>0</v>
      </c>
      <c r="S43" s="622"/>
      <c r="T43" s="622">
        <f t="shared" si="51"/>
        <v>0</v>
      </c>
      <c r="U43" s="622"/>
      <c r="V43" s="622">
        <v>0</v>
      </c>
      <c r="W43" s="622"/>
      <c r="X43" s="622">
        <f t="shared" si="52"/>
        <v>0</v>
      </c>
      <c r="Y43" s="622"/>
      <c r="Z43" s="316" t="s">
        <v>1382</v>
      </c>
      <c r="AA43" s="622"/>
      <c r="AB43" s="622">
        <v>0</v>
      </c>
      <c r="AC43" s="622"/>
      <c r="AD43" s="627"/>
      <c r="AE43" s="622"/>
      <c r="AF43" s="622">
        <v>0</v>
      </c>
      <c r="AG43" s="622"/>
      <c r="AH43" s="316" t="s">
        <v>1357</v>
      </c>
      <c r="AI43" s="622"/>
      <c r="AJ43" s="315">
        <f t="shared" si="42"/>
        <v>0</v>
      </c>
      <c r="AK43" s="622"/>
      <c r="AL43" s="315">
        <f t="shared" si="43"/>
        <v>0</v>
      </c>
      <c r="AM43" s="622"/>
      <c r="AN43" s="315">
        <f t="shared" si="44"/>
        <v>0</v>
      </c>
      <c r="AO43" s="622"/>
      <c r="AP43" s="622">
        <f t="shared" si="45"/>
        <v>0</v>
      </c>
      <c r="AR43" s="622">
        <v>0</v>
      </c>
      <c r="AS43" s="622"/>
      <c r="AT43" s="627"/>
      <c r="AU43" s="622"/>
      <c r="AV43" s="622">
        <v>0</v>
      </c>
      <c r="AW43" s="622"/>
      <c r="AX43" s="315">
        <f t="shared" si="46"/>
        <v>0</v>
      </c>
      <c r="AY43" s="622"/>
      <c r="AZ43" s="315">
        <f t="shared" si="47"/>
        <v>0</v>
      </c>
      <c r="BA43" s="622"/>
      <c r="BB43" s="315">
        <f t="shared" si="48"/>
        <v>0</v>
      </c>
      <c r="BC43" s="622"/>
      <c r="BD43" s="622">
        <f t="shared" si="49"/>
        <v>0</v>
      </c>
      <c r="BF43" s="622">
        <f t="shared" si="50"/>
        <v>0</v>
      </c>
      <c r="BI43" s="304">
        <f t="shared" si="40"/>
        <v>310</v>
      </c>
    </row>
    <row r="44" spans="1:61" ht="14.5">
      <c r="A44" s="304">
        <f t="shared" si="41"/>
        <v>311</v>
      </c>
      <c r="B44" s="626"/>
      <c r="F44" s="630" t="s">
        <v>1354</v>
      </c>
      <c r="H44" s="627"/>
      <c r="J44" s="627"/>
      <c r="K44" s="622"/>
      <c r="L44" s="627"/>
      <c r="M44" s="622"/>
      <c r="N44" s="627"/>
      <c r="P44" s="632" t="s">
        <v>1355</v>
      </c>
      <c r="R44" s="622">
        <v>0</v>
      </c>
      <c r="S44" s="622"/>
      <c r="T44" s="622">
        <f t="shared" si="51"/>
        <v>0</v>
      </c>
      <c r="U44" s="622"/>
      <c r="V44" s="622">
        <v>0</v>
      </c>
      <c r="W44" s="622"/>
      <c r="X44" s="622">
        <f t="shared" si="52"/>
        <v>0</v>
      </c>
      <c r="Y44" s="622"/>
      <c r="Z44" s="316" t="s">
        <v>1382</v>
      </c>
      <c r="AA44" s="622"/>
      <c r="AB44" s="622">
        <v>0</v>
      </c>
      <c r="AC44" s="622"/>
      <c r="AD44" s="627"/>
      <c r="AE44" s="622"/>
      <c r="AF44" s="622">
        <v>0</v>
      </c>
      <c r="AG44" s="622"/>
      <c r="AH44" s="316" t="s">
        <v>1357</v>
      </c>
      <c r="AI44" s="622"/>
      <c r="AJ44" s="315">
        <f t="shared" si="42"/>
        <v>0</v>
      </c>
      <c r="AK44" s="622"/>
      <c r="AL44" s="315">
        <f t="shared" si="43"/>
        <v>0</v>
      </c>
      <c r="AM44" s="622"/>
      <c r="AN44" s="315">
        <f t="shared" si="44"/>
        <v>0</v>
      </c>
      <c r="AO44" s="622"/>
      <c r="AP44" s="622">
        <f t="shared" si="45"/>
        <v>0</v>
      </c>
      <c r="AR44" s="622">
        <v>0</v>
      </c>
      <c r="AS44" s="622"/>
      <c r="AT44" s="627"/>
      <c r="AU44" s="622"/>
      <c r="AV44" s="622">
        <v>0</v>
      </c>
      <c r="AW44" s="622"/>
      <c r="AX44" s="315">
        <f t="shared" si="46"/>
        <v>0</v>
      </c>
      <c r="AY44" s="622"/>
      <c r="AZ44" s="315">
        <f t="shared" si="47"/>
        <v>0</v>
      </c>
      <c r="BA44" s="622"/>
      <c r="BB44" s="315">
        <f t="shared" si="48"/>
        <v>0</v>
      </c>
      <c r="BC44" s="622"/>
      <c r="BD44" s="622">
        <f t="shared" si="49"/>
        <v>0</v>
      </c>
      <c r="BF44" s="622">
        <f t="shared" si="50"/>
        <v>0</v>
      </c>
      <c r="BI44" s="304">
        <f t="shared" si="40"/>
        <v>311</v>
      </c>
    </row>
    <row r="45" spans="1:61" ht="14.5">
      <c r="A45" s="304">
        <f t="shared" si="41"/>
        <v>312</v>
      </c>
      <c r="B45" s="626"/>
      <c r="F45" s="630" t="s">
        <v>1354</v>
      </c>
      <c r="H45" s="627"/>
      <c r="J45" s="627"/>
      <c r="K45" s="622"/>
      <c r="L45" s="627"/>
      <c r="M45" s="622"/>
      <c r="N45" s="627"/>
      <c r="P45" s="632" t="s">
        <v>1355</v>
      </c>
      <c r="R45" s="622">
        <v>0</v>
      </c>
      <c r="S45" s="622"/>
      <c r="T45" s="622">
        <f t="shared" si="51"/>
        <v>0</v>
      </c>
      <c r="U45" s="622"/>
      <c r="V45" s="622">
        <v>0</v>
      </c>
      <c r="W45" s="622"/>
      <c r="X45" s="622">
        <f t="shared" si="52"/>
        <v>0</v>
      </c>
      <c r="Y45" s="622"/>
      <c r="Z45" s="316" t="s">
        <v>1382</v>
      </c>
      <c r="AA45" s="622"/>
      <c r="AB45" s="622">
        <v>0</v>
      </c>
      <c r="AC45" s="622"/>
      <c r="AD45" s="627"/>
      <c r="AE45" s="622"/>
      <c r="AF45" s="622">
        <v>0</v>
      </c>
      <c r="AG45" s="622"/>
      <c r="AH45" s="316" t="s">
        <v>1357</v>
      </c>
      <c r="AI45" s="622"/>
      <c r="AJ45" s="315">
        <f t="shared" si="42"/>
        <v>0</v>
      </c>
      <c r="AK45" s="622"/>
      <c r="AL45" s="315">
        <f t="shared" si="43"/>
        <v>0</v>
      </c>
      <c r="AM45" s="622"/>
      <c r="AN45" s="315">
        <f t="shared" si="44"/>
        <v>0</v>
      </c>
      <c r="AO45" s="622"/>
      <c r="AP45" s="622">
        <f t="shared" si="45"/>
        <v>0</v>
      </c>
      <c r="AR45" s="622">
        <v>0</v>
      </c>
      <c r="AS45" s="622"/>
      <c r="AT45" s="627"/>
      <c r="AU45" s="622"/>
      <c r="AV45" s="622">
        <v>0</v>
      </c>
      <c r="AW45" s="622"/>
      <c r="AX45" s="315">
        <f t="shared" si="46"/>
        <v>0</v>
      </c>
      <c r="AY45" s="622"/>
      <c r="AZ45" s="315">
        <f t="shared" si="47"/>
        <v>0</v>
      </c>
      <c r="BA45" s="622"/>
      <c r="BB45" s="315">
        <f t="shared" si="48"/>
        <v>0</v>
      </c>
      <c r="BC45" s="622"/>
      <c r="BD45" s="622">
        <f t="shared" si="49"/>
        <v>0</v>
      </c>
      <c r="BF45" s="622">
        <f t="shared" si="50"/>
        <v>0</v>
      </c>
      <c r="BI45" s="304">
        <f t="shared" si="40"/>
        <v>312</v>
      </c>
    </row>
    <row r="46" spans="1:61" ht="14.5">
      <c r="A46" s="304">
        <f t="shared" si="41"/>
        <v>313</v>
      </c>
      <c r="B46" s="626"/>
      <c r="F46" s="630" t="s">
        <v>1354</v>
      </c>
      <c r="H46" s="627"/>
      <c r="J46" s="627"/>
      <c r="K46" s="622"/>
      <c r="L46" s="627"/>
      <c r="M46" s="622"/>
      <c r="N46" s="627"/>
      <c r="P46" s="632" t="s">
        <v>1355</v>
      </c>
      <c r="R46" s="622">
        <v>0</v>
      </c>
      <c r="S46" s="622"/>
      <c r="T46" s="622">
        <f t="shared" si="51"/>
        <v>0</v>
      </c>
      <c r="U46" s="622"/>
      <c r="V46" s="622">
        <v>0</v>
      </c>
      <c r="W46" s="622"/>
      <c r="X46" s="622">
        <f t="shared" si="52"/>
        <v>0</v>
      </c>
      <c r="Y46" s="622"/>
      <c r="Z46" s="316" t="s">
        <v>1382</v>
      </c>
      <c r="AA46" s="622"/>
      <c r="AB46" s="622">
        <v>0</v>
      </c>
      <c r="AC46" s="622"/>
      <c r="AD46" s="627"/>
      <c r="AE46" s="622"/>
      <c r="AF46" s="622">
        <v>0</v>
      </c>
      <c r="AG46" s="622"/>
      <c r="AH46" s="316" t="s">
        <v>1357</v>
      </c>
      <c r="AI46" s="622"/>
      <c r="AJ46" s="315">
        <f t="shared" si="42"/>
        <v>0</v>
      </c>
      <c r="AK46" s="622"/>
      <c r="AL46" s="315">
        <f t="shared" si="43"/>
        <v>0</v>
      </c>
      <c r="AM46" s="622"/>
      <c r="AN46" s="315">
        <f t="shared" si="44"/>
        <v>0</v>
      </c>
      <c r="AO46" s="622"/>
      <c r="AP46" s="622">
        <f t="shared" si="45"/>
        <v>0</v>
      </c>
      <c r="AR46" s="622">
        <v>0</v>
      </c>
      <c r="AS46" s="622"/>
      <c r="AT46" s="627"/>
      <c r="AU46" s="622"/>
      <c r="AV46" s="622">
        <v>0</v>
      </c>
      <c r="AW46" s="622"/>
      <c r="AX46" s="315">
        <f t="shared" si="46"/>
        <v>0</v>
      </c>
      <c r="AY46" s="622"/>
      <c r="AZ46" s="315">
        <f t="shared" si="47"/>
        <v>0</v>
      </c>
      <c r="BA46" s="622"/>
      <c r="BB46" s="315">
        <f t="shared" si="48"/>
        <v>0</v>
      </c>
      <c r="BC46" s="622"/>
      <c r="BD46" s="622">
        <f t="shared" si="49"/>
        <v>0</v>
      </c>
      <c r="BF46" s="622">
        <f t="shared" si="50"/>
        <v>0</v>
      </c>
      <c r="BI46" s="304">
        <f t="shared" si="40"/>
        <v>313</v>
      </c>
    </row>
    <row r="47" spans="1:61" ht="14.5">
      <c r="A47" s="304">
        <f t="shared" si="41"/>
        <v>314</v>
      </c>
      <c r="B47" s="626"/>
      <c r="F47" s="630" t="s">
        <v>1354</v>
      </c>
      <c r="H47" s="627"/>
      <c r="J47" s="627"/>
      <c r="K47" s="622"/>
      <c r="L47" s="627"/>
      <c r="M47" s="622"/>
      <c r="N47" s="627"/>
      <c r="P47" s="632" t="s">
        <v>1355</v>
      </c>
      <c r="R47" s="622">
        <v>0</v>
      </c>
      <c r="S47" s="622"/>
      <c r="T47" s="622">
        <f t="shared" si="51"/>
        <v>0</v>
      </c>
      <c r="U47" s="622"/>
      <c r="V47" s="622">
        <v>0</v>
      </c>
      <c r="W47" s="622"/>
      <c r="X47" s="622">
        <f t="shared" si="52"/>
        <v>0</v>
      </c>
      <c r="Y47" s="622"/>
      <c r="Z47" s="316" t="s">
        <v>1382</v>
      </c>
      <c r="AA47" s="622"/>
      <c r="AB47" s="622">
        <v>0</v>
      </c>
      <c r="AC47" s="622"/>
      <c r="AD47" s="627"/>
      <c r="AE47" s="622"/>
      <c r="AF47" s="622">
        <v>0</v>
      </c>
      <c r="AG47" s="622"/>
      <c r="AH47" s="316" t="s">
        <v>1357</v>
      </c>
      <c r="AI47" s="622"/>
      <c r="AJ47" s="315">
        <f t="shared" si="42"/>
        <v>0</v>
      </c>
      <c r="AK47" s="622"/>
      <c r="AL47" s="315">
        <f t="shared" si="43"/>
        <v>0</v>
      </c>
      <c r="AM47" s="622"/>
      <c r="AN47" s="315">
        <f t="shared" si="44"/>
        <v>0</v>
      </c>
      <c r="AO47" s="622"/>
      <c r="AP47" s="622">
        <f t="shared" si="45"/>
        <v>0</v>
      </c>
      <c r="AR47" s="622">
        <v>0</v>
      </c>
      <c r="AS47" s="622"/>
      <c r="AT47" s="627"/>
      <c r="AU47" s="622"/>
      <c r="AV47" s="622">
        <v>0</v>
      </c>
      <c r="AW47" s="622"/>
      <c r="AX47" s="315">
        <f t="shared" si="46"/>
        <v>0</v>
      </c>
      <c r="AY47" s="622"/>
      <c r="AZ47" s="315">
        <f t="shared" si="47"/>
        <v>0</v>
      </c>
      <c r="BA47" s="622"/>
      <c r="BB47" s="315">
        <f t="shared" si="48"/>
        <v>0</v>
      </c>
      <c r="BC47" s="622"/>
      <c r="BD47" s="622">
        <f t="shared" si="49"/>
        <v>0</v>
      </c>
      <c r="BF47" s="622">
        <f t="shared" si="50"/>
        <v>0</v>
      </c>
      <c r="BI47" s="304">
        <f t="shared" si="40"/>
        <v>314</v>
      </c>
    </row>
    <row r="48" spans="1:61" ht="14.5">
      <c r="A48" s="304">
        <f t="shared" si="41"/>
        <v>315</v>
      </c>
      <c r="B48" s="626"/>
      <c r="F48" s="630" t="s">
        <v>1354</v>
      </c>
      <c r="H48" s="627"/>
      <c r="J48" s="627"/>
      <c r="K48" s="622"/>
      <c r="L48" s="627"/>
      <c r="M48" s="622"/>
      <c r="N48" s="627"/>
      <c r="P48" s="632" t="s">
        <v>1355</v>
      </c>
      <c r="R48" s="622">
        <v>0</v>
      </c>
      <c r="S48" s="622"/>
      <c r="T48" s="622">
        <f t="shared" si="51"/>
        <v>0</v>
      </c>
      <c r="U48" s="622"/>
      <c r="V48" s="622">
        <v>0</v>
      </c>
      <c r="W48" s="622"/>
      <c r="X48" s="622">
        <f t="shared" si="52"/>
        <v>0</v>
      </c>
      <c r="Y48" s="622"/>
      <c r="Z48" s="316" t="s">
        <v>1382</v>
      </c>
      <c r="AA48" s="622"/>
      <c r="AB48" s="622">
        <v>0</v>
      </c>
      <c r="AC48" s="622"/>
      <c r="AD48" s="627"/>
      <c r="AE48" s="622"/>
      <c r="AF48" s="622">
        <v>0</v>
      </c>
      <c r="AG48" s="622"/>
      <c r="AH48" s="316" t="s">
        <v>1357</v>
      </c>
      <c r="AI48" s="622"/>
      <c r="AJ48" s="315">
        <f t="shared" si="42"/>
        <v>0</v>
      </c>
      <c r="AK48" s="622"/>
      <c r="AL48" s="315">
        <f t="shared" si="43"/>
        <v>0</v>
      </c>
      <c r="AM48" s="622"/>
      <c r="AN48" s="315">
        <f t="shared" si="44"/>
        <v>0</v>
      </c>
      <c r="AO48" s="622"/>
      <c r="AP48" s="622">
        <f t="shared" si="45"/>
        <v>0</v>
      </c>
      <c r="AR48" s="622">
        <v>0</v>
      </c>
      <c r="AS48" s="622"/>
      <c r="AT48" s="627"/>
      <c r="AU48" s="622"/>
      <c r="AV48" s="622">
        <v>0</v>
      </c>
      <c r="AW48" s="622"/>
      <c r="AX48" s="315">
        <f t="shared" si="46"/>
        <v>0</v>
      </c>
      <c r="AY48" s="622"/>
      <c r="AZ48" s="315">
        <f t="shared" si="47"/>
        <v>0</v>
      </c>
      <c r="BA48" s="622"/>
      <c r="BB48" s="315">
        <f t="shared" si="48"/>
        <v>0</v>
      </c>
      <c r="BC48" s="622"/>
      <c r="BD48" s="622">
        <f t="shared" si="49"/>
        <v>0</v>
      </c>
      <c r="BF48" s="622">
        <f t="shared" si="50"/>
        <v>0</v>
      </c>
      <c r="BI48" s="304">
        <f t="shared" si="40"/>
        <v>315</v>
      </c>
    </row>
    <row r="49" spans="1:61" ht="14.5">
      <c r="A49" s="304">
        <f t="shared" si="41"/>
        <v>316</v>
      </c>
      <c r="B49" s="626"/>
      <c r="F49" s="630" t="s">
        <v>1354</v>
      </c>
      <c r="H49" s="627"/>
      <c r="J49" s="627"/>
      <c r="K49" s="622"/>
      <c r="L49" s="627"/>
      <c r="M49" s="622"/>
      <c r="N49" s="627"/>
      <c r="P49" s="632" t="s">
        <v>1355</v>
      </c>
      <c r="R49" s="622">
        <v>0</v>
      </c>
      <c r="S49" s="622"/>
      <c r="T49" s="622">
        <f t="shared" si="51"/>
        <v>0</v>
      </c>
      <c r="U49" s="622"/>
      <c r="V49" s="622">
        <v>0</v>
      </c>
      <c r="W49" s="622"/>
      <c r="X49" s="622">
        <f t="shared" si="52"/>
        <v>0</v>
      </c>
      <c r="Y49" s="622"/>
      <c r="Z49" s="316" t="s">
        <v>1382</v>
      </c>
      <c r="AA49" s="622"/>
      <c r="AB49" s="622">
        <v>0</v>
      </c>
      <c r="AC49" s="622"/>
      <c r="AD49" s="627"/>
      <c r="AE49" s="622"/>
      <c r="AF49" s="622">
        <v>0</v>
      </c>
      <c r="AG49" s="622"/>
      <c r="AH49" s="316" t="s">
        <v>1357</v>
      </c>
      <c r="AI49" s="622"/>
      <c r="AJ49" s="315">
        <f t="shared" si="42"/>
        <v>0</v>
      </c>
      <c r="AK49" s="622"/>
      <c r="AL49" s="315">
        <f t="shared" si="43"/>
        <v>0</v>
      </c>
      <c r="AM49" s="622"/>
      <c r="AN49" s="315">
        <f t="shared" si="44"/>
        <v>0</v>
      </c>
      <c r="AO49" s="622"/>
      <c r="AP49" s="622">
        <f t="shared" si="45"/>
        <v>0</v>
      </c>
      <c r="AR49" s="622">
        <v>0</v>
      </c>
      <c r="AS49" s="622"/>
      <c r="AT49" s="627"/>
      <c r="AU49" s="622"/>
      <c r="AV49" s="622">
        <v>0</v>
      </c>
      <c r="AW49" s="622"/>
      <c r="AX49" s="315">
        <f t="shared" si="46"/>
        <v>0</v>
      </c>
      <c r="AY49" s="622"/>
      <c r="AZ49" s="315">
        <f t="shared" si="47"/>
        <v>0</v>
      </c>
      <c r="BA49" s="622"/>
      <c r="BB49" s="315">
        <f t="shared" si="48"/>
        <v>0</v>
      </c>
      <c r="BC49" s="622"/>
      <c r="BD49" s="622">
        <f t="shared" si="49"/>
        <v>0</v>
      </c>
      <c r="BF49" s="622">
        <f t="shared" si="50"/>
        <v>0</v>
      </c>
      <c r="BI49" s="304">
        <f t="shared" si="40"/>
        <v>316</v>
      </c>
    </row>
    <row r="50" spans="1:61" ht="14.5">
      <c r="A50" s="304">
        <f t="shared" si="41"/>
        <v>317</v>
      </c>
      <c r="B50" s="626"/>
      <c r="F50" s="630" t="s">
        <v>1354</v>
      </c>
      <c r="H50" s="627"/>
      <c r="J50" s="627"/>
      <c r="K50" s="622"/>
      <c r="L50" s="627"/>
      <c r="M50" s="622"/>
      <c r="N50" s="627"/>
      <c r="P50" s="632" t="s">
        <v>1355</v>
      </c>
      <c r="R50" s="622">
        <v>0</v>
      </c>
      <c r="S50" s="622"/>
      <c r="T50" s="622">
        <f t="shared" si="51"/>
        <v>0</v>
      </c>
      <c r="U50" s="622"/>
      <c r="V50" s="622">
        <v>0</v>
      </c>
      <c r="W50" s="622"/>
      <c r="X50" s="622">
        <f t="shared" si="52"/>
        <v>0</v>
      </c>
      <c r="Y50" s="622"/>
      <c r="Z50" s="316" t="s">
        <v>1382</v>
      </c>
      <c r="AA50" s="622"/>
      <c r="AB50" s="622">
        <v>0</v>
      </c>
      <c r="AC50" s="622"/>
      <c r="AD50" s="627"/>
      <c r="AE50" s="622"/>
      <c r="AF50" s="622">
        <v>0</v>
      </c>
      <c r="AG50" s="622"/>
      <c r="AH50" s="316" t="s">
        <v>1357</v>
      </c>
      <c r="AI50" s="622"/>
      <c r="AJ50" s="315">
        <f t="shared" si="42"/>
        <v>0</v>
      </c>
      <c r="AK50" s="622"/>
      <c r="AL50" s="315">
        <f t="shared" si="43"/>
        <v>0</v>
      </c>
      <c r="AM50" s="622"/>
      <c r="AN50" s="315">
        <f t="shared" si="44"/>
        <v>0</v>
      </c>
      <c r="AO50" s="622"/>
      <c r="AP50" s="622">
        <f t="shared" si="45"/>
        <v>0</v>
      </c>
      <c r="AR50" s="622">
        <v>0</v>
      </c>
      <c r="AS50" s="622"/>
      <c r="AT50" s="627"/>
      <c r="AU50" s="622"/>
      <c r="AV50" s="622">
        <v>0</v>
      </c>
      <c r="AW50" s="622"/>
      <c r="AX50" s="315">
        <f t="shared" si="46"/>
        <v>0</v>
      </c>
      <c r="AY50" s="622"/>
      <c r="AZ50" s="315">
        <f t="shared" si="47"/>
        <v>0</v>
      </c>
      <c r="BA50" s="622"/>
      <c r="BB50" s="315">
        <f t="shared" si="48"/>
        <v>0</v>
      </c>
      <c r="BC50" s="622"/>
      <c r="BD50" s="622">
        <f t="shared" si="49"/>
        <v>0</v>
      </c>
      <c r="BF50" s="622">
        <f t="shared" si="50"/>
        <v>0</v>
      </c>
      <c r="BI50" s="304">
        <f t="shared" si="40"/>
        <v>317</v>
      </c>
    </row>
    <row r="51" spans="1:61" ht="14.5">
      <c r="A51" s="304">
        <f t="shared" si="41"/>
        <v>318</v>
      </c>
      <c r="B51" s="626"/>
      <c r="F51" s="630" t="s">
        <v>1354</v>
      </c>
      <c r="H51" s="627"/>
      <c r="J51" s="627"/>
      <c r="K51" s="622"/>
      <c r="L51" s="627"/>
      <c r="M51" s="622"/>
      <c r="N51" s="627"/>
      <c r="P51" s="632" t="s">
        <v>1355</v>
      </c>
      <c r="R51" s="622">
        <v>0</v>
      </c>
      <c r="S51" s="622"/>
      <c r="T51" s="622">
        <f t="shared" si="51"/>
        <v>0</v>
      </c>
      <c r="U51" s="622"/>
      <c r="V51" s="622">
        <v>0</v>
      </c>
      <c r="W51" s="622"/>
      <c r="X51" s="622">
        <f t="shared" si="52"/>
        <v>0</v>
      </c>
      <c r="Y51" s="622"/>
      <c r="Z51" s="316" t="s">
        <v>1382</v>
      </c>
      <c r="AA51" s="622"/>
      <c r="AB51" s="622">
        <v>0</v>
      </c>
      <c r="AC51" s="622"/>
      <c r="AD51" s="627"/>
      <c r="AE51" s="622"/>
      <c r="AF51" s="622">
        <v>0</v>
      </c>
      <c r="AG51" s="622"/>
      <c r="AH51" s="316" t="s">
        <v>1357</v>
      </c>
      <c r="AI51" s="622"/>
      <c r="AJ51" s="315">
        <f t="shared" si="42"/>
        <v>0</v>
      </c>
      <c r="AK51" s="622"/>
      <c r="AL51" s="315">
        <f t="shared" si="43"/>
        <v>0</v>
      </c>
      <c r="AM51" s="622"/>
      <c r="AN51" s="315">
        <f t="shared" si="44"/>
        <v>0</v>
      </c>
      <c r="AO51" s="622"/>
      <c r="AP51" s="622">
        <f t="shared" si="45"/>
        <v>0</v>
      </c>
      <c r="AR51" s="622">
        <v>0</v>
      </c>
      <c r="AS51" s="622"/>
      <c r="AT51" s="627"/>
      <c r="AU51" s="622"/>
      <c r="AV51" s="622">
        <v>0</v>
      </c>
      <c r="AW51" s="622"/>
      <c r="AX51" s="315">
        <f t="shared" si="46"/>
        <v>0</v>
      </c>
      <c r="AY51" s="622"/>
      <c r="AZ51" s="315">
        <f t="shared" si="47"/>
        <v>0</v>
      </c>
      <c r="BA51" s="622"/>
      <c r="BB51" s="315">
        <f t="shared" si="48"/>
        <v>0</v>
      </c>
      <c r="BC51" s="622"/>
      <c r="BD51" s="622">
        <f t="shared" si="49"/>
        <v>0</v>
      </c>
      <c r="BF51" s="622">
        <f t="shared" si="50"/>
        <v>0</v>
      </c>
      <c r="BI51" s="304">
        <f t="shared" si="40"/>
        <v>318</v>
      </c>
    </row>
    <row r="52" spans="1:61" ht="14.5">
      <c r="A52" s="304">
        <f t="shared" si="41"/>
        <v>319</v>
      </c>
      <c r="B52" s="626"/>
      <c r="F52" s="630" t="s">
        <v>1354</v>
      </c>
      <c r="H52" s="627"/>
      <c r="J52" s="627"/>
      <c r="K52" s="622"/>
      <c r="L52" s="627"/>
      <c r="M52" s="622"/>
      <c r="N52" s="627"/>
      <c r="P52" s="632" t="s">
        <v>1355</v>
      </c>
      <c r="R52" s="622">
        <v>0</v>
      </c>
      <c r="S52" s="622"/>
      <c r="T52" s="622">
        <f t="shared" si="51"/>
        <v>0</v>
      </c>
      <c r="U52" s="622"/>
      <c r="V52" s="622">
        <v>0</v>
      </c>
      <c r="W52" s="622"/>
      <c r="X52" s="622">
        <f t="shared" si="52"/>
        <v>0</v>
      </c>
      <c r="Y52" s="622"/>
      <c r="Z52" s="316" t="s">
        <v>1382</v>
      </c>
      <c r="AA52" s="622"/>
      <c r="AB52" s="622">
        <v>0</v>
      </c>
      <c r="AC52" s="622"/>
      <c r="AD52" s="627"/>
      <c r="AE52" s="622"/>
      <c r="AF52" s="622">
        <v>0</v>
      </c>
      <c r="AG52" s="622"/>
      <c r="AH52" s="316" t="s">
        <v>1357</v>
      </c>
      <c r="AI52" s="622"/>
      <c r="AJ52" s="315">
        <f t="shared" si="42"/>
        <v>0</v>
      </c>
      <c r="AK52" s="622"/>
      <c r="AL52" s="315">
        <f t="shared" si="43"/>
        <v>0</v>
      </c>
      <c r="AM52" s="622"/>
      <c r="AN52" s="315">
        <f t="shared" si="44"/>
        <v>0</v>
      </c>
      <c r="AO52" s="622"/>
      <c r="AP52" s="622">
        <f t="shared" si="45"/>
        <v>0</v>
      </c>
      <c r="AR52" s="622">
        <v>0</v>
      </c>
      <c r="AS52" s="622"/>
      <c r="AT52" s="627"/>
      <c r="AU52" s="622"/>
      <c r="AV52" s="622">
        <v>0</v>
      </c>
      <c r="AW52" s="622"/>
      <c r="AX52" s="315">
        <f t="shared" si="46"/>
        <v>0</v>
      </c>
      <c r="AY52" s="622"/>
      <c r="AZ52" s="315">
        <f t="shared" si="47"/>
        <v>0</v>
      </c>
      <c r="BA52" s="622"/>
      <c r="BB52" s="315">
        <f t="shared" si="48"/>
        <v>0</v>
      </c>
      <c r="BC52" s="622"/>
      <c r="BD52" s="622">
        <f t="shared" si="49"/>
        <v>0</v>
      </c>
      <c r="BF52" s="622">
        <f t="shared" si="50"/>
        <v>0</v>
      </c>
      <c r="BI52" s="304">
        <f t="shared" si="40"/>
        <v>319</v>
      </c>
    </row>
    <row r="53" spans="1:61" ht="14.5">
      <c r="A53" s="304">
        <f t="shared" si="41"/>
        <v>320</v>
      </c>
      <c r="B53" s="626"/>
      <c r="F53" s="630" t="s">
        <v>1354</v>
      </c>
      <c r="H53" s="627"/>
      <c r="J53" s="627"/>
      <c r="K53" s="622"/>
      <c r="L53" s="627"/>
      <c r="M53" s="622"/>
      <c r="N53" s="627"/>
      <c r="P53" s="632" t="s">
        <v>1355</v>
      </c>
      <c r="R53" s="622">
        <v>0</v>
      </c>
      <c r="S53" s="622"/>
      <c r="T53" s="622">
        <f t="shared" si="51"/>
        <v>0</v>
      </c>
      <c r="U53" s="622"/>
      <c r="V53" s="622">
        <v>0</v>
      </c>
      <c r="W53" s="622"/>
      <c r="X53" s="622">
        <f t="shared" si="52"/>
        <v>0</v>
      </c>
      <c r="Y53" s="622"/>
      <c r="Z53" s="316" t="s">
        <v>1382</v>
      </c>
      <c r="AA53" s="622"/>
      <c r="AB53" s="622">
        <v>0</v>
      </c>
      <c r="AC53" s="622"/>
      <c r="AD53" s="627"/>
      <c r="AE53" s="622"/>
      <c r="AF53" s="622">
        <v>0</v>
      </c>
      <c r="AG53" s="622"/>
      <c r="AH53" s="316" t="s">
        <v>1357</v>
      </c>
      <c r="AI53" s="622"/>
      <c r="AJ53" s="315">
        <f t="shared" si="42"/>
        <v>0</v>
      </c>
      <c r="AK53" s="622"/>
      <c r="AL53" s="315">
        <f t="shared" si="43"/>
        <v>0</v>
      </c>
      <c r="AM53" s="622"/>
      <c r="AN53" s="315">
        <f t="shared" si="44"/>
        <v>0</v>
      </c>
      <c r="AO53" s="622"/>
      <c r="AP53" s="622">
        <f t="shared" si="45"/>
        <v>0</v>
      </c>
      <c r="AR53" s="622">
        <v>0</v>
      </c>
      <c r="AS53" s="622"/>
      <c r="AT53" s="627"/>
      <c r="AU53" s="622"/>
      <c r="AV53" s="622">
        <v>0</v>
      </c>
      <c r="AW53" s="622"/>
      <c r="AX53" s="315">
        <f t="shared" si="46"/>
        <v>0</v>
      </c>
      <c r="AY53" s="622"/>
      <c r="AZ53" s="315">
        <f t="shared" si="47"/>
        <v>0</v>
      </c>
      <c r="BA53" s="622"/>
      <c r="BB53" s="315">
        <f t="shared" si="48"/>
        <v>0</v>
      </c>
      <c r="BC53" s="622"/>
      <c r="BD53" s="622">
        <f t="shared" si="49"/>
        <v>0</v>
      </c>
      <c r="BF53" s="622">
        <f t="shared" si="50"/>
        <v>0</v>
      </c>
      <c r="BI53" s="304">
        <f t="shared" si="40"/>
        <v>320</v>
      </c>
    </row>
    <row r="54" spans="1:61" ht="14.5">
      <c r="A54" s="304">
        <f t="shared" si="41"/>
        <v>321</v>
      </c>
      <c r="B54" s="626"/>
      <c r="F54" s="630" t="s">
        <v>1354</v>
      </c>
      <c r="H54" s="627"/>
      <c r="J54" s="627"/>
      <c r="K54" s="622"/>
      <c r="L54" s="627"/>
      <c r="M54" s="622"/>
      <c r="N54" s="627"/>
      <c r="P54" s="632" t="s">
        <v>1355</v>
      </c>
      <c r="R54" s="622">
        <v>0</v>
      </c>
      <c r="S54" s="622"/>
      <c r="T54" s="622">
        <f t="shared" si="51"/>
        <v>0</v>
      </c>
      <c r="U54" s="622"/>
      <c r="V54" s="622">
        <v>0</v>
      </c>
      <c r="W54" s="622"/>
      <c r="X54" s="622">
        <f t="shared" si="52"/>
        <v>0</v>
      </c>
      <c r="Y54" s="622"/>
      <c r="Z54" s="316" t="s">
        <v>1382</v>
      </c>
      <c r="AA54" s="622"/>
      <c r="AB54" s="622">
        <v>0</v>
      </c>
      <c r="AC54" s="622"/>
      <c r="AD54" s="627"/>
      <c r="AE54" s="622"/>
      <c r="AF54" s="622">
        <v>0</v>
      </c>
      <c r="AG54" s="622"/>
      <c r="AH54" s="316" t="s">
        <v>1357</v>
      </c>
      <c r="AI54" s="622"/>
      <c r="AJ54" s="315">
        <f t="shared" si="42"/>
        <v>0</v>
      </c>
      <c r="AK54" s="622"/>
      <c r="AL54" s="315">
        <f t="shared" si="43"/>
        <v>0</v>
      </c>
      <c r="AM54" s="622"/>
      <c r="AN54" s="315">
        <f t="shared" si="44"/>
        <v>0</v>
      </c>
      <c r="AO54" s="622"/>
      <c r="AP54" s="622">
        <f t="shared" si="45"/>
        <v>0</v>
      </c>
      <c r="AR54" s="622">
        <v>0</v>
      </c>
      <c r="AS54" s="622"/>
      <c r="AT54" s="627"/>
      <c r="AU54" s="622"/>
      <c r="AV54" s="622">
        <v>0</v>
      </c>
      <c r="AW54" s="622"/>
      <c r="AX54" s="315">
        <f t="shared" si="46"/>
        <v>0</v>
      </c>
      <c r="AY54" s="622"/>
      <c r="AZ54" s="315">
        <f t="shared" si="47"/>
        <v>0</v>
      </c>
      <c r="BA54" s="622"/>
      <c r="BB54" s="315">
        <f t="shared" si="48"/>
        <v>0</v>
      </c>
      <c r="BC54" s="622"/>
      <c r="BD54" s="622">
        <f t="shared" si="49"/>
        <v>0</v>
      </c>
      <c r="BF54" s="622">
        <f t="shared" si="50"/>
        <v>0</v>
      </c>
      <c r="BI54" s="304">
        <f t="shared" si="40"/>
        <v>321</v>
      </c>
    </row>
    <row r="55" spans="1:61" ht="14.5">
      <c r="A55" s="304">
        <f t="shared" si="41"/>
        <v>322</v>
      </c>
      <c r="B55" s="626"/>
      <c r="F55" s="630" t="s">
        <v>1354</v>
      </c>
      <c r="H55" s="627"/>
      <c r="J55" s="627"/>
      <c r="K55" s="622"/>
      <c r="L55" s="627"/>
      <c r="M55" s="622"/>
      <c r="N55" s="627"/>
      <c r="P55" s="632" t="s">
        <v>1355</v>
      </c>
      <c r="R55" s="622">
        <v>0</v>
      </c>
      <c r="S55" s="622"/>
      <c r="T55" s="622">
        <f t="shared" si="51"/>
        <v>0</v>
      </c>
      <c r="U55" s="622"/>
      <c r="V55" s="622">
        <v>0</v>
      </c>
      <c r="W55" s="622"/>
      <c r="X55" s="622">
        <f t="shared" si="52"/>
        <v>0</v>
      </c>
      <c r="Y55" s="622"/>
      <c r="Z55" s="316" t="s">
        <v>1382</v>
      </c>
      <c r="AA55" s="622"/>
      <c r="AB55" s="622">
        <v>0</v>
      </c>
      <c r="AC55" s="622"/>
      <c r="AD55" s="627"/>
      <c r="AE55" s="622"/>
      <c r="AF55" s="622">
        <v>0</v>
      </c>
      <c r="AG55" s="622"/>
      <c r="AH55" s="316" t="s">
        <v>1357</v>
      </c>
      <c r="AI55" s="622"/>
      <c r="AJ55" s="315">
        <f t="shared" si="42"/>
        <v>0</v>
      </c>
      <c r="AK55" s="622"/>
      <c r="AL55" s="315">
        <f t="shared" si="43"/>
        <v>0</v>
      </c>
      <c r="AM55" s="622"/>
      <c r="AN55" s="315">
        <f t="shared" si="44"/>
        <v>0</v>
      </c>
      <c r="AO55" s="622"/>
      <c r="AP55" s="622">
        <f t="shared" si="45"/>
        <v>0</v>
      </c>
      <c r="AR55" s="622">
        <v>0</v>
      </c>
      <c r="AS55" s="622"/>
      <c r="AT55" s="627"/>
      <c r="AU55" s="622"/>
      <c r="AV55" s="622">
        <v>0</v>
      </c>
      <c r="AW55" s="622"/>
      <c r="AX55" s="315">
        <f t="shared" si="46"/>
        <v>0</v>
      </c>
      <c r="AY55" s="622"/>
      <c r="AZ55" s="315">
        <f t="shared" si="47"/>
        <v>0</v>
      </c>
      <c r="BA55" s="622"/>
      <c r="BB55" s="315">
        <f t="shared" si="48"/>
        <v>0</v>
      </c>
      <c r="BC55" s="622"/>
      <c r="BD55" s="622">
        <f t="shared" si="49"/>
        <v>0</v>
      </c>
      <c r="BF55" s="622">
        <f t="shared" si="50"/>
        <v>0</v>
      </c>
      <c r="BI55" s="304">
        <f t="shared" si="40"/>
        <v>322</v>
      </c>
    </row>
    <row r="56" spans="1:61" ht="14.5">
      <c r="A56" s="304">
        <f t="shared" si="41"/>
        <v>323</v>
      </c>
      <c r="B56" s="626"/>
      <c r="F56" s="630" t="s">
        <v>1354</v>
      </c>
      <c r="H56" s="627"/>
      <c r="J56" s="627"/>
      <c r="K56" s="622"/>
      <c r="L56" s="627"/>
      <c r="M56" s="622"/>
      <c r="N56" s="627"/>
      <c r="P56" s="632" t="s">
        <v>1355</v>
      </c>
      <c r="R56" s="622">
        <v>0</v>
      </c>
      <c r="S56" s="622"/>
      <c r="T56" s="622">
        <f t="shared" si="51"/>
        <v>0</v>
      </c>
      <c r="U56" s="622"/>
      <c r="V56" s="622">
        <v>0</v>
      </c>
      <c r="W56" s="622"/>
      <c r="X56" s="622">
        <f t="shared" si="52"/>
        <v>0</v>
      </c>
      <c r="Y56" s="622"/>
      <c r="Z56" s="316" t="s">
        <v>1382</v>
      </c>
      <c r="AA56" s="622"/>
      <c r="AB56" s="622">
        <v>0</v>
      </c>
      <c r="AC56" s="622"/>
      <c r="AD56" s="627"/>
      <c r="AE56" s="622"/>
      <c r="AF56" s="622">
        <v>0</v>
      </c>
      <c r="AG56" s="622"/>
      <c r="AH56" s="316" t="s">
        <v>1357</v>
      </c>
      <c r="AI56" s="622"/>
      <c r="AJ56" s="315">
        <f t="shared" si="42"/>
        <v>0</v>
      </c>
      <c r="AK56" s="622"/>
      <c r="AL56" s="315">
        <f t="shared" si="43"/>
        <v>0</v>
      </c>
      <c r="AM56" s="622"/>
      <c r="AN56" s="315">
        <f t="shared" si="44"/>
        <v>0</v>
      </c>
      <c r="AO56" s="622"/>
      <c r="AP56" s="622">
        <f t="shared" si="45"/>
        <v>0</v>
      </c>
      <c r="AR56" s="622">
        <v>0</v>
      </c>
      <c r="AS56" s="622"/>
      <c r="AT56" s="627"/>
      <c r="AU56" s="622"/>
      <c r="AV56" s="622">
        <v>0</v>
      </c>
      <c r="AW56" s="622"/>
      <c r="AX56" s="315">
        <f t="shared" si="46"/>
        <v>0</v>
      </c>
      <c r="AY56" s="622"/>
      <c r="AZ56" s="315">
        <f t="shared" si="47"/>
        <v>0</v>
      </c>
      <c r="BA56" s="622"/>
      <c r="BB56" s="315">
        <f t="shared" si="48"/>
        <v>0</v>
      </c>
      <c r="BC56" s="622"/>
      <c r="BD56" s="622">
        <f t="shared" si="49"/>
        <v>0</v>
      </c>
      <c r="BF56" s="622">
        <f t="shared" si="50"/>
        <v>0</v>
      </c>
      <c r="BI56" s="304">
        <f t="shared" si="40"/>
        <v>323</v>
      </c>
    </row>
    <row r="57" spans="1:61" ht="14.5">
      <c r="A57" s="304">
        <f t="shared" si="41"/>
        <v>324</v>
      </c>
      <c r="B57" s="626"/>
      <c r="F57" s="630" t="s">
        <v>1354</v>
      </c>
      <c r="H57" s="627"/>
      <c r="J57" s="627"/>
      <c r="K57" s="622"/>
      <c r="L57" s="627"/>
      <c r="M57" s="622"/>
      <c r="N57" s="627"/>
      <c r="P57" s="632" t="s">
        <v>1355</v>
      </c>
      <c r="R57" s="622">
        <v>0</v>
      </c>
      <c r="S57" s="622"/>
      <c r="T57" s="622">
        <f t="shared" si="51"/>
        <v>0</v>
      </c>
      <c r="U57" s="622"/>
      <c r="V57" s="622">
        <v>0</v>
      </c>
      <c r="W57" s="622"/>
      <c r="X57" s="622">
        <f t="shared" si="52"/>
        <v>0</v>
      </c>
      <c r="Y57" s="622"/>
      <c r="Z57" s="316" t="s">
        <v>1382</v>
      </c>
      <c r="AA57" s="622"/>
      <c r="AB57" s="622">
        <v>0</v>
      </c>
      <c r="AC57" s="622"/>
      <c r="AD57" s="627"/>
      <c r="AE57" s="622"/>
      <c r="AF57" s="622">
        <v>0</v>
      </c>
      <c r="AG57" s="622"/>
      <c r="AH57" s="316" t="s">
        <v>1357</v>
      </c>
      <c r="AI57" s="622"/>
      <c r="AJ57" s="315">
        <f t="shared" si="42"/>
        <v>0</v>
      </c>
      <c r="AK57" s="622"/>
      <c r="AL57" s="315">
        <f t="shared" si="43"/>
        <v>0</v>
      </c>
      <c r="AM57" s="622"/>
      <c r="AN57" s="315">
        <f t="shared" si="44"/>
        <v>0</v>
      </c>
      <c r="AO57" s="622"/>
      <c r="AP57" s="622">
        <f t="shared" si="45"/>
        <v>0</v>
      </c>
      <c r="AR57" s="622">
        <v>0</v>
      </c>
      <c r="AS57" s="622"/>
      <c r="AT57" s="627"/>
      <c r="AU57" s="622"/>
      <c r="AV57" s="622">
        <v>0</v>
      </c>
      <c r="AW57" s="622"/>
      <c r="AX57" s="315">
        <f t="shared" si="46"/>
        <v>0</v>
      </c>
      <c r="AY57" s="622"/>
      <c r="AZ57" s="315">
        <f t="shared" si="47"/>
        <v>0</v>
      </c>
      <c r="BA57" s="622"/>
      <c r="BB57" s="315">
        <f t="shared" si="48"/>
        <v>0</v>
      </c>
      <c r="BC57" s="622"/>
      <c r="BD57" s="622">
        <f t="shared" si="49"/>
        <v>0</v>
      </c>
      <c r="BF57" s="622">
        <f t="shared" si="50"/>
        <v>0</v>
      </c>
      <c r="BI57" s="304">
        <f t="shared" si="40"/>
        <v>324</v>
      </c>
    </row>
    <row r="58" spans="1:61" ht="14.5">
      <c r="A58" s="304">
        <f t="shared" si="41"/>
        <v>325</v>
      </c>
      <c r="B58" s="626"/>
      <c r="F58" s="630" t="s">
        <v>1354</v>
      </c>
      <c r="H58" s="627"/>
      <c r="J58" s="627"/>
      <c r="K58" s="622"/>
      <c r="L58" s="627"/>
      <c r="M58" s="622"/>
      <c r="N58" s="627"/>
      <c r="P58" s="632" t="s">
        <v>1355</v>
      </c>
      <c r="R58" s="622">
        <v>0</v>
      </c>
      <c r="S58" s="622"/>
      <c r="T58" s="622">
        <f t="shared" si="51"/>
        <v>0</v>
      </c>
      <c r="U58" s="622"/>
      <c r="V58" s="622">
        <v>0</v>
      </c>
      <c r="W58" s="622"/>
      <c r="X58" s="622">
        <f t="shared" si="52"/>
        <v>0</v>
      </c>
      <c r="Y58" s="622"/>
      <c r="Z58" s="316" t="s">
        <v>1382</v>
      </c>
      <c r="AA58" s="622"/>
      <c r="AB58" s="622">
        <v>0</v>
      </c>
      <c r="AC58" s="622"/>
      <c r="AD58" s="627"/>
      <c r="AE58" s="622"/>
      <c r="AF58" s="622">
        <v>0</v>
      </c>
      <c r="AG58" s="622"/>
      <c r="AH58" s="316" t="s">
        <v>1357</v>
      </c>
      <c r="AI58" s="622"/>
      <c r="AJ58" s="315">
        <f t="shared" si="42"/>
        <v>0</v>
      </c>
      <c r="AK58" s="622"/>
      <c r="AL58" s="315">
        <f t="shared" si="43"/>
        <v>0</v>
      </c>
      <c r="AM58" s="622"/>
      <c r="AN58" s="315">
        <f t="shared" si="44"/>
        <v>0</v>
      </c>
      <c r="AO58" s="622"/>
      <c r="AP58" s="622">
        <f t="shared" si="45"/>
        <v>0</v>
      </c>
      <c r="AR58" s="622">
        <v>0</v>
      </c>
      <c r="AS58" s="622"/>
      <c r="AT58" s="627"/>
      <c r="AU58" s="622"/>
      <c r="AV58" s="622">
        <v>0</v>
      </c>
      <c r="AW58" s="622"/>
      <c r="AX58" s="315">
        <f t="shared" si="46"/>
        <v>0</v>
      </c>
      <c r="AY58" s="622"/>
      <c r="AZ58" s="315">
        <f t="shared" si="47"/>
        <v>0</v>
      </c>
      <c r="BA58" s="622"/>
      <c r="BB58" s="315">
        <f t="shared" si="48"/>
        <v>0</v>
      </c>
      <c r="BC58" s="622"/>
      <c r="BD58" s="622">
        <f t="shared" si="49"/>
        <v>0</v>
      </c>
      <c r="BF58" s="622">
        <f t="shared" si="50"/>
        <v>0</v>
      </c>
      <c r="BI58" s="304">
        <f t="shared" si="40"/>
        <v>325</v>
      </c>
    </row>
    <row r="59" spans="1:61" ht="14.5">
      <c r="A59" s="304">
        <f t="shared" si="41"/>
        <v>326</v>
      </c>
      <c r="B59" s="626"/>
      <c r="F59" s="630" t="s">
        <v>1354</v>
      </c>
      <c r="H59" s="627"/>
      <c r="J59" s="627"/>
      <c r="K59" s="622"/>
      <c r="L59" s="627"/>
      <c r="M59" s="622"/>
      <c r="N59" s="627"/>
      <c r="P59" s="632" t="s">
        <v>1355</v>
      </c>
      <c r="R59" s="622">
        <v>0</v>
      </c>
      <c r="S59" s="622"/>
      <c r="T59" s="622">
        <f t="shared" si="51"/>
        <v>0</v>
      </c>
      <c r="U59" s="622"/>
      <c r="V59" s="622">
        <v>0</v>
      </c>
      <c r="W59" s="622"/>
      <c r="X59" s="622">
        <f t="shared" si="52"/>
        <v>0</v>
      </c>
      <c r="Y59" s="622"/>
      <c r="Z59" s="316" t="s">
        <v>1382</v>
      </c>
      <c r="AA59" s="622"/>
      <c r="AB59" s="622">
        <v>0</v>
      </c>
      <c r="AC59" s="622"/>
      <c r="AD59" s="627"/>
      <c r="AE59" s="622"/>
      <c r="AF59" s="622">
        <v>0</v>
      </c>
      <c r="AG59" s="622"/>
      <c r="AH59" s="316" t="s">
        <v>1357</v>
      </c>
      <c r="AI59" s="622"/>
      <c r="AJ59" s="315">
        <f t="shared" si="42"/>
        <v>0</v>
      </c>
      <c r="AK59" s="622"/>
      <c r="AL59" s="315">
        <f t="shared" si="43"/>
        <v>0</v>
      </c>
      <c r="AM59" s="622"/>
      <c r="AN59" s="315">
        <f t="shared" si="44"/>
        <v>0</v>
      </c>
      <c r="AO59" s="622"/>
      <c r="AP59" s="622">
        <f t="shared" si="45"/>
        <v>0</v>
      </c>
      <c r="AR59" s="622">
        <v>0</v>
      </c>
      <c r="AS59" s="622"/>
      <c r="AT59" s="627"/>
      <c r="AU59" s="622"/>
      <c r="AV59" s="622">
        <v>0</v>
      </c>
      <c r="AW59" s="622"/>
      <c r="AX59" s="315">
        <f t="shared" si="46"/>
        <v>0</v>
      </c>
      <c r="AY59" s="622"/>
      <c r="AZ59" s="315">
        <f t="shared" si="47"/>
        <v>0</v>
      </c>
      <c r="BA59" s="622"/>
      <c r="BB59" s="315">
        <f t="shared" si="48"/>
        <v>0</v>
      </c>
      <c r="BC59" s="622"/>
      <c r="BD59" s="622">
        <f t="shared" si="49"/>
        <v>0</v>
      </c>
      <c r="BF59" s="622">
        <f t="shared" si="50"/>
        <v>0</v>
      </c>
      <c r="BI59" s="304">
        <f t="shared" si="40"/>
        <v>326</v>
      </c>
    </row>
    <row r="60" spans="1:61" ht="14.5">
      <c r="A60" s="304">
        <f t="shared" si="41"/>
        <v>327</v>
      </c>
      <c r="B60" s="626"/>
      <c r="F60" s="630" t="s">
        <v>1354</v>
      </c>
      <c r="H60" s="627"/>
      <c r="J60" s="627"/>
      <c r="K60" s="622"/>
      <c r="L60" s="627"/>
      <c r="M60" s="622"/>
      <c r="N60" s="627"/>
      <c r="P60" s="632" t="s">
        <v>1355</v>
      </c>
      <c r="R60" s="622">
        <v>0</v>
      </c>
      <c r="S60" s="622"/>
      <c r="T60" s="622">
        <f t="shared" si="51"/>
        <v>0</v>
      </c>
      <c r="U60" s="622"/>
      <c r="V60" s="622">
        <v>0</v>
      </c>
      <c r="W60" s="622"/>
      <c r="X60" s="622">
        <f t="shared" si="52"/>
        <v>0</v>
      </c>
      <c r="Y60" s="622"/>
      <c r="Z60" s="316" t="s">
        <v>1382</v>
      </c>
      <c r="AA60" s="622"/>
      <c r="AB60" s="622">
        <v>0</v>
      </c>
      <c r="AC60" s="622"/>
      <c r="AD60" s="627"/>
      <c r="AE60" s="622"/>
      <c r="AF60" s="622">
        <v>0</v>
      </c>
      <c r="AG60" s="622"/>
      <c r="AH60" s="316" t="s">
        <v>1357</v>
      </c>
      <c r="AI60" s="622"/>
      <c r="AJ60" s="315">
        <f t="shared" si="42"/>
        <v>0</v>
      </c>
      <c r="AK60" s="622"/>
      <c r="AL60" s="315">
        <f t="shared" si="43"/>
        <v>0</v>
      </c>
      <c r="AM60" s="622"/>
      <c r="AN60" s="315">
        <f t="shared" si="44"/>
        <v>0</v>
      </c>
      <c r="AO60" s="622"/>
      <c r="AP60" s="622">
        <f t="shared" si="45"/>
        <v>0</v>
      </c>
      <c r="AR60" s="622">
        <v>0</v>
      </c>
      <c r="AS60" s="622"/>
      <c r="AT60" s="627"/>
      <c r="AU60" s="622"/>
      <c r="AV60" s="622">
        <v>0</v>
      </c>
      <c r="AW60" s="622"/>
      <c r="AX60" s="315">
        <f t="shared" si="46"/>
        <v>0</v>
      </c>
      <c r="AY60" s="622"/>
      <c r="AZ60" s="315">
        <f t="shared" si="47"/>
        <v>0</v>
      </c>
      <c r="BA60" s="622"/>
      <c r="BB60" s="315">
        <f t="shared" si="48"/>
        <v>0</v>
      </c>
      <c r="BC60" s="622"/>
      <c r="BD60" s="622">
        <f t="shared" si="49"/>
        <v>0</v>
      </c>
      <c r="BF60" s="622">
        <f t="shared" si="50"/>
        <v>0</v>
      </c>
      <c r="BI60" s="304">
        <f t="shared" si="40"/>
        <v>327</v>
      </c>
    </row>
    <row r="61" spans="1:61" ht="14.5">
      <c r="A61" s="304">
        <f t="shared" si="41"/>
        <v>328</v>
      </c>
      <c r="B61" s="626"/>
      <c r="F61" s="630" t="s">
        <v>1354</v>
      </c>
      <c r="H61" s="627"/>
      <c r="J61" s="627"/>
      <c r="K61" s="622"/>
      <c r="L61" s="627"/>
      <c r="M61" s="622"/>
      <c r="N61" s="627"/>
      <c r="P61" s="632" t="s">
        <v>1355</v>
      </c>
      <c r="R61" s="622">
        <v>0</v>
      </c>
      <c r="S61" s="622"/>
      <c r="T61" s="622">
        <f t="shared" si="51"/>
        <v>0</v>
      </c>
      <c r="U61" s="622"/>
      <c r="V61" s="622">
        <v>0</v>
      </c>
      <c r="W61" s="622"/>
      <c r="X61" s="622">
        <f t="shared" si="52"/>
        <v>0</v>
      </c>
      <c r="Y61" s="622"/>
      <c r="Z61" s="316" t="s">
        <v>1382</v>
      </c>
      <c r="AA61" s="622"/>
      <c r="AB61" s="622">
        <v>0</v>
      </c>
      <c r="AC61" s="622"/>
      <c r="AD61" s="627"/>
      <c r="AE61" s="622"/>
      <c r="AF61" s="622">
        <v>0</v>
      </c>
      <c r="AG61" s="622"/>
      <c r="AH61" s="316" t="s">
        <v>1357</v>
      </c>
      <c r="AI61" s="622"/>
      <c r="AJ61" s="315">
        <f t="shared" si="42"/>
        <v>0</v>
      </c>
      <c r="AK61" s="622"/>
      <c r="AL61" s="315">
        <f t="shared" si="43"/>
        <v>0</v>
      </c>
      <c r="AM61" s="622"/>
      <c r="AN61" s="315">
        <f t="shared" si="44"/>
        <v>0</v>
      </c>
      <c r="AO61" s="622"/>
      <c r="AP61" s="622">
        <f t="shared" si="45"/>
        <v>0</v>
      </c>
      <c r="AR61" s="622">
        <v>0</v>
      </c>
      <c r="AS61" s="622"/>
      <c r="AT61" s="627"/>
      <c r="AU61" s="622"/>
      <c r="AV61" s="622">
        <v>0</v>
      </c>
      <c r="AW61" s="622"/>
      <c r="AX61" s="315">
        <f t="shared" si="46"/>
        <v>0</v>
      </c>
      <c r="AY61" s="622"/>
      <c r="AZ61" s="315">
        <f t="shared" si="47"/>
        <v>0</v>
      </c>
      <c r="BA61" s="622"/>
      <c r="BB61" s="315">
        <f t="shared" si="48"/>
        <v>0</v>
      </c>
      <c r="BC61" s="622"/>
      <c r="BD61" s="622">
        <f t="shared" si="49"/>
        <v>0</v>
      </c>
      <c r="BF61" s="622">
        <f t="shared" si="50"/>
        <v>0</v>
      </c>
      <c r="BI61" s="304">
        <f t="shared" si="40"/>
        <v>328</v>
      </c>
    </row>
    <row r="62" spans="1:61" ht="14.5">
      <c r="A62" s="304">
        <f t="shared" si="41"/>
        <v>329</v>
      </c>
      <c r="B62" s="626"/>
      <c r="F62" s="630" t="s">
        <v>1354</v>
      </c>
      <c r="H62" s="627"/>
      <c r="J62" s="627"/>
      <c r="K62" s="622"/>
      <c r="L62" s="627"/>
      <c r="M62" s="622"/>
      <c r="N62" s="627"/>
      <c r="P62" s="632" t="s">
        <v>1355</v>
      </c>
      <c r="R62" s="622">
        <v>0</v>
      </c>
      <c r="S62" s="622"/>
      <c r="T62" s="622">
        <f t="shared" si="51"/>
        <v>0</v>
      </c>
      <c r="U62" s="622"/>
      <c r="V62" s="622">
        <v>0</v>
      </c>
      <c r="W62" s="622"/>
      <c r="X62" s="622">
        <f t="shared" si="52"/>
        <v>0</v>
      </c>
      <c r="Y62" s="622"/>
      <c r="Z62" s="316" t="s">
        <v>1382</v>
      </c>
      <c r="AA62" s="622"/>
      <c r="AB62" s="622">
        <v>0</v>
      </c>
      <c r="AC62" s="622"/>
      <c r="AD62" s="627"/>
      <c r="AE62" s="622"/>
      <c r="AF62" s="622">
        <v>0</v>
      </c>
      <c r="AG62" s="622"/>
      <c r="AH62" s="316" t="s">
        <v>1357</v>
      </c>
      <c r="AI62" s="622"/>
      <c r="AJ62" s="315">
        <f t="shared" si="42"/>
        <v>0</v>
      </c>
      <c r="AK62" s="622"/>
      <c r="AL62" s="315">
        <f t="shared" si="43"/>
        <v>0</v>
      </c>
      <c r="AM62" s="622"/>
      <c r="AN62" s="315">
        <f t="shared" si="44"/>
        <v>0</v>
      </c>
      <c r="AO62" s="622"/>
      <c r="AP62" s="622">
        <f t="shared" si="45"/>
        <v>0</v>
      </c>
      <c r="AR62" s="622">
        <v>0</v>
      </c>
      <c r="AS62" s="622"/>
      <c r="AT62" s="627"/>
      <c r="AU62" s="622"/>
      <c r="AV62" s="622">
        <v>0</v>
      </c>
      <c r="AW62" s="622"/>
      <c r="AX62" s="315">
        <f t="shared" si="46"/>
        <v>0</v>
      </c>
      <c r="AY62" s="622"/>
      <c r="AZ62" s="315">
        <f t="shared" si="47"/>
        <v>0</v>
      </c>
      <c r="BA62" s="622"/>
      <c r="BB62" s="315">
        <f t="shared" si="48"/>
        <v>0</v>
      </c>
      <c r="BC62" s="622"/>
      <c r="BD62" s="622">
        <f t="shared" si="49"/>
        <v>0</v>
      </c>
      <c r="BF62" s="622">
        <f t="shared" si="50"/>
        <v>0</v>
      </c>
      <c r="BI62" s="304">
        <f t="shared" si="40"/>
        <v>329</v>
      </c>
    </row>
    <row r="63" spans="1:61" ht="14.5">
      <c r="A63" s="304">
        <f t="shared" si="41"/>
        <v>330</v>
      </c>
      <c r="B63" s="626"/>
      <c r="F63" s="630" t="s">
        <v>1354</v>
      </c>
      <c r="H63" s="627"/>
      <c r="J63" s="627"/>
      <c r="K63" s="622"/>
      <c r="L63" s="627"/>
      <c r="M63" s="622"/>
      <c r="N63" s="627"/>
      <c r="P63" s="632" t="s">
        <v>1355</v>
      </c>
      <c r="R63" s="622">
        <v>0</v>
      </c>
      <c r="S63" s="622"/>
      <c r="T63" s="622">
        <f t="shared" si="51"/>
        <v>0</v>
      </c>
      <c r="U63" s="622"/>
      <c r="V63" s="622">
        <v>0</v>
      </c>
      <c r="W63" s="622"/>
      <c r="X63" s="622">
        <f t="shared" si="52"/>
        <v>0</v>
      </c>
      <c r="Y63" s="622"/>
      <c r="Z63" s="316" t="s">
        <v>1382</v>
      </c>
      <c r="AA63" s="622"/>
      <c r="AB63" s="622">
        <v>0</v>
      </c>
      <c r="AC63" s="622"/>
      <c r="AD63" s="627"/>
      <c r="AE63" s="622"/>
      <c r="AF63" s="622">
        <v>0</v>
      </c>
      <c r="AG63" s="622"/>
      <c r="AH63" s="316" t="s">
        <v>1357</v>
      </c>
      <c r="AI63" s="622"/>
      <c r="AJ63" s="315">
        <f t="shared" si="42"/>
        <v>0</v>
      </c>
      <c r="AK63" s="622"/>
      <c r="AL63" s="315">
        <f t="shared" si="43"/>
        <v>0</v>
      </c>
      <c r="AM63" s="622"/>
      <c r="AN63" s="315">
        <f t="shared" si="44"/>
        <v>0</v>
      </c>
      <c r="AO63" s="622"/>
      <c r="AP63" s="622">
        <f t="shared" si="45"/>
        <v>0</v>
      </c>
      <c r="AR63" s="622">
        <v>0</v>
      </c>
      <c r="AS63" s="622"/>
      <c r="AT63" s="627"/>
      <c r="AU63" s="622"/>
      <c r="AV63" s="622">
        <v>0</v>
      </c>
      <c r="AW63" s="622"/>
      <c r="AX63" s="315">
        <f t="shared" si="46"/>
        <v>0</v>
      </c>
      <c r="AY63" s="622"/>
      <c r="AZ63" s="315">
        <f t="shared" si="47"/>
        <v>0</v>
      </c>
      <c r="BA63" s="622"/>
      <c r="BB63" s="315">
        <f t="shared" si="48"/>
        <v>0</v>
      </c>
      <c r="BC63" s="622"/>
      <c r="BD63" s="622">
        <f t="shared" si="49"/>
        <v>0</v>
      </c>
      <c r="BF63" s="622">
        <f t="shared" si="50"/>
        <v>0</v>
      </c>
      <c r="BI63" s="304">
        <f t="shared" si="40"/>
        <v>330</v>
      </c>
    </row>
    <row r="64" spans="1:61" ht="14.5">
      <c r="A64" s="304">
        <f t="shared" si="41"/>
        <v>331</v>
      </c>
      <c r="B64" s="626"/>
      <c r="F64" s="630" t="s">
        <v>1354</v>
      </c>
      <c r="H64" s="627"/>
      <c r="J64" s="627"/>
      <c r="K64" s="622"/>
      <c r="L64" s="627"/>
      <c r="M64" s="622"/>
      <c r="N64" s="627"/>
      <c r="P64" s="632" t="s">
        <v>1355</v>
      </c>
      <c r="R64" s="622">
        <v>0</v>
      </c>
      <c r="S64" s="622"/>
      <c r="T64" s="622">
        <f t="shared" si="51"/>
        <v>0</v>
      </c>
      <c r="U64" s="622"/>
      <c r="V64" s="622">
        <v>0</v>
      </c>
      <c r="W64" s="622"/>
      <c r="X64" s="622">
        <f t="shared" si="52"/>
        <v>0</v>
      </c>
      <c r="Y64" s="622"/>
      <c r="Z64" s="316" t="s">
        <v>1382</v>
      </c>
      <c r="AA64" s="622"/>
      <c r="AB64" s="622">
        <v>0</v>
      </c>
      <c r="AC64" s="622"/>
      <c r="AD64" s="627"/>
      <c r="AE64" s="622"/>
      <c r="AF64" s="622">
        <v>0</v>
      </c>
      <c r="AG64" s="622"/>
      <c r="AH64" s="316" t="s">
        <v>1357</v>
      </c>
      <c r="AI64" s="622"/>
      <c r="AJ64" s="315">
        <f t="shared" si="42"/>
        <v>0</v>
      </c>
      <c r="AK64" s="622"/>
      <c r="AL64" s="315">
        <f t="shared" si="43"/>
        <v>0</v>
      </c>
      <c r="AM64" s="622"/>
      <c r="AN64" s="315">
        <f t="shared" si="44"/>
        <v>0</v>
      </c>
      <c r="AO64" s="622"/>
      <c r="AP64" s="622">
        <f t="shared" si="45"/>
        <v>0</v>
      </c>
      <c r="AR64" s="622">
        <v>0</v>
      </c>
      <c r="AS64" s="622"/>
      <c r="AT64" s="627"/>
      <c r="AU64" s="622"/>
      <c r="AV64" s="622">
        <v>0</v>
      </c>
      <c r="AW64" s="622"/>
      <c r="AX64" s="315">
        <f t="shared" si="46"/>
        <v>0</v>
      </c>
      <c r="AY64" s="622"/>
      <c r="AZ64" s="315">
        <f t="shared" si="47"/>
        <v>0</v>
      </c>
      <c r="BA64" s="622"/>
      <c r="BB64" s="315">
        <f t="shared" si="48"/>
        <v>0</v>
      </c>
      <c r="BC64" s="622"/>
      <c r="BD64" s="622">
        <f t="shared" si="49"/>
        <v>0</v>
      </c>
      <c r="BF64" s="622">
        <f t="shared" si="50"/>
        <v>0</v>
      </c>
      <c r="BI64" s="304">
        <f t="shared" si="40"/>
        <v>331</v>
      </c>
    </row>
    <row r="65" spans="1:61" ht="14.5">
      <c r="A65" s="304">
        <f t="shared" si="41"/>
        <v>332</v>
      </c>
      <c r="B65" s="626"/>
      <c r="F65" s="630" t="s">
        <v>1354</v>
      </c>
      <c r="H65" s="627"/>
      <c r="J65" s="627"/>
      <c r="K65" s="622"/>
      <c r="L65" s="627"/>
      <c r="M65" s="622"/>
      <c r="N65" s="627"/>
      <c r="P65" s="632" t="s">
        <v>1355</v>
      </c>
      <c r="R65" s="622">
        <v>0</v>
      </c>
      <c r="S65" s="622"/>
      <c r="T65" s="622">
        <f t="shared" si="51"/>
        <v>0</v>
      </c>
      <c r="U65" s="622"/>
      <c r="V65" s="622">
        <v>0</v>
      </c>
      <c r="W65" s="622"/>
      <c r="X65" s="622">
        <f t="shared" si="52"/>
        <v>0</v>
      </c>
      <c r="Y65" s="622"/>
      <c r="Z65" s="316" t="s">
        <v>1382</v>
      </c>
      <c r="AA65" s="622"/>
      <c r="AB65" s="622">
        <v>0</v>
      </c>
      <c r="AC65" s="622"/>
      <c r="AD65" s="627"/>
      <c r="AE65" s="622"/>
      <c r="AF65" s="622">
        <v>0</v>
      </c>
      <c r="AG65" s="622"/>
      <c r="AH65" s="316" t="s">
        <v>1357</v>
      </c>
      <c r="AI65" s="622"/>
      <c r="AJ65" s="315">
        <f t="shared" si="42"/>
        <v>0</v>
      </c>
      <c r="AK65" s="622"/>
      <c r="AL65" s="315">
        <f t="shared" si="43"/>
        <v>0</v>
      </c>
      <c r="AM65" s="622"/>
      <c r="AN65" s="315">
        <f t="shared" si="44"/>
        <v>0</v>
      </c>
      <c r="AO65" s="622"/>
      <c r="AP65" s="622">
        <f t="shared" si="45"/>
        <v>0</v>
      </c>
      <c r="AR65" s="622">
        <v>0</v>
      </c>
      <c r="AS65" s="622"/>
      <c r="AT65" s="627"/>
      <c r="AU65" s="622"/>
      <c r="AV65" s="622">
        <v>0</v>
      </c>
      <c r="AW65" s="622"/>
      <c r="AX65" s="315">
        <f t="shared" si="46"/>
        <v>0</v>
      </c>
      <c r="AY65" s="622"/>
      <c r="AZ65" s="315">
        <f t="shared" si="47"/>
        <v>0</v>
      </c>
      <c r="BA65" s="622"/>
      <c r="BB65" s="315">
        <f t="shared" si="48"/>
        <v>0</v>
      </c>
      <c r="BC65" s="622"/>
      <c r="BD65" s="622">
        <f t="shared" si="49"/>
        <v>0</v>
      </c>
      <c r="BF65" s="622">
        <f t="shared" si="50"/>
        <v>0</v>
      </c>
      <c r="BI65" s="304">
        <f t="shared" si="40"/>
        <v>332</v>
      </c>
    </row>
    <row r="66" spans="1:61" ht="14.5">
      <c r="A66" s="304">
        <f t="shared" si="41"/>
        <v>333</v>
      </c>
      <c r="B66" s="626"/>
      <c r="F66" s="630" t="s">
        <v>1354</v>
      </c>
      <c r="H66" s="627"/>
      <c r="J66" s="627"/>
      <c r="K66" s="622"/>
      <c r="L66" s="627"/>
      <c r="M66" s="622"/>
      <c r="N66" s="627"/>
      <c r="P66" s="632" t="s">
        <v>1355</v>
      </c>
      <c r="R66" s="622">
        <f>+N66</f>
        <v>0</v>
      </c>
      <c r="S66" s="622"/>
      <c r="T66" s="622"/>
      <c r="U66" s="622"/>
      <c r="V66" s="622">
        <v>0</v>
      </c>
      <c r="W66" s="622"/>
      <c r="X66" s="622">
        <f t="shared" si="52"/>
        <v>0</v>
      </c>
      <c r="Y66" s="622"/>
      <c r="Z66" s="316" t="s">
        <v>1382</v>
      </c>
      <c r="AA66" s="622"/>
      <c r="AB66" s="622">
        <v>0</v>
      </c>
      <c r="AC66" s="622"/>
      <c r="AD66" s="627"/>
      <c r="AE66" s="622"/>
      <c r="AF66" s="622">
        <v>0</v>
      </c>
      <c r="AG66" s="622"/>
      <c r="AH66" s="316" t="s">
        <v>1357</v>
      </c>
      <c r="AI66" s="622"/>
      <c r="AJ66" s="315">
        <f t="shared" si="42"/>
        <v>0</v>
      </c>
      <c r="AK66" s="622"/>
      <c r="AL66" s="315">
        <f t="shared" si="43"/>
        <v>0</v>
      </c>
      <c r="AM66" s="622"/>
      <c r="AN66" s="315">
        <f t="shared" si="44"/>
        <v>0</v>
      </c>
      <c r="AO66" s="622"/>
      <c r="AP66" s="622">
        <f t="shared" si="45"/>
        <v>0</v>
      </c>
      <c r="AR66" s="622">
        <v>0</v>
      </c>
      <c r="AS66" s="622"/>
      <c r="AT66" s="627"/>
      <c r="AU66" s="622"/>
      <c r="AV66" s="622">
        <v>0</v>
      </c>
      <c r="AW66" s="622"/>
      <c r="AX66" s="315">
        <f t="shared" si="46"/>
        <v>0</v>
      </c>
      <c r="AY66" s="622"/>
      <c r="AZ66" s="315">
        <f t="shared" si="47"/>
        <v>0</v>
      </c>
      <c r="BA66" s="622"/>
      <c r="BB66" s="315">
        <f t="shared" si="48"/>
        <v>0</v>
      </c>
      <c r="BC66" s="622"/>
      <c r="BD66" s="622">
        <f t="shared" si="49"/>
        <v>0</v>
      </c>
      <c r="BF66" s="622">
        <f t="shared" si="50"/>
        <v>0</v>
      </c>
      <c r="BI66" s="304">
        <f t="shared" si="40"/>
        <v>333</v>
      </c>
    </row>
    <row r="67" spans="1:61" ht="14.5">
      <c r="A67" s="304">
        <f t="shared" si="41"/>
        <v>334</v>
      </c>
      <c r="B67" s="626"/>
      <c r="F67" s="630" t="s">
        <v>1354</v>
      </c>
      <c r="H67" s="627"/>
      <c r="J67" s="627"/>
      <c r="K67" s="622"/>
      <c r="L67" s="627"/>
      <c r="M67" s="622"/>
      <c r="N67" s="627"/>
      <c r="P67" s="632" t="s">
        <v>1355</v>
      </c>
      <c r="R67" s="622">
        <v>0</v>
      </c>
      <c r="S67" s="622"/>
      <c r="T67" s="622">
        <f t="shared" si="51"/>
        <v>0</v>
      </c>
      <c r="U67" s="622"/>
      <c r="V67" s="622">
        <v>0</v>
      </c>
      <c r="W67" s="622"/>
      <c r="X67" s="622">
        <f t="shared" si="52"/>
        <v>0</v>
      </c>
      <c r="Y67" s="622"/>
      <c r="Z67" s="316" t="s">
        <v>1382</v>
      </c>
      <c r="AA67" s="622"/>
      <c r="AB67" s="622">
        <v>0</v>
      </c>
      <c r="AC67" s="622"/>
      <c r="AD67" s="627"/>
      <c r="AE67" s="622"/>
      <c r="AF67" s="622">
        <v>0</v>
      </c>
      <c r="AG67" s="622"/>
      <c r="AH67" s="316" t="s">
        <v>1357</v>
      </c>
      <c r="AI67" s="622"/>
      <c r="AJ67" s="315">
        <f t="shared" si="42"/>
        <v>0</v>
      </c>
      <c r="AK67" s="622"/>
      <c r="AL67" s="315">
        <f t="shared" si="43"/>
        <v>0</v>
      </c>
      <c r="AM67" s="622"/>
      <c r="AN67" s="315">
        <f t="shared" si="44"/>
        <v>0</v>
      </c>
      <c r="AO67" s="622"/>
      <c r="AP67" s="622">
        <f t="shared" si="45"/>
        <v>0</v>
      </c>
      <c r="AR67" s="622">
        <v>0</v>
      </c>
      <c r="AS67" s="622"/>
      <c r="AT67" s="627"/>
      <c r="AU67" s="622"/>
      <c r="AV67" s="622">
        <v>0</v>
      </c>
      <c r="AW67" s="622"/>
      <c r="AX67" s="315">
        <f t="shared" si="46"/>
        <v>0</v>
      </c>
      <c r="AY67" s="622"/>
      <c r="AZ67" s="315">
        <f t="shared" si="47"/>
        <v>0</v>
      </c>
      <c r="BA67" s="622"/>
      <c r="BB67" s="315">
        <f t="shared" si="48"/>
        <v>0</v>
      </c>
      <c r="BC67" s="622"/>
      <c r="BD67" s="622">
        <f t="shared" si="49"/>
        <v>0</v>
      </c>
      <c r="BF67" s="622">
        <f t="shared" si="50"/>
        <v>0</v>
      </c>
      <c r="BI67" s="304">
        <f t="shared" si="40"/>
        <v>334</v>
      </c>
    </row>
    <row r="68" spans="1:61" ht="14.5">
      <c r="A68" s="304">
        <f t="shared" si="41"/>
        <v>335</v>
      </c>
      <c r="B68" s="626"/>
      <c r="F68" s="630" t="s">
        <v>1354</v>
      </c>
      <c r="H68" s="627"/>
      <c r="J68" s="627"/>
      <c r="K68" s="622"/>
      <c r="L68" s="627"/>
      <c r="M68" s="622"/>
      <c r="N68" s="627"/>
      <c r="P68" s="632" t="s">
        <v>1355</v>
      </c>
      <c r="R68" s="622">
        <v>0</v>
      </c>
      <c r="S68" s="622"/>
      <c r="T68" s="622">
        <f t="shared" si="51"/>
        <v>0</v>
      </c>
      <c r="U68" s="622"/>
      <c r="V68" s="622">
        <v>0</v>
      </c>
      <c r="W68" s="622"/>
      <c r="X68" s="622">
        <f t="shared" si="52"/>
        <v>0</v>
      </c>
      <c r="Y68" s="622"/>
      <c r="Z68" s="316" t="s">
        <v>1382</v>
      </c>
      <c r="AA68" s="622"/>
      <c r="AB68" s="622">
        <v>0</v>
      </c>
      <c r="AC68" s="622"/>
      <c r="AD68" s="627"/>
      <c r="AE68" s="622"/>
      <c r="AF68" s="622">
        <v>0</v>
      </c>
      <c r="AG68" s="622"/>
      <c r="AH68" s="316" t="s">
        <v>1357</v>
      </c>
      <c r="AI68" s="622"/>
      <c r="AJ68" s="315">
        <f t="shared" si="42"/>
        <v>0</v>
      </c>
      <c r="AK68" s="622"/>
      <c r="AL68" s="315">
        <f t="shared" si="43"/>
        <v>0</v>
      </c>
      <c r="AM68" s="622"/>
      <c r="AN68" s="315">
        <f t="shared" si="44"/>
        <v>0</v>
      </c>
      <c r="AO68" s="622"/>
      <c r="AP68" s="622">
        <f t="shared" si="45"/>
        <v>0</v>
      </c>
      <c r="AR68" s="622">
        <v>0</v>
      </c>
      <c r="AS68" s="622"/>
      <c r="AT68" s="627"/>
      <c r="AU68" s="622"/>
      <c r="AV68" s="622">
        <v>0</v>
      </c>
      <c r="AW68" s="622"/>
      <c r="AX68" s="315">
        <f t="shared" si="46"/>
        <v>0</v>
      </c>
      <c r="AY68" s="622"/>
      <c r="AZ68" s="315">
        <f t="shared" si="47"/>
        <v>0</v>
      </c>
      <c r="BA68" s="622"/>
      <c r="BB68" s="315">
        <f t="shared" si="48"/>
        <v>0</v>
      </c>
      <c r="BC68" s="622"/>
      <c r="BD68" s="622">
        <f t="shared" si="49"/>
        <v>0</v>
      </c>
      <c r="BF68" s="622">
        <f t="shared" si="50"/>
        <v>0</v>
      </c>
      <c r="BI68" s="304">
        <f t="shared" si="40"/>
        <v>335</v>
      </c>
    </row>
    <row r="69" spans="1:61" ht="14.5">
      <c r="A69" s="304">
        <f t="shared" si="41"/>
        <v>336</v>
      </c>
      <c r="B69" s="626"/>
      <c r="F69" s="630" t="s">
        <v>1354</v>
      </c>
      <c r="H69" s="627"/>
      <c r="J69" s="627"/>
      <c r="K69" s="622"/>
      <c r="L69" s="627"/>
      <c r="M69" s="622"/>
      <c r="N69" s="627"/>
      <c r="P69" s="632" t="s">
        <v>1355</v>
      </c>
      <c r="R69" s="622">
        <v>0</v>
      </c>
      <c r="S69" s="622"/>
      <c r="T69" s="622">
        <f t="shared" si="51"/>
        <v>0</v>
      </c>
      <c r="U69" s="622"/>
      <c r="V69" s="622">
        <v>0</v>
      </c>
      <c r="W69" s="622"/>
      <c r="X69" s="622">
        <f t="shared" si="52"/>
        <v>0</v>
      </c>
      <c r="Y69" s="622"/>
      <c r="Z69" s="316" t="s">
        <v>1382</v>
      </c>
      <c r="AA69" s="622"/>
      <c r="AB69" s="622">
        <v>0</v>
      </c>
      <c r="AC69" s="622"/>
      <c r="AD69" s="627"/>
      <c r="AE69" s="622"/>
      <c r="AF69" s="622">
        <v>0</v>
      </c>
      <c r="AG69" s="622"/>
      <c r="AH69" s="316" t="s">
        <v>1357</v>
      </c>
      <c r="AI69" s="622"/>
      <c r="AJ69" s="315">
        <f t="shared" si="42"/>
        <v>0</v>
      </c>
      <c r="AK69" s="622"/>
      <c r="AL69" s="315">
        <f t="shared" si="43"/>
        <v>0</v>
      </c>
      <c r="AM69" s="622"/>
      <c r="AN69" s="315">
        <f t="shared" si="44"/>
        <v>0</v>
      </c>
      <c r="AO69" s="622"/>
      <c r="AP69" s="622">
        <f t="shared" si="45"/>
        <v>0</v>
      </c>
      <c r="AR69" s="622">
        <v>0</v>
      </c>
      <c r="AS69" s="622"/>
      <c r="AT69" s="627"/>
      <c r="AU69" s="622"/>
      <c r="AV69" s="622">
        <v>0</v>
      </c>
      <c r="AW69" s="622"/>
      <c r="AX69" s="315">
        <f t="shared" si="46"/>
        <v>0</v>
      </c>
      <c r="AY69" s="622"/>
      <c r="AZ69" s="315">
        <f t="shared" si="47"/>
        <v>0</v>
      </c>
      <c r="BA69" s="622"/>
      <c r="BB69" s="315">
        <f t="shared" si="48"/>
        <v>0</v>
      </c>
      <c r="BC69" s="622"/>
      <c r="BD69" s="622">
        <f t="shared" si="49"/>
        <v>0</v>
      </c>
      <c r="BF69" s="622">
        <f t="shared" si="50"/>
        <v>0</v>
      </c>
      <c r="BI69" s="304">
        <f t="shared" si="40"/>
        <v>336</v>
      </c>
    </row>
    <row r="70" spans="1:61" ht="14.5">
      <c r="A70" s="304">
        <f t="shared" si="41"/>
        <v>337</v>
      </c>
      <c r="B70" s="626"/>
      <c r="F70" s="630" t="s">
        <v>1354</v>
      </c>
      <c r="H70" s="627"/>
      <c r="J70" s="627"/>
      <c r="K70" s="622"/>
      <c r="L70" s="627"/>
      <c r="M70" s="622"/>
      <c r="N70" s="627"/>
      <c r="P70" s="632" t="s">
        <v>1355</v>
      </c>
      <c r="R70" s="622">
        <v>0</v>
      </c>
      <c r="S70" s="622"/>
      <c r="T70" s="622">
        <f t="shared" si="51"/>
        <v>0</v>
      </c>
      <c r="U70" s="622"/>
      <c r="V70" s="622">
        <v>0</v>
      </c>
      <c r="W70" s="622"/>
      <c r="X70" s="622">
        <f t="shared" si="52"/>
        <v>0</v>
      </c>
      <c r="Y70" s="622"/>
      <c r="Z70" s="316" t="s">
        <v>1382</v>
      </c>
      <c r="AA70" s="622"/>
      <c r="AB70" s="622">
        <v>0</v>
      </c>
      <c r="AC70" s="622"/>
      <c r="AD70" s="627"/>
      <c r="AE70" s="622"/>
      <c r="AF70" s="622">
        <v>0</v>
      </c>
      <c r="AG70" s="622"/>
      <c r="AH70" s="316" t="s">
        <v>1357</v>
      </c>
      <c r="AI70" s="622"/>
      <c r="AJ70" s="315">
        <f t="shared" si="42"/>
        <v>0</v>
      </c>
      <c r="AK70" s="622"/>
      <c r="AL70" s="315">
        <f t="shared" si="43"/>
        <v>0</v>
      </c>
      <c r="AM70" s="622"/>
      <c r="AN70" s="315">
        <f t="shared" si="44"/>
        <v>0</v>
      </c>
      <c r="AO70" s="622"/>
      <c r="AP70" s="622">
        <f t="shared" si="45"/>
        <v>0</v>
      </c>
      <c r="AR70" s="622">
        <v>0</v>
      </c>
      <c r="AS70" s="622"/>
      <c r="AT70" s="627"/>
      <c r="AU70" s="622"/>
      <c r="AV70" s="622">
        <v>0</v>
      </c>
      <c r="AW70" s="622"/>
      <c r="AX70" s="315">
        <f t="shared" si="46"/>
        <v>0</v>
      </c>
      <c r="AY70" s="622"/>
      <c r="AZ70" s="315">
        <f t="shared" si="47"/>
        <v>0</v>
      </c>
      <c r="BA70" s="622"/>
      <c r="BB70" s="315">
        <f t="shared" si="48"/>
        <v>0</v>
      </c>
      <c r="BC70" s="622"/>
      <c r="BD70" s="622">
        <f t="shared" si="49"/>
        <v>0</v>
      </c>
      <c r="BF70" s="622">
        <f t="shared" si="50"/>
        <v>0</v>
      </c>
      <c r="BI70" s="304">
        <f t="shared" si="40"/>
        <v>337</v>
      </c>
    </row>
    <row r="71" spans="1:61" ht="14.5">
      <c r="A71" s="304">
        <f t="shared" si="41"/>
        <v>338</v>
      </c>
      <c r="B71" s="626"/>
      <c r="F71" s="630" t="s">
        <v>1354</v>
      </c>
      <c r="H71" s="627"/>
      <c r="J71" s="627"/>
      <c r="K71" s="622"/>
      <c r="L71" s="627"/>
      <c r="M71" s="622"/>
      <c r="N71" s="627"/>
      <c r="P71" s="632" t="s">
        <v>1355</v>
      </c>
      <c r="R71" s="622">
        <v>0</v>
      </c>
      <c r="S71" s="622"/>
      <c r="T71" s="622">
        <f t="shared" si="51"/>
        <v>0</v>
      </c>
      <c r="U71" s="622"/>
      <c r="V71" s="622">
        <v>0</v>
      </c>
      <c r="W71" s="622"/>
      <c r="X71" s="622">
        <f t="shared" si="52"/>
        <v>0</v>
      </c>
      <c r="Y71" s="622"/>
      <c r="Z71" s="316" t="s">
        <v>1382</v>
      </c>
      <c r="AA71" s="622"/>
      <c r="AB71" s="622">
        <v>0</v>
      </c>
      <c r="AC71" s="622"/>
      <c r="AD71" s="627"/>
      <c r="AE71" s="622"/>
      <c r="AF71" s="622">
        <v>0</v>
      </c>
      <c r="AG71" s="622"/>
      <c r="AH71" s="316" t="s">
        <v>1357</v>
      </c>
      <c r="AI71" s="622"/>
      <c r="AJ71" s="315">
        <f t="shared" si="42"/>
        <v>0</v>
      </c>
      <c r="AK71" s="622"/>
      <c r="AL71" s="315">
        <f t="shared" si="43"/>
        <v>0</v>
      </c>
      <c r="AM71" s="622"/>
      <c r="AN71" s="315">
        <f t="shared" si="44"/>
        <v>0</v>
      </c>
      <c r="AO71" s="622"/>
      <c r="AP71" s="622">
        <f t="shared" si="45"/>
        <v>0</v>
      </c>
      <c r="AR71" s="622">
        <v>0</v>
      </c>
      <c r="AS71" s="622"/>
      <c r="AT71" s="627"/>
      <c r="AU71" s="622"/>
      <c r="AV71" s="622">
        <v>0</v>
      </c>
      <c r="AW71" s="622"/>
      <c r="AX71" s="315">
        <f t="shared" si="46"/>
        <v>0</v>
      </c>
      <c r="AY71" s="622"/>
      <c r="AZ71" s="315">
        <f t="shared" si="47"/>
        <v>0</v>
      </c>
      <c r="BA71" s="622"/>
      <c r="BB71" s="315">
        <f t="shared" si="48"/>
        <v>0</v>
      </c>
      <c r="BC71" s="622"/>
      <c r="BD71" s="622">
        <f t="shared" si="49"/>
        <v>0</v>
      </c>
      <c r="BF71" s="622">
        <f t="shared" si="50"/>
        <v>0</v>
      </c>
      <c r="BI71" s="304">
        <f t="shared" si="40"/>
        <v>338</v>
      </c>
    </row>
    <row r="72" spans="1:61" ht="14.5">
      <c r="A72" s="304">
        <f t="shared" si="41"/>
        <v>339</v>
      </c>
      <c r="B72" s="626"/>
      <c r="F72" s="630" t="s">
        <v>1354</v>
      </c>
      <c r="H72" s="627"/>
      <c r="J72" s="627"/>
      <c r="K72" s="622"/>
      <c r="L72" s="627"/>
      <c r="M72" s="622"/>
      <c r="N72" s="627"/>
      <c r="P72" s="632" t="s">
        <v>1355</v>
      </c>
      <c r="R72" s="622">
        <v>0</v>
      </c>
      <c r="S72" s="622"/>
      <c r="T72" s="622">
        <f t="shared" si="51"/>
        <v>0</v>
      </c>
      <c r="U72" s="622"/>
      <c r="V72" s="622">
        <v>0</v>
      </c>
      <c r="W72" s="622"/>
      <c r="X72" s="622">
        <f t="shared" si="52"/>
        <v>0</v>
      </c>
      <c r="Y72" s="622"/>
      <c r="Z72" s="316" t="s">
        <v>1382</v>
      </c>
      <c r="AA72" s="622"/>
      <c r="AB72" s="622">
        <v>0</v>
      </c>
      <c r="AC72" s="622"/>
      <c r="AD72" s="627"/>
      <c r="AE72" s="622"/>
      <c r="AF72" s="622">
        <v>0</v>
      </c>
      <c r="AG72" s="622"/>
      <c r="AH72" s="316" t="s">
        <v>1357</v>
      </c>
      <c r="AI72" s="622"/>
      <c r="AJ72" s="315">
        <f t="shared" si="42"/>
        <v>0</v>
      </c>
      <c r="AK72" s="622"/>
      <c r="AL72" s="315">
        <f t="shared" si="43"/>
        <v>0</v>
      </c>
      <c r="AM72" s="622"/>
      <c r="AN72" s="315">
        <f t="shared" si="44"/>
        <v>0</v>
      </c>
      <c r="AO72" s="622"/>
      <c r="AP72" s="622">
        <f t="shared" si="45"/>
        <v>0</v>
      </c>
      <c r="AR72" s="622">
        <v>0</v>
      </c>
      <c r="AS72" s="622"/>
      <c r="AT72" s="627"/>
      <c r="AU72" s="622"/>
      <c r="AV72" s="622">
        <v>0</v>
      </c>
      <c r="AW72" s="622"/>
      <c r="AX72" s="315">
        <f t="shared" si="46"/>
        <v>0</v>
      </c>
      <c r="AY72" s="622"/>
      <c r="AZ72" s="315">
        <f t="shared" si="47"/>
        <v>0</v>
      </c>
      <c r="BA72" s="622"/>
      <c r="BB72" s="315">
        <f t="shared" si="48"/>
        <v>0</v>
      </c>
      <c r="BC72" s="622"/>
      <c r="BD72" s="622">
        <f t="shared" si="49"/>
        <v>0</v>
      </c>
      <c r="BF72" s="622">
        <f t="shared" si="50"/>
        <v>0</v>
      </c>
      <c r="BI72" s="304">
        <f t="shared" si="40"/>
        <v>339</v>
      </c>
    </row>
    <row r="73" spans="1:61" ht="14.5">
      <c r="A73" s="304">
        <f t="shared" si="41"/>
        <v>340</v>
      </c>
      <c r="B73" s="626"/>
      <c r="F73" s="630" t="s">
        <v>1354</v>
      </c>
      <c r="H73" s="627"/>
      <c r="J73" s="627"/>
      <c r="K73" s="622"/>
      <c r="L73" s="627"/>
      <c r="M73" s="622"/>
      <c r="N73" s="627"/>
      <c r="P73" s="632" t="s">
        <v>1355</v>
      </c>
      <c r="R73" s="622">
        <v>0</v>
      </c>
      <c r="S73" s="622"/>
      <c r="T73" s="622">
        <f t="shared" si="51"/>
        <v>0</v>
      </c>
      <c r="U73" s="622"/>
      <c r="V73" s="622">
        <v>0</v>
      </c>
      <c r="W73" s="622"/>
      <c r="X73" s="622">
        <f t="shared" si="52"/>
        <v>0</v>
      </c>
      <c r="Y73" s="622"/>
      <c r="Z73" s="316" t="s">
        <v>1382</v>
      </c>
      <c r="AA73" s="622"/>
      <c r="AB73" s="622">
        <v>0</v>
      </c>
      <c r="AC73" s="622"/>
      <c r="AD73" s="627"/>
      <c r="AE73" s="622"/>
      <c r="AF73" s="622">
        <v>0</v>
      </c>
      <c r="AG73" s="622"/>
      <c r="AH73" s="316" t="s">
        <v>1357</v>
      </c>
      <c r="AI73" s="622"/>
      <c r="AJ73" s="315">
        <f t="shared" si="42"/>
        <v>0</v>
      </c>
      <c r="AK73" s="622"/>
      <c r="AL73" s="315">
        <f t="shared" si="43"/>
        <v>0</v>
      </c>
      <c r="AM73" s="622"/>
      <c r="AN73" s="315">
        <f t="shared" si="44"/>
        <v>0</v>
      </c>
      <c r="AO73" s="622"/>
      <c r="AP73" s="622">
        <f t="shared" si="45"/>
        <v>0</v>
      </c>
      <c r="AR73" s="622">
        <v>0</v>
      </c>
      <c r="AS73" s="622"/>
      <c r="AT73" s="627"/>
      <c r="AU73" s="622"/>
      <c r="AV73" s="622">
        <v>0</v>
      </c>
      <c r="AW73" s="622"/>
      <c r="AX73" s="315">
        <f t="shared" si="46"/>
        <v>0</v>
      </c>
      <c r="AY73" s="622"/>
      <c r="AZ73" s="315">
        <f t="shared" si="47"/>
        <v>0</v>
      </c>
      <c r="BA73" s="622"/>
      <c r="BB73" s="315">
        <f t="shared" si="48"/>
        <v>0</v>
      </c>
      <c r="BC73" s="622"/>
      <c r="BD73" s="622">
        <f t="shared" si="49"/>
        <v>0</v>
      </c>
      <c r="BF73" s="622">
        <f t="shared" si="50"/>
        <v>0</v>
      </c>
      <c r="BI73" s="304">
        <f t="shared" si="40"/>
        <v>340</v>
      </c>
    </row>
    <row r="74" spans="1:61" ht="14.5">
      <c r="A74" s="304">
        <f t="shared" si="41"/>
        <v>341</v>
      </c>
      <c r="B74" s="626"/>
      <c r="F74" s="630" t="s">
        <v>1354</v>
      </c>
      <c r="H74" s="627"/>
      <c r="J74" s="627"/>
      <c r="K74" s="622"/>
      <c r="L74" s="627"/>
      <c r="M74" s="622"/>
      <c r="N74" s="627"/>
      <c r="P74" s="632" t="s">
        <v>1355</v>
      </c>
      <c r="R74" s="622">
        <v>0</v>
      </c>
      <c r="S74" s="622"/>
      <c r="T74" s="622">
        <f t="shared" si="51"/>
        <v>0</v>
      </c>
      <c r="U74" s="622"/>
      <c r="V74" s="622">
        <v>0</v>
      </c>
      <c r="W74" s="622"/>
      <c r="X74" s="622">
        <f t="shared" si="52"/>
        <v>0</v>
      </c>
      <c r="Y74" s="622"/>
      <c r="Z74" s="316" t="s">
        <v>1382</v>
      </c>
      <c r="AA74" s="622"/>
      <c r="AB74" s="622">
        <v>0</v>
      </c>
      <c r="AC74" s="622"/>
      <c r="AD74" s="627"/>
      <c r="AE74" s="622"/>
      <c r="AF74" s="622">
        <v>0</v>
      </c>
      <c r="AG74" s="622"/>
      <c r="AH74" s="316" t="s">
        <v>1357</v>
      </c>
      <c r="AI74" s="622"/>
      <c r="AJ74" s="315">
        <f t="shared" si="42"/>
        <v>0</v>
      </c>
      <c r="AK74" s="622"/>
      <c r="AL74" s="315">
        <f t="shared" si="43"/>
        <v>0</v>
      </c>
      <c r="AM74" s="622"/>
      <c r="AN74" s="315">
        <f t="shared" si="44"/>
        <v>0</v>
      </c>
      <c r="AO74" s="622"/>
      <c r="AP74" s="622">
        <f t="shared" si="45"/>
        <v>0</v>
      </c>
      <c r="AR74" s="622">
        <v>0</v>
      </c>
      <c r="AS74" s="622"/>
      <c r="AT74" s="627"/>
      <c r="AU74" s="622"/>
      <c r="AV74" s="622">
        <v>0</v>
      </c>
      <c r="AW74" s="622"/>
      <c r="AX74" s="315">
        <f t="shared" si="46"/>
        <v>0</v>
      </c>
      <c r="AY74" s="622"/>
      <c r="AZ74" s="315">
        <f t="shared" si="47"/>
        <v>0</v>
      </c>
      <c r="BA74" s="622"/>
      <c r="BB74" s="315">
        <f t="shared" si="48"/>
        <v>0</v>
      </c>
      <c r="BC74" s="622"/>
      <c r="BD74" s="622">
        <f t="shared" si="49"/>
        <v>0</v>
      </c>
      <c r="BF74" s="622">
        <f t="shared" si="50"/>
        <v>0</v>
      </c>
      <c r="BI74" s="304">
        <f t="shared" si="40"/>
        <v>341</v>
      </c>
    </row>
    <row r="75" spans="1:61" ht="14.5">
      <c r="A75" s="304">
        <f t="shared" si="41"/>
        <v>342</v>
      </c>
      <c r="B75" s="626"/>
      <c r="F75" s="630" t="s">
        <v>1354</v>
      </c>
      <c r="H75" s="627"/>
      <c r="J75" s="627"/>
      <c r="K75" s="622"/>
      <c r="L75" s="627"/>
      <c r="M75" s="622"/>
      <c r="N75" s="627"/>
      <c r="P75" s="632" t="s">
        <v>1355</v>
      </c>
      <c r="R75" s="622">
        <v>0</v>
      </c>
      <c r="S75" s="622"/>
      <c r="T75" s="622">
        <f t="shared" si="51"/>
        <v>0</v>
      </c>
      <c r="U75" s="622"/>
      <c r="V75" s="622">
        <v>0</v>
      </c>
      <c r="W75" s="622"/>
      <c r="X75" s="622">
        <f t="shared" si="52"/>
        <v>0</v>
      </c>
      <c r="Y75" s="622"/>
      <c r="Z75" s="316" t="s">
        <v>1382</v>
      </c>
      <c r="AA75" s="622"/>
      <c r="AB75" s="622">
        <v>0</v>
      </c>
      <c r="AC75" s="622"/>
      <c r="AD75" s="627"/>
      <c r="AE75" s="622"/>
      <c r="AF75" s="622">
        <v>0</v>
      </c>
      <c r="AG75" s="622"/>
      <c r="AH75" s="316" t="s">
        <v>1357</v>
      </c>
      <c r="AI75" s="622"/>
      <c r="AJ75" s="315">
        <f t="shared" si="42"/>
        <v>0</v>
      </c>
      <c r="AK75" s="622"/>
      <c r="AL75" s="315">
        <f t="shared" si="43"/>
        <v>0</v>
      </c>
      <c r="AM75" s="622"/>
      <c r="AN75" s="315">
        <f t="shared" si="44"/>
        <v>0</v>
      </c>
      <c r="AO75" s="622"/>
      <c r="AP75" s="622">
        <f t="shared" si="45"/>
        <v>0</v>
      </c>
      <c r="AR75" s="622">
        <v>0</v>
      </c>
      <c r="AS75" s="622"/>
      <c r="AT75" s="627"/>
      <c r="AU75" s="622"/>
      <c r="AV75" s="622">
        <v>0</v>
      </c>
      <c r="AW75" s="622"/>
      <c r="AX75" s="315">
        <f t="shared" si="46"/>
        <v>0</v>
      </c>
      <c r="AY75" s="622"/>
      <c r="AZ75" s="315">
        <f t="shared" si="47"/>
        <v>0</v>
      </c>
      <c r="BA75" s="622"/>
      <c r="BB75" s="315">
        <f t="shared" si="48"/>
        <v>0</v>
      </c>
      <c r="BC75" s="622"/>
      <c r="BD75" s="622">
        <f t="shared" si="49"/>
        <v>0</v>
      </c>
      <c r="BF75" s="622">
        <f t="shared" si="50"/>
        <v>0</v>
      </c>
      <c r="BI75" s="304">
        <f t="shared" si="40"/>
        <v>342</v>
      </c>
    </row>
    <row r="76" spans="1:61" ht="14.5">
      <c r="A76" s="304">
        <f t="shared" si="41"/>
        <v>343</v>
      </c>
      <c r="B76" s="626"/>
      <c r="F76" s="630" t="s">
        <v>1354</v>
      </c>
      <c r="H76" s="627"/>
      <c r="J76" s="627"/>
      <c r="K76" s="622"/>
      <c r="L76" s="627"/>
      <c r="M76" s="622"/>
      <c r="N76" s="627"/>
      <c r="P76" s="632" t="s">
        <v>1355</v>
      </c>
      <c r="R76" s="622">
        <v>0</v>
      </c>
      <c r="S76" s="622"/>
      <c r="T76" s="622">
        <f t="shared" si="51"/>
        <v>0</v>
      </c>
      <c r="U76" s="622"/>
      <c r="V76" s="622">
        <v>0</v>
      </c>
      <c r="W76" s="622"/>
      <c r="X76" s="622">
        <f t="shared" si="52"/>
        <v>0</v>
      </c>
      <c r="Y76" s="622"/>
      <c r="Z76" s="316" t="s">
        <v>1382</v>
      </c>
      <c r="AA76" s="622"/>
      <c r="AB76" s="622">
        <v>0</v>
      </c>
      <c r="AC76" s="622"/>
      <c r="AD76" s="627"/>
      <c r="AE76" s="622"/>
      <c r="AF76" s="622">
        <v>0</v>
      </c>
      <c r="AG76" s="622"/>
      <c r="AH76" s="316" t="s">
        <v>1357</v>
      </c>
      <c r="AI76" s="622"/>
      <c r="AJ76" s="315">
        <f t="shared" si="42"/>
        <v>0</v>
      </c>
      <c r="AK76" s="622"/>
      <c r="AL76" s="315">
        <f t="shared" si="43"/>
        <v>0</v>
      </c>
      <c r="AM76" s="622"/>
      <c r="AN76" s="315">
        <f t="shared" si="44"/>
        <v>0</v>
      </c>
      <c r="AO76" s="622"/>
      <c r="AP76" s="622">
        <f t="shared" si="45"/>
        <v>0</v>
      </c>
      <c r="AR76" s="622">
        <v>0</v>
      </c>
      <c r="AS76" s="622"/>
      <c r="AT76" s="627"/>
      <c r="AU76" s="622"/>
      <c r="AV76" s="622">
        <v>0</v>
      </c>
      <c r="AW76" s="622"/>
      <c r="AX76" s="315">
        <f t="shared" si="46"/>
        <v>0</v>
      </c>
      <c r="AY76" s="622"/>
      <c r="AZ76" s="315">
        <f t="shared" si="47"/>
        <v>0</v>
      </c>
      <c r="BA76" s="622"/>
      <c r="BB76" s="315">
        <f t="shared" si="48"/>
        <v>0</v>
      </c>
      <c r="BC76" s="622"/>
      <c r="BD76" s="622">
        <f t="shared" si="49"/>
        <v>0</v>
      </c>
      <c r="BF76" s="622">
        <f t="shared" si="50"/>
        <v>0</v>
      </c>
      <c r="BI76" s="304">
        <f t="shared" si="40"/>
        <v>343</v>
      </c>
    </row>
    <row r="77" spans="1:61" ht="14.5">
      <c r="A77" s="304">
        <f t="shared" si="41"/>
        <v>344</v>
      </c>
      <c r="B77" s="626"/>
      <c r="F77" s="630" t="s">
        <v>1354</v>
      </c>
      <c r="H77" s="627"/>
      <c r="J77" s="627"/>
      <c r="K77" s="622"/>
      <c r="L77" s="627"/>
      <c r="M77" s="622"/>
      <c r="N77" s="627"/>
      <c r="P77" s="632" t="s">
        <v>1355</v>
      </c>
      <c r="R77" s="622">
        <v>0</v>
      </c>
      <c r="S77" s="622"/>
      <c r="T77" s="622">
        <f t="shared" si="51"/>
        <v>0</v>
      </c>
      <c r="U77" s="622"/>
      <c r="V77" s="622">
        <v>0</v>
      </c>
      <c r="W77" s="622"/>
      <c r="X77" s="622">
        <f t="shared" si="52"/>
        <v>0</v>
      </c>
      <c r="Y77" s="622"/>
      <c r="Z77" s="316" t="s">
        <v>1382</v>
      </c>
      <c r="AA77" s="622"/>
      <c r="AB77" s="622">
        <v>0</v>
      </c>
      <c r="AC77" s="622"/>
      <c r="AD77" s="627"/>
      <c r="AE77" s="622"/>
      <c r="AF77" s="622">
        <v>0</v>
      </c>
      <c r="AG77" s="622"/>
      <c r="AH77" s="316" t="s">
        <v>1357</v>
      </c>
      <c r="AI77" s="622"/>
      <c r="AJ77" s="315">
        <f t="shared" si="42"/>
        <v>0</v>
      </c>
      <c r="AK77" s="622"/>
      <c r="AL77" s="315">
        <f t="shared" si="43"/>
        <v>0</v>
      </c>
      <c r="AM77" s="622"/>
      <c r="AN77" s="315">
        <f t="shared" si="44"/>
        <v>0</v>
      </c>
      <c r="AO77" s="622"/>
      <c r="AP77" s="622">
        <f t="shared" si="45"/>
        <v>0</v>
      </c>
      <c r="AR77" s="622">
        <v>0</v>
      </c>
      <c r="AS77" s="622"/>
      <c r="AT77" s="627"/>
      <c r="AU77" s="622"/>
      <c r="AV77" s="622">
        <v>0</v>
      </c>
      <c r="AW77" s="622"/>
      <c r="AX77" s="315">
        <f t="shared" si="46"/>
        <v>0</v>
      </c>
      <c r="AY77" s="622"/>
      <c r="AZ77" s="315">
        <f t="shared" si="47"/>
        <v>0</v>
      </c>
      <c r="BA77" s="622"/>
      <c r="BB77" s="315">
        <f t="shared" si="48"/>
        <v>0</v>
      </c>
      <c r="BC77" s="622"/>
      <c r="BD77" s="622">
        <f t="shared" si="49"/>
        <v>0</v>
      </c>
      <c r="BF77" s="622">
        <f t="shared" si="50"/>
        <v>0</v>
      </c>
      <c r="BI77" s="304">
        <f t="shared" si="40"/>
        <v>344</v>
      </c>
    </row>
    <row r="78" spans="1:61" ht="14.5">
      <c r="A78" s="304">
        <f t="shared" si="41"/>
        <v>345</v>
      </c>
      <c r="B78" s="626"/>
      <c r="F78" s="630" t="s">
        <v>1354</v>
      </c>
      <c r="H78" s="627"/>
      <c r="J78" s="627"/>
      <c r="K78" s="622"/>
      <c r="L78" s="627"/>
      <c r="M78" s="622"/>
      <c r="N78" s="627"/>
      <c r="P78" s="632" t="s">
        <v>1355</v>
      </c>
      <c r="R78" s="622">
        <v>0</v>
      </c>
      <c r="S78" s="622"/>
      <c r="T78" s="622">
        <f t="shared" si="51"/>
        <v>0</v>
      </c>
      <c r="U78" s="622"/>
      <c r="V78" s="622">
        <v>0</v>
      </c>
      <c r="W78" s="622"/>
      <c r="X78" s="622">
        <f t="shared" si="52"/>
        <v>0</v>
      </c>
      <c r="Y78" s="622"/>
      <c r="Z78" s="316" t="s">
        <v>1382</v>
      </c>
      <c r="AA78" s="622"/>
      <c r="AB78" s="622">
        <v>0</v>
      </c>
      <c r="AC78" s="622"/>
      <c r="AD78" s="627"/>
      <c r="AE78" s="622"/>
      <c r="AF78" s="622">
        <v>0</v>
      </c>
      <c r="AG78" s="622"/>
      <c r="AH78" s="316" t="s">
        <v>1357</v>
      </c>
      <c r="AI78" s="622"/>
      <c r="AJ78" s="315">
        <f t="shared" si="42"/>
        <v>0</v>
      </c>
      <c r="AK78" s="622"/>
      <c r="AL78" s="315">
        <f t="shared" si="43"/>
        <v>0</v>
      </c>
      <c r="AM78" s="622"/>
      <c r="AN78" s="315">
        <f t="shared" si="44"/>
        <v>0</v>
      </c>
      <c r="AO78" s="622"/>
      <c r="AP78" s="622">
        <f t="shared" si="45"/>
        <v>0</v>
      </c>
      <c r="AR78" s="622">
        <v>0</v>
      </c>
      <c r="AS78" s="622"/>
      <c r="AT78" s="627"/>
      <c r="AU78" s="622"/>
      <c r="AV78" s="622">
        <v>0</v>
      </c>
      <c r="AW78" s="622"/>
      <c r="AX78" s="315">
        <f t="shared" si="46"/>
        <v>0</v>
      </c>
      <c r="AY78" s="622"/>
      <c r="AZ78" s="315">
        <f t="shared" si="47"/>
        <v>0</v>
      </c>
      <c r="BA78" s="622"/>
      <c r="BB78" s="315">
        <f t="shared" si="48"/>
        <v>0</v>
      </c>
      <c r="BC78" s="622"/>
      <c r="BD78" s="622">
        <f t="shared" si="49"/>
        <v>0</v>
      </c>
      <c r="BF78" s="622">
        <f t="shared" si="50"/>
        <v>0</v>
      </c>
      <c r="BI78" s="304">
        <f t="shared" si="40"/>
        <v>345</v>
      </c>
    </row>
    <row r="79" spans="1:61" ht="14.5">
      <c r="A79" s="304">
        <f t="shared" si="41"/>
        <v>346</v>
      </c>
      <c r="B79" s="626"/>
      <c r="F79" s="630" t="s">
        <v>1354</v>
      </c>
      <c r="H79" s="627"/>
      <c r="J79" s="627"/>
      <c r="K79" s="622"/>
      <c r="L79" s="627"/>
      <c r="M79" s="622"/>
      <c r="N79" s="627"/>
      <c r="P79" s="632" t="s">
        <v>1355</v>
      </c>
      <c r="R79" s="622">
        <v>0</v>
      </c>
      <c r="S79" s="622"/>
      <c r="T79" s="622">
        <f t="shared" si="51"/>
        <v>0</v>
      </c>
      <c r="U79" s="622"/>
      <c r="V79" s="622">
        <v>0</v>
      </c>
      <c r="W79" s="622"/>
      <c r="X79" s="622">
        <f t="shared" si="52"/>
        <v>0</v>
      </c>
      <c r="Y79" s="622"/>
      <c r="Z79" s="316" t="s">
        <v>1382</v>
      </c>
      <c r="AA79" s="622"/>
      <c r="AB79" s="622">
        <v>0</v>
      </c>
      <c r="AC79" s="622"/>
      <c r="AD79" s="627"/>
      <c r="AE79" s="622"/>
      <c r="AF79" s="622">
        <v>0</v>
      </c>
      <c r="AG79" s="622"/>
      <c r="AH79" s="316" t="s">
        <v>1357</v>
      </c>
      <c r="AI79" s="622"/>
      <c r="AJ79" s="315">
        <f t="shared" si="42"/>
        <v>0</v>
      </c>
      <c r="AK79" s="622"/>
      <c r="AL79" s="315">
        <f t="shared" si="43"/>
        <v>0</v>
      </c>
      <c r="AM79" s="622"/>
      <c r="AN79" s="315">
        <f t="shared" si="44"/>
        <v>0</v>
      </c>
      <c r="AO79" s="622"/>
      <c r="AP79" s="622">
        <f t="shared" si="45"/>
        <v>0</v>
      </c>
      <c r="AR79" s="622">
        <v>0</v>
      </c>
      <c r="AS79" s="622"/>
      <c r="AT79" s="627"/>
      <c r="AU79" s="622"/>
      <c r="AV79" s="622">
        <v>0</v>
      </c>
      <c r="AW79" s="622"/>
      <c r="AX79" s="315">
        <f t="shared" si="46"/>
        <v>0</v>
      </c>
      <c r="AY79" s="622"/>
      <c r="AZ79" s="315">
        <f t="shared" si="47"/>
        <v>0</v>
      </c>
      <c r="BA79" s="622"/>
      <c r="BB79" s="315">
        <f t="shared" si="48"/>
        <v>0</v>
      </c>
      <c r="BC79" s="622"/>
      <c r="BD79" s="622">
        <f t="shared" si="49"/>
        <v>0</v>
      </c>
      <c r="BF79" s="622">
        <f t="shared" si="50"/>
        <v>0</v>
      </c>
      <c r="BI79" s="304">
        <f t="shared" si="40"/>
        <v>346</v>
      </c>
    </row>
    <row r="80" spans="1:61" ht="14.5">
      <c r="A80" s="304">
        <f t="shared" si="41"/>
        <v>347</v>
      </c>
      <c r="B80" s="626"/>
      <c r="F80" s="630" t="s">
        <v>1354</v>
      </c>
      <c r="H80" s="627"/>
      <c r="J80" s="627"/>
      <c r="K80" s="622"/>
      <c r="L80" s="627"/>
      <c r="M80" s="622"/>
      <c r="N80" s="627"/>
      <c r="P80" s="632" t="s">
        <v>1355</v>
      </c>
      <c r="R80" s="622">
        <v>0</v>
      </c>
      <c r="S80" s="622"/>
      <c r="T80" s="622">
        <f t="shared" si="51"/>
        <v>0</v>
      </c>
      <c r="U80" s="622"/>
      <c r="V80" s="622">
        <v>0</v>
      </c>
      <c r="W80" s="622"/>
      <c r="X80" s="622">
        <f t="shared" si="52"/>
        <v>0</v>
      </c>
      <c r="Y80" s="622"/>
      <c r="Z80" s="316" t="s">
        <v>1382</v>
      </c>
      <c r="AA80" s="622"/>
      <c r="AB80" s="622">
        <v>0</v>
      </c>
      <c r="AC80" s="622"/>
      <c r="AD80" s="627"/>
      <c r="AE80" s="622"/>
      <c r="AF80" s="622">
        <v>0</v>
      </c>
      <c r="AG80" s="622"/>
      <c r="AH80" s="316" t="s">
        <v>1357</v>
      </c>
      <c r="AI80" s="622"/>
      <c r="AJ80" s="315">
        <f t="shared" si="42"/>
        <v>0</v>
      </c>
      <c r="AK80" s="622"/>
      <c r="AL80" s="315">
        <f t="shared" si="43"/>
        <v>0</v>
      </c>
      <c r="AM80" s="622"/>
      <c r="AN80" s="315">
        <f t="shared" si="44"/>
        <v>0</v>
      </c>
      <c r="AO80" s="622"/>
      <c r="AP80" s="622">
        <f t="shared" si="45"/>
        <v>0</v>
      </c>
      <c r="AR80" s="622">
        <v>0</v>
      </c>
      <c r="AS80" s="622"/>
      <c r="AT80" s="627"/>
      <c r="AU80" s="622"/>
      <c r="AV80" s="622">
        <v>0</v>
      </c>
      <c r="AW80" s="622"/>
      <c r="AX80" s="315">
        <f t="shared" si="46"/>
        <v>0</v>
      </c>
      <c r="AY80" s="622"/>
      <c r="AZ80" s="315">
        <f t="shared" si="47"/>
        <v>0</v>
      </c>
      <c r="BA80" s="622"/>
      <c r="BB80" s="315">
        <f t="shared" si="48"/>
        <v>0</v>
      </c>
      <c r="BC80" s="622"/>
      <c r="BD80" s="622">
        <f t="shared" si="49"/>
        <v>0</v>
      </c>
      <c r="BF80" s="622">
        <f t="shared" si="50"/>
        <v>0</v>
      </c>
      <c r="BI80" s="304">
        <f t="shared" si="40"/>
        <v>347</v>
      </c>
    </row>
    <row r="81" spans="1:61" ht="14.5">
      <c r="A81" s="304">
        <f t="shared" si="41"/>
        <v>348</v>
      </c>
      <c r="B81" s="626"/>
      <c r="F81" s="630" t="s">
        <v>1354</v>
      </c>
      <c r="H81" s="627"/>
      <c r="J81" s="627"/>
      <c r="K81" s="622"/>
      <c r="L81" s="627"/>
      <c r="M81" s="622"/>
      <c r="N81" s="627"/>
      <c r="P81" s="632" t="s">
        <v>1355</v>
      </c>
      <c r="R81" s="622">
        <v>0</v>
      </c>
      <c r="S81" s="622"/>
      <c r="T81" s="622">
        <f t="shared" si="51"/>
        <v>0</v>
      </c>
      <c r="U81" s="622"/>
      <c r="V81" s="622">
        <v>0</v>
      </c>
      <c r="W81" s="622"/>
      <c r="X81" s="622">
        <f t="shared" si="52"/>
        <v>0</v>
      </c>
      <c r="Y81" s="622"/>
      <c r="Z81" s="316" t="s">
        <v>1382</v>
      </c>
      <c r="AA81" s="622"/>
      <c r="AB81" s="622">
        <v>0</v>
      </c>
      <c r="AC81" s="622"/>
      <c r="AD81" s="627"/>
      <c r="AE81" s="622"/>
      <c r="AF81" s="622">
        <v>0</v>
      </c>
      <c r="AG81" s="622"/>
      <c r="AH81" s="316" t="s">
        <v>1357</v>
      </c>
      <c r="AI81" s="622"/>
      <c r="AJ81" s="315">
        <f t="shared" si="42"/>
        <v>0</v>
      </c>
      <c r="AK81" s="622"/>
      <c r="AL81" s="315">
        <f t="shared" si="43"/>
        <v>0</v>
      </c>
      <c r="AM81" s="622"/>
      <c r="AN81" s="315">
        <f t="shared" si="44"/>
        <v>0</v>
      </c>
      <c r="AO81" s="622"/>
      <c r="AP81" s="622">
        <f t="shared" si="45"/>
        <v>0</v>
      </c>
      <c r="AR81" s="622">
        <v>0</v>
      </c>
      <c r="AS81" s="622"/>
      <c r="AT81" s="627"/>
      <c r="AU81" s="622"/>
      <c r="AV81" s="622">
        <v>0</v>
      </c>
      <c r="AW81" s="622"/>
      <c r="AX81" s="315">
        <f t="shared" si="46"/>
        <v>0</v>
      </c>
      <c r="AY81" s="622"/>
      <c r="AZ81" s="315">
        <f t="shared" si="47"/>
        <v>0</v>
      </c>
      <c r="BA81" s="622"/>
      <c r="BB81" s="315">
        <f t="shared" si="48"/>
        <v>0</v>
      </c>
      <c r="BC81" s="622"/>
      <c r="BD81" s="622">
        <f t="shared" si="49"/>
        <v>0</v>
      </c>
      <c r="BF81" s="622">
        <f t="shared" si="50"/>
        <v>0</v>
      </c>
      <c r="BI81" s="304">
        <f t="shared" si="40"/>
        <v>348</v>
      </c>
    </row>
    <row r="82" spans="1:61" ht="14.5">
      <c r="A82" s="304">
        <f t="shared" si="41"/>
        <v>349</v>
      </c>
      <c r="B82" s="626"/>
      <c r="F82" s="630" t="s">
        <v>1354</v>
      </c>
      <c r="H82" s="627"/>
      <c r="J82" s="627"/>
      <c r="K82" s="622"/>
      <c r="L82" s="627"/>
      <c r="M82" s="622"/>
      <c r="N82" s="627"/>
      <c r="P82" s="632" t="s">
        <v>1355</v>
      </c>
      <c r="R82" s="622">
        <v>0</v>
      </c>
      <c r="S82" s="622"/>
      <c r="T82" s="622">
        <f t="shared" si="51"/>
        <v>0</v>
      </c>
      <c r="U82" s="622"/>
      <c r="V82" s="622">
        <v>0</v>
      </c>
      <c r="W82" s="622"/>
      <c r="X82" s="622">
        <f t="shared" si="52"/>
        <v>0</v>
      </c>
      <c r="Y82" s="622"/>
      <c r="Z82" s="316" t="s">
        <v>1382</v>
      </c>
      <c r="AA82" s="622"/>
      <c r="AB82" s="622">
        <v>0</v>
      </c>
      <c r="AC82" s="622"/>
      <c r="AD82" s="627"/>
      <c r="AE82" s="622"/>
      <c r="AF82" s="622">
        <v>0</v>
      </c>
      <c r="AG82" s="622"/>
      <c r="AH82" s="316" t="s">
        <v>1357</v>
      </c>
      <c r="AI82" s="622"/>
      <c r="AJ82" s="315">
        <f t="shared" si="42"/>
        <v>0</v>
      </c>
      <c r="AK82" s="622"/>
      <c r="AL82" s="315">
        <f t="shared" si="43"/>
        <v>0</v>
      </c>
      <c r="AM82" s="622"/>
      <c r="AN82" s="315">
        <f t="shared" si="44"/>
        <v>0</v>
      </c>
      <c r="AO82" s="622"/>
      <c r="AP82" s="622">
        <f t="shared" si="45"/>
        <v>0</v>
      </c>
      <c r="AR82" s="622">
        <v>0</v>
      </c>
      <c r="AS82" s="622"/>
      <c r="AT82" s="627"/>
      <c r="AU82" s="622"/>
      <c r="AV82" s="622">
        <v>0</v>
      </c>
      <c r="AW82" s="622"/>
      <c r="AX82" s="315">
        <f t="shared" si="46"/>
        <v>0</v>
      </c>
      <c r="AY82" s="622"/>
      <c r="AZ82" s="315">
        <f t="shared" si="47"/>
        <v>0</v>
      </c>
      <c r="BA82" s="622"/>
      <c r="BB82" s="315">
        <f t="shared" si="48"/>
        <v>0</v>
      </c>
      <c r="BC82" s="622"/>
      <c r="BD82" s="622">
        <f t="shared" si="49"/>
        <v>0</v>
      </c>
      <c r="BF82" s="622">
        <f t="shared" si="50"/>
        <v>0</v>
      </c>
      <c r="BI82" s="304">
        <f t="shared" si="40"/>
        <v>349</v>
      </c>
    </row>
    <row r="83" spans="1:61" ht="14.5">
      <c r="A83" s="304">
        <f t="shared" si="41"/>
        <v>350</v>
      </c>
      <c r="B83" s="626"/>
      <c r="F83" s="630" t="s">
        <v>1354</v>
      </c>
      <c r="H83" s="627"/>
      <c r="J83" s="627"/>
      <c r="K83" s="622"/>
      <c r="L83" s="627"/>
      <c r="M83" s="622"/>
      <c r="N83" s="627"/>
      <c r="P83" s="632" t="s">
        <v>1355</v>
      </c>
      <c r="R83" s="622">
        <v>0</v>
      </c>
      <c r="S83" s="622"/>
      <c r="T83" s="622">
        <f t="shared" si="51"/>
        <v>0</v>
      </c>
      <c r="U83" s="622"/>
      <c r="V83" s="622">
        <v>0</v>
      </c>
      <c r="W83" s="622"/>
      <c r="X83" s="622">
        <f t="shared" si="52"/>
        <v>0</v>
      </c>
      <c r="Y83" s="622"/>
      <c r="Z83" s="316" t="s">
        <v>1382</v>
      </c>
      <c r="AA83" s="622"/>
      <c r="AB83" s="622">
        <v>0</v>
      </c>
      <c r="AC83" s="622"/>
      <c r="AD83" s="627"/>
      <c r="AE83" s="622"/>
      <c r="AF83" s="622">
        <v>0</v>
      </c>
      <c r="AG83" s="622"/>
      <c r="AH83" s="316" t="s">
        <v>1357</v>
      </c>
      <c r="AI83" s="622"/>
      <c r="AJ83" s="315">
        <f t="shared" si="42"/>
        <v>0</v>
      </c>
      <c r="AK83" s="622"/>
      <c r="AL83" s="315">
        <f t="shared" si="43"/>
        <v>0</v>
      </c>
      <c r="AM83" s="622"/>
      <c r="AN83" s="315">
        <f t="shared" si="44"/>
        <v>0</v>
      </c>
      <c r="AO83" s="622"/>
      <c r="AP83" s="622">
        <f t="shared" si="45"/>
        <v>0</v>
      </c>
      <c r="AR83" s="622">
        <v>0</v>
      </c>
      <c r="AS83" s="622"/>
      <c r="AT83" s="627"/>
      <c r="AU83" s="622"/>
      <c r="AV83" s="622">
        <v>0</v>
      </c>
      <c r="AW83" s="622"/>
      <c r="AX83" s="315">
        <f t="shared" si="46"/>
        <v>0</v>
      </c>
      <c r="AY83" s="622"/>
      <c r="AZ83" s="315">
        <f t="shared" si="47"/>
        <v>0</v>
      </c>
      <c r="BA83" s="622"/>
      <c r="BB83" s="315">
        <f t="shared" si="48"/>
        <v>0</v>
      </c>
      <c r="BC83" s="622"/>
      <c r="BD83" s="622">
        <f t="shared" si="49"/>
        <v>0</v>
      </c>
      <c r="BF83" s="622">
        <f t="shared" si="50"/>
        <v>0</v>
      </c>
      <c r="BI83" s="304">
        <f t="shared" si="40"/>
        <v>350</v>
      </c>
    </row>
    <row r="84" spans="1:61" ht="14.5">
      <c r="A84" s="304">
        <f t="shared" si="41"/>
        <v>351</v>
      </c>
      <c r="B84" s="626"/>
      <c r="F84" s="630" t="s">
        <v>1354</v>
      </c>
      <c r="H84" s="627"/>
      <c r="J84" s="627"/>
      <c r="K84" s="622"/>
      <c r="L84" s="627"/>
      <c r="M84" s="622"/>
      <c r="N84" s="627"/>
      <c r="P84" s="632" t="s">
        <v>1355</v>
      </c>
      <c r="R84" s="622">
        <v>0</v>
      </c>
      <c r="S84" s="622"/>
      <c r="T84" s="622">
        <f t="shared" si="51"/>
        <v>0</v>
      </c>
      <c r="U84" s="622"/>
      <c r="V84" s="622">
        <v>0</v>
      </c>
      <c r="W84" s="622"/>
      <c r="X84" s="622">
        <f t="shared" si="52"/>
        <v>0</v>
      </c>
      <c r="Y84" s="622"/>
      <c r="Z84" s="316" t="s">
        <v>1382</v>
      </c>
      <c r="AA84" s="622"/>
      <c r="AB84" s="622">
        <v>0</v>
      </c>
      <c r="AC84" s="622"/>
      <c r="AD84" s="627"/>
      <c r="AE84" s="622"/>
      <c r="AF84" s="622">
        <v>0</v>
      </c>
      <c r="AG84" s="622"/>
      <c r="AH84" s="316" t="s">
        <v>1357</v>
      </c>
      <c r="AI84" s="622"/>
      <c r="AJ84" s="315">
        <f t="shared" si="42"/>
        <v>0</v>
      </c>
      <c r="AK84" s="622"/>
      <c r="AL84" s="315">
        <f t="shared" si="43"/>
        <v>0</v>
      </c>
      <c r="AM84" s="622"/>
      <c r="AN84" s="315">
        <f t="shared" si="44"/>
        <v>0</v>
      </c>
      <c r="AO84" s="622"/>
      <c r="AP84" s="622">
        <f t="shared" si="45"/>
        <v>0</v>
      </c>
      <c r="AR84" s="622">
        <v>0</v>
      </c>
      <c r="AS84" s="622"/>
      <c r="AT84" s="627"/>
      <c r="AU84" s="622"/>
      <c r="AV84" s="622">
        <v>0</v>
      </c>
      <c r="AW84" s="622"/>
      <c r="AX84" s="315">
        <f t="shared" si="46"/>
        <v>0</v>
      </c>
      <c r="AY84" s="622"/>
      <c r="AZ84" s="315">
        <f t="shared" si="47"/>
        <v>0</v>
      </c>
      <c r="BA84" s="622"/>
      <c r="BB84" s="315">
        <f t="shared" si="48"/>
        <v>0</v>
      </c>
      <c r="BC84" s="622"/>
      <c r="BD84" s="622">
        <f t="shared" si="49"/>
        <v>0</v>
      </c>
      <c r="BF84" s="622">
        <f t="shared" si="50"/>
        <v>0</v>
      </c>
      <c r="BI84" s="304">
        <f t="shared" si="40"/>
        <v>351</v>
      </c>
    </row>
    <row r="85" spans="1:61" ht="14.5">
      <c r="A85" s="304">
        <f t="shared" si="41"/>
        <v>352</v>
      </c>
      <c r="B85" s="626"/>
      <c r="F85" s="630" t="s">
        <v>1354</v>
      </c>
      <c r="H85" s="627"/>
      <c r="J85" s="627"/>
      <c r="K85" s="622"/>
      <c r="L85" s="627"/>
      <c r="M85" s="622"/>
      <c r="N85" s="627"/>
      <c r="P85" s="632" t="s">
        <v>1355</v>
      </c>
      <c r="R85" s="622">
        <v>0</v>
      </c>
      <c r="S85" s="622"/>
      <c r="T85" s="622">
        <f t="shared" si="51"/>
        <v>0</v>
      </c>
      <c r="U85" s="622"/>
      <c r="V85" s="622">
        <v>0</v>
      </c>
      <c r="W85" s="622"/>
      <c r="X85" s="622">
        <f t="shared" si="52"/>
        <v>0</v>
      </c>
      <c r="Y85" s="622"/>
      <c r="Z85" s="316" t="s">
        <v>1382</v>
      </c>
      <c r="AA85" s="622"/>
      <c r="AB85" s="622">
        <v>0</v>
      </c>
      <c r="AC85" s="622"/>
      <c r="AD85" s="627"/>
      <c r="AE85" s="622"/>
      <c r="AF85" s="622">
        <v>0</v>
      </c>
      <c r="AG85" s="622"/>
      <c r="AH85" s="316" t="s">
        <v>1357</v>
      </c>
      <c r="AI85" s="622"/>
      <c r="AJ85" s="315">
        <f t="shared" si="42"/>
        <v>0</v>
      </c>
      <c r="AK85" s="622"/>
      <c r="AL85" s="315">
        <f t="shared" si="43"/>
        <v>0</v>
      </c>
      <c r="AM85" s="622"/>
      <c r="AN85" s="315">
        <f t="shared" si="44"/>
        <v>0</v>
      </c>
      <c r="AO85" s="622"/>
      <c r="AP85" s="622">
        <f t="shared" si="45"/>
        <v>0</v>
      </c>
      <c r="AR85" s="622">
        <v>0</v>
      </c>
      <c r="AS85" s="622"/>
      <c r="AT85" s="627"/>
      <c r="AU85" s="622"/>
      <c r="AV85" s="622">
        <v>0</v>
      </c>
      <c r="AW85" s="622"/>
      <c r="AX85" s="315">
        <f t="shared" si="46"/>
        <v>0</v>
      </c>
      <c r="AY85" s="622"/>
      <c r="AZ85" s="315">
        <f t="shared" si="47"/>
        <v>0</v>
      </c>
      <c r="BA85" s="622"/>
      <c r="BB85" s="315">
        <f t="shared" si="48"/>
        <v>0</v>
      </c>
      <c r="BC85" s="622"/>
      <c r="BD85" s="622">
        <f t="shared" si="49"/>
        <v>0</v>
      </c>
      <c r="BF85" s="622">
        <f t="shared" si="50"/>
        <v>0</v>
      </c>
      <c r="BI85" s="304">
        <f t="shared" si="40"/>
        <v>352</v>
      </c>
    </row>
    <row r="86" spans="1:61" ht="14.5">
      <c r="A86" s="304">
        <f t="shared" si="41"/>
        <v>353</v>
      </c>
      <c r="B86" s="626"/>
      <c r="F86" s="630" t="s">
        <v>1354</v>
      </c>
      <c r="H86" s="627"/>
      <c r="J86" s="627"/>
      <c r="K86" s="622"/>
      <c r="L86" s="627"/>
      <c r="M86" s="622"/>
      <c r="N86" s="627"/>
      <c r="P86" s="632" t="s">
        <v>1355</v>
      </c>
      <c r="R86" s="622">
        <v>0</v>
      </c>
      <c r="S86" s="622"/>
      <c r="T86" s="622">
        <f t="shared" si="51"/>
        <v>0</v>
      </c>
      <c r="U86" s="622"/>
      <c r="V86" s="622">
        <v>0</v>
      </c>
      <c r="W86" s="622"/>
      <c r="X86" s="622">
        <f t="shared" si="52"/>
        <v>0</v>
      </c>
      <c r="Y86" s="622"/>
      <c r="Z86" s="316" t="s">
        <v>1382</v>
      </c>
      <c r="AA86" s="622"/>
      <c r="AB86" s="622">
        <v>0</v>
      </c>
      <c r="AC86" s="622"/>
      <c r="AD86" s="627"/>
      <c r="AE86" s="622"/>
      <c r="AF86" s="622">
        <v>0</v>
      </c>
      <c r="AG86" s="622"/>
      <c r="AH86" s="316" t="s">
        <v>1357</v>
      </c>
      <c r="AI86" s="622"/>
      <c r="AJ86" s="315">
        <f t="shared" si="42"/>
        <v>0</v>
      </c>
      <c r="AK86" s="622"/>
      <c r="AL86" s="315">
        <f t="shared" si="43"/>
        <v>0</v>
      </c>
      <c r="AM86" s="622"/>
      <c r="AN86" s="315">
        <f t="shared" si="44"/>
        <v>0</v>
      </c>
      <c r="AO86" s="622"/>
      <c r="AP86" s="622">
        <f t="shared" si="45"/>
        <v>0</v>
      </c>
      <c r="AR86" s="622">
        <v>0</v>
      </c>
      <c r="AS86" s="622"/>
      <c r="AT86" s="627"/>
      <c r="AU86" s="622"/>
      <c r="AV86" s="622">
        <v>0</v>
      </c>
      <c r="AW86" s="622"/>
      <c r="AX86" s="315">
        <f t="shared" si="46"/>
        <v>0</v>
      </c>
      <c r="AY86" s="622"/>
      <c r="AZ86" s="315">
        <f t="shared" si="47"/>
        <v>0</v>
      </c>
      <c r="BA86" s="622"/>
      <c r="BB86" s="315">
        <f t="shared" si="48"/>
        <v>0</v>
      </c>
      <c r="BC86" s="622"/>
      <c r="BD86" s="622">
        <f t="shared" si="49"/>
        <v>0</v>
      </c>
      <c r="BF86" s="622">
        <f t="shared" si="50"/>
        <v>0</v>
      </c>
      <c r="BI86" s="304">
        <f t="shared" si="40"/>
        <v>353</v>
      </c>
    </row>
    <row r="87" spans="1:61" ht="14.5">
      <c r="A87" s="304">
        <f t="shared" si="41"/>
        <v>354</v>
      </c>
      <c r="B87" s="626"/>
      <c r="F87" s="630" t="s">
        <v>1354</v>
      </c>
      <c r="H87" s="627"/>
      <c r="J87" s="627"/>
      <c r="K87" s="622"/>
      <c r="L87" s="627"/>
      <c r="M87" s="622"/>
      <c r="N87" s="627"/>
      <c r="P87" s="632" t="s">
        <v>1355</v>
      </c>
      <c r="R87" s="622">
        <v>0</v>
      </c>
      <c r="S87" s="622"/>
      <c r="T87" s="622">
        <f t="shared" si="51"/>
        <v>0</v>
      </c>
      <c r="U87" s="622"/>
      <c r="V87" s="622">
        <v>0</v>
      </c>
      <c r="W87" s="622"/>
      <c r="X87" s="622">
        <f t="shared" si="52"/>
        <v>0</v>
      </c>
      <c r="Y87" s="622"/>
      <c r="Z87" s="316" t="s">
        <v>1382</v>
      </c>
      <c r="AA87" s="622"/>
      <c r="AB87" s="622">
        <v>0</v>
      </c>
      <c r="AC87" s="622"/>
      <c r="AD87" s="627"/>
      <c r="AE87" s="622"/>
      <c r="AF87" s="622">
        <v>0</v>
      </c>
      <c r="AG87" s="622"/>
      <c r="AH87" s="316" t="s">
        <v>1357</v>
      </c>
      <c r="AI87" s="622"/>
      <c r="AJ87" s="315">
        <f t="shared" si="42"/>
        <v>0</v>
      </c>
      <c r="AK87" s="622"/>
      <c r="AL87" s="315">
        <f t="shared" si="43"/>
        <v>0</v>
      </c>
      <c r="AM87" s="622"/>
      <c r="AN87" s="315">
        <f t="shared" si="44"/>
        <v>0</v>
      </c>
      <c r="AO87" s="622"/>
      <c r="AP87" s="622">
        <f t="shared" si="45"/>
        <v>0</v>
      </c>
      <c r="AR87" s="622">
        <v>0</v>
      </c>
      <c r="AS87" s="622"/>
      <c r="AT87" s="627"/>
      <c r="AU87" s="622"/>
      <c r="AV87" s="622">
        <v>0</v>
      </c>
      <c r="AW87" s="622"/>
      <c r="AX87" s="315">
        <f t="shared" si="46"/>
        <v>0</v>
      </c>
      <c r="AY87" s="622"/>
      <c r="AZ87" s="315">
        <f t="shared" si="47"/>
        <v>0</v>
      </c>
      <c r="BA87" s="622"/>
      <c r="BB87" s="315">
        <f t="shared" si="48"/>
        <v>0</v>
      </c>
      <c r="BC87" s="622"/>
      <c r="BD87" s="622">
        <f t="shared" si="49"/>
        <v>0</v>
      </c>
      <c r="BF87" s="622">
        <f t="shared" si="50"/>
        <v>0</v>
      </c>
      <c r="BI87" s="304">
        <f t="shared" si="40"/>
        <v>354</v>
      </c>
    </row>
    <row r="88" spans="1:61" ht="14.5">
      <c r="A88" s="304">
        <f t="shared" si="41"/>
        <v>355</v>
      </c>
      <c r="B88" s="626"/>
      <c r="F88" s="630" t="s">
        <v>1354</v>
      </c>
      <c r="H88" s="627"/>
      <c r="J88" s="627"/>
      <c r="K88" s="622"/>
      <c r="L88" s="627"/>
      <c r="M88" s="622"/>
      <c r="N88" s="627"/>
      <c r="P88" s="632" t="s">
        <v>1355</v>
      </c>
      <c r="R88" s="622">
        <v>0</v>
      </c>
      <c r="S88" s="622"/>
      <c r="T88" s="622">
        <f t="shared" si="51"/>
        <v>0</v>
      </c>
      <c r="U88" s="622"/>
      <c r="V88" s="622">
        <v>0</v>
      </c>
      <c r="W88" s="622"/>
      <c r="X88" s="622">
        <f t="shared" si="52"/>
        <v>0</v>
      </c>
      <c r="Y88" s="622"/>
      <c r="Z88" s="316" t="s">
        <v>1382</v>
      </c>
      <c r="AA88" s="622"/>
      <c r="AB88" s="622">
        <v>0</v>
      </c>
      <c r="AC88" s="622"/>
      <c r="AD88" s="627"/>
      <c r="AE88" s="622"/>
      <c r="AF88" s="622">
        <v>0</v>
      </c>
      <c r="AG88" s="622"/>
      <c r="AH88" s="316" t="s">
        <v>1357</v>
      </c>
      <c r="AI88" s="622"/>
      <c r="AJ88" s="315">
        <f t="shared" si="42"/>
        <v>0</v>
      </c>
      <c r="AK88" s="622"/>
      <c r="AL88" s="315">
        <f t="shared" si="43"/>
        <v>0</v>
      </c>
      <c r="AM88" s="622"/>
      <c r="AN88" s="315">
        <f t="shared" si="44"/>
        <v>0</v>
      </c>
      <c r="AO88" s="622"/>
      <c r="AP88" s="622">
        <f t="shared" si="45"/>
        <v>0</v>
      </c>
      <c r="AR88" s="622">
        <v>0</v>
      </c>
      <c r="AS88" s="622"/>
      <c r="AT88" s="627"/>
      <c r="AU88" s="622"/>
      <c r="AV88" s="622">
        <v>0</v>
      </c>
      <c r="AW88" s="622"/>
      <c r="AX88" s="315">
        <f t="shared" si="46"/>
        <v>0</v>
      </c>
      <c r="AY88" s="622"/>
      <c r="AZ88" s="315">
        <f t="shared" si="47"/>
        <v>0</v>
      </c>
      <c r="BA88" s="622"/>
      <c r="BB88" s="315">
        <f t="shared" si="48"/>
        <v>0</v>
      </c>
      <c r="BC88" s="622"/>
      <c r="BD88" s="622">
        <f t="shared" si="49"/>
        <v>0</v>
      </c>
      <c r="BF88" s="622">
        <f t="shared" si="50"/>
        <v>0</v>
      </c>
      <c r="BI88" s="304">
        <f t="shared" si="40"/>
        <v>355</v>
      </c>
    </row>
    <row r="89" spans="1:61" ht="14.5">
      <c r="A89" s="304">
        <f t="shared" si="41"/>
        <v>356</v>
      </c>
      <c r="B89" s="628"/>
      <c r="F89" s="630"/>
      <c r="H89" s="627"/>
      <c r="J89" s="627"/>
      <c r="K89" s="622"/>
      <c r="L89" s="627"/>
      <c r="M89" s="622"/>
      <c r="N89" s="627"/>
      <c r="P89" s="632"/>
      <c r="R89" s="622">
        <v>0</v>
      </c>
      <c r="S89" s="622"/>
      <c r="T89" s="622">
        <f t="shared" si="51"/>
        <v>0</v>
      </c>
      <c r="U89" s="622"/>
      <c r="V89" s="622">
        <v>0</v>
      </c>
      <c r="W89" s="622"/>
      <c r="X89" s="622">
        <f t="shared" si="52"/>
        <v>0</v>
      </c>
      <c r="Y89" s="622"/>
      <c r="Z89" s="316"/>
      <c r="AA89" s="622"/>
      <c r="AB89" s="622">
        <v>0</v>
      </c>
      <c r="AC89" s="622"/>
      <c r="AD89" s="627"/>
      <c r="AE89" s="622"/>
      <c r="AF89" s="622">
        <v>0</v>
      </c>
      <c r="AG89" s="622"/>
      <c r="AH89" s="316"/>
      <c r="AI89" s="622"/>
      <c r="AJ89" s="315">
        <f t="shared" si="42"/>
        <v>0</v>
      </c>
      <c r="AK89" s="622"/>
      <c r="AL89" s="315">
        <f t="shared" si="43"/>
        <v>0</v>
      </c>
      <c r="AM89" s="622"/>
      <c r="AN89" s="315">
        <f t="shared" si="44"/>
        <v>0</v>
      </c>
      <c r="AO89" s="622"/>
      <c r="AP89" s="622">
        <f t="shared" si="45"/>
        <v>0</v>
      </c>
      <c r="AR89" s="622">
        <v>0</v>
      </c>
      <c r="AS89" s="622"/>
      <c r="AT89" s="627"/>
      <c r="AU89" s="622"/>
      <c r="AV89" s="622">
        <v>0</v>
      </c>
      <c r="AW89" s="622"/>
      <c r="AX89" s="315">
        <f t="shared" si="46"/>
        <v>0</v>
      </c>
      <c r="AY89" s="622"/>
      <c r="AZ89" s="315">
        <f t="shared" si="47"/>
        <v>0</v>
      </c>
      <c r="BA89" s="622"/>
      <c r="BB89" s="315">
        <f t="shared" si="48"/>
        <v>0</v>
      </c>
      <c r="BC89" s="622"/>
      <c r="BD89" s="622">
        <f t="shared" si="49"/>
        <v>0</v>
      </c>
      <c r="BF89" s="622">
        <f t="shared" si="50"/>
        <v>0</v>
      </c>
      <c r="BI89" s="304">
        <f t="shared" si="40"/>
        <v>356</v>
      </c>
    </row>
    <row r="90" spans="1:61" ht="14.5">
      <c r="A90" s="304">
        <f t="shared" si="41"/>
        <v>357</v>
      </c>
      <c r="B90" s="628" t="s">
        <v>119</v>
      </c>
      <c r="F90" s="630"/>
      <c r="H90" s="627"/>
      <c r="J90" s="627"/>
      <c r="K90" s="622"/>
      <c r="L90" s="627"/>
      <c r="M90" s="622"/>
      <c r="N90" s="627"/>
      <c r="P90" s="632"/>
      <c r="R90" s="622">
        <v>0</v>
      </c>
      <c r="S90" s="622"/>
      <c r="T90" s="622">
        <f t="shared" si="51"/>
        <v>0</v>
      </c>
      <c r="U90" s="622"/>
      <c r="V90" s="622">
        <v>0</v>
      </c>
      <c r="W90" s="622"/>
      <c r="X90" s="622">
        <f t="shared" si="52"/>
        <v>0</v>
      </c>
      <c r="Y90" s="622"/>
      <c r="Z90" s="316"/>
      <c r="AA90" s="622"/>
      <c r="AB90" s="622">
        <v>0</v>
      </c>
      <c r="AC90" s="622"/>
      <c r="AD90" s="627"/>
      <c r="AE90" s="622"/>
      <c r="AF90" s="622">
        <v>0</v>
      </c>
      <c r="AG90" s="622"/>
      <c r="AH90" s="316"/>
      <c r="AI90" s="622"/>
      <c r="AJ90" s="315">
        <f t="shared" si="42"/>
        <v>0</v>
      </c>
      <c r="AK90" s="622"/>
      <c r="AL90" s="315">
        <f t="shared" si="43"/>
        <v>0</v>
      </c>
      <c r="AM90" s="622"/>
      <c r="AN90" s="315">
        <f t="shared" si="44"/>
        <v>0</v>
      </c>
      <c r="AO90" s="622"/>
      <c r="AP90" s="622">
        <f t="shared" si="45"/>
        <v>0</v>
      </c>
      <c r="AR90" s="622">
        <v>0</v>
      </c>
      <c r="AS90" s="622"/>
      <c r="AT90" s="627"/>
      <c r="AU90" s="622"/>
      <c r="AV90" s="622">
        <v>0</v>
      </c>
      <c r="AW90" s="622"/>
      <c r="AX90" s="315">
        <f t="shared" si="46"/>
        <v>0</v>
      </c>
      <c r="AY90" s="622"/>
      <c r="AZ90" s="315">
        <f t="shared" si="47"/>
        <v>0</v>
      </c>
      <c r="BA90" s="622"/>
      <c r="BB90" s="315">
        <f t="shared" si="48"/>
        <v>0</v>
      </c>
      <c r="BC90" s="622"/>
      <c r="BD90" s="622">
        <f t="shared" si="49"/>
        <v>0</v>
      </c>
      <c r="BF90" s="622">
        <f t="shared" si="50"/>
        <v>0</v>
      </c>
      <c r="BI90" s="304">
        <f t="shared" si="40"/>
        <v>357</v>
      </c>
    </row>
    <row r="91" spans="1:61" ht="14.5">
      <c r="A91" s="304"/>
      <c r="B91" s="524"/>
      <c r="F91" s="630"/>
      <c r="H91" s="622"/>
      <c r="J91" s="622"/>
      <c r="K91" s="622"/>
      <c r="L91" s="622"/>
      <c r="M91" s="622"/>
      <c r="N91" s="622"/>
      <c r="P91" s="632"/>
      <c r="R91" s="622"/>
      <c r="S91" s="622"/>
      <c r="T91" s="622"/>
      <c r="U91" s="622"/>
      <c r="V91" s="622"/>
      <c r="W91" s="622"/>
      <c r="X91" s="622"/>
      <c r="Y91" s="622"/>
      <c r="Z91" s="316"/>
      <c r="AA91" s="622"/>
      <c r="AB91" s="622"/>
      <c r="AC91" s="622"/>
      <c r="AD91" s="622"/>
      <c r="AE91" s="622"/>
      <c r="AF91" s="622"/>
      <c r="AG91" s="622"/>
      <c r="AH91" s="316"/>
      <c r="AI91" s="622"/>
      <c r="AJ91" s="622"/>
      <c r="AK91" s="622"/>
      <c r="AL91" s="622"/>
      <c r="AM91" s="622"/>
      <c r="AN91" s="622"/>
      <c r="AO91" s="622"/>
      <c r="AP91" s="622"/>
      <c r="AR91" s="622"/>
      <c r="AS91" s="622"/>
      <c r="AT91" s="622"/>
      <c r="AU91" s="622"/>
      <c r="AV91" s="622"/>
      <c r="AW91" s="622"/>
      <c r="AX91" s="622"/>
      <c r="AY91" s="622"/>
      <c r="AZ91" s="622"/>
      <c r="BA91" s="622"/>
      <c r="BB91" s="622"/>
      <c r="BC91" s="622"/>
      <c r="BD91" s="622"/>
      <c r="BF91" s="622"/>
      <c r="BI91" s="304"/>
    </row>
    <row r="92" spans="1:61" ht="14.5">
      <c r="A92" s="201" t="s">
        <v>92</v>
      </c>
      <c r="F92" s="630"/>
      <c r="H92" s="556"/>
      <c r="P92" s="632"/>
      <c r="X92" s="622"/>
      <c r="Z92" s="611"/>
      <c r="AH92" s="611"/>
      <c r="BI92" s="621" t="s">
        <v>92</v>
      </c>
    </row>
    <row r="93" spans="1:61" ht="14.5">
      <c r="A93" s="304">
        <f>A33+100</f>
        <v>400</v>
      </c>
      <c r="B93" s="615" t="s">
        <v>1437</v>
      </c>
      <c r="F93" s="630"/>
      <c r="H93" s="625">
        <f>ROUND(SUM(H94:H104),0)</f>
        <v>0</v>
      </c>
      <c r="J93" s="625">
        <f>ROUND(SUM(J94:J104),0)</f>
        <v>0</v>
      </c>
      <c r="K93" s="622"/>
      <c r="L93" s="625">
        <f>ROUND(SUM(L94:L104),0)</f>
        <v>0</v>
      </c>
      <c r="M93" s="622"/>
      <c r="N93" s="625">
        <f>ROUND(SUM(N94:N104),0)</f>
        <v>0</v>
      </c>
      <c r="O93" s="304"/>
      <c r="P93" s="632"/>
      <c r="Q93" s="304"/>
      <c r="R93" s="625">
        <f>ROUND(SUM(R94:R104),0)</f>
        <v>0</v>
      </c>
      <c r="S93" s="622"/>
      <c r="T93" s="625">
        <f>ROUND(SUM(T94:T104),0)</f>
        <v>0</v>
      </c>
      <c r="U93" s="622"/>
      <c r="V93" s="625">
        <f>ROUND(SUM(V94:V104),0)</f>
        <v>0</v>
      </c>
      <c r="W93" s="622"/>
      <c r="X93" s="625">
        <f>ROUND(SUM(X94:X104),0)</f>
        <v>0</v>
      </c>
      <c r="Y93" s="622"/>
      <c r="Z93" s="316"/>
      <c r="AA93" s="622"/>
      <c r="AB93" s="625">
        <f>SUM(AB94:AB104)</f>
        <v>0</v>
      </c>
      <c r="AC93" s="622"/>
      <c r="AD93" s="625">
        <f>SUM(AD94:AD104)</f>
        <v>0</v>
      </c>
      <c r="AE93" s="622"/>
      <c r="AF93" s="625">
        <f>SUM(AF94:AF104)</f>
        <v>0</v>
      </c>
      <c r="AG93" s="622"/>
      <c r="AH93" s="316"/>
      <c r="AI93" s="622"/>
      <c r="AJ93" s="625">
        <f>SUM(AJ94:AJ104)</f>
        <v>0</v>
      </c>
      <c r="AK93" s="622"/>
      <c r="AL93" s="625">
        <f>SUM(AL94:AL104)</f>
        <v>0</v>
      </c>
      <c r="AM93" s="622"/>
      <c r="AN93" s="625">
        <f>SUM(AN94:AN104)</f>
        <v>0</v>
      </c>
      <c r="AO93" s="622"/>
      <c r="AP93" s="625">
        <f>SUM(AP94:AP104)</f>
        <v>0</v>
      </c>
      <c r="AR93" s="625">
        <f>SUM(AR94:AR104)</f>
        <v>0</v>
      </c>
      <c r="AS93" s="622"/>
      <c r="AT93" s="625">
        <f>SUM(AT94:AT104)</f>
        <v>0</v>
      </c>
      <c r="AU93" s="622"/>
      <c r="AV93" s="625">
        <f>SUM(AV94:AV104)</f>
        <v>0</v>
      </c>
      <c r="AW93" s="622"/>
      <c r="AX93" s="625">
        <f>SUM(AX94:AX104)</f>
        <v>0</v>
      </c>
      <c r="AY93" s="622"/>
      <c r="AZ93" s="625">
        <f>SUM(AZ94:AZ104)</f>
        <v>0</v>
      </c>
      <c r="BA93" s="622"/>
      <c r="BB93" s="625">
        <f>SUM(BB94:BB104)</f>
        <v>0</v>
      </c>
      <c r="BC93" s="622"/>
      <c r="BD93" s="625">
        <f>SUM(BD94:BD104)</f>
        <v>0</v>
      </c>
      <c r="BF93" s="625">
        <f>ROUND(SUM(BF94:BF103),0)</f>
        <v>0</v>
      </c>
      <c r="BI93" s="304">
        <f t="shared" ref="BI93:BI104" si="53">A93</f>
        <v>400</v>
      </c>
    </row>
    <row r="94" spans="1:61" ht="14.5">
      <c r="A94" s="304">
        <f t="shared" ref="A94:A98" si="54">A93+1</f>
        <v>401</v>
      </c>
      <c r="B94" s="527"/>
      <c r="F94" s="524" t="s">
        <v>1369</v>
      </c>
      <c r="H94" s="627"/>
      <c r="J94" s="627"/>
      <c r="K94" s="622"/>
      <c r="L94" s="627"/>
      <c r="M94" s="622"/>
      <c r="N94" s="627"/>
      <c r="P94" s="632" t="s">
        <v>1364</v>
      </c>
      <c r="R94" s="622">
        <v>0</v>
      </c>
      <c r="S94" s="622"/>
      <c r="T94" s="622">
        <v>0</v>
      </c>
      <c r="U94" s="622"/>
      <c r="V94" s="622">
        <f>+N94</f>
        <v>0</v>
      </c>
      <c r="W94" s="622"/>
      <c r="X94" s="622">
        <f t="shared" si="52"/>
        <v>0</v>
      </c>
      <c r="Y94" s="622"/>
      <c r="Z94" s="316" t="s">
        <v>1382</v>
      </c>
      <c r="AA94" s="622"/>
      <c r="AB94" s="622">
        <v>0</v>
      </c>
      <c r="AC94" s="622"/>
      <c r="AD94" s="622">
        <v>0</v>
      </c>
      <c r="AE94" s="622"/>
      <c r="AF94" s="627"/>
      <c r="AG94" s="622"/>
      <c r="AH94" s="316" t="s">
        <v>1365</v>
      </c>
      <c r="AI94" s="622"/>
      <c r="AJ94" s="315">
        <f t="shared" ref="AJ94:AJ104" si="55">+R94-AB94</f>
        <v>0</v>
      </c>
      <c r="AK94" s="622"/>
      <c r="AL94" s="315">
        <f t="shared" ref="AL94:AL104" si="56">+T94-AD94</f>
        <v>0</v>
      </c>
      <c r="AM94" s="622"/>
      <c r="AN94" s="315">
        <f t="shared" ref="AN94:AN104" si="57">+V94-AF94</f>
        <v>0</v>
      </c>
      <c r="AO94" s="622"/>
      <c r="AP94" s="622">
        <f t="shared" ref="AP94:AP104" si="58">SUM(AJ94:AN94)</f>
        <v>0</v>
      </c>
      <c r="AR94" s="622">
        <v>0</v>
      </c>
      <c r="AS94" s="622"/>
      <c r="AT94" s="622">
        <v>0</v>
      </c>
      <c r="AU94" s="622"/>
      <c r="AV94" s="627"/>
      <c r="AW94" s="622"/>
      <c r="AX94" s="315">
        <f t="shared" ref="AX94:AX104" si="59">+AJ94-AR94</f>
        <v>0</v>
      </c>
      <c r="AY94" s="622"/>
      <c r="AZ94" s="315">
        <f t="shared" ref="AZ94:AZ104" si="60">+AL94-AT94</f>
        <v>0</v>
      </c>
      <c r="BA94" s="622"/>
      <c r="BB94" s="315">
        <f t="shared" ref="BB94:BB104" si="61">+AN94-AV94</f>
        <v>0</v>
      </c>
      <c r="BC94" s="622"/>
      <c r="BD94" s="622">
        <f>SUM(AX94:BB94)</f>
        <v>0</v>
      </c>
      <c r="BF94" s="622">
        <f t="shared" ref="BF94:BF104" si="62">+BD94*$BF$10</f>
        <v>0</v>
      </c>
      <c r="BI94" s="304">
        <f t="shared" si="53"/>
        <v>401</v>
      </c>
    </row>
    <row r="95" spans="1:61" ht="14.5">
      <c r="A95" s="304">
        <f t="shared" si="54"/>
        <v>402</v>
      </c>
      <c r="B95" s="527"/>
      <c r="F95" s="524" t="s">
        <v>1369</v>
      </c>
      <c r="H95" s="627"/>
      <c r="J95" s="627"/>
      <c r="K95" s="622"/>
      <c r="L95" s="627"/>
      <c r="M95" s="622"/>
      <c r="N95" s="627"/>
      <c r="P95" s="632" t="s">
        <v>1364</v>
      </c>
      <c r="R95" s="622">
        <v>0</v>
      </c>
      <c r="S95" s="622"/>
      <c r="T95" s="622">
        <v>0</v>
      </c>
      <c r="U95" s="622"/>
      <c r="V95" s="622">
        <f>+N95</f>
        <v>0</v>
      </c>
      <c r="W95" s="622"/>
      <c r="X95" s="622">
        <f t="shared" si="52"/>
        <v>0</v>
      </c>
      <c r="Y95" s="622"/>
      <c r="Z95" s="316" t="s">
        <v>1382</v>
      </c>
      <c r="AA95" s="622"/>
      <c r="AB95" s="622">
        <v>0</v>
      </c>
      <c r="AC95" s="622"/>
      <c r="AD95" s="622">
        <v>0</v>
      </c>
      <c r="AE95" s="622"/>
      <c r="AF95" s="627"/>
      <c r="AG95" s="622"/>
      <c r="AH95" s="316" t="s">
        <v>1365</v>
      </c>
      <c r="AI95" s="622"/>
      <c r="AJ95" s="315">
        <f t="shared" si="55"/>
        <v>0</v>
      </c>
      <c r="AK95" s="622"/>
      <c r="AL95" s="315">
        <f t="shared" si="56"/>
        <v>0</v>
      </c>
      <c r="AM95" s="622"/>
      <c r="AN95" s="315">
        <f t="shared" si="57"/>
        <v>0</v>
      </c>
      <c r="AO95" s="622"/>
      <c r="AP95" s="622">
        <f t="shared" si="58"/>
        <v>0</v>
      </c>
      <c r="AR95" s="622">
        <v>0</v>
      </c>
      <c r="AS95" s="622"/>
      <c r="AT95" s="622">
        <v>0</v>
      </c>
      <c r="AU95" s="622"/>
      <c r="AV95" s="627"/>
      <c r="AW95" s="622"/>
      <c r="AX95" s="315">
        <f t="shared" si="59"/>
        <v>0</v>
      </c>
      <c r="AY95" s="622"/>
      <c r="AZ95" s="315">
        <f>+AL95-AT95</f>
        <v>0</v>
      </c>
      <c r="BA95" s="622"/>
      <c r="BB95" s="315">
        <f t="shared" si="61"/>
        <v>0</v>
      </c>
      <c r="BC95" s="622"/>
      <c r="BD95" s="622">
        <f t="shared" ref="BD95:BD104" si="63">SUM(AX95:BB95)</f>
        <v>0</v>
      </c>
      <c r="BF95" s="622">
        <f t="shared" si="62"/>
        <v>0</v>
      </c>
      <c r="BI95" s="304">
        <f t="shared" si="53"/>
        <v>402</v>
      </c>
    </row>
    <row r="96" spans="1:61" ht="14.5">
      <c r="A96" s="304" t="s">
        <v>1440</v>
      </c>
      <c r="B96" s="527"/>
      <c r="F96" s="524" t="s">
        <v>1369</v>
      </c>
      <c r="H96" s="627"/>
      <c r="J96" s="627"/>
      <c r="K96" s="622"/>
      <c r="L96" s="627"/>
      <c r="M96" s="622"/>
      <c r="N96" s="627"/>
      <c r="P96" s="632" t="s">
        <v>1364</v>
      </c>
      <c r="R96" s="622">
        <v>0</v>
      </c>
      <c r="S96" s="622"/>
      <c r="T96" s="622">
        <v>0</v>
      </c>
      <c r="U96" s="622"/>
      <c r="V96" s="622">
        <f>+N96</f>
        <v>0</v>
      </c>
      <c r="W96" s="622"/>
      <c r="X96" s="622">
        <f t="shared" si="52"/>
        <v>0</v>
      </c>
      <c r="Y96" s="622"/>
      <c r="Z96" s="316" t="s">
        <v>1382</v>
      </c>
      <c r="AA96" s="622"/>
      <c r="AB96" s="622">
        <v>0</v>
      </c>
      <c r="AC96" s="622"/>
      <c r="AD96" s="622">
        <v>0</v>
      </c>
      <c r="AE96" s="622"/>
      <c r="AF96" s="627"/>
      <c r="AG96" s="622"/>
      <c r="AH96" s="316" t="s">
        <v>1365</v>
      </c>
      <c r="AI96" s="622"/>
      <c r="AJ96" s="315">
        <f t="shared" si="55"/>
        <v>0</v>
      </c>
      <c r="AK96" s="622"/>
      <c r="AL96" s="315">
        <f t="shared" si="56"/>
        <v>0</v>
      </c>
      <c r="AM96" s="622"/>
      <c r="AN96" s="315">
        <f t="shared" si="57"/>
        <v>0</v>
      </c>
      <c r="AO96" s="622"/>
      <c r="AP96" s="622">
        <f t="shared" ref="AP96" si="64">SUM(AJ96:AN96)</f>
        <v>0</v>
      </c>
      <c r="AR96" s="622">
        <v>0</v>
      </c>
      <c r="AS96" s="622"/>
      <c r="AT96" s="622">
        <v>0</v>
      </c>
      <c r="AU96" s="622"/>
      <c r="AV96" s="627"/>
      <c r="AW96" s="622"/>
      <c r="AX96" s="315">
        <f t="shared" si="59"/>
        <v>0</v>
      </c>
      <c r="AY96" s="622"/>
      <c r="AZ96" s="315">
        <f>+AL96-AT96</f>
        <v>0</v>
      </c>
      <c r="BA96" s="622"/>
      <c r="BB96" s="315">
        <f t="shared" si="61"/>
        <v>0</v>
      </c>
      <c r="BC96" s="622"/>
      <c r="BD96" s="622">
        <f t="shared" si="63"/>
        <v>0</v>
      </c>
      <c r="BF96" s="622">
        <f t="shared" si="62"/>
        <v>0</v>
      </c>
      <c r="BI96" s="304" t="str">
        <f t="shared" si="53"/>
        <v>402a</v>
      </c>
    </row>
    <row r="97" spans="1:61" ht="14.5">
      <c r="A97" s="304">
        <f>A95+1</f>
        <v>403</v>
      </c>
      <c r="B97" s="626"/>
      <c r="F97" s="524" t="s">
        <v>1354</v>
      </c>
      <c r="H97" s="627"/>
      <c r="J97" s="627"/>
      <c r="K97" s="622"/>
      <c r="L97" s="627"/>
      <c r="M97" s="622"/>
      <c r="N97" s="627"/>
      <c r="P97" s="632" t="s">
        <v>1355</v>
      </c>
      <c r="R97" s="622">
        <v>0</v>
      </c>
      <c r="S97" s="622"/>
      <c r="T97" s="622">
        <v>0</v>
      </c>
      <c r="U97" s="622"/>
      <c r="V97" s="622">
        <f>N97</f>
        <v>0</v>
      </c>
      <c r="W97" s="622"/>
      <c r="X97" s="622">
        <f>SUM(R97:V97)</f>
        <v>0</v>
      </c>
      <c r="Y97" s="622"/>
      <c r="Z97" s="316" t="s">
        <v>1382</v>
      </c>
      <c r="AA97" s="622"/>
      <c r="AB97" s="622">
        <v>0</v>
      </c>
      <c r="AC97" s="622"/>
      <c r="AD97" s="622">
        <v>0</v>
      </c>
      <c r="AE97" s="622"/>
      <c r="AF97" s="627"/>
      <c r="AG97" s="622"/>
      <c r="AH97" s="316" t="s">
        <v>1357</v>
      </c>
      <c r="AI97" s="622"/>
      <c r="AJ97" s="315">
        <f t="shared" si="55"/>
        <v>0</v>
      </c>
      <c r="AK97" s="622"/>
      <c r="AL97" s="315">
        <f t="shared" si="56"/>
        <v>0</v>
      </c>
      <c r="AM97" s="622"/>
      <c r="AN97" s="315">
        <f t="shared" si="57"/>
        <v>0</v>
      </c>
      <c r="AO97" s="622"/>
      <c r="AP97" s="622">
        <f t="shared" si="58"/>
        <v>0</v>
      </c>
      <c r="AR97" s="622">
        <v>0</v>
      </c>
      <c r="AS97" s="622"/>
      <c r="AT97" s="622">
        <v>0</v>
      </c>
      <c r="AU97" s="622"/>
      <c r="AV97" s="627"/>
      <c r="AW97" s="622"/>
      <c r="AX97" s="315">
        <f t="shared" si="59"/>
        <v>0</v>
      </c>
      <c r="AY97" s="622"/>
      <c r="AZ97" s="315">
        <f t="shared" si="60"/>
        <v>0</v>
      </c>
      <c r="BA97" s="622"/>
      <c r="BB97" s="315">
        <f t="shared" si="61"/>
        <v>0</v>
      </c>
      <c r="BC97" s="622"/>
      <c r="BD97" s="622">
        <f t="shared" si="63"/>
        <v>0</v>
      </c>
      <c r="BF97" s="622">
        <f t="shared" si="62"/>
        <v>0</v>
      </c>
      <c r="BI97" s="304">
        <f t="shared" si="53"/>
        <v>403</v>
      </c>
    </row>
    <row r="98" spans="1:61" ht="14.5">
      <c r="A98" s="304">
        <f t="shared" si="54"/>
        <v>404</v>
      </c>
      <c r="B98" s="626"/>
      <c r="F98" s="630" t="s">
        <v>1354</v>
      </c>
      <c r="H98" s="627"/>
      <c r="J98" s="627"/>
      <c r="K98" s="622"/>
      <c r="L98" s="627"/>
      <c r="M98" s="622"/>
      <c r="N98" s="627"/>
      <c r="P98" s="632" t="s">
        <v>1355</v>
      </c>
      <c r="R98" s="622">
        <v>0</v>
      </c>
      <c r="S98" s="622"/>
      <c r="T98" s="622">
        <v>0</v>
      </c>
      <c r="U98" s="622"/>
      <c r="V98" s="622">
        <f>N98</f>
        <v>0</v>
      </c>
      <c r="W98" s="622"/>
      <c r="X98" s="622">
        <f>SUM(R98:V98)</f>
        <v>0</v>
      </c>
      <c r="Y98" s="622"/>
      <c r="Z98" s="316" t="s">
        <v>1382</v>
      </c>
      <c r="AA98" s="622"/>
      <c r="AB98" s="622">
        <v>0</v>
      </c>
      <c r="AC98" s="622"/>
      <c r="AD98" s="622">
        <v>0</v>
      </c>
      <c r="AE98" s="622"/>
      <c r="AF98" s="627"/>
      <c r="AG98" s="622"/>
      <c r="AH98" s="316" t="s">
        <v>1357</v>
      </c>
      <c r="AI98" s="622"/>
      <c r="AJ98" s="315">
        <f t="shared" si="55"/>
        <v>0</v>
      </c>
      <c r="AK98" s="622"/>
      <c r="AL98" s="315">
        <f t="shared" si="56"/>
        <v>0</v>
      </c>
      <c r="AM98" s="622"/>
      <c r="AN98" s="315">
        <f t="shared" si="57"/>
        <v>0</v>
      </c>
      <c r="AO98" s="622"/>
      <c r="AP98" s="622">
        <f t="shared" si="58"/>
        <v>0</v>
      </c>
      <c r="AR98" s="622">
        <v>0</v>
      </c>
      <c r="AS98" s="622"/>
      <c r="AT98" s="622">
        <v>0</v>
      </c>
      <c r="AU98" s="622"/>
      <c r="AV98" s="627"/>
      <c r="AW98" s="622"/>
      <c r="AX98" s="315">
        <f t="shared" si="59"/>
        <v>0</v>
      </c>
      <c r="AY98" s="622"/>
      <c r="AZ98" s="315">
        <f t="shared" si="60"/>
        <v>0</v>
      </c>
      <c r="BA98" s="622"/>
      <c r="BB98" s="315">
        <f t="shared" si="61"/>
        <v>0</v>
      </c>
      <c r="BC98" s="622"/>
      <c r="BD98" s="622">
        <f t="shared" si="63"/>
        <v>0</v>
      </c>
      <c r="BF98" s="622">
        <f t="shared" si="62"/>
        <v>0</v>
      </c>
      <c r="BI98" s="304">
        <f t="shared" si="53"/>
        <v>404</v>
      </c>
    </row>
    <row r="99" spans="1:61" ht="14.5">
      <c r="A99" s="304">
        <f>+A98+1</f>
        <v>405</v>
      </c>
      <c r="B99" s="626"/>
      <c r="F99" s="630" t="s">
        <v>1354</v>
      </c>
      <c r="H99" s="627"/>
      <c r="J99" s="627"/>
      <c r="K99" s="622"/>
      <c r="L99" s="627"/>
      <c r="M99" s="622"/>
      <c r="N99" s="627"/>
      <c r="P99" s="632" t="s">
        <v>1355</v>
      </c>
      <c r="R99" s="622">
        <v>0</v>
      </c>
      <c r="S99" s="622"/>
      <c r="T99" s="622">
        <v>0</v>
      </c>
      <c r="U99" s="622"/>
      <c r="V99" s="622">
        <f>N99</f>
        <v>0</v>
      </c>
      <c r="W99" s="622"/>
      <c r="X99" s="622">
        <f>SUM(R99:V99)</f>
        <v>0</v>
      </c>
      <c r="Y99" s="622"/>
      <c r="Z99" s="316" t="s">
        <v>1382</v>
      </c>
      <c r="AA99" s="622"/>
      <c r="AB99" s="622">
        <v>0</v>
      </c>
      <c r="AC99" s="622"/>
      <c r="AD99" s="622">
        <v>0</v>
      </c>
      <c r="AE99" s="622"/>
      <c r="AF99" s="627"/>
      <c r="AG99" s="622"/>
      <c r="AH99" s="316" t="s">
        <v>1357</v>
      </c>
      <c r="AI99" s="622"/>
      <c r="AJ99" s="315">
        <f t="shared" si="55"/>
        <v>0</v>
      </c>
      <c r="AK99" s="622"/>
      <c r="AL99" s="315">
        <f t="shared" si="56"/>
        <v>0</v>
      </c>
      <c r="AM99" s="622"/>
      <c r="AN99" s="315">
        <f t="shared" si="57"/>
        <v>0</v>
      </c>
      <c r="AO99" s="622"/>
      <c r="AP99" s="622">
        <f t="shared" si="58"/>
        <v>0</v>
      </c>
      <c r="AR99" s="622">
        <v>0</v>
      </c>
      <c r="AS99" s="622"/>
      <c r="AT99" s="622">
        <v>0</v>
      </c>
      <c r="AU99" s="622"/>
      <c r="AV99" s="627"/>
      <c r="AW99" s="622"/>
      <c r="AX99" s="315">
        <f t="shared" si="59"/>
        <v>0</v>
      </c>
      <c r="AY99" s="622"/>
      <c r="AZ99" s="315">
        <f t="shared" si="60"/>
        <v>0</v>
      </c>
      <c r="BA99" s="622"/>
      <c r="BB99" s="315">
        <f t="shared" si="61"/>
        <v>0</v>
      </c>
      <c r="BC99" s="622"/>
      <c r="BD99" s="622">
        <f t="shared" si="63"/>
        <v>0</v>
      </c>
      <c r="BF99" s="622">
        <f t="shared" si="62"/>
        <v>0</v>
      </c>
      <c r="BI99" s="304">
        <f t="shared" si="53"/>
        <v>405</v>
      </c>
    </row>
    <row r="100" spans="1:61" ht="14.5">
      <c r="A100" s="304">
        <f>+A99+1</f>
        <v>406</v>
      </c>
      <c r="B100" s="626"/>
      <c r="F100" s="630" t="s">
        <v>1354</v>
      </c>
      <c r="H100" s="627"/>
      <c r="J100" s="627"/>
      <c r="K100" s="622"/>
      <c r="L100" s="627"/>
      <c r="M100" s="622"/>
      <c r="N100" s="627"/>
      <c r="P100" s="632" t="s">
        <v>1355</v>
      </c>
      <c r="R100" s="622">
        <v>0</v>
      </c>
      <c r="S100" s="622"/>
      <c r="T100" s="622">
        <v>0</v>
      </c>
      <c r="U100" s="622"/>
      <c r="V100" s="622">
        <f>N100</f>
        <v>0</v>
      </c>
      <c r="W100" s="622"/>
      <c r="X100" s="622">
        <f>SUM(R100:V100)</f>
        <v>0</v>
      </c>
      <c r="Y100" s="622"/>
      <c r="Z100" s="316" t="s">
        <v>1382</v>
      </c>
      <c r="AA100" s="622"/>
      <c r="AB100" s="622">
        <v>0</v>
      </c>
      <c r="AC100" s="622"/>
      <c r="AD100" s="622">
        <v>0</v>
      </c>
      <c r="AE100" s="622"/>
      <c r="AF100" s="627"/>
      <c r="AG100" s="622"/>
      <c r="AH100" s="316" t="s">
        <v>1357</v>
      </c>
      <c r="AI100" s="622"/>
      <c r="AJ100" s="315">
        <f t="shared" si="55"/>
        <v>0</v>
      </c>
      <c r="AK100" s="622"/>
      <c r="AL100" s="315">
        <f t="shared" si="56"/>
        <v>0</v>
      </c>
      <c r="AM100" s="622"/>
      <c r="AN100" s="315">
        <f t="shared" si="57"/>
        <v>0</v>
      </c>
      <c r="AO100" s="622"/>
      <c r="AP100" s="622">
        <f t="shared" si="58"/>
        <v>0</v>
      </c>
      <c r="AR100" s="622">
        <v>0</v>
      </c>
      <c r="AS100" s="622"/>
      <c r="AT100" s="622">
        <v>0</v>
      </c>
      <c r="AU100" s="622"/>
      <c r="AV100" s="627"/>
      <c r="AW100" s="622"/>
      <c r="AX100" s="315">
        <f t="shared" si="59"/>
        <v>0</v>
      </c>
      <c r="AY100" s="622"/>
      <c r="AZ100" s="315">
        <f t="shared" si="60"/>
        <v>0</v>
      </c>
      <c r="BA100" s="622"/>
      <c r="BB100" s="315">
        <f t="shared" si="61"/>
        <v>0</v>
      </c>
      <c r="BC100" s="622"/>
      <c r="BD100" s="622">
        <f t="shared" si="63"/>
        <v>0</v>
      </c>
      <c r="BF100" s="622">
        <f t="shared" si="62"/>
        <v>0</v>
      </c>
      <c r="BI100" s="304">
        <f t="shared" si="53"/>
        <v>406</v>
      </c>
    </row>
    <row r="101" spans="1:61" ht="14.5">
      <c r="A101" s="304">
        <f t="shared" ref="A101:A103" si="65">+A100+1</f>
        <v>407</v>
      </c>
      <c r="B101" s="626"/>
      <c r="F101" s="630" t="s">
        <v>1354</v>
      </c>
      <c r="H101" s="627"/>
      <c r="J101" s="627"/>
      <c r="K101" s="622"/>
      <c r="L101" s="627"/>
      <c r="M101" s="622"/>
      <c r="N101" s="627"/>
      <c r="P101" s="632" t="s">
        <v>1355</v>
      </c>
      <c r="R101" s="622">
        <v>0</v>
      </c>
      <c r="S101" s="622"/>
      <c r="T101" s="622">
        <v>0</v>
      </c>
      <c r="U101" s="622"/>
      <c r="V101" s="622">
        <f t="shared" ref="V101:V104" si="66">N101</f>
        <v>0</v>
      </c>
      <c r="W101" s="622"/>
      <c r="X101" s="622">
        <f t="shared" ref="X101:X104" si="67">SUM(R101:V101)</f>
        <v>0</v>
      </c>
      <c r="Y101" s="622"/>
      <c r="Z101" s="316" t="s">
        <v>1382</v>
      </c>
      <c r="AA101" s="622"/>
      <c r="AB101" s="622">
        <v>0</v>
      </c>
      <c r="AC101" s="622"/>
      <c r="AD101" s="622">
        <v>0</v>
      </c>
      <c r="AE101" s="622"/>
      <c r="AF101" s="627"/>
      <c r="AG101" s="622"/>
      <c r="AH101" s="316" t="s">
        <v>1357</v>
      </c>
      <c r="AI101" s="622"/>
      <c r="AJ101" s="315">
        <f t="shared" si="55"/>
        <v>0</v>
      </c>
      <c r="AK101" s="622"/>
      <c r="AL101" s="315">
        <f t="shared" si="56"/>
        <v>0</v>
      </c>
      <c r="AM101" s="622"/>
      <c r="AN101" s="315">
        <f t="shared" si="57"/>
        <v>0</v>
      </c>
      <c r="AO101" s="622"/>
      <c r="AP101" s="622">
        <f t="shared" si="58"/>
        <v>0</v>
      </c>
      <c r="AR101" s="622">
        <v>0</v>
      </c>
      <c r="AS101" s="622"/>
      <c r="AT101" s="622">
        <v>0</v>
      </c>
      <c r="AU101" s="622"/>
      <c r="AV101" s="627"/>
      <c r="AW101" s="622"/>
      <c r="AX101" s="315">
        <f t="shared" si="59"/>
        <v>0</v>
      </c>
      <c r="AY101" s="622"/>
      <c r="AZ101" s="315">
        <f t="shared" si="60"/>
        <v>0</v>
      </c>
      <c r="BA101" s="622"/>
      <c r="BB101" s="315">
        <f t="shared" si="61"/>
        <v>0</v>
      </c>
      <c r="BC101" s="622"/>
      <c r="BD101" s="622">
        <f t="shared" si="63"/>
        <v>0</v>
      </c>
      <c r="BF101" s="622">
        <f t="shared" si="62"/>
        <v>0</v>
      </c>
      <c r="BI101" s="304">
        <f t="shared" si="53"/>
        <v>407</v>
      </c>
    </row>
    <row r="102" spans="1:61" ht="14.5">
      <c r="A102" s="304">
        <f t="shared" si="65"/>
        <v>408</v>
      </c>
      <c r="B102" s="626"/>
      <c r="F102" s="630" t="s">
        <v>1354</v>
      </c>
      <c r="H102" s="627"/>
      <c r="J102" s="627"/>
      <c r="K102" s="622"/>
      <c r="L102" s="627"/>
      <c r="M102" s="622"/>
      <c r="N102" s="627"/>
      <c r="P102" s="632" t="s">
        <v>1448</v>
      </c>
      <c r="R102" s="622">
        <v>0</v>
      </c>
      <c r="S102" s="622"/>
      <c r="T102" s="622">
        <v>0</v>
      </c>
      <c r="U102" s="622"/>
      <c r="V102" s="622">
        <f t="shared" si="66"/>
        <v>0</v>
      </c>
      <c r="W102" s="622"/>
      <c r="X102" s="622">
        <f t="shared" si="67"/>
        <v>0</v>
      </c>
      <c r="Y102" s="622"/>
      <c r="Z102" s="316"/>
      <c r="AA102" s="622"/>
      <c r="AB102" s="622">
        <v>0</v>
      </c>
      <c r="AC102" s="622"/>
      <c r="AD102" s="622">
        <v>0</v>
      </c>
      <c r="AE102" s="622"/>
      <c r="AF102" s="627"/>
      <c r="AG102" s="622"/>
      <c r="AH102" s="316" t="s">
        <v>1357</v>
      </c>
      <c r="AI102" s="622"/>
      <c r="AJ102" s="315">
        <f t="shared" si="55"/>
        <v>0</v>
      </c>
      <c r="AK102" s="622"/>
      <c r="AL102" s="315">
        <f t="shared" si="56"/>
        <v>0</v>
      </c>
      <c r="AM102" s="622"/>
      <c r="AN102" s="315">
        <f t="shared" si="57"/>
        <v>0</v>
      </c>
      <c r="AO102" s="622"/>
      <c r="AP102" s="622">
        <f t="shared" si="58"/>
        <v>0</v>
      </c>
      <c r="AR102" s="622">
        <v>0</v>
      </c>
      <c r="AS102" s="622"/>
      <c r="AT102" s="622">
        <v>0</v>
      </c>
      <c r="AU102" s="622"/>
      <c r="AV102" s="627"/>
      <c r="AW102" s="622"/>
      <c r="AX102" s="315">
        <f t="shared" si="59"/>
        <v>0</v>
      </c>
      <c r="AY102" s="622"/>
      <c r="AZ102" s="315">
        <f t="shared" si="60"/>
        <v>0</v>
      </c>
      <c r="BA102" s="622"/>
      <c r="BB102" s="315">
        <f t="shared" si="61"/>
        <v>0</v>
      </c>
      <c r="BC102" s="622"/>
      <c r="BD102" s="622">
        <f t="shared" si="63"/>
        <v>0</v>
      </c>
      <c r="BF102" s="622">
        <f t="shared" si="62"/>
        <v>0</v>
      </c>
      <c r="BI102" s="304">
        <f t="shared" si="53"/>
        <v>408</v>
      </c>
    </row>
    <row r="103" spans="1:61" ht="14.5">
      <c r="A103" s="304">
        <f t="shared" si="65"/>
        <v>409</v>
      </c>
      <c r="B103" s="626"/>
      <c r="F103" s="630"/>
      <c r="H103" s="627"/>
      <c r="J103" s="627"/>
      <c r="K103" s="622"/>
      <c r="L103" s="627"/>
      <c r="M103" s="622"/>
      <c r="N103" s="627"/>
      <c r="P103" s="631"/>
      <c r="R103" s="622">
        <v>0</v>
      </c>
      <c r="S103" s="622"/>
      <c r="T103" s="622">
        <v>0</v>
      </c>
      <c r="U103" s="622"/>
      <c r="V103" s="622">
        <f t="shared" si="66"/>
        <v>0</v>
      </c>
      <c r="W103" s="622"/>
      <c r="X103" s="622">
        <f t="shared" si="67"/>
        <v>0</v>
      </c>
      <c r="Y103" s="622"/>
      <c r="Z103" s="316"/>
      <c r="AA103" s="622"/>
      <c r="AB103" s="622">
        <v>0</v>
      </c>
      <c r="AC103" s="622"/>
      <c r="AD103" s="622">
        <v>0</v>
      </c>
      <c r="AE103" s="622"/>
      <c r="AF103" s="627"/>
      <c r="AG103" s="622"/>
      <c r="AH103" s="316"/>
      <c r="AI103" s="622"/>
      <c r="AJ103" s="315">
        <f t="shared" si="55"/>
        <v>0</v>
      </c>
      <c r="AK103" s="622"/>
      <c r="AL103" s="315">
        <f t="shared" si="56"/>
        <v>0</v>
      </c>
      <c r="AM103" s="622"/>
      <c r="AN103" s="315">
        <f t="shared" si="57"/>
        <v>0</v>
      </c>
      <c r="AO103" s="622"/>
      <c r="AP103" s="622">
        <f t="shared" si="58"/>
        <v>0</v>
      </c>
      <c r="AR103" s="622">
        <v>0</v>
      </c>
      <c r="AS103" s="622"/>
      <c r="AT103" s="622">
        <v>0</v>
      </c>
      <c r="AU103" s="622"/>
      <c r="AV103" s="627"/>
      <c r="AW103" s="622"/>
      <c r="AX103" s="315">
        <f t="shared" si="59"/>
        <v>0</v>
      </c>
      <c r="AY103" s="622"/>
      <c r="AZ103" s="315">
        <f t="shared" si="60"/>
        <v>0</v>
      </c>
      <c r="BA103" s="622"/>
      <c r="BB103" s="315">
        <f t="shared" si="61"/>
        <v>0</v>
      </c>
      <c r="BC103" s="622"/>
      <c r="BD103" s="622">
        <f t="shared" si="63"/>
        <v>0</v>
      </c>
      <c r="BF103" s="622">
        <f t="shared" si="62"/>
        <v>0</v>
      </c>
      <c r="BI103" s="304">
        <f t="shared" si="53"/>
        <v>409</v>
      </c>
    </row>
    <row r="104" spans="1:61" ht="14.5">
      <c r="A104" s="304">
        <f>+A101+1</f>
        <v>408</v>
      </c>
      <c r="B104" s="626"/>
      <c r="F104" s="630"/>
      <c r="H104" s="627"/>
      <c r="J104" s="627"/>
      <c r="K104" s="622"/>
      <c r="L104" s="627"/>
      <c r="M104" s="622"/>
      <c r="N104" s="627"/>
      <c r="P104" s="631"/>
      <c r="R104" s="622">
        <v>0</v>
      </c>
      <c r="S104" s="622"/>
      <c r="T104" s="622">
        <v>0</v>
      </c>
      <c r="U104" s="622"/>
      <c r="V104" s="622">
        <f t="shared" si="66"/>
        <v>0</v>
      </c>
      <c r="W104" s="622"/>
      <c r="X104" s="622">
        <f t="shared" si="67"/>
        <v>0</v>
      </c>
      <c r="Y104" s="622"/>
      <c r="Z104" s="316"/>
      <c r="AA104" s="622"/>
      <c r="AB104" s="622">
        <v>0</v>
      </c>
      <c r="AC104" s="622"/>
      <c r="AD104" s="622">
        <v>0</v>
      </c>
      <c r="AE104" s="622"/>
      <c r="AF104" s="627"/>
      <c r="AG104" s="622"/>
      <c r="AH104" s="316"/>
      <c r="AI104" s="622"/>
      <c r="AJ104" s="315">
        <f t="shared" si="55"/>
        <v>0</v>
      </c>
      <c r="AK104" s="622"/>
      <c r="AL104" s="315">
        <f t="shared" si="56"/>
        <v>0</v>
      </c>
      <c r="AM104" s="622"/>
      <c r="AN104" s="315">
        <f t="shared" si="57"/>
        <v>0</v>
      </c>
      <c r="AO104" s="622"/>
      <c r="AP104" s="622">
        <f t="shared" si="58"/>
        <v>0</v>
      </c>
      <c r="AR104" s="622">
        <v>0</v>
      </c>
      <c r="AS104" s="622"/>
      <c r="AT104" s="622">
        <v>0</v>
      </c>
      <c r="AU104" s="622"/>
      <c r="AV104" s="627"/>
      <c r="AW104" s="622"/>
      <c r="AX104" s="315">
        <f t="shared" si="59"/>
        <v>0</v>
      </c>
      <c r="AY104" s="622"/>
      <c r="AZ104" s="315">
        <f t="shared" si="60"/>
        <v>0</v>
      </c>
      <c r="BA104" s="622"/>
      <c r="BB104" s="315">
        <f t="shared" si="61"/>
        <v>0</v>
      </c>
      <c r="BC104" s="622"/>
      <c r="BD104" s="622">
        <f t="shared" si="63"/>
        <v>0</v>
      </c>
      <c r="BF104" s="622">
        <f t="shared" si="62"/>
        <v>0</v>
      </c>
      <c r="BI104" s="304">
        <f t="shared" si="53"/>
        <v>408</v>
      </c>
    </row>
    <row r="105" spans="1:61" ht="14.5">
      <c r="A105" s="304"/>
      <c r="B105" s="524"/>
      <c r="F105" s="630"/>
      <c r="H105" s="556"/>
      <c r="J105" s="622"/>
      <c r="K105" s="622"/>
      <c r="L105" s="622"/>
      <c r="M105" s="622"/>
      <c r="N105" s="622"/>
      <c r="P105" s="631"/>
      <c r="R105" s="622"/>
      <c r="S105" s="622"/>
      <c r="T105" s="622"/>
      <c r="U105" s="622"/>
      <c r="V105" s="622"/>
      <c r="W105" s="622"/>
      <c r="X105" s="622"/>
      <c r="Y105" s="622"/>
      <c r="Z105" s="316"/>
      <c r="AA105" s="622"/>
      <c r="AB105" s="622"/>
      <c r="AC105" s="622"/>
      <c r="AD105" s="622"/>
      <c r="AE105" s="622"/>
      <c r="AF105" s="622"/>
      <c r="AG105" s="622"/>
      <c r="AH105" s="316"/>
      <c r="AI105" s="622"/>
      <c r="AJ105" s="622"/>
      <c r="AK105" s="622"/>
      <c r="AL105" s="622"/>
      <c r="AM105" s="622"/>
      <c r="AN105" s="622"/>
      <c r="AO105" s="622"/>
      <c r="AP105" s="622"/>
      <c r="AR105" s="622"/>
      <c r="AS105" s="622"/>
      <c r="AT105" s="622"/>
      <c r="AU105" s="622"/>
      <c r="AV105" s="622"/>
      <c r="AW105" s="622"/>
      <c r="AX105" s="622"/>
      <c r="AY105" s="622"/>
      <c r="AZ105" s="622"/>
      <c r="BA105" s="622"/>
      <c r="BB105" s="622"/>
      <c r="BC105" s="622"/>
      <c r="BD105" s="622"/>
      <c r="BI105" s="304"/>
    </row>
    <row r="106" spans="1:61" ht="14.5">
      <c r="A106" s="201" t="s">
        <v>92</v>
      </c>
      <c r="F106" s="630"/>
      <c r="P106" s="631"/>
      <c r="Z106" s="611"/>
      <c r="AH106" s="611"/>
      <c r="BI106" s="621" t="s">
        <v>92</v>
      </c>
    </row>
    <row r="107" spans="1:61" ht="14.5">
      <c r="A107" s="304">
        <f>A93+100</f>
        <v>500</v>
      </c>
      <c r="B107" s="615" t="s">
        <v>1449</v>
      </c>
      <c r="F107" s="630"/>
      <c r="H107" s="625">
        <f>ROUND(SUM(H108:H112),0)</f>
        <v>0</v>
      </c>
      <c r="J107" s="625">
        <f>ROUND(SUM(J108:J112),0)</f>
        <v>0</v>
      </c>
      <c r="K107" s="622"/>
      <c r="L107" s="625">
        <f>ROUND(SUM(L108:L112),0)</f>
        <v>0</v>
      </c>
      <c r="M107" s="622"/>
      <c r="N107" s="625">
        <f>ROUND(SUM(N108:N112),0)</f>
        <v>0</v>
      </c>
      <c r="O107" s="304"/>
      <c r="P107" s="524"/>
      <c r="Q107" s="304"/>
      <c r="R107" s="625">
        <f>ROUND(SUM(R108:R112),0)</f>
        <v>0</v>
      </c>
      <c r="S107" s="622"/>
      <c r="T107" s="625">
        <f>ROUND(SUM(T108:T112),0)</f>
        <v>0</v>
      </c>
      <c r="U107" s="622"/>
      <c r="V107" s="625">
        <f>ROUND(SUM(V108:V112),0)</f>
        <v>0</v>
      </c>
      <c r="W107" s="622"/>
      <c r="X107" s="625">
        <f>ROUND(SUM(X108:X112),0)</f>
        <v>0</v>
      </c>
      <c r="Y107" s="622"/>
      <c r="Z107" s="316"/>
      <c r="AA107" s="622"/>
      <c r="AB107" s="625">
        <f>SUM(AB108:AB112)</f>
        <v>0</v>
      </c>
      <c r="AC107" s="622"/>
      <c r="AD107" s="625">
        <f>SUM(AD108:AD112)</f>
        <v>0</v>
      </c>
      <c r="AE107" s="622"/>
      <c r="AF107" s="625">
        <f>SUM(AF108:AF112)</f>
        <v>0</v>
      </c>
      <c r="AG107" s="622"/>
      <c r="AH107" s="316"/>
      <c r="AI107" s="622"/>
      <c r="AJ107" s="625">
        <f>SUM(AJ108:AJ112)</f>
        <v>0</v>
      </c>
      <c r="AK107" s="622"/>
      <c r="AL107" s="625">
        <f>SUM(AL108:AL112)</f>
        <v>0</v>
      </c>
      <c r="AM107" s="622"/>
      <c r="AN107" s="625">
        <f>SUM(AN108:AN112)</f>
        <v>0</v>
      </c>
      <c r="AO107" s="622"/>
      <c r="AP107" s="625">
        <f>SUM(AP108:AP112)</f>
        <v>0</v>
      </c>
      <c r="AR107" s="625">
        <f>SUM(AR108:AR112)</f>
        <v>0</v>
      </c>
      <c r="AS107" s="622"/>
      <c r="AT107" s="625">
        <f>SUM(AT108:AT112)</f>
        <v>0</v>
      </c>
      <c r="AU107" s="622"/>
      <c r="AV107" s="625">
        <f>SUM(AV108:AV112)</f>
        <v>0</v>
      </c>
      <c r="AW107" s="622"/>
      <c r="AX107" s="625">
        <f>SUM(AX108:AX112)</f>
        <v>0</v>
      </c>
      <c r="AY107" s="622"/>
      <c r="AZ107" s="625">
        <f>SUM(AZ108:AZ112)</f>
        <v>0</v>
      </c>
      <c r="BA107" s="622"/>
      <c r="BB107" s="625">
        <f>SUM(BB108:BB112)</f>
        <v>0</v>
      </c>
      <c r="BC107" s="622"/>
      <c r="BD107" s="625">
        <f>SUM(BD108:BD112)</f>
        <v>0</v>
      </c>
      <c r="BF107" s="625">
        <f>ROUND(SUM(BF108:BF112),0)</f>
        <v>0</v>
      </c>
      <c r="BI107" s="304">
        <f t="shared" ref="BI107:BI112" si="68">A107</f>
        <v>500</v>
      </c>
    </row>
    <row r="108" spans="1:61" ht="14.5">
      <c r="A108" s="304">
        <f t="shared" ref="A108:A111" si="69">A107+1</f>
        <v>501</v>
      </c>
      <c r="B108" s="527"/>
      <c r="F108" s="630" t="s">
        <v>1369</v>
      </c>
      <c r="H108" s="627"/>
      <c r="J108" s="627"/>
      <c r="K108" s="622"/>
      <c r="L108" s="627"/>
      <c r="M108" s="622"/>
      <c r="N108" s="627"/>
      <c r="P108" s="633" t="s">
        <v>1364</v>
      </c>
      <c r="R108" s="622">
        <f>+N108</f>
        <v>0</v>
      </c>
      <c r="S108" s="622"/>
      <c r="T108" s="622">
        <v>0</v>
      </c>
      <c r="U108" s="622"/>
      <c r="V108" s="622">
        <v>0</v>
      </c>
      <c r="W108" s="622"/>
      <c r="X108" s="622">
        <f>SUM(R108:V108)</f>
        <v>0</v>
      </c>
      <c r="Y108" s="622"/>
      <c r="Z108" s="316" t="s">
        <v>1356</v>
      </c>
      <c r="AA108" s="622"/>
      <c r="AB108" s="627"/>
      <c r="AC108" s="622"/>
      <c r="AD108" s="622">
        <v>0</v>
      </c>
      <c r="AE108" s="622"/>
      <c r="AF108" s="622">
        <v>0</v>
      </c>
      <c r="AG108" s="622"/>
      <c r="AH108" s="316" t="s">
        <v>1365</v>
      </c>
      <c r="AI108" s="622"/>
      <c r="AJ108" s="315">
        <f t="shared" ref="AJ108:AJ113" si="70">+R108-AB108</f>
        <v>0</v>
      </c>
      <c r="AK108" s="622"/>
      <c r="AL108" s="315">
        <f t="shared" ref="AL108:AL113" si="71">+T108-AD108</f>
        <v>0</v>
      </c>
      <c r="AM108" s="622"/>
      <c r="AN108" s="315">
        <f t="shared" ref="AN108:AN113" si="72">+V108-AF108</f>
        <v>0</v>
      </c>
      <c r="AO108" s="622"/>
      <c r="AP108" s="622">
        <f t="shared" ref="AP108:AP113" si="73">SUM(AJ108:AN108)</f>
        <v>0</v>
      </c>
      <c r="AR108" s="627"/>
      <c r="AS108" s="622"/>
      <c r="AT108" s="622">
        <v>0</v>
      </c>
      <c r="AU108" s="622"/>
      <c r="AV108" s="622">
        <v>0</v>
      </c>
      <c r="AW108" s="622"/>
      <c r="AX108" s="315">
        <f t="shared" ref="AX108:AX113" si="74">+AJ108-AR108</f>
        <v>0</v>
      </c>
      <c r="AY108" s="622"/>
      <c r="AZ108" s="315">
        <f t="shared" ref="AZ108:AZ113" si="75">+AL108-AT108</f>
        <v>0</v>
      </c>
      <c r="BA108" s="622"/>
      <c r="BB108" s="315">
        <f t="shared" ref="BB108:BB113" si="76">+AN108-AV108</f>
        <v>0</v>
      </c>
      <c r="BC108" s="622"/>
      <c r="BD108" s="622">
        <f>SUM(AX108:BB108)</f>
        <v>0</v>
      </c>
      <c r="BF108" s="622">
        <f>+BD108*$BF$10</f>
        <v>0</v>
      </c>
      <c r="BI108" s="304">
        <f t="shared" si="68"/>
        <v>501</v>
      </c>
    </row>
    <row r="109" spans="1:61" ht="14.5">
      <c r="A109" s="304">
        <f t="shared" si="69"/>
        <v>502</v>
      </c>
      <c r="B109" s="628"/>
      <c r="F109" s="630"/>
      <c r="H109" s="627"/>
      <c r="J109" s="627"/>
      <c r="K109" s="622"/>
      <c r="L109" s="627"/>
      <c r="M109" s="622"/>
      <c r="N109" s="627"/>
      <c r="P109" s="633"/>
      <c r="R109" s="622">
        <v>0</v>
      </c>
      <c r="S109" s="622"/>
      <c r="T109" s="622">
        <v>0</v>
      </c>
      <c r="U109" s="622"/>
      <c r="V109" s="622">
        <v>0</v>
      </c>
      <c r="W109" s="622"/>
      <c r="X109" s="622">
        <f t="shared" ref="X109:X112" si="77">SUM(R109:V109)</f>
        <v>0</v>
      </c>
      <c r="Y109" s="622"/>
      <c r="Z109" s="316"/>
      <c r="AA109" s="622"/>
      <c r="AB109" s="627"/>
      <c r="AC109" s="622"/>
      <c r="AD109" s="622">
        <v>0</v>
      </c>
      <c r="AE109" s="622"/>
      <c r="AF109" s="622">
        <v>0</v>
      </c>
      <c r="AG109" s="622"/>
      <c r="AH109" s="316"/>
      <c r="AI109" s="622"/>
      <c r="AJ109" s="315">
        <f t="shared" si="70"/>
        <v>0</v>
      </c>
      <c r="AK109" s="622"/>
      <c r="AL109" s="315">
        <f t="shared" si="71"/>
        <v>0</v>
      </c>
      <c r="AM109" s="622"/>
      <c r="AN109" s="315">
        <f t="shared" si="72"/>
        <v>0</v>
      </c>
      <c r="AO109" s="622"/>
      <c r="AP109" s="622">
        <f t="shared" si="73"/>
        <v>0</v>
      </c>
      <c r="AR109" s="627"/>
      <c r="AS109" s="622"/>
      <c r="AT109" s="622">
        <v>0</v>
      </c>
      <c r="AU109" s="622"/>
      <c r="AV109" s="622">
        <v>0</v>
      </c>
      <c r="AW109" s="622"/>
      <c r="AX109" s="315">
        <f t="shared" si="74"/>
        <v>0</v>
      </c>
      <c r="AY109" s="622"/>
      <c r="AZ109" s="315">
        <f t="shared" si="75"/>
        <v>0</v>
      </c>
      <c r="BA109" s="622"/>
      <c r="BB109" s="315">
        <f t="shared" si="76"/>
        <v>0</v>
      </c>
      <c r="BC109" s="622"/>
      <c r="BD109" s="622">
        <f t="shared" ref="BD109:BD112" si="78">SUM(AX109:BB109)</f>
        <v>0</v>
      </c>
      <c r="BF109" s="622">
        <f>+BD109*$BF$10</f>
        <v>0</v>
      </c>
      <c r="BI109" s="304">
        <f t="shared" si="68"/>
        <v>502</v>
      </c>
    </row>
    <row r="110" spans="1:61" ht="14.5">
      <c r="A110" s="304">
        <f t="shared" si="69"/>
        <v>503</v>
      </c>
      <c r="B110" s="628" t="s">
        <v>119</v>
      </c>
      <c r="F110" s="630"/>
      <c r="H110" s="627"/>
      <c r="J110" s="627"/>
      <c r="K110" s="622"/>
      <c r="L110" s="627"/>
      <c r="M110" s="622"/>
      <c r="N110" s="627"/>
      <c r="P110" s="633"/>
      <c r="R110" s="622">
        <v>0</v>
      </c>
      <c r="S110" s="622"/>
      <c r="T110" s="622">
        <v>0</v>
      </c>
      <c r="U110" s="622"/>
      <c r="V110" s="622">
        <v>0</v>
      </c>
      <c r="W110" s="622"/>
      <c r="X110" s="622">
        <f t="shared" si="77"/>
        <v>0</v>
      </c>
      <c r="Y110" s="622"/>
      <c r="Z110" s="316"/>
      <c r="AA110" s="622"/>
      <c r="AB110" s="627"/>
      <c r="AC110" s="622"/>
      <c r="AD110" s="622">
        <v>0</v>
      </c>
      <c r="AE110" s="622"/>
      <c r="AF110" s="622">
        <v>0</v>
      </c>
      <c r="AG110" s="622"/>
      <c r="AH110" s="316"/>
      <c r="AI110" s="622"/>
      <c r="AJ110" s="315">
        <f t="shared" si="70"/>
        <v>0</v>
      </c>
      <c r="AK110" s="622"/>
      <c r="AL110" s="315">
        <f t="shared" si="71"/>
        <v>0</v>
      </c>
      <c r="AM110" s="622"/>
      <c r="AN110" s="315">
        <f t="shared" si="72"/>
        <v>0</v>
      </c>
      <c r="AO110" s="622"/>
      <c r="AP110" s="622">
        <f t="shared" si="73"/>
        <v>0</v>
      </c>
      <c r="AR110" s="627"/>
      <c r="AS110" s="622"/>
      <c r="AT110" s="622">
        <v>0</v>
      </c>
      <c r="AU110" s="622"/>
      <c r="AV110" s="622">
        <v>0</v>
      </c>
      <c r="AW110" s="622"/>
      <c r="AX110" s="315">
        <f t="shared" si="74"/>
        <v>0</v>
      </c>
      <c r="AY110" s="622"/>
      <c r="AZ110" s="315">
        <f t="shared" si="75"/>
        <v>0</v>
      </c>
      <c r="BA110" s="622"/>
      <c r="BB110" s="315">
        <f t="shared" si="76"/>
        <v>0</v>
      </c>
      <c r="BC110" s="622"/>
      <c r="BD110" s="622">
        <f t="shared" si="78"/>
        <v>0</v>
      </c>
      <c r="BF110" s="622">
        <f>+BD109*$BF$10</f>
        <v>0</v>
      </c>
      <c r="BI110" s="304">
        <f t="shared" si="68"/>
        <v>503</v>
      </c>
    </row>
    <row r="111" spans="1:61" ht="14.5">
      <c r="A111" s="304">
        <f t="shared" si="69"/>
        <v>504</v>
      </c>
      <c r="B111" s="628" t="s">
        <v>119</v>
      </c>
      <c r="F111" s="623"/>
      <c r="H111" s="627"/>
      <c r="J111" s="627"/>
      <c r="K111" s="622"/>
      <c r="L111" s="627"/>
      <c r="M111" s="622"/>
      <c r="N111" s="627"/>
      <c r="P111" s="631"/>
      <c r="R111" s="622">
        <v>0</v>
      </c>
      <c r="S111" s="622"/>
      <c r="T111" s="622">
        <v>0</v>
      </c>
      <c r="U111" s="622"/>
      <c r="V111" s="622">
        <v>0</v>
      </c>
      <c r="W111" s="622"/>
      <c r="X111" s="622">
        <f t="shared" si="77"/>
        <v>0</v>
      </c>
      <c r="Y111" s="622"/>
      <c r="Z111" s="316"/>
      <c r="AA111" s="622"/>
      <c r="AB111" s="627"/>
      <c r="AC111" s="622"/>
      <c r="AD111" s="622">
        <v>0</v>
      </c>
      <c r="AE111" s="622"/>
      <c r="AF111" s="622">
        <v>0</v>
      </c>
      <c r="AG111" s="622"/>
      <c r="AH111" s="316"/>
      <c r="AI111" s="622"/>
      <c r="AJ111" s="315">
        <f t="shared" si="70"/>
        <v>0</v>
      </c>
      <c r="AK111" s="622"/>
      <c r="AL111" s="315">
        <f t="shared" si="71"/>
        <v>0</v>
      </c>
      <c r="AM111" s="622"/>
      <c r="AN111" s="315">
        <f t="shared" si="72"/>
        <v>0</v>
      </c>
      <c r="AO111" s="622"/>
      <c r="AP111" s="622">
        <f t="shared" si="73"/>
        <v>0</v>
      </c>
      <c r="AR111" s="627"/>
      <c r="AS111" s="622"/>
      <c r="AT111" s="622">
        <v>0</v>
      </c>
      <c r="AU111" s="622"/>
      <c r="AV111" s="622">
        <v>0</v>
      </c>
      <c r="AW111" s="622"/>
      <c r="AX111" s="315">
        <f t="shared" si="74"/>
        <v>0</v>
      </c>
      <c r="AY111" s="622"/>
      <c r="AZ111" s="315">
        <f t="shared" si="75"/>
        <v>0</v>
      </c>
      <c r="BA111" s="622"/>
      <c r="BB111" s="315">
        <f t="shared" si="76"/>
        <v>0</v>
      </c>
      <c r="BC111" s="622"/>
      <c r="BD111" s="622">
        <f t="shared" si="78"/>
        <v>0</v>
      </c>
      <c r="BF111" s="622">
        <f>+BD110*$BF$10</f>
        <v>0</v>
      </c>
      <c r="BI111" s="304">
        <f t="shared" si="68"/>
        <v>504</v>
      </c>
    </row>
    <row r="112" spans="1:61" ht="14.5">
      <c r="A112" s="304">
        <f>+A111+1</f>
        <v>505</v>
      </c>
      <c r="B112" s="628" t="s">
        <v>119</v>
      </c>
      <c r="F112" s="623"/>
      <c r="H112" s="627"/>
      <c r="J112" s="627"/>
      <c r="K112" s="622"/>
      <c r="L112" s="627"/>
      <c r="M112" s="622"/>
      <c r="N112" s="627"/>
      <c r="P112" s="631"/>
      <c r="R112" s="622">
        <v>0</v>
      </c>
      <c r="S112" s="622"/>
      <c r="T112" s="622">
        <v>0</v>
      </c>
      <c r="U112" s="622"/>
      <c r="V112" s="622">
        <v>0</v>
      </c>
      <c r="W112" s="622"/>
      <c r="X112" s="622">
        <f t="shared" si="77"/>
        <v>0</v>
      </c>
      <c r="Y112" s="622"/>
      <c r="Z112" s="316"/>
      <c r="AA112" s="622"/>
      <c r="AB112" s="627"/>
      <c r="AC112" s="622"/>
      <c r="AD112" s="622">
        <v>0</v>
      </c>
      <c r="AE112" s="622"/>
      <c r="AF112" s="622">
        <v>0</v>
      </c>
      <c r="AG112" s="622"/>
      <c r="AH112" s="316"/>
      <c r="AI112" s="622"/>
      <c r="AJ112" s="315">
        <f t="shared" si="70"/>
        <v>0</v>
      </c>
      <c r="AK112" s="622"/>
      <c r="AL112" s="315">
        <f t="shared" si="71"/>
        <v>0</v>
      </c>
      <c r="AM112" s="622"/>
      <c r="AN112" s="315">
        <f t="shared" si="72"/>
        <v>0</v>
      </c>
      <c r="AO112" s="622"/>
      <c r="AP112" s="622">
        <f t="shared" si="73"/>
        <v>0</v>
      </c>
      <c r="AR112" s="627"/>
      <c r="AS112" s="622"/>
      <c r="AT112" s="622">
        <v>0</v>
      </c>
      <c r="AU112" s="622"/>
      <c r="AV112" s="622">
        <v>0</v>
      </c>
      <c r="AW112" s="622"/>
      <c r="AX112" s="315">
        <f t="shared" si="74"/>
        <v>0</v>
      </c>
      <c r="AY112" s="622"/>
      <c r="AZ112" s="315">
        <f t="shared" si="75"/>
        <v>0</v>
      </c>
      <c r="BA112" s="622"/>
      <c r="BB112" s="315">
        <f t="shared" si="76"/>
        <v>0</v>
      </c>
      <c r="BC112" s="622"/>
      <c r="BD112" s="622">
        <f t="shared" si="78"/>
        <v>0</v>
      </c>
      <c r="BF112" s="622">
        <f>+BD111*$BF$10</f>
        <v>0</v>
      </c>
      <c r="BI112" s="304">
        <f t="shared" si="68"/>
        <v>505</v>
      </c>
    </row>
    <row r="113" spans="1:61" ht="14.5">
      <c r="A113" s="304"/>
      <c r="B113" s="524"/>
      <c r="F113" s="623"/>
      <c r="H113" s="622"/>
      <c r="J113" s="622"/>
      <c r="K113" s="622"/>
      <c r="L113" s="622"/>
      <c r="M113" s="622"/>
      <c r="N113" s="622"/>
      <c r="P113" s="631"/>
      <c r="R113" s="622"/>
      <c r="S113" s="622"/>
      <c r="T113" s="622"/>
      <c r="U113" s="622"/>
      <c r="V113" s="622"/>
      <c r="W113" s="622"/>
      <c r="X113" s="622"/>
      <c r="Y113" s="622"/>
      <c r="Z113" s="316"/>
      <c r="AA113" s="622"/>
      <c r="AB113" s="622"/>
      <c r="AC113" s="622"/>
      <c r="AD113" s="622"/>
      <c r="AE113" s="622"/>
      <c r="AF113" s="622"/>
      <c r="AG113" s="622"/>
      <c r="AH113" s="316"/>
      <c r="AI113" s="622"/>
      <c r="AJ113" s="622">
        <f t="shared" si="70"/>
        <v>0</v>
      </c>
      <c r="AK113" s="622"/>
      <c r="AL113" s="622">
        <f t="shared" si="71"/>
        <v>0</v>
      </c>
      <c r="AM113" s="622"/>
      <c r="AN113" s="622">
        <f t="shared" si="72"/>
        <v>0</v>
      </c>
      <c r="AO113" s="622"/>
      <c r="AP113" s="622">
        <f t="shared" si="73"/>
        <v>0</v>
      </c>
      <c r="AR113" s="622"/>
      <c r="AS113" s="622"/>
      <c r="AT113" s="622"/>
      <c r="AU113" s="622"/>
      <c r="AV113" s="622"/>
      <c r="AW113" s="622"/>
      <c r="AX113" s="622">
        <f t="shared" si="74"/>
        <v>0</v>
      </c>
      <c r="AY113" s="622"/>
      <c r="AZ113" s="622">
        <f t="shared" si="75"/>
        <v>0</v>
      </c>
      <c r="BA113" s="622"/>
      <c r="BB113" s="622">
        <f t="shared" si="76"/>
        <v>0</v>
      </c>
      <c r="BC113" s="622"/>
      <c r="BD113" s="622"/>
      <c r="BF113" s="622"/>
      <c r="BI113" s="304"/>
    </row>
    <row r="114" spans="1:61" ht="14.5">
      <c r="A114" s="201" t="s">
        <v>92</v>
      </c>
      <c r="F114" s="623"/>
      <c r="H114" s="556"/>
      <c r="P114" s="631"/>
      <c r="Z114" s="611"/>
      <c r="AH114" s="611"/>
      <c r="BI114" s="621" t="s">
        <v>92</v>
      </c>
    </row>
    <row r="115" spans="1:61" ht="14.5">
      <c r="A115" s="304">
        <f>A107+100</f>
        <v>600</v>
      </c>
      <c r="B115" s="624" t="s">
        <v>1370</v>
      </c>
      <c r="F115" s="623"/>
      <c r="H115" s="625">
        <f>SUM(H116:H120)</f>
        <v>0</v>
      </c>
      <c r="J115" s="625">
        <f>SUM(J116:J120)</f>
        <v>0</v>
      </c>
      <c r="K115" s="622"/>
      <c r="L115" s="625">
        <f>SUM(L116:L120)</f>
        <v>0</v>
      </c>
      <c r="M115" s="622"/>
      <c r="N115" s="625">
        <f>SUM(N116:N120)</f>
        <v>0</v>
      </c>
      <c r="O115" s="304"/>
      <c r="P115" s="524"/>
      <c r="Q115" s="304"/>
      <c r="R115" s="625">
        <f>SUM(R116:R120)</f>
        <v>0</v>
      </c>
      <c r="S115" s="622"/>
      <c r="T115" s="625">
        <f>SUM(T116:T120)</f>
        <v>0</v>
      </c>
      <c r="U115" s="622"/>
      <c r="V115" s="625">
        <f>SUM(V116:V120)</f>
        <v>0</v>
      </c>
      <c r="W115" s="622"/>
      <c r="X115" s="625">
        <f>SUM(X116:X120)</f>
        <v>0</v>
      </c>
      <c r="Y115" s="622"/>
      <c r="Z115" s="316"/>
      <c r="AA115" s="622"/>
      <c r="AB115" s="625">
        <f>SUM(AB116:AB120)</f>
        <v>0</v>
      </c>
      <c r="AC115" s="622"/>
      <c r="AD115" s="625">
        <f>SUM(AD116:AD120)</f>
        <v>0</v>
      </c>
      <c r="AE115" s="622"/>
      <c r="AF115" s="625">
        <f>SUM(AF116:AF120)</f>
        <v>0</v>
      </c>
      <c r="AG115" s="622"/>
      <c r="AH115" s="316"/>
      <c r="AI115" s="622"/>
      <c r="AJ115" s="625">
        <f>SUM(AJ116:AJ120)</f>
        <v>0</v>
      </c>
      <c r="AK115" s="622"/>
      <c r="AL115" s="625">
        <f>SUM(AL116:AL120)</f>
        <v>0</v>
      </c>
      <c r="AM115" s="622"/>
      <c r="AN115" s="625">
        <f>SUM(AN116:AN120)</f>
        <v>0</v>
      </c>
      <c r="AO115" s="622"/>
      <c r="AP115" s="625">
        <f>SUM(AP116:AP120)</f>
        <v>0</v>
      </c>
      <c r="AR115" s="625">
        <f>SUM(AR116:AR120)</f>
        <v>0</v>
      </c>
      <c r="AS115" s="622"/>
      <c r="AT115" s="625">
        <f>SUM(AT116:AT120)</f>
        <v>0</v>
      </c>
      <c r="AU115" s="622"/>
      <c r="AV115" s="625">
        <f>SUM(AV116:AV120)</f>
        <v>0</v>
      </c>
      <c r="AW115" s="622"/>
      <c r="AX115" s="625">
        <f>SUM(AX116:AX120)</f>
        <v>0</v>
      </c>
      <c r="AY115" s="622"/>
      <c r="AZ115" s="625">
        <f>SUM(AZ116:AZ120)</f>
        <v>0</v>
      </c>
      <c r="BA115" s="622"/>
      <c r="BB115" s="625">
        <f>SUM(BB116:BB120)</f>
        <v>0</v>
      </c>
      <c r="BC115" s="622"/>
      <c r="BD115" s="625">
        <f>SUM(BD116:BD120)</f>
        <v>0</v>
      </c>
      <c r="BF115" s="625">
        <f>SUM(BF116:BF120)</f>
        <v>0</v>
      </c>
      <c r="BI115" s="304">
        <f t="shared" ref="BI115:BI120" si="79">A115</f>
        <v>600</v>
      </c>
    </row>
    <row r="116" spans="1:61" ht="14.5">
      <c r="A116" s="304">
        <f t="shared" ref="A116:A119" si="80">A115+1</f>
        <v>601</v>
      </c>
      <c r="B116" s="626"/>
      <c r="F116" s="631" t="s">
        <v>1354</v>
      </c>
      <c r="H116" s="627"/>
      <c r="J116" s="627"/>
      <c r="K116" s="622"/>
      <c r="L116" s="627"/>
      <c r="M116" s="622"/>
      <c r="N116" s="627"/>
      <c r="P116" s="631" t="s">
        <v>1355</v>
      </c>
      <c r="R116" s="622">
        <v>0</v>
      </c>
      <c r="S116" s="622"/>
      <c r="T116" s="622">
        <f>+N116</f>
        <v>0</v>
      </c>
      <c r="U116" s="622"/>
      <c r="V116" s="622">
        <v>0</v>
      </c>
      <c r="W116" s="622"/>
      <c r="X116" s="622">
        <f>SUM(R116:V116)</f>
        <v>0</v>
      </c>
      <c r="Y116" s="622"/>
      <c r="Z116" s="316"/>
      <c r="AA116" s="622"/>
      <c r="AB116" s="627"/>
      <c r="AC116" s="622"/>
      <c r="AD116" s="627"/>
      <c r="AE116" s="622"/>
      <c r="AF116" s="627"/>
      <c r="AG116" s="622"/>
      <c r="AH116" s="316" t="s">
        <v>1357</v>
      </c>
      <c r="AI116" s="622"/>
      <c r="AJ116" s="315">
        <f t="shared" ref="AJ116:AJ120" si="81">+R116-AB116</f>
        <v>0</v>
      </c>
      <c r="AK116" s="622"/>
      <c r="AL116" s="315">
        <f t="shared" ref="AL116:AL120" si="82">+T116-AD116</f>
        <v>0</v>
      </c>
      <c r="AM116" s="622"/>
      <c r="AN116" s="315">
        <f t="shared" ref="AN116:AN120" si="83">+V116-AF116</f>
        <v>0</v>
      </c>
      <c r="AO116" s="622"/>
      <c r="AP116" s="622">
        <f t="shared" ref="AP116:AP120" si="84">SUM(AJ116:AN116)</f>
        <v>0</v>
      </c>
      <c r="AR116" s="627"/>
      <c r="AS116" s="622"/>
      <c r="AT116" s="627"/>
      <c r="AU116" s="622"/>
      <c r="AV116" s="627"/>
      <c r="AW116" s="622"/>
      <c r="AX116" s="315">
        <f>+AJ116-AR116</f>
        <v>0</v>
      </c>
      <c r="AY116" s="622"/>
      <c r="AZ116" s="315">
        <f>+AL116-AT116</f>
        <v>0</v>
      </c>
      <c r="BA116" s="622"/>
      <c r="BB116" s="315">
        <f>+AN116-AV116</f>
        <v>0</v>
      </c>
      <c r="BC116" s="622"/>
      <c r="BD116" s="622">
        <f>SUM(AX116:BB116)</f>
        <v>0</v>
      </c>
      <c r="BF116" s="622">
        <f>+BD116*$BF$10</f>
        <v>0</v>
      </c>
      <c r="BI116" s="304">
        <f t="shared" si="79"/>
        <v>601</v>
      </c>
    </row>
    <row r="117" spans="1:61" ht="14.5">
      <c r="A117" s="304">
        <f t="shared" si="80"/>
        <v>602</v>
      </c>
      <c r="B117" s="626"/>
      <c r="F117" s="631" t="s">
        <v>1354</v>
      </c>
      <c r="H117" s="627"/>
      <c r="J117" s="627"/>
      <c r="K117" s="622"/>
      <c r="L117" s="627"/>
      <c r="M117" s="622"/>
      <c r="N117" s="627"/>
      <c r="P117" s="631" t="s">
        <v>1355</v>
      </c>
      <c r="R117" s="622">
        <v>0</v>
      </c>
      <c r="S117" s="622"/>
      <c r="T117" s="622">
        <f>+N117</f>
        <v>0</v>
      </c>
      <c r="U117" s="622"/>
      <c r="V117" s="622">
        <v>0</v>
      </c>
      <c r="W117" s="622"/>
      <c r="X117" s="622">
        <f t="shared" ref="X117:X120" si="85">SUM(R117:V117)</f>
        <v>0</v>
      </c>
      <c r="Y117" s="622"/>
      <c r="Z117" s="316"/>
      <c r="AA117" s="622"/>
      <c r="AB117" s="627"/>
      <c r="AC117" s="622"/>
      <c r="AD117" s="627"/>
      <c r="AE117" s="622"/>
      <c r="AF117" s="627"/>
      <c r="AG117" s="622"/>
      <c r="AH117" s="316" t="s">
        <v>1357</v>
      </c>
      <c r="AI117" s="622"/>
      <c r="AJ117" s="315">
        <f t="shared" si="81"/>
        <v>0</v>
      </c>
      <c r="AK117" s="622"/>
      <c r="AL117" s="315">
        <f t="shared" si="82"/>
        <v>0</v>
      </c>
      <c r="AM117" s="622"/>
      <c r="AN117" s="315">
        <f t="shared" si="83"/>
        <v>0</v>
      </c>
      <c r="AO117" s="622"/>
      <c r="AP117" s="622">
        <f t="shared" si="84"/>
        <v>0</v>
      </c>
      <c r="AR117" s="627"/>
      <c r="AS117" s="622"/>
      <c r="AT117" s="627"/>
      <c r="AU117" s="622"/>
      <c r="AV117" s="627"/>
      <c r="AW117" s="622"/>
      <c r="AX117" s="315">
        <f>+AJ117-AR117</f>
        <v>0</v>
      </c>
      <c r="AY117" s="622"/>
      <c r="AZ117" s="315">
        <f>+AL117-AT117</f>
        <v>0</v>
      </c>
      <c r="BA117" s="622"/>
      <c r="BB117" s="315">
        <f>+AN117-AV117</f>
        <v>0</v>
      </c>
      <c r="BC117" s="622"/>
      <c r="BD117" s="622">
        <f t="shared" ref="BD117:BD120" si="86">SUM(AX117:BB117)</f>
        <v>0</v>
      </c>
      <c r="BF117" s="622">
        <f>+BD117*$BF$10</f>
        <v>0</v>
      </c>
      <c r="BI117" s="304">
        <f t="shared" si="79"/>
        <v>602</v>
      </c>
    </row>
    <row r="118" spans="1:61" ht="14.5">
      <c r="A118" s="304">
        <f t="shared" si="80"/>
        <v>603</v>
      </c>
      <c r="B118" s="626"/>
      <c r="F118" s="623"/>
      <c r="H118" s="627"/>
      <c r="J118" s="627"/>
      <c r="K118" s="622"/>
      <c r="L118" s="627"/>
      <c r="M118" s="622"/>
      <c r="N118" s="627"/>
      <c r="P118" s="631"/>
      <c r="R118" s="622">
        <f t="shared" ref="R118:R119" si="87">+N118</f>
        <v>0</v>
      </c>
      <c r="S118" s="622"/>
      <c r="T118" s="622">
        <v>0</v>
      </c>
      <c r="U118" s="622"/>
      <c r="V118" s="622">
        <v>0</v>
      </c>
      <c r="W118" s="622"/>
      <c r="X118" s="622">
        <f t="shared" si="85"/>
        <v>0</v>
      </c>
      <c r="Y118" s="622"/>
      <c r="Z118" s="316"/>
      <c r="AA118" s="622"/>
      <c r="AB118" s="627"/>
      <c r="AC118" s="622"/>
      <c r="AD118" s="627"/>
      <c r="AE118" s="622"/>
      <c r="AF118" s="627"/>
      <c r="AG118" s="622"/>
      <c r="AH118" s="316"/>
      <c r="AI118" s="622"/>
      <c r="AJ118" s="315">
        <f t="shared" si="81"/>
        <v>0</v>
      </c>
      <c r="AK118" s="622"/>
      <c r="AL118" s="315">
        <f t="shared" si="82"/>
        <v>0</v>
      </c>
      <c r="AM118" s="622"/>
      <c r="AN118" s="315">
        <f t="shared" si="83"/>
        <v>0</v>
      </c>
      <c r="AO118" s="622"/>
      <c r="AP118" s="622">
        <f t="shared" si="84"/>
        <v>0</v>
      </c>
      <c r="AR118" s="627"/>
      <c r="AS118" s="622"/>
      <c r="AT118" s="627"/>
      <c r="AU118" s="622"/>
      <c r="AV118" s="627"/>
      <c r="AW118" s="622"/>
      <c r="AX118" s="315">
        <f>+AJ118-AR118</f>
        <v>0</v>
      </c>
      <c r="AY118" s="622"/>
      <c r="AZ118" s="315">
        <f>+AL118-AT118</f>
        <v>0</v>
      </c>
      <c r="BA118" s="622"/>
      <c r="BB118" s="315">
        <f>+AN118-AV118</f>
        <v>0</v>
      </c>
      <c r="BC118" s="622"/>
      <c r="BD118" s="622">
        <f t="shared" si="86"/>
        <v>0</v>
      </c>
      <c r="BF118" s="622">
        <f>+N118*$BF$10</f>
        <v>0</v>
      </c>
      <c r="BI118" s="304">
        <f t="shared" si="79"/>
        <v>603</v>
      </c>
    </row>
    <row r="119" spans="1:61" ht="14.5">
      <c r="A119" s="304">
        <f t="shared" si="80"/>
        <v>604</v>
      </c>
      <c r="B119" s="628" t="s">
        <v>119</v>
      </c>
      <c r="F119" s="623"/>
      <c r="H119" s="627"/>
      <c r="J119" s="627"/>
      <c r="K119" s="622"/>
      <c r="L119" s="627"/>
      <c r="M119" s="622"/>
      <c r="N119" s="627"/>
      <c r="P119" s="631"/>
      <c r="R119" s="622">
        <f t="shared" si="87"/>
        <v>0</v>
      </c>
      <c r="S119" s="622"/>
      <c r="T119" s="622">
        <v>0</v>
      </c>
      <c r="U119" s="622"/>
      <c r="V119" s="622">
        <v>0</v>
      </c>
      <c r="W119" s="622"/>
      <c r="X119" s="622">
        <f t="shared" si="85"/>
        <v>0</v>
      </c>
      <c r="Y119" s="622"/>
      <c r="Z119" s="316"/>
      <c r="AA119" s="622"/>
      <c r="AB119" s="627"/>
      <c r="AC119" s="622"/>
      <c r="AD119" s="627"/>
      <c r="AE119" s="622"/>
      <c r="AF119" s="627"/>
      <c r="AG119" s="622"/>
      <c r="AH119" s="622"/>
      <c r="AI119" s="622"/>
      <c r="AJ119" s="315">
        <f t="shared" si="81"/>
        <v>0</v>
      </c>
      <c r="AK119" s="622"/>
      <c r="AL119" s="315">
        <f t="shared" si="82"/>
        <v>0</v>
      </c>
      <c r="AM119" s="622"/>
      <c r="AN119" s="315">
        <f t="shared" si="83"/>
        <v>0</v>
      </c>
      <c r="AO119" s="622"/>
      <c r="AP119" s="622">
        <f t="shared" si="84"/>
        <v>0</v>
      </c>
      <c r="AR119" s="627"/>
      <c r="AS119" s="622"/>
      <c r="AT119" s="627"/>
      <c r="AU119" s="622"/>
      <c r="AV119" s="627"/>
      <c r="AW119" s="622"/>
      <c r="AX119" s="315">
        <f>+AJ119-AR119</f>
        <v>0</v>
      </c>
      <c r="AY119" s="622"/>
      <c r="AZ119" s="315">
        <f>+AL119-AT119</f>
        <v>0</v>
      </c>
      <c r="BA119" s="622"/>
      <c r="BB119" s="315">
        <f>+AN119-AV119</f>
        <v>0</v>
      </c>
      <c r="BC119" s="622"/>
      <c r="BD119" s="622">
        <f t="shared" si="86"/>
        <v>0</v>
      </c>
      <c r="BF119" s="622">
        <f>+N118*$BF$10</f>
        <v>0</v>
      </c>
      <c r="BI119" s="304">
        <f t="shared" si="79"/>
        <v>604</v>
      </c>
    </row>
    <row r="120" spans="1:61" ht="14.5">
      <c r="A120" s="304">
        <f>+A119+1</f>
        <v>605</v>
      </c>
      <c r="B120" s="628" t="s">
        <v>119</v>
      </c>
      <c r="F120" s="623"/>
      <c r="H120" s="627"/>
      <c r="J120" s="627"/>
      <c r="K120" s="622"/>
      <c r="L120" s="627"/>
      <c r="M120" s="622"/>
      <c r="N120" s="627"/>
      <c r="P120" s="623"/>
      <c r="R120" s="622">
        <v>0</v>
      </c>
      <c r="S120" s="622"/>
      <c r="T120" s="622">
        <v>0</v>
      </c>
      <c r="U120" s="622"/>
      <c r="V120" s="622">
        <v>0</v>
      </c>
      <c r="W120" s="622"/>
      <c r="X120" s="622">
        <f t="shared" si="85"/>
        <v>0</v>
      </c>
      <c r="Y120" s="622"/>
      <c r="Z120" s="316"/>
      <c r="AA120" s="622"/>
      <c r="AB120" s="627"/>
      <c r="AC120" s="622"/>
      <c r="AD120" s="627"/>
      <c r="AE120" s="622"/>
      <c r="AF120" s="627"/>
      <c r="AG120" s="622"/>
      <c r="AH120" s="622"/>
      <c r="AI120" s="622"/>
      <c r="AJ120" s="315">
        <f t="shared" si="81"/>
        <v>0</v>
      </c>
      <c r="AK120" s="622"/>
      <c r="AL120" s="315">
        <f t="shared" si="82"/>
        <v>0</v>
      </c>
      <c r="AM120" s="622"/>
      <c r="AN120" s="315">
        <f t="shared" si="83"/>
        <v>0</v>
      </c>
      <c r="AO120" s="622"/>
      <c r="AP120" s="622">
        <f t="shared" si="84"/>
        <v>0</v>
      </c>
      <c r="AR120" s="627"/>
      <c r="AS120" s="622"/>
      <c r="AT120" s="627"/>
      <c r="AU120" s="622"/>
      <c r="AV120" s="627"/>
      <c r="AW120" s="622"/>
      <c r="AX120" s="315">
        <f>+AJ120-AR120</f>
        <v>0</v>
      </c>
      <c r="AY120" s="622"/>
      <c r="AZ120" s="315">
        <f>+AL120-AT120</f>
        <v>0</v>
      </c>
      <c r="BA120" s="622"/>
      <c r="BB120" s="315">
        <f>+AN120-AV120</f>
        <v>0</v>
      </c>
      <c r="BC120" s="622"/>
      <c r="BD120" s="622">
        <f t="shared" si="86"/>
        <v>0</v>
      </c>
      <c r="BF120" s="622">
        <f>+N119*$BF$10</f>
        <v>0</v>
      </c>
      <c r="BI120" s="304">
        <f t="shared" si="79"/>
        <v>605</v>
      </c>
    </row>
    <row r="121" spans="1:61" ht="14.5">
      <c r="A121" s="304"/>
      <c r="B121" s="524"/>
      <c r="H121" s="622"/>
      <c r="J121" s="622"/>
      <c r="K121" s="622"/>
      <c r="L121" s="622"/>
      <c r="M121" s="622"/>
      <c r="N121" s="622"/>
      <c r="R121" s="622"/>
      <c r="S121" s="622"/>
      <c r="T121" s="622"/>
      <c r="U121" s="622"/>
      <c r="V121" s="622"/>
      <c r="W121" s="622"/>
      <c r="X121" s="622"/>
      <c r="Y121" s="622"/>
      <c r="Z121" s="316"/>
      <c r="AA121" s="622"/>
      <c r="AB121" s="622"/>
      <c r="AC121" s="622"/>
      <c r="AD121" s="622"/>
      <c r="AE121" s="622"/>
      <c r="AF121" s="622"/>
      <c r="AG121" s="622"/>
      <c r="AH121" s="622"/>
      <c r="AI121" s="622"/>
      <c r="AJ121" s="315"/>
      <c r="AK121" s="622"/>
      <c r="AL121" s="315"/>
      <c r="AM121" s="622"/>
      <c r="AN121" s="315"/>
      <c r="AO121" s="622"/>
      <c r="AP121" s="622"/>
      <c r="AR121" s="622"/>
      <c r="AS121" s="622"/>
      <c r="AT121" s="622"/>
      <c r="AU121" s="622"/>
      <c r="AV121" s="622"/>
      <c r="AW121" s="622"/>
      <c r="AX121" s="315"/>
      <c r="AY121" s="622"/>
      <c r="AZ121" s="315"/>
      <c r="BA121" s="622"/>
      <c r="BB121" s="315"/>
      <c r="BC121" s="622"/>
      <c r="BD121" s="622"/>
      <c r="BI121" s="304"/>
    </row>
    <row r="122" spans="1:61" ht="14.5">
      <c r="A122" s="304"/>
      <c r="B122" s="524"/>
      <c r="H122" s="622"/>
      <c r="J122" s="622"/>
      <c r="K122" s="622"/>
      <c r="L122" s="622"/>
      <c r="M122" s="622"/>
      <c r="N122" s="622"/>
      <c r="R122" s="622"/>
      <c r="S122" s="622"/>
      <c r="T122" s="622"/>
      <c r="U122" s="622"/>
      <c r="V122" s="622"/>
      <c r="W122" s="622"/>
      <c r="X122" s="622"/>
      <c r="Y122" s="622"/>
      <c r="Z122" s="316"/>
      <c r="AA122" s="622"/>
      <c r="AB122" s="622"/>
      <c r="AC122" s="622"/>
      <c r="AD122" s="622"/>
      <c r="AE122" s="622"/>
      <c r="AF122" s="622"/>
      <c r="AG122" s="622"/>
      <c r="AH122" s="622"/>
      <c r="AI122" s="622"/>
      <c r="AJ122" s="315"/>
      <c r="AK122" s="622"/>
      <c r="AL122" s="315"/>
      <c r="AM122" s="622"/>
      <c r="AN122" s="315"/>
      <c r="AO122" s="622"/>
      <c r="AP122" s="622"/>
      <c r="AR122" s="622"/>
      <c r="AS122" s="622"/>
      <c r="AT122" s="622"/>
      <c r="AU122" s="622"/>
      <c r="AV122" s="622"/>
      <c r="AW122" s="622"/>
      <c r="AX122" s="315"/>
      <c r="AY122" s="622"/>
      <c r="AZ122" s="315"/>
      <c r="BA122" s="622"/>
      <c r="BB122" s="315"/>
      <c r="BC122" s="622"/>
      <c r="BD122" s="622"/>
      <c r="BI122" s="304"/>
    </row>
    <row r="123" spans="1:61">
      <c r="A123" s="634" t="s">
        <v>103</v>
      </c>
      <c r="B123" s="750" t="s">
        <v>1467</v>
      </c>
      <c r="C123" s="750"/>
      <c r="D123" s="750"/>
      <c r="E123" s="750"/>
      <c r="F123" s="750"/>
      <c r="G123" s="750"/>
      <c r="H123" s="750"/>
      <c r="I123" s="750"/>
      <c r="J123" s="750"/>
      <c r="K123" s="750"/>
      <c r="L123" s="750"/>
      <c r="Z123" s="611"/>
    </row>
    <row r="124" spans="1:61">
      <c r="A124" s="555" t="s">
        <v>1353</v>
      </c>
      <c r="B124" s="750" t="s">
        <v>1455</v>
      </c>
      <c r="C124" s="750"/>
      <c r="D124" s="750"/>
      <c r="Z124" s="611"/>
    </row>
    <row r="125" spans="1:61">
      <c r="A125" s="555" t="s">
        <v>1456</v>
      </c>
      <c r="B125" s="750" t="s">
        <v>1457</v>
      </c>
      <c r="C125" s="750"/>
      <c r="D125" s="750"/>
      <c r="Z125" s="611"/>
    </row>
    <row r="126" spans="1:61">
      <c r="A126" s="555" t="s">
        <v>1359</v>
      </c>
      <c r="B126" s="750" t="s">
        <v>1458</v>
      </c>
      <c r="C126" s="750"/>
      <c r="D126" s="750"/>
      <c r="Z126" s="611"/>
    </row>
    <row r="127" spans="1:61">
      <c r="A127" s="555" t="s">
        <v>1362</v>
      </c>
      <c r="B127" s="750" t="s">
        <v>1459</v>
      </c>
      <c r="C127" s="750"/>
      <c r="D127" s="750"/>
    </row>
    <row r="128" spans="1:61">
      <c r="A128" s="555" t="s">
        <v>1368</v>
      </c>
      <c r="B128" s="750" t="s">
        <v>1460</v>
      </c>
      <c r="C128" s="750"/>
      <c r="D128" s="750"/>
    </row>
    <row r="129" spans="1:4">
      <c r="A129" s="555" t="s">
        <v>1331</v>
      </c>
      <c r="B129" s="750" t="s">
        <v>1461</v>
      </c>
      <c r="C129" s="750"/>
      <c r="D129" s="750"/>
    </row>
    <row r="130" spans="1:4">
      <c r="A130" s="555" t="s">
        <v>1462</v>
      </c>
      <c r="B130" s="750" t="s">
        <v>1463</v>
      </c>
      <c r="C130" s="750"/>
      <c r="D130" s="750"/>
    </row>
    <row r="131" spans="1:4">
      <c r="A131" s="555" t="s">
        <v>1336</v>
      </c>
      <c r="B131" s="750" t="s">
        <v>1468</v>
      </c>
      <c r="C131" s="750"/>
      <c r="D131" s="750"/>
    </row>
    <row r="132" spans="1:4">
      <c r="A132" s="634" t="s">
        <v>1465</v>
      </c>
      <c r="B132" s="556" t="s">
        <v>1466</v>
      </c>
      <c r="C132" s="556"/>
      <c r="D132" s="556"/>
    </row>
  </sheetData>
  <mergeCells count="18">
    <mergeCell ref="B131:D131"/>
    <mergeCell ref="R7:X7"/>
    <mergeCell ref="AJ7:AP7"/>
    <mergeCell ref="AX7:BD7"/>
    <mergeCell ref="B123:L123"/>
    <mergeCell ref="B124:D124"/>
    <mergeCell ref="B125:D125"/>
    <mergeCell ref="B126:D126"/>
    <mergeCell ref="B127:D127"/>
    <mergeCell ref="B128:D128"/>
    <mergeCell ref="B129:D129"/>
    <mergeCell ref="B130:D130"/>
    <mergeCell ref="J4:N4"/>
    <mergeCell ref="R4:V4"/>
    <mergeCell ref="AJ4:AN4"/>
    <mergeCell ref="AX4:BB4"/>
    <mergeCell ref="AB6:AF6"/>
    <mergeCell ref="AR6:AV6"/>
  </mergeCells>
  <printOptions horizontalCentered="1"/>
  <pageMargins left="1" right="1" top="1" bottom="1" header="0.5" footer="0.5"/>
  <pageSetup scale="13" fitToHeight="0" orientation="landscape" r:id="rId1"/>
  <headerFooter>
    <oddHeader xml:space="preserve">&amp;C&amp;"-,Bold"Pacific Gas and Electric Company
Formula Rate Model
Schedule &amp;A&amp;R&amp;10Docket No. ER20-2878-000, et al.
Annual Update RY2024
&amp;F
</oddHeader>
  </headerFooter>
  <colBreaks count="2" manualBreakCount="2">
    <brk id="15" max="1048575" man="1"/>
    <brk id="43" max="1048575" man="1"/>
  </colBreaks>
  <customProperties>
    <customPr name="EpmWorksheetKeyString_GU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fitToPage="1"/>
  </sheetPr>
  <dimension ref="A1:Q38"/>
  <sheetViews>
    <sheetView view="pageBreakPreview" topLeftCell="A22" zoomScale="40" zoomScaleNormal="85" zoomScaleSheetLayoutView="40" zoomScalePageLayoutView="80" workbookViewId="0">
      <selection activeCell="D45" sqref="D45"/>
    </sheetView>
  </sheetViews>
  <sheetFormatPr defaultColWidth="9.1796875" defaultRowHeight="14.5"/>
  <cols>
    <col min="1" max="1" width="7.1796875" bestFit="1" customWidth="1"/>
    <col min="2" max="2" width="8.81640625" customWidth="1"/>
    <col min="3" max="3" width="40.1796875" customWidth="1"/>
    <col min="4" max="4" width="18.7265625" bestFit="1" customWidth="1"/>
    <col min="5" max="6" width="20.54296875" bestFit="1" customWidth="1"/>
    <col min="7" max="7" width="20" bestFit="1" customWidth="1"/>
    <col min="8" max="8" width="18.7265625" bestFit="1" customWidth="1"/>
    <col min="9" max="9" width="19.1796875" bestFit="1" customWidth="1"/>
    <col min="10" max="10" width="18.7265625" bestFit="1" customWidth="1"/>
    <col min="11" max="13" width="20.1796875" bestFit="1" customWidth="1"/>
    <col min="14" max="14" width="18.26953125" customWidth="1"/>
    <col min="15" max="15" width="20.1796875" bestFit="1" customWidth="1"/>
    <col min="16" max="16" width="28.1796875" customWidth="1"/>
  </cols>
  <sheetData>
    <row r="1" spans="1:17">
      <c r="B1" s="2" t="s">
        <v>51</v>
      </c>
      <c r="M1" s="6"/>
      <c r="P1" s="6" t="str">
        <f>CONCATENATE("Prior Year: ",'1-DRR'!$K$2)</f>
        <v>Prior Year: 2022</v>
      </c>
    </row>
    <row r="2" spans="1:17">
      <c r="B2" s="78" t="s">
        <v>122</v>
      </c>
      <c r="C2" s="38"/>
      <c r="L2" s="6"/>
      <c r="M2" s="6"/>
      <c r="N2" s="6"/>
      <c r="O2" s="6"/>
      <c r="P2" s="6"/>
    </row>
    <row r="4" spans="1:17" ht="29">
      <c r="A4" s="3" t="s">
        <v>92</v>
      </c>
      <c r="D4" s="138" t="s">
        <v>904</v>
      </c>
      <c r="E4" s="110" t="s">
        <v>135</v>
      </c>
      <c r="F4" s="110" t="s">
        <v>136</v>
      </c>
      <c r="G4" s="110" t="s">
        <v>1469</v>
      </c>
      <c r="I4" s="24"/>
      <c r="Q4" s="3" t="str">
        <f>A4</f>
        <v>Line</v>
      </c>
    </row>
    <row r="5" spans="1:17" ht="15" customHeight="1">
      <c r="A5" s="4">
        <v>100</v>
      </c>
      <c r="B5" s="105" t="s">
        <v>1470</v>
      </c>
      <c r="C5" s="2"/>
      <c r="D5" s="242">
        <f>L11</f>
        <v>2770471913.5100007</v>
      </c>
      <c r="E5" s="24">
        <f>M11</f>
        <v>1975142063.1125312</v>
      </c>
      <c r="F5" s="24">
        <f>N11</f>
        <v>736790410.6780535</v>
      </c>
      <c r="G5" s="24">
        <f>O11</f>
        <v>2711932473.7905846</v>
      </c>
      <c r="Q5" s="4">
        <f>A5</f>
        <v>100</v>
      </c>
    </row>
    <row r="6" spans="1:17">
      <c r="A6" s="3"/>
      <c r="I6" s="433"/>
    </row>
    <row r="7" spans="1:17">
      <c r="B7" s="3" t="s">
        <v>124</v>
      </c>
      <c r="C7" s="3" t="s">
        <v>125</v>
      </c>
      <c r="D7" s="3" t="s">
        <v>126</v>
      </c>
      <c r="E7" s="3" t="s">
        <v>127</v>
      </c>
      <c r="F7" s="3" t="s">
        <v>420</v>
      </c>
      <c r="G7" s="3" t="s">
        <v>421</v>
      </c>
      <c r="H7" s="3" t="s">
        <v>422</v>
      </c>
      <c r="I7" s="3" t="s">
        <v>423</v>
      </c>
      <c r="J7" s="3" t="s">
        <v>424</v>
      </c>
      <c r="K7" s="3" t="s">
        <v>692</v>
      </c>
      <c r="L7" s="3" t="s">
        <v>693</v>
      </c>
      <c r="M7" s="3" t="s">
        <v>694</v>
      </c>
      <c r="N7" s="3" t="s">
        <v>695</v>
      </c>
      <c r="O7" s="3" t="s">
        <v>696</v>
      </c>
      <c r="P7" s="3" t="s">
        <v>697</v>
      </c>
    </row>
    <row r="8" spans="1:17">
      <c r="A8" s="7" t="s">
        <v>128</v>
      </c>
      <c r="B8" s="21"/>
      <c r="C8" s="21"/>
      <c r="D8" s="21" t="s">
        <v>103</v>
      </c>
      <c r="E8" s="21" t="s">
        <v>103</v>
      </c>
      <c r="F8" s="108" t="s">
        <v>1471</v>
      </c>
      <c r="G8" s="21" t="s">
        <v>1472</v>
      </c>
      <c r="H8" s="21" t="s">
        <v>1472</v>
      </c>
      <c r="I8" s="21" t="s">
        <v>1473</v>
      </c>
      <c r="J8" s="21" t="s">
        <v>1474</v>
      </c>
      <c r="K8" s="21" t="s">
        <v>1475</v>
      </c>
      <c r="L8" s="21" t="s">
        <v>1476</v>
      </c>
      <c r="M8" s="21"/>
      <c r="N8" s="21"/>
      <c r="O8" s="21" t="s">
        <v>1477</v>
      </c>
      <c r="P8" s="21"/>
    </row>
    <row r="9" spans="1:17" ht="28.5" customHeight="1">
      <c r="B9" s="757" t="s">
        <v>608</v>
      </c>
      <c r="C9" s="757" t="s">
        <v>1478</v>
      </c>
      <c r="D9" s="759" t="s">
        <v>1479</v>
      </c>
      <c r="E9" s="760"/>
      <c r="F9" s="761"/>
      <c r="G9" s="751" t="s">
        <v>611</v>
      </c>
      <c r="H9" s="752"/>
      <c r="I9" s="753"/>
      <c r="J9" s="751" t="s">
        <v>1480</v>
      </c>
      <c r="K9" s="752"/>
      <c r="L9" s="753"/>
      <c r="M9" s="751" t="s">
        <v>1481</v>
      </c>
      <c r="N9" s="752"/>
      <c r="O9" s="752"/>
      <c r="P9" s="753"/>
    </row>
    <row r="10" spans="1:17">
      <c r="A10" s="3" t="s">
        <v>92</v>
      </c>
      <c r="B10" s="758"/>
      <c r="C10" s="758"/>
      <c r="D10" s="434" t="s">
        <v>1131</v>
      </c>
      <c r="E10" s="434" t="s">
        <v>1482</v>
      </c>
      <c r="F10" s="434" t="s">
        <v>736</v>
      </c>
      <c r="G10" s="434" t="s">
        <v>1131</v>
      </c>
      <c r="H10" s="434" t="s">
        <v>1482</v>
      </c>
      <c r="I10" s="434" t="s">
        <v>736</v>
      </c>
      <c r="J10" s="434" t="s">
        <v>1131</v>
      </c>
      <c r="K10" s="434" t="s">
        <v>1482</v>
      </c>
      <c r="L10" s="434" t="s">
        <v>736</v>
      </c>
      <c r="M10" s="434" t="s">
        <v>434</v>
      </c>
      <c r="N10" s="435" t="s">
        <v>462</v>
      </c>
      <c r="O10" s="435" t="s">
        <v>736</v>
      </c>
      <c r="P10" s="754" t="s">
        <v>1483</v>
      </c>
      <c r="Q10" s="3"/>
    </row>
    <row r="11" spans="1:17" ht="15" thickBot="1">
      <c r="A11" s="4">
        <f>A5+1</f>
        <v>101</v>
      </c>
      <c r="B11" s="756" t="s">
        <v>1484</v>
      </c>
      <c r="C11" s="756"/>
      <c r="D11" s="436">
        <f t="shared" ref="D11:L11" si="0">SUM(D12:D31)</f>
        <v>554825544.26000011</v>
      </c>
      <c r="E11" s="436">
        <f t="shared" si="0"/>
        <v>2283113804.98</v>
      </c>
      <c r="F11" s="436">
        <f>SUM(F12:F31)</f>
        <v>2837939349.2400007</v>
      </c>
      <c r="G11" s="436">
        <f t="shared" si="0"/>
        <v>-5073494.88</v>
      </c>
      <c r="H11" s="436">
        <f t="shared" si="0"/>
        <v>-62393940.849999994</v>
      </c>
      <c r="I11" s="436">
        <f t="shared" si="0"/>
        <v>-67467435.729999989</v>
      </c>
      <c r="J11" s="436">
        <f t="shared" si="0"/>
        <v>549752049.38000011</v>
      </c>
      <c r="K11" s="436">
        <f t="shared" si="0"/>
        <v>2220719864.1300001</v>
      </c>
      <c r="L11" s="436">
        <f t="shared" si="0"/>
        <v>2770471913.5100007</v>
      </c>
      <c r="M11" s="436">
        <f t="shared" ref="M11" si="1">SUM(M12:M31)</f>
        <v>1975142063.1125312</v>
      </c>
      <c r="N11" s="436">
        <f t="shared" ref="N11" si="2">SUM(N12:N31)</f>
        <v>736790410.6780535</v>
      </c>
      <c r="O11" s="436">
        <f>M11+N11</f>
        <v>2711932473.7905846</v>
      </c>
      <c r="P11" s="755"/>
      <c r="Q11" s="4">
        <f>A11</f>
        <v>101</v>
      </c>
    </row>
    <row r="12" spans="1:17" ht="29.25" customHeight="1" thickTop="1">
      <c r="A12" s="4">
        <f>A11+1</f>
        <v>102</v>
      </c>
      <c r="B12" s="390">
        <v>580</v>
      </c>
      <c r="C12" s="34" t="s">
        <v>1485</v>
      </c>
      <c r="D12" s="437">
        <v>3172619.4300000016</v>
      </c>
      <c r="E12" s="437">
        <v>5032668.03</v>
      </c>
      <c r="F12" s="438">
        <f t="shared" ref="F12:F31" si="3">D12+E12</f>
        <v>8205287.4600000018</v>
      </c>
      <c r="G12" s="437">
        <v>0</v>
      </c>
      <c r="H12" s="437">
        <v>0</v>
      </c>
      <c r="I12" s="438">
        <f>G12+H12</f>
        <v>0</v>
      </c>
      <c r="J12" s="438">
        <f t="shared" ref="J12:J31" si="4">D12+G12</f>
        <v>3172619.4300000016</v>
      </c>
      <c r="K12" s="438">
        <f t="shared" ref="K12:K31" si="5">E12+H12</f>
        <v>5032668.03</v>
      </c>
      <c r="L12" s="438">
        <f t="shared" ref="L12:L31" si="6">J12+K12</f>
        <v>8205287.4600000018</v>
      </c>
      <c r="M12" s="438">
        <f>L12*'6-PlantJurisdiction'!$E$85</f>
        <v>3972739.2544621639</v>
      </c>
      <c r="N12" s="438">
        <f>L12*'6-PlantJurisdiction'!$F$85</f>
        <v>3860601.8839009576</v>
      </c>
      <c r="O12" s="438">
        <f t="shared" ref="O12:O31" si="7">M12+N12</f>
        <v>7833341.1383631211</v>
      </c>
      <c r="P12" s="439" t="s">
        <v>1486</v>
      </c>
      <c r="Q12" s="4">
        <f t="shared" ref="Q12:Q31" si="8">A12</f>
        <v>102</v>
      </c>
    </row>
    <row r="13" spans="1:17" ht="29">
      <c r="A13" s="4">
        <f t="shared" ref="A13:A31" si="9">A12+1</f>
        <v>103</v>
      </c>
      <c r="B13" s="390">
        <v>581</v>
      </c>
      <c r="C13" s="34" t="s">
        <v>1487</v>
      </c>
      <c r="D13" s="437"/>
      <c r="E13" s="437"/>
      <c r="F13" s="438">
        <f t="shared" si="3"/>
        <v>0</v>
      </c>
      <c r="G13" s="437"/>
      <c r="H13" s="437"/>
      <c r="I13" s="438">
        <f t="shared" ref="I13:I31" si="10">G13+H13</f>
        <v>0</v>
      </c>
      <c r="J13" s="438">
        <f t="shared" si="4"/>
        <v>0</v>
      </c>
      <c r="K13" s="438">
        <f t="shared" si="5"/>
        <v>0</v>
      </c>
      <c r="L13" s="438">
        <f t="shared" si="6"/>
        <v>0</v>
      </c>
      <c r="M13" s="438">
        <f>L13*'6-PlantJurisdiction'!$E$85</f>
        <v>0</v>
      </c>
      <c r="N13" s="438">
        <f>L13*'6-PlantJurisdiction'!$F$85</f>
        <v>0</v>
      </c>
      <c r="O13" s="438">
        <f t="shared" si="7"/>
        <v>0</v>
      </c>
      <c r="P13" s="439" t="s">
        <v>1486</v>
      </c>
      <c r="Q13" s="4">
        <f t="shared" si="8"/>
        <v>103</v>
      </c>
    </row>
    <row r="14" spans="1:17" ht="29">
      <c r="A14" s="4">
        <f t="shared" si="9"/>
        <v>104</v>
      </c>
      <c r="B14" s="390">
        <v>582</v>
      </c>
      <c r="C14" s="34" t="s">
        <v>1488</v>
      </c>
      <c r="D14" s="437">
        <v>2420815.85</v>
      </c>
      <c r="E14" s="437">
        <v>3681520.1100000013</v>
      </c>
      <c r="F14" s="438">
        <f t="shared" si="3"/>
        <v>6102335.9600000009</v>
      </c>
      <c r="G14" s="437">
        <v>0</v>
      </c>
      <c r="H14" s="437">
        <v>0</v>
      </c>
      <c r="I14" s="438">
        <f t="shared" si="10"/>
        <v>0</v>
      </c>
      <c r="J14" s="438">
        <f t="shared" si="4"/>
        <v>2420815.85</v>
      </c>
      <c r="K14" s="438">
        <f t="shared" si="5"/>
        <v>3681520.1100000013</v>
      </c>
      <c r="L14" s="438">
        <f t="shared" si="6"/>
        <v>6102335.9600000009</v>
      </c>
      <c r="M14" s="438">
        <f>L14*'6-PlantJurisdiction'!E39</f>
        <v>6102335.9600000009</v>
      </c>
      <c r="N14" s="438">
        <f>L14*'6-PlantJurisdiction'!F39</f>
        <v>0</v>
      </c>
      <c r="O14" s="438">
        <f t="shared" si="7"/>
        <v>6102335.9600000009</v>
      </c>
      <c r="P14" s="439" t="s">
        <v>1489</v>
      </c>
      <c r="Q14" s="4">
        <f t="shared" si="8"/>
        <v>104</v>
      </c>
    </row>
    <row r="15" spans="1:17" ht="29">
      <c r="A15" s="4">
        <f t="shared" si="9"/>
        <v>105</v>
      </c>
      <c r="B15" s="390">
        <v>583</v>
      </c>
      <c r="C15" s="34" t="s">
        <v>1490</v>
      </c>
      <c r="D15" s="437">
        <v>30474666.540000021</v>
      </c>
      <c r="E15" s="437">
        <v>70547113.690000027</v>
      </c>
      <c r="F15" s="438">
        <f t="shared" si="3"/>
        <v>101021780.23000005</v>
      </c>
      <c r="G15" s="437">
        <v>0</v>
      </c>
      <c r="H15" s="437">
        <v>0</v>
      </c>
      <c r="I15" s="438">
        <f t="shared" si="10"/>
        <v>0</v>
      </c>
      <c r="J15" s="438">
        <f t="shared" si="4"/>
        <v>30474666.540000021</v>
      </c>
      <c r="K15" s="438">
        <f t="shared" si="5"/>
        <v>70547113.690000027</v>
      </c>
      <c r="L15" s="438">
        <f t="shared" si="6"/>
        <v>101021780.23000005</v>
      </c>
      <c r="M15" s="438">
        <f>$L$15*'6-PlantJurisdiction'!E42</f>
        <v>80040425.661017463</v>
      </c>
      <c r="N15" s="438">
        <f>$L$15*'6-PlantJurisdiction'!F42</f>
        <v>20981354.56898259</v>
      </c>
      <c r="O15" s="438">
        <f t="shared" si="7"/>
        <v>101021780.23000005</v>
      </c>
      <c r="P15" s="439" t="s">
        <v>1491</v>
      </c>
      <c r="Q15" s="4">
        <f t="shared" si="8"/>
        <v>105</v>
      </c>
    </row>
    <row r="16" spans="1:17" ht="29">
      <c r="A16" s="4">
        <f t="shared" si="9"/>
        <v>106</v>
      </c>
      <c r="B16" s="390">
        <v>584</v>
      </c>
      <c r="C16" s="34" t="s">
        <v>1492</v>
      </c>
      <c r="D16" s="437">
        <v>35714582.479999997</v>
      </c>
      <c r="E16" s="437">
        <v>18952803.989999995</v>
      </c>
      <c r="F16" s="438">
        <f t="shared" si="3"/>
        <v>54667386.469999991</v>
      </c>
      <c r="G16" s="437">
        <v>0</v>
      </c>
      <c r="H16" s="437">
        <v>0</v>
      </c>
      <c r="I16" s="438">
        <f t="shared" si="10"/>
        <v>0</v>
      </c>
      <c r="J16" s="438">
        <f t="shared" si="4"/>
        <v>35714582.479999997</v>
      </c>
      <c r="K16" s="438">
        <f t="shared" si="5"/>
        <v>18952803.989999995</v>
      </c>
      <c r="L16" s="438">
        <f t="shared" si="6"/>
        <v>54667386.469999991</v>
      </c>
      <c r="M16" s="438">
        <f>$L$16*'6-PlantJurisdiction'!E43</f>
        <v>21416690.335756663</v>
      </c>
      <c r="N16" s="438">
        <f>$L$16*'6-PlantJurisdiction'!F43</f>
        <v>33250696.134243324</v>
      </c>
      <c r="O16" s="438">
        <f t="shared" si="7"/>
        <v>54667386.469999984</v>
      </c>
      <c r="P16" s="439" t="s">
        <v>1493</v>
      </c>
      <c r="Q16" s="4">
        <f t="shared" si="8"/>
        <v>106</v>
      </c>
    </row>
    <row r="17" spans="1:17" ht="29">
      <c r="A17" s="4">
        <f t="shared" si="9"/>
        <v>107</v>
      </c>
      <c r="B17" s="390">
        <v>584.1</v>
      </c>
      <c r="C17" s="34" t="s">
        <v>1494</v>
      </c>
      <c r="D17" s="437"/>
      <c r="E17" s="437"/>
      <c r="F17" s="438">
        <f t="shared" si="3"/>
        <v>0</v>
      </c>
      <c r="G17" s="437"/>
      <c r="H17" s="437"/>
      <c r="I17" s="438">
        <f t="shared" si="10"/>
        <v>0</v>
      </c>
      <c r="J17" s="438">
        <f t="shared" si="4"/>
        <v>0</v>
      </c>
      <c r="K17" s="438">
        <f t="shared" si="5"/>
        <v>0</v>
      </c>
      <c r="L17" s="438">
        <f t="shared" si="6"/>
        <v>0</v>
      </c>
      <c r="M17" s="438">
        <f>L17*'6-PlantJurisdiction'!$E$85</f>
        <v>0</v>
      </c>
      <c r="N17" s="438">
        <f>L17*'6-PlantJurisdiction'!$F$85</f>
        <v>0</v>
      </c>
      <c r="O17" s="438">
        <f t="shared" si="7"/>
        <v>0</v>
      </c>
      <c r="P17" s="439" t="s">
        <v>1486</v>
      </c>
      <c r="Q17" s="4">
        <f t="shared" si="8"/>
        <v>107</v>
      </c>
    </row>
    <row r="18" spans="1:17" ht="29">
      <c r="A18" s="4">
        <f t="shared" si="9"/>
        <v>108</v>
      </c>
      <c r="B18" s="390">
        <v>585</v>
      </c>
      <c r="C18" s="34" t="s">
        <v>1495</v>
      </c>
      <c r="D18" s="437"/>
      <c r="E18" s="437"/>
      <c r="F18" s="438">
        <f t="shared" si="3"/>
        <v>0</v>
      </c>
      <c r="G18" s="437"/>
      <c r="H18" s="437"/>
      <c r="I18" s="438">
        <f t="shared" si="10"/>
        <v>0</v>
      </c>
      <c r="J18" s="438">
        <f t="shared" si="4"/>
        <v>0</v>
      </c>
      <c r="K18" s="438">
        <f t="shared" si="5"/>
        <v>0</v>
      </c>
      <c r="L18" s="438">
        <f t="shared" si="6"/>
        <v>0</v>
      </c>
      <c r="M18" s="438">
        <f>L18*'6-PlantJurisdiction'!$E$85</f>
        <v>0</v>
      </c>
      <c r="N18" s="438">
        <f>L18*'6-PlantJurisdiction'!$F$85</f>
        <v>0</v>
      </c>
      <c r="O18" s="438">
        <f t="shared" si="7"/>
        <v>0</v>
      </c>
      <c r="P18" s="439" t="s">
        <v>1486</v>
      </c>
      <c r="Q18" s="4">
        <f t="shared" si="8"/>
        <v>108</v>
      </c>
    </row>
    <row r="19" spans="1:17" ht="29">
      <c r="A19" s="4">
        <f t="shared" si="9"/>
        <v>109</v>
      </c>
      <c r="B19" s="390">
        <v>586</v>
      </c>
      <c r="C19" s="34" t="s">
        <v>1496</v>
      </c>
      <c r="D19" s="437">
        <v>2062714.5399999998</v>
      </c>
      <c r="E19" s="437">
        <v>48368.76999999999</v>
      </c>
      <c r="F19" s="438">
        <f t="shared" si="3"/>
        <v>2111083.3099999996</v>
      </c>
      <c r="G19" s="437">
        <v>0</v>
      </c>
      <c r="H19" s="437">
        <v>0</v>
      </c>
      <c r="I19" s="438">
        <f t="shared" si="10"/>
        <v>0</v>
      </c>
      <c r="J19" s="438">
        <f t="shared" si="4"/>
        <v>2062714.5399999998</v>
      </c>
      <c r="K19" s="438">
        <f t="shared" si="5"/>
        <v>48368.76999999999</v>
      </c>
      <c r="L19" s="438">
        <f t="shared" si="6"/>
        <v>2111083.3099999996</v>
      </c>
      <c r="M19" s="438">
        <f>$L$19*'6-PlantJurisdiction'!E47</f>
        <v>0</v>
      </c>
      <c r="N19" s="438">
        <f>$L$19*'6-PlantJurisdiction'!F47</f>
        <v>0</v>
      </c>
      <c r="O19" s="438">
        <f t="shared" si="7"/>
        <v>0</v>
      </c>
      <c r="P19" s="439" t="s">
        <v>1497</v>
      </c>
      <c r="Q19" s="4">
        <f t="shared" si="8"/>
        <v>109</v>
      </c>
    </row>
    <row r="20" spans="1:17" ht="29">
      <c r="A20" s="4">
        <f t="shared" si="9"/>
        <v>110</v>
      </c>
      <c r="B20" s="390">
        <v>587</v>
      </c>
      <c r="C20" s="190" t="s">
        <v>1498</v>
      </c>
      <c r="D20" s="437">
        <v>18727800.319999997</v>
      </c>
      <c r="E20" s="437">
        <v>3154234.9499999988</v>
      </c>
      <c r="F20" s="438">
        <f t="shared" si="3"/>
        <v>21882035.269999996</v>
      </c>
      <c r="G20" s="437">
        <v>0</v>
      </c>
      <c r="H20" s="437">
        <v>0</v>
      </c>
      <c r="I20" s="438">
        <f t="shared" si="10"/>
        <v>0</v>
      </c>
      <c r="J20" s="438">
        <f t="shared" si="4"/>
        <v>18727800.319999997</v>
      </c>
      <c r="K20" s="438">
        <f t="shared" si="5"/>
        <v>3154234.9499999988</v>
      </c>
      <c r="L20" s="438">
        <f t="shared" si="6"/>
        <v>21882035.269999996</v>
      </c>
      <c r="M20" s="438">
        <f>$L$20*'6-PlantJurisdiction'!E48</f>
        <v>0</v>
      </c>
      <c r="N20" s="438">
        <f>$L$20*'6-PlantJurisdiction'!F48</f>
        <v>0</v>
      </c>
      <c r="O20" s="438">
        <f t="shared" si="7"/>
        <v>0</v>
      </c>
      <c r="P20" s="439" t="s">
        <v>1499</v>
      </c>
      <c r="Q20" s="4">
        <f t="shared" si="8"/>
        <v>110</v>
      </c>
    </row>
    <row r="21" spans="1:17" ht="29">
      <c r="A21" s="4">
        <f t="shared" si="9"/>
        <v>111</v>
      </c>
      <c r="B21" s="390">
        <v>588</v>
      </c>
      <c r="C21" t="s">
        <v>1500</v>
      </c>
      <c r="D21" s="437">
        <v>158798724.45000002</v>
      </c>
      <c r="E21" s="437">
        <v>400248269.46000075</v>
      </c>
      <c r="F21" s="438">
        <f t="shared" si="3"/>
        <v>559046993.9100008</v>
      </c>
      <c r="G21" s="486">
        <v>-5073494.88</v>
      </c>
      <c r="H21" s="486">
        <v>-62393940.849999994</v>
      </c>
      <c r="I21" s="438">
        <f t="shared" si="10"/>
        <v>-67467435.729999989</v>
      </c>
      <c r="J21" s="438">
        <f t="shared" si="4"/>
        <v>153725229.57000002</v>
      </c>
      <c r="K21" s="438">
        <f t="shared" si="5"/>
        <v>337854328.61000073</v>
      </c>
      <c r="L21" s="438">
        <f t="shared" si="6"/>
        <v>491579558.18000078</v>
      </c>
      <c r="M21" s="438">
        <f>$L$21*'6-PlantJurisdiction'!E85</f>
        <v>238007189.50958675</v>
      </c>
      <c r="N21" s="438">
        <f>$L$21*'6-PlantJurisdiction'!F85</f>
        <v>231289028.8912451</v>
      </c>
      <c r="O21" s="438">
        <f t="shared" si="7"/>
        <v>469296218.40083182</v>
      </c>
      <c r="P21" s="439" t="s">
        <v>1486</v>
      </c>
      <c r="Q21" s="4">
        <f t="shared" si="8"/>
        <v>111</v>
      </c>
    </row>
    <row r="22" spans="1:17" ht="29">
      <c r="A22" s="4">
        <f t="shared" si="9"/>
        <v>112</v>
      </c>
      <c r="B22" s="390">
        <v>589</v>
      </c>
      <c r="C22" s="34" t="s">
        <v>1501</v>
      </c>
      <c r="D22" s="437">
        <v>35.279999999999994</v>
      </c>
      <c r="E22" s="437">
        <v>461075.96999999986</v>
      </c>
      <c r="F22" s="438">
        <f t="shared" si="3"/>
        <v>461111.24999999988</v>
      </c>
      <c r="G22" s="437">
        <v>0</v>
      </c>
      <c r="H22" s="437">
        <v>0</v>
      </c>
      <c r="I22" s="438">
        <f t="shared" si="10"/>
        <v>0</v>
      </c>
      <c r="J22" s="438">
        <f t="shared" si="4"/>
        <v>35.279999999999994</v>
      </c>
      <c r="K22" s="438">
        <f t="shared" si="5"/>
        <v>461075.96999999986</v>
      </c>
      <c r="L22" s="438">
        <f t="shared" si="6"/>
        <v>461111.24999999988</v>
      </c>
      <c r="M22" s="438">
        <f>L22*'6-PlantJurisdiction'!$E$85</f>
        <v>223255.40360155958</v>
      </c>
      <c r="N22" s="438">
        <f>L22*'6-PlantJurisdiction'!$F$85</f>
        <v>216953.63740954478</v>
      </c>
      <c r="O22" s="438">
        <f t="shared" si="7"/>
        <v>440209.04101110436</v>
      </c>
      <c r="P22" s="439" t="s">
        <v>1486</v>
      </c>
      <c r="Q22" s="4">
        <f t="shared" si="8"/>
        <v>112</v>
      </c>
    </row>
    <row r="23" spans="1:17" ht="29">
      <c r="A23" s="4">
        <f t="shared" si="9"/>
        <v>113</v>
      </c>
      <c r="B23" s="390">
        <v>590</v>
      </c>
      <c r="C23" s="34" t="s">
        <v>1502</v>
      </c>
      <c r="D23" s="437">
        <v>8963930.0999999996</v>
      </c>
      <c r="E23" s="437">
        <v>4166290.6700000009</v>
      </c>
      <c r="F23" s="438">
        <f t="shared" si="3"/>
        <v>13130220.77</v>
      </c>
      <c r="G23" s="437">
        <v>0</v>
      </c>
      <c r="H23" s="437">
        <v>0</v>
      </c>
      <c r="I23" s="438">
        <f t="shared" si="10"/>
        <v>0</v>
      </c>
      <c r="J23" s="438">
        <f t="shared" si="4"/>
        <v>8963930.0999999996</v>
      </c>
      <c r="K23" s="438">
        <f t="shared" si="5"/>
        <v>4166290.6700000009</v>
      </c>
      <c r="L23" s="438">
        <f t="shared" si="6"/>
        <v>13130220.77</v>
      </c>
      <c r="M23" s="438">
        <f>L23*'6-PlantJurisdiction'!$E$85</f>
        <v>6357235.3469665525</v>
      </c>
      <c r="N23" s="438">
        <f>L23*'6-PlantJurisdiction'!$F$85</f>
        <v>6177791.4896716457</v>
      </c>
      <c r="O23" s="438">
        <f t="shared" si="7"/>
        <v>12535026.836638197</v>
      </c>
      <c r="P23" s="439" t="s">
        <v>1486</v>
      </c>
      <c r="Q23" s="4">
        <f t="shared" si="8"/>
        <v>113</v>
      </c>
    </row>
    <row r="24" spans="1:17" ht="29">
      <c r="A24" s="4">
        <f t="shared" si="9"/>
        <v>114</v>
      </c>
      <c r="B24" s="390">
        <v>591</v>
      </c>
      <c r="C24" s="34" t="s">
        <v>1503</v>
      </c>
      <c r="D24" s="437">
        <v>305.27</v>
      </c>
      <c r="E24" s="437">
        <v>2630301.4499999993</v>
      </c>
      <c r="F24" s="438">
        <f t="shared" si="3"/>
        <v>2630606.7199999993</v>
      </c>
      <c r="G24" s="437">
        <v>0</v>
      </c>
      <c r="H24" s="437">
        <v>0</v>
      </c>
      <c r="I24" s="438">
        <f t="shared" si="10"/>
        <v>0</v>
      </c>
      <c r="J24" s="438">
        <f t="shared" si="4"/>
        <v>305.27</v>
      </c>
      <c r="K24" s="438">
        <f t="shared" si="5"/>
        <v>2630301.4499999993</v>
      </c>
      <c r="L24" s="438">
        <f t="shared" si="6"/>
        <v>2630606.7199999993</v>
      </c>
      <c r="M24" s="438">
        <f>$L$24*'6-PlantJurisdiction'!E38</f>
        <v>2630606.7199999993</v>
      </c>
      <c r="N24" s="438">
        <f>$L$24*'6-PlantJurisdiction'!F38</f>
        <v>0</v>
      </c>
      <c r="O24" s="438">
        <f t="shared" si="7"/>
        <v>2630606.7199999993</v>
      </c>
      <c r="P24" s="439" t="s">
        <v>1504</v>
      </c>
      <c r="Q24" s="4">
        <f t="shared" si="8"/>
        <v>114</v>
      </c>
    </row>
    <row r="25" spans="1:17" ht="29">
      <c r="A25" s="4">
        <f t="shared" si="9"/>
        <v>115</v>
      </c>
      <c r="B25" s="390">
        <v>592</v>
      </c>
      <c r="C25" s="34" t="s">
        <v>1505</v>
      </c>
      <c r="D25" s="437">
        <v>30238662.49000001</v>
      </c>
      <c r="E25" s="437">
        <v>19428240.260000002</v>
      </c>
      <c r="F25" s="438">
        <f t="shared" si="3"/>
        <v>49666902.750000015</v>
      </c>
      <c r="G25" s="437">
        <v>0</v>
      </c>
      <c r="H25" s="437">
        <v>0</v>
      </c>
      <c r="I25" s="438">
        <f t="shared" si="10"/>
        <v>0</v>
      </c>
      <c r="J25" s="438">
        <f t="shared" si="4"/>
        <v>30238662.49000001</v>
      </c>
      <c r="K25" s="438">
        <f t="shared" si="5"/>
        <v>19428240.260000002</v>
      </c>
      <c r="L25" s="438">
        <f t="shared" si="6"/>
        <v>49666902.750000015</v>
      </c>
      <c r="M25" s="438">
        <f>$L$25*'6-PlantJurisdiction'!E39</f>
        <v>49666902.750000015</v>
      </c>
      <c r="N25" s="438">
        <f>$L$25*'6-PlantJurisdiction'!F39</f>
        <v>0</v>
      </c>
      <c r="O25" s="438">
        <f t="shared" si="7"/>
        <v>49666902.750000015</v>
      </c>
      <c r="P25" s="439" t="s">
        <v>1489</v>
      </c>
      <c r="Q25" s="4">
        <f t="shared" si="8"/>
        <v>115</v>
      </c>
    </row>
    <row r="26" spans="1:17" ht="29">
      <c r="A26" s="4">
        <f t="shared" si="9"/>
        <v>116</v>
      </c>
      <c r="B26" s="390">
        <v>593</v>
      </c>
      <c r="C26" s="34" t="s">
        <v>1506</v>
      </c>
      <c r="D26" s="437">
        <v>231914229.88000017</v>
      </c>
      <c r="E26" s="437">
        <v>1716449153.6099997</v>
      </c>
      <c r="F26" s="438">
        <f t="shared" si="3"/>
        <v>1948363383.4899998</v>
      </c>
      <c r="G26" s="437">
        <v>0</v>
      </c>
      <c r="H26" s="437">
        <v>0</v>
      </c>
      <c r="I26" s="438">
        <f t="shared" si="10"/>
        <v>0</v>
      </c>
      <c r="J26" s="438">
        <f t="shared" si="4"/>
        <v>231914229.88000017</v>
      </c>
      <c r="K26" s="438">
        <f t="shared" si="5"/>
        <v>1716449153.6099997</v>
      </c>
      <c r="L26" s="438">
        <f t="shared" si="6"/>
        <v>1948363383.4899998</v>
      </c>
      <c r="M26" s="438">
        <f>$L$26*'6-PlantJurisdiction'!E42</f>
        <v>1543705072.3302197</v>
      </c>
      <c r="N26" s="438">
        <f>$L$26*'6-PlantJurisdiction'!F42</f>
        <v>404658311.15978009</v>
      </c>
      <c r="O26" s="438">
        <f t="shared" si="7"/>
        <v>1948363383.4899998</v>
      </c>
      <c r="P26" s="439" t="s">
        <v>1491</v>
      </c>
      <c r="Q26" s="4">
        <f t="shared" si="8"/>
        <v>116</v>
      </c>
    </row>
    <row r="27" spans="1:17" ht="29">
      <c r="A27" s="4">
        <f t="shared" si="9"/>
        <v>117</v>
      </c>
      <c r="B27" s="390">
        <v>594</v>
      </c>
      <c r="C27" s="34" t="s">
        <v>1507</v>
      </c>
      <c r="D27" s="437">
        <v>24857326.719999999</v>
      </c>
      <c r="E27" s="437">
        <v>30800983.490000002</v>
      </c>
      <c r="F27" s="438">
        <f t="shared" si="3"/>
        <v>55658310.210000001</v>
      </c>
      <c r="G27" s="437">
        <v>0</v>
      </c>
      <c r="H27" s="437">
        <v>0</v>
      </c>
      <c r="I27" s="438">
        <f t="shared" si="10"/>
        <v>0</v>
      </c>
      <c r="J27" s="438">
        <f t="shared" si="4"/>
        <v>24857326.719999999</v>
      </c>
      <c r="K27" s="438">
        <f t="shared" si="5"/>
        <v>30800983.490000002</v>
      </c>
      <c r="L27" s="438">
        <f t="shared" si="6"/>
        <v>55658310.210000001</v>
      </c>
      <c r="M27" s="438">
        <f>$L$27*'6-PlantJurisdiction'!E43</f>
        <v>21804898.155012414</v>
      </c>
      <c r="N27" s="438">
        <f>$L$27*'6-PlantJurisdiction'!F43</f>
        <v>33853412.054987587</v>
      </c>
      <c r="O27" s="438">
        <f t="shared" si="7"/>
        <v>55658310.210000001</v>
      </c>
      <c r="P27" s="439" t="s">
        <v>1493</v>
      </c>
      <c r="Q27" s="4">
        <f t="shared" si="8"/>
        <v>117</v>
      </c>
    </row>
    <row r="28" spans="1:17" ht="29">
      <c r="A28" s="4">
        <f t="shared" si="9"/>
        <v>118</v>
      </c>
      <c r="B28" s="390">
        <v>595</v>
      </c>
      <c r="C28" s="34" t="s">
        <v>1508</v>
      </c>
      <c r="D28" s="437">
        <v>1096751.02</v>
      </c>
      <c r="E28" s="437">
        <v>225085.46999999991</v>
      </c>
      <c r="F28" s="438">
        <f t="shared" si="3"/>
        <v>1321836.49</v>
      </c>
      <c r="G28" s="437">
        <v>0</v>
      </c>
      <c r="H28" s="437">
        <v>0</v>
      </c>
      <c r="I28" s="438">
        <f t="shared" si="10"/>
        <v>0</v>
      </c>
      <c r="J28" s="438">
        <f t="shared" si="4"/>
        <v>1096751.02</v>
      </c>
      <c r="K28" s="438">
        <f t="shared" si="5"/>
        <v>225085.46999999991</v>
      </c>
      <c r="L28" s="438">
        <f t="shared" si="6"/>
        <v>1321836.49</v>
      </c>
      <c r="M28" s="438">
        <f>$L$28*'6-PlantJurisdiction'!E45</f>
        <v>0</v>
      </c>
      <c r="N28" s="438">
        <f>$L$28*'6-PlantJurisdiction'!F45</f>
        <v>1321836.49</v>
      </c>
      <c r="O28" s="438">
        <f t="shared" si="7"/>
        <v>1321836.49</v>
      </c>
      <c r="P28" s="439" t="s">
        <v>1509</v>
      </c>
      <c r="Q28" s="4">
        <f t="shared" si="8"/>
        <v>118</v>
      </c>
    </row>
    <row r="29" spans="1:17" ht="29">
      <c r="A29" s="4">
        <f t="shared" si="9"/>
        <v>119</v>
      </c>
      <c r="B29" s="390">
        <v>596</v>
      </c>
      <c r="C29" s="34" t="s">
        <v>1510</v>
      </c>
      <c r="D29" s="437">
        <v>483486.48999999993</v>
      </c>
      <c r="E29" s="437">
        <v>453240.82000000007</v>
      </c>
      <c r="F29" s="438">
        <f t="shared" si="3"/>
        <v>936727.31</v>
      </c>
      <c r="G29" s="437">
        <v>0</v>
      </c>
      <c r="H29" s="437">
        <v>0</v>
      </c>
      <c r="I29" s="438">
        <f t="shared" si="10"/>
        <v>0</v>
      </c>
      <c r="J29" s="438">
        <f t="shared" si="4"/>
        <v>483486.48999999993</v>
      </c>
      <c r="K29" s="438">
        <f t="shared" si="5"/>
        <v>453240.82000000007</v>
      </c>
      <c r="L29" s="438">
        <f t="shared" si="6"/>
        <v>936727.31</v>
      </c>
      <c r="M29" s="438">
        <f>$L$29*'6-PlantJurisdiction'!E50</f>
        <v>0</v>
      </c>
      <c r="N29" s="438">
        <f>$L$29*'6-PlantJurisdiction'!F50</f>
        <v>0</v>
      </c>
      <c r="O29" s="438">
        <f t="shared" si="7"/>
        <v>0</v>
      </c>
      <c r="P29" s="439" t="s">
        <v>1511</v>
      </c>
      <c r="Q29" s="4">
        <f t="shared" si="8"/>
        <v>119</v>
      </c>
    </row>
    <row r="30" spans="1:17" ht="29">
      <c r="A30" s="4">
        <f t="shared" si="9"/>
        <v>120</v>
      </c>
      <c r="B30" s="390">
        <v>597</v>
      </c>
      <c r="C30" s="34" t="s">
        <v>1512</v>
      </c>
      <c r="D30" s="437">
        <v>5295914.589999998</v>
      </c>
      <c r="E30" s="437">
        <v>4928570.04</v>
      </c>
      <c r="F30" s="438">
        <f t="shared" si="3"/>
        <v>10224484.629999999</v>
      </c>
      <c r="G30" s="437">
        <v>0</v>
      </c>
      <c r="H30" s="437">
        <v>0</v>
      </c>
      <c r="I30" s="438">
        <f t="shared" si="10"/>
        <v>0</v>
      </c>
      <c r="J30" s="438">
        <f t="shared" si="4"/>
        <v>5295914.589999998</v>
      </c>
      <c r="K30" s="438">
        <f t="shared" si="5"/>
        <v>4928570.04</v>
      </c>
      <c r="L30" s="438">
        <f t="shared" si="6"/>
        <v>10224484.629999999</v>
      </c>
      <c r="M30" s="438">
        <f>$L$30*'6-PlantJurisdiction'!E47</f>
        <v>0</v>
      </c>
      <c r="N30" s="438">
        <f>$L$30*'6-PlantJurisdiction'!F47</f>
        <v>0</v>
      </c>
      <c r="O30" s="438">
        <f t="shared" si="7"/>
        <v>0</v>
      </c>
      <c r="P30" s="439" t="s">
        <v>1497</v>
      </c>
      <c r="Q30" s="4">
        <f t="shared" si="8"/>
        <v>120</v>
      </c>
    </row>
    <row r="31" spans="1:17" ht="29">
      <c r="A31" s="4">
        <f t="shared" si="9"/>
        <v>121</v>
      </c>
      <c r="B31" s="390">
        <v>598</v>
      </c>
      <c r="C31" s="34" t="s">
        <v>1513</v>
      </c>
      <c r="D31" s="437">
        <v>602978.80999999982</v>
      </c>
      <c r="E31" s="437">
        <v>1905884.2000000007</v>
      </c>
      <c r="F31" s="438">
        <f t="shared" si="3"/>
        <v>2508863.0100000007</v>
      </c>
      <c r="G31" s="437">
        <v>0</v>
      </c>
      <c r="H31" s="437">
        <v>0</v>
      </c>
      <c r="I31" s="438">
        <f t="shared" si="10"/>
        <v>0</v>
      </c>
      <c r="J31" s="438">
        <f t="shared" si="4"/>
        <v>602978.80999999982</v>
      </c>
      <c r="K31" s="438">
        <f t="shared" si="5"/>
        <v>1905884.2000000007</v>
      </c>
      <c r="L31" s="438">
        <f t="shared" si="6"/>
        <v>2508863.0100000007</v>
      </c>
      <c r="M31" s="438">
        <f>$L$31*'6-PlantJurisdiction'!E85</f>
        <v>1214711.6859078452</v>
      </c>
      <c r="N31" s="438">
        <f>$L$31*'6-PlantJurisdiction'!F85</f>
        <v>1180424.3678326204</v>
      </c>
      <c r="O31" s="438">
        <f t="shared" si="7"/>
        <v>2395136.0537404655</v>
      </c>
      <c r="P31" s="439" t="s">
        <v>1486</v>
      </c>
      <c r="Q31" s="4">
        <f t="shared" si="8"/>
        <v>121</v>
      </c>
    </row>
    <row r="32" spans="1:17">
      <c r="C32" s="2"/>
      <c r="D32" s="210"/>
      <c r="E32" s="210"/>
      <c r="F32" s="16"/>
      <c r="G32" s="211"/>
      <c r="H32" s="211"/>
      <c r="I32" s="210"/>
      <c r="J32" s="210"/>
      <c r="K32" s="210"/>
      <c r="L32" s="210"/>
      <c r="M32" s="210"/>
      <c r="N32" s="210"/>
      <c r="O32" s="210"/>
      <c r="P32" s="210"/>
    </row>
    <row r="33" spans="2:16">
      <c r="B33" s="7" t="s">
        <v>598</v>
      </c>
      <c r="G33" s="19"/>
    </row>
    <row r="34" spans="2:16">
      <c r="B34" t="s">
        <v>1514</v>
      </c>
    </row>
    <row r="35" spans="2:16">
      <c r="B35" s="8" t="s">
        <v>1515</v>
      </c>
    </row>
    <row r="36" spans="2:16">
      <c r="B36" s="8" t="s">
        <v>1516</v>
      </c>
    </row>
    <row r="37" spans="2:16">
      <c r="B37" s="723" t="s">
        <v>1517</v>
      </c>
      <c r="C37" s="723"/>
      <c r="D37" s="723"/>
      <c r="E37" s="723"/>
      <c r="F37" s="723"/>
      <c r="G37" s="723"/>
      <c r="H37" s="723"/>
      <c r="I37" s="723"/>
      <c r="J37" s="723"/>
      <c r="K37" s="723"/>
      <c r="L37" s="723"/>
      <c r="M37" s="723"/>
      <c r="N37" s="723"/>
      <c r="O37" s="723"/>
      <c r="P37" s="723"/>
    </row>
    <row r="38" spans="2:16">
      <c r="B38" s="723"/>
      <c r="C38" s="723"/>
      <c r="D38" s="723"/>
      <c r="E38" s="723"/>
      <c r="F38" s="723"/>
      <c r="G38" s="723"/>
      <c r="H38" s="723"/>
      <c r="I38" s="723"/>
      <c r="J38" s="723"/>
      <c r="K38" s="723"/>
      <c r="L38" s="723"/>
      <c r="M38" s="723"/>
      <c r="N38" s="723"/>
      <c r="O38" s="723"/>
      <c r="P38" s="723"/>
    </row>
  </sheetData>
  <mergeCells count="9">
    <mergeCell ref="B37:P38"/>
    <mergeCell ref="M9:P9"/>
    <mergeCell ref="P10:P11"/>
    <mergeCell ref="G9:I9"/>
    <mergeCell ref="B11:C11"/>
    <mergeCell ref="B9:B10"/>
    <mergeCell ref="C9:C10"/>
    <mergeCell ref="D9:F9"/>
    <mergeCell ref="J9:L9"/>
  </mergeCells>
  <phoneticPr fontId="104" type="noConversion"/>
  <printOptions horizontalCentered="1"/>
  <pageMargins left="1" right="1" top="1" bottom="1" header="0.5" footer="0.5"/>
  <pageSetup scale="35"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A1:AA79"/>
  <sheetViews>
    <sheetView view="pageBreakPreview" topLeftCell="A6" zoomScale="40" zoomScaleNormal="70" zoomScaleSheetLayoutView="40" zoomScalePageLayoutView="55" workbookViewId="0">
      <selection activeCell="D45" sqref="D45"/>
    </sheetView>
  </sheetViews>
  <sheetFormatPr defaultColWidth="9.1796875" defaultRowHeight="14.5"/>
  <cols>
    <col min="1" max="1" width="8.54296875" style="52" bestFit="1" customWidth="1"/>
    <col min="2" max="2" width="2.7265625" style="52" customWidth="1"/>
    <col min="3" max="3" width="6.7265625" style="52" customWidth="1"/>
    <col min="4" max="4" width="61.7265625" style="52" customWidth="1"/>
    <col min="5" max="5" width="22.1796875" style="52" customWidth="1"/>
    <col min="6" max="6" width="25.81640625" style="52" bestFit="1" customWidth="1"/>
    <col min="7" max="7" width="20.7265625" style="52" customWidth="1"/>
    <col min="8" max="8" width="21.54296875" style="52" customWidth="1"/>
    <col min="9" max="9" width="25.54296875" style="57" bestFit="1" customWidth="1"/>
    <col min="10" max="10" width="21.7265625" style="52" bestFit="1" customWidth="1"/>
    <col min="11" max="11" width="24.453125" style="52" bestFit="1" customWidth="1"/>
    <col min="12" max="12" width="32" style="52" bestFit="1" customWidth="1"/>
    <col min="13" max="13" width="11" style="52" bestFit="1" customWidth="1"/>
    <col min="15" max="15" width="10.7265625" style="52" bestFit="1" customWidth="1"/>
    <col min="16" max="16384" width="9.1796875" style="52"/>
  </cols>
  <sheetData>
    <row r="1" spans="1:27">
      <c r="A1" s="54"/>
      <c r="B1" s="54" t="s">
        <v>53</v>
      </c>
      <c r="L1" s="6" t="str">
        <f>CONCATENATE("Prior Year: ",'1-DRR'!$K$2)</f>
        <v>Prior Year: 2022</v>
      </c>
    </row>
    <row r="2" spans="1:27">
      <c r="A2" s="54"/>
      <c r="B2" s="232" t="s">
        <v>1518</v>
      </c>
      <c r="C2" s="55"/>
      <c r="D2" s="55"/>
      <c r="K2" s="293"/>
      <c r="L2" s="112"/>
    </row>
    <row r="3" spans="1:27">
      <c r="A3" s="54"/>
      <c r="K3" s="112"/>
      <c r="L3" s="112"/>
    </row>
    <row r="4" spans="1:27">
      <c r="A4" s="59" t="s">
        <v>1040</v>
      </c>
      <c r="K4" s="112"/>
      <c r="L4" s="112"/>
      <c r="M4" s="59" t="s">
        <v>1040</v>
      </c>
    </row>
    <row r="5" spans="1:27" ht="29.25" customHeight="1">
      <c r="A5" s="293">
        <v>100</v>
      </c>
      <c r="C5" s="54" t="s">
        <v>1519</v>
      </c>
      <c r="E5" s="56" t="s">
        <v>124</v>
      </c>
      <c r="F5" s="56" t="s">
        <v>125</v>
      </c>
      <c r="G5" s="56" t="s">
        <v>126</v>
      </c>
      <c r="H5" s="56" t="s">
        <v>127</v>
      </c>
      <c r="I5" s="281" t="s">
        <v>1520</v>
      </c>
      <c r="J5" s="58" t="s">
        <v>421</v>
      </c>
      <c r="K5" s="58" t="s">
        <v>1521</v>
      </c>
      <c r="L5" s="58"/>
      <c r="M5" s="293">
        <f t="shared" ref="M5:M23" si="0">A5</f>
        <v>100</v>
      </c>
    </row>
    <row r="6" spans="1:27">
      <c r="A6" s="293">
        <f t="shared" ref="A6:A23" si="1">A5+1</f>
        <v>101</v>
      </c>
      <c r="J6" s="212" t="s">
        <v>1176</v>
      </c>
      <c r="M6" s="293">
        <f t="shared" si="0"/>
        <v>101</v>
      </c>
    </row>
    <row r="7" spans="1:27">
      <c r="A7" s="293">
        <f t="shared" si="1"/>
        <v>102</v>
      </c>
      <c r="E7" s="293" t="s">
        <v>606</v>
      </c>
      <c r="F7" s="293" t="s">
        <v>1522</v>
      </c>
      <c r="G7" s="293" t="s">
        <v>1523</v>
      </c>
      <c r="H7" s="293" t="s">
        <v>1522</v>
      </c>
      <c r="I7" s="293" t="s">
        <v>1524</v>
      </c>
      <c r="J7" s="293" t="s">
        <v>1524</v>
      </c>
      <c r="K7" s="293" t="s">
        <v>1525</v>
      </c>
      <c r="L7" s="293"/>
      <c r="M7" s="293">
        <f t="shared" si="0"/>
        <v>102</v>
      </c>
    </row>
    <row r="8" spans="1:27">
      <c r="A8" s="293">
        <f t="shared" si="1"/>
        <v>103</v>
      </c>
      <c r="B8" s="58"/>
      <c r="C8" s="58" t="s">
        <v>1526</v>
      </c>
      <c r="D8" s="58" t="s">
        <v>7</v>
      </c>
      <c r="E8" s="58" t="s">
        <v>554</v>
      </c>
      <c r="F8" s="58" t="s">
        <v>128</v>
      </c>
      <c r="G8" s="58" t="s">
        <v>554</v>
      </c>
      <c r="H8" s="58" t="s">
        <v>128</v>
      </c>
      <c r="I8" s="58" t="s">
        <v>554</v>
      </c>
      <c r="J8" s="58" t="s">
        <v>1527</v>
      </c>
      <c r="K8" s="58" t="s">
        <v>280</v>
      </c>
      <c r="L8" s="58" t="s">
        <v>555</v>
      </c>
      <c r="M8" s="293">
        <f t="shared" si="0"/>
        <v>103</v>
      </c>
      <c r="O8" s="58"/>
      <c r="P8" s="58"/>
      <c r="Q8" s="58"/>
      <c r="R8" s="58"/>
      <c r="S8" s="58"/>
      <c r="T8" s="58"/>
      <c r="U8" s="58"/>
      <c r="V8" s="58"/>
      <c r="W8" s="58"/>
      <c r="X8" s="58"/>
      <c r="Y8" s="58"/>
      <c r="Z8" s="58"/>
      <c r="AA8" s="58"/>
    </row>
    <row r="9" spans="1:27">
      <c r="A9" s="293">
        <f t="shared" si="1"/>
        <v>104</v>
      </c>
      <c r="C9" s="112">
        <v>920</v>
      </c>
      <c r="D9" s="52" t="s">
        <v>1528</v>
      </c>
      <c r="E9" s="262">
        <v>359991194</v>
      </c>
      <c r="F9" s="112" t="s">
        <v>1529</v>
      </c>
      <c r="G9" s="262">
        <v>170734425</v>
      </c>
      <c r="H9" s="112" t="s">
        <v>1530</v>
      </c>
      <c r="I9" s="258">
        <f t="shared" ref="I9:I22" si="2">E9+G9</f>
        <v>530725619</v>
      </c>
      <c r="J9" s="262">
        <v>-22539883.608500365</v>
      </c>
      <c r="K9" s="258">
        <f t="shared" ref="K9:K22" si="3">I9-J9</f>
        <v>553265502.60850036</v>
      </c>
      <c r="L9" s="52" t="s">
        <v>1531</v>
      </c>
      <c r="M9" s="293">
        <f t="shared" si="0"/>
        <v>104</v>
      </c>
    </row>
    <row r="10" spans="1:27">
      <c r="A10" s="293">
        <f t="shared" si="1"/>
        <v>105</v>
      </c>
      <c r="C10" s="112">
        <v>921</v>
      </c>
      <c r="D10" s="52" t="s">
        <v>1532</v>
      </c>
      <c r="E10" s="262">
        <v>42662196</v>
      </c>
      <c r="F10" s="112" t="s">
        <v>1533</v>
      </c>
      <c r="G10" s="262">
        <v>20233567</v>
      </c>
      <c r="H10" s="112" t="s">
        <v>1534</v>
      </c>
      <c r="I10" s="258">
        <f t="shared" si="2"/>
        <v>62895763</v>
      </c>
      <c r="J10" s="262">
        <v>-598711.04451701394</v>
      </c>
      <c r="K10" s="258">
        <f t="shared" si="3"/>
        <v>63494474.04451701</v>
      </c>
      <c r="L10" s="52" t="s">
        <v>1535</v>
      </c>
      <c r="M10" s="293">
        <f t="shared" si="0"/>
        <v>105</v>
      </c>
    </row>
    <row r="11" spans="1:27">
      <c r="A11" s="293">
        <f t="shared" si="1"/>
        <v>106</v>
      </c>
      <c r="C11" s="112">
        <v>922</v>
      </c>
      <c r="D11" s="52" t="s">
        <v>1536</v>
      </c>
      <c r="E11" s="262">
        <v>-57122496.140000001</v>
      </c>
      <c r="F11" s="112" t="s">
        <v>1537</v>
      </c>
      <c r="G11" s="262">
        <v>-27091710</v>
      </c>
      <c r="H11" s="112" t="s">
        <v>1538</v>
      </c>
      <c r="I11" s="258">
        <f t="shared" si="2"/>
        <v>-84214206.140000001</v>
      </c>
      <c r="J11" s="262">
        <v>0</v>
      </c>
      <c r="K11" s="258">
        <f t="shared" si="3"/>
        <v>-84214206.140000001</v>
      </c>
      <c r="L11" s="52" t="s">
        <v>1539</v>
      </c>
      <c r="M11" s="293">
        <f t="shared" si="0"/>
        <v>106</v>
      </c>
    </row>
    <row r="12" spans="1:27">
      <c r="A12" s="293">
        <f t="shared" si="1"/>
        <v>107</v>
      </c>
      <c r="B12" s="293"/>
      <c r="C12" s="112">
        <v>923</v>
      </c>
      <c r="D12" s="52" t="s">
        <v>1540</v>
      </c>
      <c r="E12" s="262">
        <v>309010456</v>
      </c>
      <c r="F12" s="112" t="s">
        <v>1541</v>
      </c>
      <c r="G12" s="262">
        <v>145016075</v>
      </c>
      <c r="H12" s="112" t="s">
        <v>1542</v>
      </c>
      <c r="I12" s="258">
        <f t="shared" si="2"/>
        <v>454026531</v>
      </c>
      <c r="J12" s="262">
        <v>-16854968.015866499</v>
      </c>
      <c r="K12" s="258">
        <f t="shared" si="3"/>
        <v>470881499.01586652</v>
      </c>
      <c r="L12" s="52" t="s">
        <v>1543</v>
      </c>
      <c r="M12" s="293">
        <f t="shared" si="0"/>
        <v>107</v>
      </c>
    </row>
    <row r="13" spans="1:27">
      <c r="A13" s="293">
        <f t="shared" si="1"/>
        <v>108</v>
      </c>
      <c r="B13" s="293"/>
      <c r="C13" s="112">
        <v>924</v>
      </c>
      <c r="D13" s="52" t="s">
        <v>1052</v>
      </c>
      <c r="E13" s="262">
        <v>11235559.479999997</v>
      </c>
      <c r="F13" s="112" t="s">
        <v>1544</v>
      </c>
      <c r="G13" s="262">
        <v>6965904</v>
      </c>
      <c r="H13" s="112" t="s">
        <v>1545</v>
      </c>
      <c r="I13" s="258">
        <f t="shared" si="2"/>
        <v>18201463.479999997</v>
      </c>
      <c r="J13" s="262">
        <v>-9270228.6999999993</v>
      </c>
      <c r="K13" s="258">
        <f t="shared" si="3"/>
        <v>27471692.179999996</v>
      </c>
      <c r="L13" s="52" t="s">
        <v>1546</v>
      </c>
      <c r="M13" s="293">
        <f t="shared" si="0"/>
        <v>108</v>
      </c>
    </row>
    <row r="14" spans="1:27">
      <c r="A14" s="293">
        <f t="shared" si="1"/>
        <v>109</v>
      </c>
      <c r="B14" s="293"/>
      <c r="C14" s="112">
        <v>925</v>
      </c>
      <c r="D14" s="52" t="s">
        <v>1109</v>
      </c>
      <c r="E14" s="262">
        <v>1982050375.6199999</v>
      </c>
      <c r="F14" s="112" t="s">
        <v>1547</v>
      </c>
      <c r="G14" s="262">
        <v>239062695</v>
      </c>
      <c r="H14" s="112" t="s">
        <v>1548</v>
      </c>
      <c r="I14" s="258">
        <f t="shared" si="2"/>
        <v>2221113070.6199999</v>
      </c>
      <c r="J14" s="262">
        <v>1209724357.4500005</v>
      </c>
      <c r="K14" s="258">
        <f t="shared" si="3"/>
        <v>1011388713.1699994</v>
      </c>
      <c r="L14" s="52" t="s">
        <v>1549</v>
      </c>
      <c r="M14" s="293">
        <f t="shared" si="0"/>
        <v>109</v>
      </c>
    </row>
    <row r="15" spans="1:27">
      <c r="A15" s="293">
        <f t="shared" si="1"/>
        <v>110</v>
      </c>
      <c r="B15" s="293"/>
      <c r="C15" s="112">
        <v>926</v>
      </c>
      <c r="D15" s="52" t="s">
        <v>1550</v>
      </c>
      <c r="E15" s="262">
        <v>335424354.37000173</v>
      </c>
      <c r="F15" s="112" t="s">
        <v>1551</v>
      </c>
      <c r="G15" s="262">
        <v>155959280</v>
      </c>
      <c r="H15" s="112" t="s">
        <v>1552</v>
      </c>
      <c r="I15" s="258">
        <f t="shared" si="2"/>
        <v>491383634.37000173</v>
      </c>
      <c r="J15" s="262">
        <v>3766238.1529240953</v>
      </c>
      <c r="K15" s="258">
        <f t="shared" si="3"/>
        <v>487617396.21707761</v>
      </c>
      <c r="L15" s="52" t="s">
        <v>1553</v>
      </c>
      <c r="M15" s="293">
        <f t="shared" si="0"/>
        <v>110</v>
      </c>
    </row>
    <row r="16" spans="1:27">
      <c r="A16" s="293">
        <f t="shared" si="1"/>
        <v>111</v>
      </c>
      <c r="B16" s="293"/>
      <c r="C16" s="112">
        <v>927</v>
      </c>
      <c r="D16" s="52" t="s">
        <v>1554</v>
      </c>
      <c r="E16" s="262">
        <v>116147800.59999999</v>
      </c>
      <c r="F16" s="112" t="s">
        <v>1555</v>
      </c>
      <c r="G16" s="262">
        <v>60046378</v>
      </c>
      <c r="H16" s="112" t="s">
        <v>1556</v>
      </c>
      <c r="I16" s="258">
        <f t="shared" si="2"/>
        <v>176194178.59999999</v>
      </c>
      <c r="J16" s="262">
        <v>176194178.81</v>
      </c>
      <c r="K16" s="258">
        <f t="shared" si="3"/>
        <v>-0.21000000834465027</v>
      </c>
      <c r="L16" s="52" t="s">
        <v>1557</v>
      </c>
      <c r="M16" s="293">
        <f t="shared" si="0"/>
        <v>111</v>
      </c>
    </row>
    <row r="17" spans="1:13">
      <c r="A17" s="293">
        <f t="shared" si="1"/>
        <v>112</v>
      </c>
      <c r="B17" s="293"/>
      <c r="C17" s="112">
        <v>928</v>
      </c>
      <c r="D17" s="52" t="s">
        <v>1558</v>
      </c>
      <c r="E17" s="262">
        <v>0</v>
      </c>
      <c r="F17" s="112" t="s">
        <v>1559</v>
      </c>
      <c r="G17" s="262">
        <v>0</v>
      </c>
      <c r="H17" s="112" t="s">
        <v>1560</v>
      </c>
      <c r="I17" s="258">
        <f t="shared" si="2"/>
        <v>0</v>
      </c>
      <c r="J17" s="262">
        <v>0</v>
      </c>
      <c r="K17" s="258">
        <f t="shared" si="3"/>
        <v>0</v>
      </c>
      <c r="L17" s="292" t="s">
        <v>1177</v>
      </c>
      <c r="M17" s="293">
        <f t="shared" si="0"/>
        <v>112</v>
      </c>
    </row>
    <row r="18" spans="1:13">
      <c r="A18" s="293">
        <f t="shared" si="1"/>
        <v>113</v>
      </c>
      <c r="B18" s="293"/>
      <c r="C18" s="112">
        <v>929</v>
      </c>
      <c r="D18" s="52" t="s">
        <v>1561</v>
      </c>
      <c r="E18" s="262">
        <v>0</v>
      </c>
      <c r="F18" s="112" t="s">
        <v>1562</v>
      </c>
      <c r="G18" s="262">
        <v>0</v>
      </c>
      <c r="H18" s="112" t="s">
        <v>1563</v>
      </c>
      <c r="I18" s="258">
        <f t="shared" si="2"/>
        <v>0</v>
      </c>
      <c r="J18" s="262">
        <v>0</v>
      </c>
      <c r="K18" s="258">
        <f t="shared" si="3"/>
        <v>0</v>
      </c>
      <c r="L18" s="292" t="s">
        <v>1177</v>
      </c>
      <c r="M18" s="293">
        <f t="shared" si="0"/>
        <v>113</v>
      </c>
    </row>
    <row r="19" spans="1:13">
      <c r="A19" s="293">
        <f t="shared" si="1"/>
        <v>114</v>
      </c>
      <c r="B19" s="293"/>
      <c r="C19" s="112">
        <v>930.1</v>
      </c>
      <c r="D19" s="52" t="s">
        <v>1564</v>
      </c>
      <c r="E19" s="262">
        <v>0</v>
      </c>
      <c r="F19" s="112" t="s">
        <v>1565</v>
      </c>
      <c r="G19" s="262">
        <v>0</v>
      </c>
      <c r="H19" s="112" t="s">
        <v>1566</v>
      </c>
      <c r="I19" s="258">
        <f t="shared" si="2"/>
        <v>0</v>
      </c>
      <c r="J19" s="262">
        <v>0</v>
      </c>
      <c r="K19" s="258">
        <f t="shared" si="3"/>
        <v>0</v>
      </c>
      <c r="L19" s="52" t="s">
        <v>1567</v>
      </c>
      <c r="M19" s="293">
        <f t="shared" si="0"/>
        <v>114</v>
      </c>
    </row>
    <row r="20" spans="1:13">
      <c r="A20" s="293">
        <f t="shared" si="1"/>
        <v>115</v>
      </c>
      <c r="B20" s="293"/>
      <c r="C20" s="112">
        <v>930.2</v>
      </c>
      <c r="D20" s="52" t="s">
        <v>1568</v>
      </c>
      <c r="E20" s="262">
        <v>16970569</v>
      </c>
      <c r="F20" s="112" t="s">
        <v>1569</v>
      </c>
      <c r="G20" s="262">
        <v>4250344</v>
      </c>
      <c r="H20" s="112" t="s">
        <v>1570</v>
      </c>
      <c r="I20" s="258">
        <f t="shared" si="2"/>
        <v>21220913</v>
      </c>
      <c r="J20" s="262">
        <v>12890227.540000595</v>
      </c>
      <c r="K20" s="258">
        <f t="shared" si="3"/>
        <v>8330685.4599994048</v>
      </c>
      <c r="L20" s="52" t="s">
        <v>1567</v>
      </c>
      <c r="M20" s="293">
        <f t="shared" si="0"/>
        <v>115</v>
      </c>
    </row>
    <row r="21" spans="1:13">
      <c r="A21" s="293">
        <f t="shared" si="1"/>
        <v>116</v>
      </c>
      <c r="B21" s="293"/>
      <c r="C21" s="112">
        <v>931</v>
      </c>
      <c r="D21" s="52" t="s">
        <v>1501</v>
      </c>
      <c r="E21" s="262">
        <v>0</v>
      </c>
      <c r="F21" s="112" t="s">
        <v>1571</v>
      </c>
      <c r="G21" s="262">
        <v>0</v>
      </c>
      <c r="H21" s="112" t="s">
        <v>1572</v>
      </c>
      <c r="I21" s="258">
        <f t="shared" si="2"/>
        <v>0</v>
      </c>
      <c r="J21" s="262">
        <v>0</v>
      </c>
      <c r="K21" s="258">
        <f t="shared" si="3"/>
        <v>0</v>
      </c>
      <c r="L21" s="292" t="s">
        <v>1177</v>
      </c>
      <c r="M21" s="293">
        <f t="shared" si="0"/>
        <v>116</v>
      </c>
    </row>
    <row r="22" spans="1:13">
      <c r="A22" s="293">
        <f t="shared" si="1"/>
        <v>117</v>
      </c>
      <c r="B22" s="293"/>
      <c r="C22" s="112">
        <v>935</v>
      </c>
      <c r="D22" s="52" t="s">
        <v>1573</v>
      </c>
      <c r="E22" s="263">
        <v>1890228</v>
      </c>
      <c r="F22" s="112" t="s">
        <v>1574</v>
      </c>
      <c r="G22" s="263">
        <v>896486</v>
      </c>
      <c r="H22" s="112" t="s">
        <v>1575</v>
      </c>
      <c r="I22" s="260">
        <f t="shared" si="2"/>
        <v>2786714</v>
      </c>
      <c r="J22" s="263">
        <v>0</v>
      </c>
      <c r="K22" s="260">
        <f t="shared" si="3"/>
        <v>2786714</v>
      </c>
      <c r="L22" s="52" t="s">
        <v>1576</v>
      </c>
      <c r="M22" s="293">
        <f t="shared" si="0"/>
        <v>117</v>
      </c>
    </row>
    <row r="23" spans="1:13" s="54" customFormat="1">
      <c r="A23" s="293">
        <f t="shared" si="1"/>
        <v>118</v>
      </c>
      <c r="D23" s="218" t="s">
        <v>1577</v>
      </c>
      <c r="E23" s="259">
        <f>SUM(E9:E22)</f>
        <v>3118260236.9300017</v>
      </c>
      <c r="F23" s="112" t="s">
        <v>1578</v>
      </c>
      <c r="G23" s="259">
        <f>SUM(G9:G22)</f>
        <v>776073444</v>
      </c>
      <c r="H23" s="112" t="s">
        <v>1579</v>
      </c>
      <c r="I23" s="261">
        <f>SUM(I9:I22)</f>
        <v>3894333680.9300017</v>
      </c>
      <c r="J23" s="261">
        <f>SUM(J9:J22)</f>
        <v>1353311210.5840414</v>
      </c>
      <c r="K23" s="259">
        <f>SUM(K9:K22)</f>
        <v>2541022470.3459606</v>
      </c>
      <c r="M23" s="293">
        <f t="shared" si="0"/>
        <v>118</v>
      </c>
    </row>
    <row r="24" spans="1:13">
      <c r="A24" s="293"/>
      <c r="I24" s="217"/>
      <c r="M24" s="293"/>
    </row>
    <row r="25" spans="1:13">
      <c r="A25" s="293">
        <v>200</v>
      </c>
      <c r="C25" s="54" t="s">
        <v>1580</v>
      </c>
      <c r="I25" s="217"/>
      <c r="M25" s="293">
        <f t="shared" ref="M25:M39" si="4">A25</f>
        <v>200</v>
      </c>
    </row>
    <row r="26" spans="1:13">
      <c r="A26" s="293">
        <f t="shared" ref="A26:A44" si="5">A25+1</f>
        <v>201</v>
      </c>
      <c r="D26" s="495" t="s">
        <v>1581</v>
      </c>
      <c r="E26" s="496"/>
      <c r="F26" s="497" t="s">
        <v>554</v>
      </c>
      <c r="G26" s="497" t="s">
        <v>128</v>
      </c>
      <c r="H26" s="498"/>
      <c r="I26" s="52"/>
      <c r="K26" s="113"/>
      <c r="M26" s="293">
        <f t="shared" si="4"/>
        <v>201</v>
      </c>
    </row>
    <row r="27" spans="1:13">
      <c r="A27" s="293">
        <f t="shared" si="5"/>
        <v>202</v>
      </c>
      <c r="D27" s="214"/>
      <c r="E27" s="57" t="s">
        <v>1582</v>
      </c>
      <c r="F27" s="258">
        <f>K23</f>
        <v>2541022470.3459606</v>
      </c>
      <c r="G27" s="53" t="s">
        <v>1583</v>
      </c>
      <c r="H27" s="499"/>
      <c r="I27" s="52"/>
      <c r="M27" s="293">
        <f t="shared" si="4"/>
        <v>202</v>
      </c>
    </row>
    <row r="28" spans="1:13">
      <c r="A28" s="293">
        <f t="shared" si="5"/>
        <v>203</v>
      </c>
      <c r="D28" s="214"/>
      <c r="E28" s="57" t="s">
        <v>1584</v>
      </c>
      <c r="F28" s="258">
        <f>K13</f>
        <v>27471692.179999996</v>
      </c>
      <c r="G28" s="53" t="s">
        <v>1585</v>
      </c>
      <c r="H28" s="500"/>
      <c r="I28" s="52"/>
      <c r="M28" s="293">
        <f t="shared" si="4"/>
        <v>203</v>
      </c>
    </row>
    <row r="29" spans="1:13">
      <c r="A29" s="293">
        <f t="shared" si="5"/>
        <v>204</v>
      </c>
      <c r="D29" s="216"/>
      <c r="E29" s="216" t="s">
        <v>1586</v>
      </c>
      <c r="F29" s="262">
        <v>956917164.76999998</v>
      </c>
      <c r="G29" s="53" t="s">
        <v>1587</v>
      </c>
      <c r="H29" s="500"/>
      <c r="I29" s="52"/>
      <c r="M29" s="293">
        <f t="shared" si="4"/>
        <v>204</v>
      </c>
    </row>
    <row r="30" spans="1:13">
      <c r="A30" s="293">
        <f t="shared" si="5"/>
        <v>205</v>
      </c>
      <c r="D30" s="214"/>
      <c r="E30" s="57" t="s">
        <v>1588</v>
      </c>
      <c r="F30" s="501">
        <f>F27-F28-F29</f>
        <v>1556633613.3959608</v>
      </c>
      <c r="G30" s="53" t="s">
        <v>1589</v>
      </c>
      <c r="H30" s="499"/>
      <c r="I30" s="52"/>
      <c r="M30" s="293">
        <f t="shared" si="4"/>
        <v>205</v>
      </c>
    </row>
    <row r="31" spans="1:13">
      <c r="A31" s="293">
        <f t="shared" si="5"/>
        <v>206</v>
      </c>
      <c r="D31" s="214"/>
      <c r="E31" s="57" t="s">
        <v>1590</v>
      </c>
      <c r="F31" s="502">
        <f>'24-Allocators'!C17</f>
        <v>0.70722171784518451</v>
      </c>
      <c r="G31" s="503" t="s">
        <v>1591</v>
      </c>
      <c r="H31" s="638"/>
      <c r="I31" s="52"/>
      <c r="M31" s="293">
        <f t="shared" si="4"/>
        <v>206</v>
      </c>
    </row>
    <row r="32" spans="1:13">
      <c r="A32" s="293">
        <f t="shared" si="5"/>
        <v>207</v>
      </c>
      <c r="D32" s="214"/>
      <c r="E32" s="57" t="s">
        <v>1592</v>
      </c>
      <c r="F32" s="501">
        <f>F30*F31</f>
        <v>1100885098.1214483</v>
      </c>
      <c r="G32" s="53" t="s">
        <v>1593</v>
      </c>
      <c r="H32" s="499"/>
      <c r="I32" s="52"/>
      <c r="M32" s="293">
        <f t="shared" si="4"/>
        <v>207</v>
      </c>
    </row>
    <row r="33" spans="1:14">
      <c r="A33" s="293">
        <f t="shared" si="5"/>
        <v>208</v>
      </c>
      <c r="D33" s="214"/>
      <c r="E33" s="57" t="s">
        <v>1594</v>
      </c>
      <c r="F33" s="504">
        <f>'24-Allocators'!C23</f>
        <v>0.43241887477592089</v>
      </c>
      <c r="G33" s="503" t="s">
        <v>240</v>
      </c>
      <c r="H33" s="499"/>
      <c r="I33" s="52"/>
      <c r="M33" s="293">
        <f t="shared" si="4"/>
        <v>208</v>
      </c>
    </row>
    <row r="34" spans="1:14">
      <c r="A34" s="293">
        <f t="shared" si="5"/>
        <v>209</v>
      </c>
      <c r="D34" s="213"/>
      <c r="E34" s="505" t="s">
        <v>1595</v>
      </c>
      <c r="F34" s="506">
        <f>F32*F33</f>
        <v>476043495.38725591</v>
      </c>
      <c r="G34" s="507" t="s">
        <v>1596</v>
      </c>
      <c r="H34" s="508"/>
      <c r="I34" s="52"/>
      <c r="M34" s="293">
        <f t="shared" si="4"/>
        <v>209</v>
      </c>
    </row>
    <row r="35" spans="1:14">
      <c r="A35" s="293">
        <f t="shared" si="5"/>
        <v>210</v>
      </c>
      <c r="D35" s="495" t="s">
        <v>1597</v>
      </c>
      <c r="E35" s="509"/>
      <c r="F35" s="510"/>
      <c r="G35" s="511"/>
      <c r="H35" s="512"/>
      <c r="I35" s="52"/>
      <c r="M35" s="293">
        <f t="shared" si="4"/>
        <v>210</v>
      </c>
    </row>
    <row r="36" spans="1:14">
      <c r="A36" s="293">
        <f t="shared" si="5"/>
        <v>211</v>
      </c>
      <c r="D36" s="214"/>
      <c r="E36" s="230" t="s">
        <v>1598</v>
      </c>
      <c r="F36" s="504">
        <f>'24-Allocators'!C48</f>
        <v>0.74156841450755551</v>
      </c>
      <c r="G36" s="53" t="s">
        <v>1599</v>
      </c>
      <c r="H36" s="513"/>
      <c r="I36" s="52"/>
      <c r="M36" s="293">
        <f t="shared" si="4"/>
        <v>211</v>
      </c>
    </row>
    <row r="37" spans="1:14">
      <c r="A37" s="293" t="s">
        <v>1600</v>
      </c>
      <c r="D37" s="214"/>
      <c r="E37" s="230" t="s">
        <v>1601</v>
      </c>
      <c r="F37" s="504">
        <f>'24-Allocators'!C52</f>
        <v>0.21370331192860761</v>
      </c>
      <c r="G37" s="53" t="s">
        <v>1602</v>
      </c>
      <c r="H37" s="513"/>
      <c r="I37" s="52"/>
      <c r="M37" s="293" t="str">
        <f t="shared" si="4"/>
        <v>211a</v>
      </c>
    </row>
    <row r="38" spans="1:14">
      <c r="A38" s="293">
        <f>A36+1</f>
        <v>212</v>
      </c>
      <c r="D38" s="214"/>
      <c r="E38" s="57" t="s">
        <v>1603</v>
      </c>
      <c r="F38" s="258">
        <f>F28</f>
        <v>27471692.179999996</v>
      </c>
      <c r="G38" s="53" t="s">
        <v>1604</v>
      </c>
      <c r="H38" s="500"/>
      <c r="I38" s="52"/>
      <c r="M38" s="293">
        <f t="shared" si="4"/>
        <v>212</v>
      </c>
    </row>
    <row r="39" spans="1:14">
      <c r="A39" s="293">
        <f t="shared" si="5"/>
        <v>213</v>
      </c>
      <c r="D39" s="213"/>
      <c r="E39" s="505" t="s">
        <v>1605</v>
      </c>
      <c r="F39" s="514">
        <f>F38*F37*F36</f>
        <v>4353593.621051644</v>
      </c>
      <c r="G39" s="507" t="s">
        <v>1606</v>
      </c>
      <c r="H39" s="515"/>
      <c r="I39" s="52"/>
      <c r="M39" s="293">
        <f t="shared" si="4"/>
        <v>213</v>
      </c>
    </row>
    <row r="40" spans="1:14">
      <c r="A40" s="293">
        <f t="shared" si="5"/>
        <v>214</v>
      </c>
      <c r="D40" s="215" t="s">
        <v>1607</v>
      </c>
      <c r="E40" s="57"/>
      <c r="F40" s="516"/>
      <c r="G40" s="53"/>
      <c r="H40" s="500"/>
      <c r="I40" s="52"/>
      <c r="M40" s="293">
        <f t="shared" ref="M40:M45" si="6">A40</f>
        <v>214</v>
      </c>
      <c r="N40" s="52"/>
    </row>
    <row r="41" spans="1:14">
      <c r="A41" s="293">
        <f t="shared" si="5"/>
        <v>215</v>
      </c>
      <c r="D41" s="214"/>
      <c r="E41" s="57" t="s">
        <v>1608</v>
      </c>
      <c r="F41" s="259">
        <f>F29</f>
        <v>956917164.76999998</v>
      </c>
      <c r="G41" s="53" t="s">
        <v>389</v>
      </c>
      <c r="H41" s="500"/>
      <c r="I41" s="52"/>
      <c r="M41" s="293">
        <f t="shared" si="6"/>
        <v>215</v>
      </c>
      <c r="N41" s="52"/>
    </row>
    <row r="42" spans="1:14">
      <c r="A42" s="293">
        <f t="shared" si="5"/>
        <v>216</v>
      </c>
      <c r="D42" s="214"/>
      <c r="E42" s="57" t="s">
        <v>1609</v>
      </c>
      <c r="F42" s="504">
        <f>'24-Allocators'!C36</f>
        <v>0.36034149905598345</v>
      </c>
      <c r="G42" s="503" t="s">
        <v>1610</v>
      </c>
      <c r="H42" s="500"/>
      <c r="I42" s="52"/>
      <c r="M42" s="293">
        <f t="shared" si="6"/>
        <v>216</v>
      </c>
      <c r="N42" s="52"/>
    </row>
    <row r="43" spans="1:14">
      <c r="A43" s="293">
        <f t="shared" si="5"/>
        <v>217</v>
      </c>
      <c r="D43" s="214"/>
      <c r="E43" s="505" t="s">
        <v>1611</v>
      </c>
      <c r="F43" s="514">
        <f>F41*F42</f>
        <v>344816965.62562329</v>
      </c>
      <c r="G43" s="507" t="s">
        <v>1612</v>
      </c>
      <c r="H43" s="500"/>
      <c r="I43" s="52"/>
      <c r="M43" s="293">
        <f t="shared" si="6"/>
        <v>217</v>
      </c>
      <c r="N43" s="52"/>
    </row>
    <row r="44" spans="1:14">
      <c r="A44" s="293">
        <f t="shared" si="5"/>
        <v>218</v>
      </c>
      <c r="D44" s="517"/>
      <c r="E44" s="509"/>
      <c r="F44" s="510"/>
      <c r="G44" s="511"/>
      <c r="H44" s="518"/>
      <c r="I44" s="52"/>
      <c r="M44" s="293">
        <f t="shared" si="6"/>
        <v>218</v>
      </c>
      <c r="N44" s="52"/>
    </row>
    <row r="45" spans="1:14">
      <c r="A45" s="293">
        <f>A44+1</f>
        <v>219</v>
      </c>
      <c r="D45" s="213"/>
      <c r="E45" s="505" t="s">
        <v>1613</v>
      </c>
      <c r="F45" s="506">
        <f>F43+F39+F34</f>
        <v>825214054.63393092</v>
      </c>
      <c r="G45" s="507" t="s">
        <v>1614</v>
      </c>
      <c r="H45" s="508"/>
      <c r="I45" s="52"/>
      <c r="M45" s="293">
        <f t="shared" si="6"/>
        <v>219</v>
      </c>
      <c r="N45" s="52"/>
    </row>
    <row r="46" spans="1:14">
      <c r="A46" s="293"/>
      <c r="E46" s="57"/>
      <c r="F46" s="259"/>
      <c r="G46" s="53"/>
      <c r="H46" s="113"/>
      <c r="I46" s="52"/>
      <c r="M46" s="293"/>
      <c r="N46" s="52"/>
    </row>
    <row r="47" spans="1:14" s="8" customFormat="1">
      <c r="A47" s="91">
        <v>300</v>
      </c>
      <c r="C47" s="123" t="s">
        <v>1615</v>
      </c>
      <c r="I47" s="230"/>
      <c r="M47" s="293">
        <f t="shared" ref="M47:M64" si="7">A47</f>
        <v>300</v>
      </c>
    </row>
    <row r="48" spans="1:14" s="8" customFormat="1">
      <c r="A48" s="91">
        <f t="shared" ref="A48:A50" si="8">A47+1</f>
        <v>301</v>
      </c>
      <c r="E48" s="4" t="s">
        <v>426</v>
      </c>
      <c r="F48" s="4" t="s">
        <v>427</v>
      </c>
      <c r="G48" s="4" t="s">
        <v>428</v>
      </c>
      <c r="H48" s="4" t="s">
        <v>429</v>
      </c>
      <c r="I48" s="4" t="s">
        <v>370</v>
      </c>
      <c r="J48" s="4" t="s">
        <v>375</v>
      </c>
      <c r="K48" s="4" t="s">
        <v>391</v>
      </c>
      <c r="L48" s="4" t="s">
        <v>1616</v>
      </c>
      <c r="M48" s="293">
        <f t="shared" si="7"/>
        <v>301</v>
      </c>
      <c r="N48" s="293"/>
    </row>
    <row r="49" spans="1:15" s="8" customFormat="1" ht="29">
      <c r="A49" s="284">
        <f t="shared" si="8"/>
        <v>302</v>
      </c>
      <c r="C49" s="58"/>
      <c r="D49" s="58"/>
      <c r="E49" s="473" t="s">
        <v>1617</v>
      </c>
      <c r="F49" s="473" t="s">
        <v>1618</v>
      </c>
      <c r="G49" s="473" t="s">
        <v>1619</v>
      </c>
      <c r="H49" s="473" t="s">
        <v>1620</v>
      </c>
      <c r="I49" s="473" t="s">
        <v>1621</v>
      </c>
      <c r="J49" s="473" t="s">
        <v>1622</v>
      </c>
      <c r="K49" s="473" t="s">
        <v>1623</v>
      </c>
      <c r="L49" s="473" t="s">
        <v>1624</v>
      </c>
      <c r="M49" s="293">
        <f t="shared" si="7"/>
        <v>302</v>
      </c>
      <c r="N49" s="293"/>
    </row>
    <row r="50" spans="1:15" s="8" customFormat="1">
      <c r="A50" s="91">
        <f t="shared" si="8"/>
        <v>303</v>
      </c>
      <c r="C50" s="18">
        <v>920</v>
      </c>
      <c r="D50" s="8" t="s">
        <v>1528</v>
      </c>
      <c r="E50" s="256">
        <v>-7874328.4900000002</v>
      </c>
      <c r="F50" s="256">
        <v>-24330797.779999994</v>
      </c>
      <c r="G50" s="256">
        <v>88610822.449999988</v>
      </c>
      <c r="H50" s="256">
        <v>-701331.37526</v>
      </c>
      <c r="I50" s="256">
        <v>-920532.68999999983</v>
      </c>
      <c r="J50" s="256">
        <v>-220589.14978322899</v>
      </c>
      <c r="K50" s="256">
        <v>-32023359.356456399</v>
      </c>
      <c r="L50" s="242">
        <f>SUM(E50:K50)</f>
        <v>22539883.608500361</v>
      </c>
      <c r="M50" s="293">
        <f t="shared" si="7"/>
        <v>303</v>
      </c>
      <c r="N50" s="293"/>
      <c r="O50" s="286"/>
    </row>
    <row r="51" spans="1:15" s="8" customFormat="1">
      <c r="A51" s="91">
        <f>A50+1</f>
        <v>304</v>
      </c>
      <c r="C51" s="18">
        <v>921</v>
      </c>
      <c r="D51" s="8" t="s">
        <v>1532</v>
      </c>
      <c r="E51" s="256">
        <v>0</v>
      </c>
      <c r="F51" s="256">
        <v>705813.43</v>
      </c>
      <c r="G51" s="256">
        <v>0</v>
      </c>
      <c r="H51" s="256">
        <v>0</v>
      </c>
      <c r="I51" s="256">
        <v>-41583.979999999996</v>
      </c>
      <c r="J51" s="256">
        <v>-65518.405482986098</v>
      </c>
      <c r="K51" s="256">
        <v>0</v>
      </c>
      <c r="L51" s="242">
        <f t="shared" ref="L51:L63" si="9">SUM(E51:K51)</f>
        <v>598711.04451701394</v>
      </c>
      <c r="M51" s="293">
        <f t="shared" si="7"/>
        <v>304</v>
      </c>
      <c r="N51" s="293"/>
      <c r="O51" s="286"/>
    </row>
    <row r="52" spans="1:15" s="8" customFormat="1">
      <c r="A52" s="91">
        <f t="shared" ref="A52:A63" si="10">A51+1</f>
        <v>305</v>
      </c>
      <c r="C52" s="18">
        <v>922</v>
      </c>
      <c r="D52" s="8" t="s">
        <v>1536</v>
      </c>
      <c r="E52" s="256">
        <v>0</v>
      </c>
      <c r="F52" s="256">
        <v>0</v>
      </c>
      <c r="G52" s="256">
        <v>0</v>
      </c>
      <c r="H52" s="256">
        <v>0</v>
      </c>
      <c r="I52" s="256">
        <v>0</v>
      </c>
      <c r="J52" s="256">
        <v>0</v>
      </c>
      <c r="K52" s="256">
        <v>0</v>
      </c>
      <c r="L52" s="242">
        <f t="shared" si="9"/>
        <v>0</v>
      </c>
      <c r="M52" s="293">
        <f t="shared" si="7"/>
        <v>305</v>
      </c>
      <c r="N52" s="293"/>
      <c r="O52" s="286"/>
    </row>
    <row r="53" spans="1:15" s="8" customFormat="1">
      <c r="A53" s="91">
        <f t="shared" si="10"/>
        <v>306</v>
      </c>
      <c r="C53" s="18">
        <v>923</v>
      </c>
      <c r="D53" s="8" t="s">
        <v>1540</v>
      </c>
      <c r="E53" s="256">
        <v>-2254656.2799999998</v>
      </c>
      <c r="F53" s="256">
        <v>-4964601.3709000004</v>
      </c>
      <c r="G53" s="256">
        <v>-179197.27</v>
      </c>
      <c r="H53" s="256">
        <v>1164895.9306000052</v>
      </c>
      <c r="I53" s="256">
        <v>22957056.800000001</v>
      </c>
      <c r="J53" s="256">
        <v>-10423.662716648099</v>
      </c>
      <c r="K53" s="256">
        <v>141893.86888314754</v>
      </c>
      <c r="L53" s="242">
        <f t="shared" si="9"/>
        <v>16854968.015866503</v>
      </c>
      <c r="M53" s="293">
        <f t="shared" si="7"/>
        <v>306</v>
      </c>
      <c r="N53" s="293"/>
      <c r="O53" s="286"/>
    </row>
    <row r="54" spans="1:15" s="8" customFormat="1">
      <c r="A54" s="91">
        <f t="shared" si="10"/>
        <v>307</v>
      </c>
      <c r="C54" s="18">
        <v>924</v>
      </c>
      <c r="D54" s="8" t="s">
        <v>1052</v>
      </c>
      <c r="E54" s="256">
        <v>0</v>
      </c>
      <c r="F54" s="256">
        <v>0</v>
      </c>
      <c r="G54" s="256">
        <v>0</v>
      </c>
      <c r="H54" s="256">
        <v>9270228.6999999993</v>
      </c>
      <c r="I54" s="256">
        <v>0</v>
      </c>
      <c r="J54" s="256">
        <v>0</v>
      </c>
      <c r="K54" s="256">
        <v>0</v>
      </c>
      <c r="L54" s="242">
        <f t="shared" si="9"/>
        <v>9270228.6999999993</v>
      </c>
      <c r="M54" s="293">
        <f t="shared" si="7"/>
        <v>307</v>
      </c>
      <c r="N54" s="293"/>
      <c r="O54" s="286"/>
    </row>
    <row r="55" spans="1:15" s="8" customFormat="1">
      <c r="A55" s="91">
        <f t="shared" si="10"/>
        <v>308</v>
      </c>
      <c r="C55" s="18">
        <v>925</v>
      </c>
      <c r="D55" s="8" t="s">
        <v>1109</v>
      </c>
      <c r="E55" s="256">
        <v>0</v>
      </c>
      <c r="F55" s="256">
        <v>0</v>
      </c>
      <c r="G55" s="256">
        <v>-332557656.5</v>
      </c>
      <c r="H55" s="256">
        <v>-875045494.61999977</v>
      </c>
      <c r="I55" s="256">
        <v>-2121206.3300000131</v>
      </c>
      <c r="J55" s="256">
        <v>0</v>
      </c>
      <c r="K55" s="256">
        <v>0</v>
      </c>
      <c r="L55" s="242">
        <f t="shared" si="9"/>
        <v>-1209724357.4499998</v>
      </c>
      <c r="M55" s="293">
        <f t="shared" si="7"/>
        <v>308</v>
      </c>
      <c r="N55" s="293"/>
      <c r="O55" s="286"/>
    </row>
    <row r="56" spans="1:15" s="8" customFormat="1">
      <c r="A56" s="91">
        <f t="shared" si="10"/>
        <v>309</v>
      </c>
      <c r="C56" s="18">
        <v>926</v>
      </c>
      <c r="D56" s="8" t="s">
        <v>1550</v>
      </c>
      <c r="E56" s="256">
        <v>0</v>
      </c>
      <c r="F56" s="256">
        <v>-4939955.4860000005</v>
      </c>
      <c r="G56" s="256">
        <v>3624890.1612876854</v>
      </c>
      <c r="H56" s="256">
        <v>-402914.06</v>
      </c>
      <c r="I56" s="256">
        <v>-100013.87000000001</v>
      </c>
      <c r="J56" s="256">
        <v>-1593646.7659543252</v>
      </c>
      <c r="K56" s="256">
        <v>-354598.13225745474</v>
      </c>
      <c r="L56" s="242">
        <f t="shared" si="9"/>
        <v>-3766238.1529240948</v>
      </c>
      <c r="M56" s="293">
        <f t="shared" si="7"/>
        <v>309</v>
      </c>
      <c r="N56" s="293"/>
      <c r="O56" s="286"/>
    </row>
    <row r="57" spans="1:15" s="8" customFormat="1">
      <c r="A57" s="91">
        <f t="shared" si="10"/>
        <v>310</v>
      </c>
      <c r="C57" s="18">
        <v>927</v>
      </c>
      <c r="D57" s="8" t="s">
        <v>1554</v>
      </c>
      <c r="E57" s="256">
        <v>0</v>
      </c>
      <c r="F57" s="256">
        <v>0</v>
      </c>
      <c r="G57" s="256">
        <v>0</v>
      </c>
      <c r="H57" s="256">
        <v>-176194178.81</v>
      </c>
      <c r="I57" s="256">
        <v>0</v>
      </c>
      <c r="J57" s="256">
        <v>0</v>
      </c>
      <c r="K57" s="256">
        <v>0</v>
      </c>
      <c r="L57" s="242">
        <f t="shared" si="9"/>
        <v>-176194178.81</v>
      </c>
      <c r="M57" s="293">
        <f t="shared" si="7"/>
        <v>310</v>
      </c>
      <c r="N57" s="293"/>
      <c r="O57" s="286"/>
    </row>
    <row r="58" spans="1:15" s="8" customFormat="1">
      <c r="A58" s="91">
        <f t="shared" si="10"/>
        <v>311</v>
      </c>
      <c r="C58" s="18">
        <v>928</v>
      </c>
      <c r="D58" s="8" t="s">
        <v>1558</v>
      </c>
      <c r="E58" s="256">
        <v>0</v>
      </c>
      <c r="F58" s="256">
        <v>0</v>
      </c>
      <c r="G58" s="256">
        <v>0</v>
      </c>
      <c r="H58" s="256">
        <v>0</v>
      </c>
      <c r="I58" s="256">
        <v>0</v>
      </c>
      <c r="J58" s="256">
        <v>0</v>
      </c>
      <c r="K58" s="256">
        <v>0</v>
      </c>
      <c r="L58" s="242">
        <f t="shared" si="9"/>
        <v>0</v>
      </c>
      <c r="M58" s="293">
        <f t="shared" si="7"/>
        <v>311</v>
      </c>
      <c r="N58" s="293"/>
      <c r="O58" s="286"/>
    </row>
    <row r="59" spans="1:15" s="8" customFormat="1">
      <c r="A59" s="91">
        <f t="shared" si="10"/>
        <v>312</v>
      </c>
      <c r="C59" s="18">
        <v>929</v>
      </c>
      <c r="D59" s="8" t="s">
        <v>1561</v>
      </c>
      <c r="E59" s="256">
        <v>0</v>
      </c>
      <c r="F59" s="256">
        <v>0</v>
      </c>
      <c r="G59" s="256">
        <v>0</v>
      </c>
      <c r="H59" s="256">
        <v>0</v>
      </c>
      <c r="I59" s="256">
        <v>0</v>
      </c>
      <c r="J59" s="256">
        <v>0</v>
      </c>
      <c r="K59" s="256">
        <v>0</v>
      </c>
      <c r="L59" s="242">
        <f t="shared" si="9"/>
        <v>0</v>
      </c>
      <c r="M59" s="293">
        <f t="shared" si="7"/>
        <v>312</v>
      </c>
      <c r="N59" s="293"/>
      <c r="O59" s="286"/>
    </row>
    <row r="60" spans="1:15" s="8" customFormat="1">
      <c r="A60" s="91">
        <f t="shared" si="10"/>
        <v>313</v>
      </c>
      <c r="C60" s="18">
        <v>930.1</v>
      </c>
      <c r="D60" s="8" t="s">
        <v>1564</v>
      </c>
      <c r="E60" s="256">
        <v>0</v>
      </c>
      <c r="F60" s="256">
        <v>0</v>
      </c>
      <c r="G60" s="256">
        <v>0</v>
      </c>
      <c r="H60" s="256">
        <v>0</v>
      </c>
      <c r="I60" s="256">
        <v>0</v>
      </c>
      <c r="J60" s="256">
        <v>0</v>
      </c>
      <c r="K60" s="256">
        <v>0</v>
      </c>
      <c r="L60" s="242">
        <f t="shared" si="9"/>
        <v>0</v>
      </c>
      <c r="M60" s="293">
        <f t="shared" si="7"/>
        <v>313</v>
      </c>
      <c r="N60" s="293"/>
      <c r="O60" s="286"/>
    </row>
    <row r="61" spans="1:15" s="8" customFormat="1">
      <c r="A61" s="91">
        <f t="shared" si="10"/>
        <v>314</v>
      </c>
      <c r="C61" s="18">
        <v>930.2</v>
      </c>
      <c r="D61" s="8" t="s">
        <v>1568</v>
      </c>
      <c r="E61" s="256">
        <v>0</v>
      </c>
      <c r="F61" s="256">
        <v>0</v>
      </c>
      <c r="G61" s="256">
        <v>0</v>
      </c>
      <c r="H61" s="256">
        <v>1542971.3499994045</v>
      </c>
      <c r="I61" s="256">
        <v>-14433198.890000001</v>
      </c>
      <c r="J61" s="256">
        <v>0</v>
      </c>
      <c r="K61" s="256">
        <v>0</v>
      </c>
      <c r="L61" s="242">
        <f t="shared" si="9"/>
        <v>-12890227.540000595</v>
      </c>
      <c r="M61" s="293">
        <f t="shared" si="7"/>
        <v>314</v>
      </c>
      <c r="N61" s="293"/>
      <c r="O61" s="286"/>
    </row>
    <row r="62" spans="1:15" s="8" customFormat="1">
      <c r="A62" s="91">
        <f t="shared" si="10"/>
        <v>315</v>
      </c>
      <c r="C62" s="18">
        <v>931</v>
      </c>
      <c r="D62" s="8" t="s">
        <v>1501</v>
      </c>
      <c r="E62" s="256">
        <v>0</v>
      </c>
      <c r="F62" s="256">
        <v>0</v>
      </c>
      <c r="G62" s="256">
        <v>0</v>
      </c>
      <c r="H62" s="256">
        <v>0</v>
      </c>
      <c r="I62" s="256">
        <v>0</v>
      </c>
      <c r="J62" s="256">
        <v>0</v>
      </c>
      <c r="K62" s="256">
        <v>0</v>
      </c>
      <c r="L62" s="242">
        <f t="shared" si="9"/>
        <v>0</v>
      </c>
      <c r="M62" s="293">
        <f t="shared" si="7"/>
        <v>315</v>
      </c>
      <c r="N62" s="293"/>
      <c r="O62" s="286"/>
    </row>
    <row r="63" spans="1:15" s="8" customFormat="1">
      <c r="A63" s="91">
        <f t="shared" si="10"/>
        <v>316</v>
      </c>
      <c r="C63" s="18">
        <v>935</v>
      </c>
      <c r="D63" s="8" t="s">
        <v>1573</v>
      </c>
      <c r="E63" s="256">
        <v>0</v>
      </c>
      <c r="F63" s="256">
        <v>0</v>
      </c>
      <c r="G63" s="256">
        <v>0</v>
      </c>
      <c r="H63" s="256">
        <v>0</v>
      </c>
      <c r="I63" s="256">
        <v>0</v>
      </c>
      <c r="J63" s="256">
        <v>0</v>
      </c>
      <c r="K63" s="256">
        <v>0</v>
      </c>
      <c r="L63" s="242">
        <f t="shared" si="9"/>
        <v>0</v>
      </c>
      <c r="M63" s="293">
        <f t="shared" si="7"/>
        <v>316</v>
      </c>
      <c r="N63" s="293"/>
      <c r="O63" s="286"/>
    </row>
    <row r="64" spans="1:15" s="8" customFormat="1">
      <c r="A64" s="91">
        <v>318</v>
      </c>
      <c r="D64" s="105" t="s">
        <v>1625</v>
      </c>
      <c r="E64" s="474">
        <f>SUM(E50:E63)</f>
        <v>-10128984.77</v>
      </c>
      <c r="F64" s="474">
        <f t="shared" ref="F64:K64" si="11">SUM(F50:F63)</f>
        <v>-33529541.206899997</v>
      </c>
      <c r="G64" s="474">
        <f t="shared" si="11"/>
        <v>-240501141.1587123</v>
      </c>
      <c r="H64" s="474">
        <f t="shared" si="11"/>
        <v>-1040365822.8846602</v>
      </c>
      <c r="I64" s="474">
        <f t="shared" si="11"/>
        <v>5340521.0399999879</v>
      </c>
      <c r="J64" s="474">
        <f t="shared" si="11"/>
        <v>-1890177.9839371885</v>
      </c>
      <c r="K64" s="474">
        <f t="shared" si="11"/>
        <v>-32236063.619830705</v>
      </c>
      <c r="L64" s="474">
        <f>SUM(L50:L63)</f>
        <v>-1353311210.5840406</v>
      </c>
      <c r="M64" s="293">
        <f t="shared" si="7"/>
        <v>318</v>
      </c>
      <c r="N64" s="293"/>
    </row>
    <row r="65" spans="1:14" s="8" customFormat="1">
      <c r="A65" s="91"/>
      <c r="E65" s="285"/>
      <c r="F65" s="285"/>
      <c r="G65" s="285"/>
      <c r="H65" s="285"/>
      <c r="I65" s="287"/>
      <c r="J65" s="285"/>
    </row>
    <row r="66" spans="1:14" s="8" customFormat="1">
      <c r="A66" s="91"/>
      <c r="I66" s="230"/>
    </row>
    <row r="67" spans="1:14">
      <c r="A67" s="293"/>
      <c r="M67"/>
      <c r="N67" s="52"/>
    </row>
    <row r="68" spans="1:14">
      <c r="A68" s="293"/>
      <c r="C68" s="105" t="s">
        <v>598</v>
      </c>
      <c r="D68" s="8"/>
    </row>
    <row r="69" spans="1:14">
      <c r="A69" s="293"/>
      <c r="C69" s="212">
        <v>1</v>
      </c>
      <c r="D69" s="52" t="s">
        <v>1626</v>
      </c>
    </row>
    <row r="70" spans="1:14">
      <c r="D70" s="52" t="s">
        <v>1627</v>
      </c>
      <c r="E70" s="257"/>
      <c r="F70" s="257"/>
      <c r="G70" s="257"/>
      <c r="H70" s="257"/>
      <c r="I70" s="257"/>
      <c r="J70" s="257"/>
      <c r="K70" s="257"/>
    </row>
    <row r="71" spans="1:14">
      <c r="C71" s="212">
        <v>2</v>
      </c>
      <c r="D71" s="52" t="s">
        <v>1628</v>
      </c>
      <c r="E71" s="242"/>
      <c r="F71" s="242"/>
      <c r="G71" s="242"/>
      <c r="H71" s="242"/>
      <c r="I71" s="242"/>
      <c r="J71" s="242"/>
      <c r="K71" s="242"/>
    </row>
    <row r="72" spans="1:14">
      <c r="C72" s="91">
        <v>3</v>
      </c>
      <c r="D72" s="8" t="s">
        <v>1629</v>
      </c>
      <c r="E72" s="257"/>
      <c r="F72" s="257"/>
      <c r="G72" s="257"/>
      <c r="H72" s="257"/>
      <c r="I72" s="257"/>
      <c r="J72" s="257"/>
      <c r="K72" s="257"/>
    </row>
    <row r="73" spans="1:14">
      <c r="C73" s="91">
        <v>4</v>
      </c>
      <c r="D73" s="8" t="s">
        <v>1630</v>
      </c>
      <c r="E73" s="257"/>
      <c r="F73" s="257"/>
      <c r="G73" s="257"/>
      <c r="H73" s="257"/>
      <c r="I73" s="257"/>
      <c r="J73" s="257"/>
      <c r="K73" s="257"/>
    </row>
    <row r="74" spans="1:14">
      <c r="C74" s="4">
        <v>5</v>
      </c>
      <c r="D74" s="8" t="s">
        <v>1631</v>
      </c>
      <c r="E74" s="257"/>
      <c r="F74" s="257"/>
      <c r="G74" s="257"/>
      <c r="H74" s="257"/>
      <c r="I74" s="257"/>
      <c r="J74" s="257"/>
      <c r="K74" s="257"/>
    </row>
    <row r="75" spans="1:14">
      <c r="C75" s="4">
        <v>6</v>
      </c>
      <c r="D75" s="8" t="s">
        <v>1632</v>
      </c>
      <c r="E75" s="257"/>
      <c r="F75" s="257"/>
      <c r="G75" s="257"/>
      <c r="H75" s="257"/>
      <c r="I75" s="257"/>
      <c r="J75" s="257"/>
      <c r="K75" s="257"/>
    </row>
    <row r="76" spans="1:14">
      <c r="C76" s="4">
        <v>7</v>
      </c>
      <c r="D76" s="8" t="s">
        <v>1633</v>
      </c>
    </row>
    <row r="77" spans="1:14">
      <c r="C77" s="4">
        <v>8</v>
      </c>
      <c r="D77" s="8" t="s">
        <v>1634</v>
      </c>
    </row>
    <row r="78" spans="1:14">
      <c r="C78" s="4">
        <v>9</v>
      </c>
      <c r="D78" s="8" t="s">
        <v>1635</v>
      </c>
    </row>
    <row r="79" spans="1:14">
      <c r="C79" s="4">
        <v>10</v>
      </c>
      <c r="D79" s="8" t="s">
        <v>1636</v>
      </c>
    </row>
  </sheetData>
  <printOptions horizontalCentered="1"/>
  <pageMargins left="1" right="1" top="1" bottom="1" header="0.5" footer="0.5"/>
  <pageSetup scale="39"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46" max="13" man="1"/>
  </rowBreaks>
  <customProperties>
    <customPr name="_pios_id" r:id="rId2"/>
    <customPr name="EpmWorksheetKeyString_GUID" r:id="rId3"/>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A1:I70"/>
  <sheetViews>
    <sheetView view="pageBreakPreview" topLeftCell="A20" zoomScale="70" zoomScaleNormal="85" zoomScaleSheetLayoutView="70" zoomScalePageLayoutView="70" workbookViewId="0">
      <selection activeCell="D45" sqref="D45"/>
    </sheetView>
  </sheetViews>
  <sheetFormatPr defaultColWidth="9.1796875" defaultRowHeight="14.5"/>
  <cols>
    <col min="1" max="1" width="4.7265625" bestFit="1" customWidth="1"/>
    <col min="2" max="2" width="10.453125" bestFit="1" customWidth="1"/>
    <col min="3" max="3" width="10.7265625" customWidth="1"/>
    <col min="4" max="4" width="71.7265625" bestFit="1" customWidth="1"/>
    <col min="5" max="5" width="16.1796875" customWidth="1"/>
    <col min="6" max="6" width="13.7265625" bestFit="1" customWidth="1"/>
    <col min="7" max="7" width="13.7265625" style="669" customWidth="1"/>
    <col min="8" max="8" width="28" bestFit="1" customWidth="1"/>
    <col min="9" max="9" width="4.7265625" bestFit="1" customWidth="1"/>
  </cols>
  <sheetData>
    <row r="1" spans="1:9">
      <c r="B1" s="2" t="s">
        <v>55</v>
      </c>
      <c r="H1" s="6" t="str">
        <f>CONCATENATE("Prior Year: ",'1-DRR'!$K$2)</f>
        <v>Prior Year: 2022</v>
      </c>
    </row>
    <row r="2" spans="1:9">
      <c r="B2" s="78" t="s">
        <v>122</v>
      </c>
      <c r="C2" s="38"/>
      <c r="H2" s="6"/>
    </row>
    <row r="3" spans="1:9">
      <c r="A3" s="2"/>
      <c r="B3" s="105"/>
      <c r="H3" s="6"/>
      <c r="I3" s="2"/>
    </row>
    <row r="4" spans="1:9">
      <c r="B4" s="7" t="s">
        <v>329</v>
      </c>
      <c r="D4" s="195"/>
    </row>
    <row r="5" spans="1:9">
      <c r="B5" t="s">
        <v>1637</v>
      </c>
    </row>
    <row r="7" spans="1:9">
      <c r="B7" s="3" t="s">
        <v>124</v>
      </c>
      <c r="C7" s="3" t="s">
        <v>125</v>
      </c>
      <c r="D7" s="3" t="s">
        <v>126</v>
      </c>
      <c r="E7" s="3" t="s">
        <v>127</v>
      </c>
      <c r="F7" s="3" t="s">
        <v>420</v>
      </c>
      <c r="G7" s="670" t="s">
        <v>421</v>
      </c>
      <c r="H7" s="3" t="s">
        <v>421</v>
      </c>
    </row>
    <row r="8" spans="1:9">
      <c r="B8" s="4"/>
      <c r="C8" s="4"/>
      <c r="D8" s="4"/>
      <c r="E8" s="4"/>
      <c r="F8" s="4"/>
      <c r="G8" s="671"/>
      <c r="H8" s="4"/>
    </row>
    <row r="9" spans="1:9" ht="43.5">
      <c r="A9" s="3" t="s">
        <v>92</v>
      </c>
      <c r="B9" s="3" t="s">
        <v>1638</v>
      </c>
      <c r="C9" s="110" t="s">
        <v>1639</v>
      </c>
      <c r="D9" s="3" t="s">
        <v>1640</v>
      </c>
      <c r="E9" s="3" t="s">
        <v>1641</v>
      </c>
      <c r="F9" s="3" t="s">
        <v>661</v>
      </c>
      <c r="G9" s="672" t="s">
        <v>1642</v>
      </c>
      <c r="H9" s="110" t="s">
        <v>133</v>
      </c>
      <c r="I9" s="3" t="str">
        <f>A9</f>
        <v>Line</v>
      </c>
    </row>
    <row r="10" spans="1:9" ht="29">
      <c r="A10" s="4">
        <v>100</v>
      </c>
      <c r="D10" s="6" t="s">
        <v>1643</v>
      </c>
      <c r="E10" s="221">
        <f>E14+E20+E30+E36+E44</f>
        <v>-188481714.35000002</v>
      </c>
      <c r="F10" s="221">
        <f>F14+F20+F30+F36+F44</f>
        <v>210061030.99020007</v>
      </c>
      <c r="G10" s="673">
        <f>G14+G20+G30+G36+G44</f>
        <v>20061727.579999998</v>
      </c>
      <c r="H10" s="34" t="s">
        <v>1644</v>
      </c>
      <c r="I10" s="3">
        <f>A10</f>
        <v>100</v>
      </c>
    </row>
    <row r="11" spans="1:9">
      <c r="A11" s="3"/>
      <c r="E11" s="6"/>
      <c r="F11" s="16"/>
      <c r="G11" s="674"/>
      <c r="H11" s="110"/>
      <c r="I11" s="3"/>
    </row>
    <row r="12" spans="1:9">
      <c r="A12" s="3"/>
      <c r="B12" s="41" t="s">
        <v>1645</v>
      </c>
      <c r="C12" s="222"/>
      <c r="D12" s="222"/>
      <c r="E12" s="222"/>
      <c r="F12" s="43"/>
      <c r="G12" s="675"/>
      <c r="H12" s="43"/>
    </row>
    <row r="13" spans="1:9">
      <c r="A13" s="4">
        <v>200</v>
      </c>
      <c r="B13" s="21"/>
      <c r="D13" s="6" t="s">
        <v>1646</v>
      </c>
      <c r="E13" s="280">
        <v>108292</v>
      </c>
      <c r="F13" s="210"/>
      <c r="G13" s="676"/>
      <c r="H13" s="210"/>
      <c r="I13" s="4">
        <f>A13</f>
        <v>200</v>
      </c>
    </row>
    <row r="14" spans="1:9">
      <c r="A14" s="4">
        <f>A13+1</f>
        <v>201</v>
      </c>
      <c r="B14" s="21"/>
      <c r="D14" s="6" t="s">
        <v>1647</v>
      </c>
      <c r="E14" s="221">
        <f>SUM(E15:E17)</f>
        <v>108291.5</v>
      </c>
      <c r="F14" s="221">
        <f>SUM(F15:F17)</f>
        <v>108291.5</v>
      </c>
      <c r="G14" s="673">
        <f>SUM(G15:G17)</f>
        <v>0</v>
      </c>
      <c r="H14" s="210"/>
      <c r="I14" s="4">
        <f>A14</f>
        <v>201</v>
      </c>
    </row>
    <row r="15" spans="1:9">
      <c r="A15" s="4">
        <f>A14+1</f>
        <v>202</v>
      </c>
      <c r="B15" s="21">
        <v>450</v>
      </c>
      <c r="C15">
        <v>4500000</v>
      </c>
      <c r="D15" t="s">
        <v>1645</v>
      </c>
      <c r="E15" s="220">
        <v>108291.5</v>
      </c>
      <c r="F15" s="220">
        <f>E15</f>
        <v>108291.5</v>
      </c>
      <c r="G15" s="677"/>
      <c r="H15" s="210" t="s">
        <v>425</v>
      </c>
      <c r="I15" s="4">
        <f>A15</f>
        <v>202</v>
      </c>
    </row>
    <row r="16" spans="1:9">
      <c r="A16" s="4">
        <f>A15+1</f>
        <v>203</v>
      </c>
      <c r="B16" s="44"/>
      <c r="C16" s="38"/>
      <c r="D16" s="38"/>
      <c r="E16" s="220"/>
      <c r="F16" s="220"/>
      <c r="G16" s="677"/>
      <c r="H16" s="210"/>
      <c r="I16" s="4">
        <f>A16</f>
        <v>203</v>
      </c>
    </row>
    <row r="17" spans="1:9">
      <c r="A17" s="4">
        <f>A16+1</f>
        <v>204</v>
      </c>
      <c r="B17" s="219" t="s">
        <v>596</v>
      </c>
      <c r="C17" s="38"/>
      <c r="D17" s="38"/>
      <c r="E17" s="220"/>
      <c r="F17" s="220"/>
      <c r="G17" s="677"/>
      <c r="H17" s="210"/>
      <c r="I17" s="4">
        <f>A17</f>
        <v>204</v>
      </c>
    </row>
    <row r="18" spans="1:9">
      <c r="A18" s="4"/>
      <c r="B18" s="45" t="s">
        <v>1648</v>
      </c>
      <c r="C18" s="43"/>
      <c r="D18" s="43"/>
      <c r="E18" s="43"/>
      <c r="F18" s="43"/>
      <c r="G18" s="675"/>
      <c r="H18" s="43"/>
      <c r="I18" s="4"/>
    </row>
    <row r="19" spans="1:9">
      <c r="A19" s="4">
        <v>300</v>
      </c>
      <c r="B19" s="21"/>
      <c r="D19" s="6" t="s">
        <v>1649</v>
      </c>
      <c r="E19" s="280">
        <v>7068124</v>
      </c>
      <c r="F19" s="221"/>
      <c r="G19" s="673"/>
      <c r="H19" s="210"/>
      <c r="I19" s="4">
        <f t="shared" ref="I19:I27" si="0">A19</f>
        <v>300</v>
      </c>
    </row>
    <row r="20" spans="1:9">
      <c r="A20" s="4">
        <f t="shared" ref="A20:A27" si="1">A19+1</f>
        <v>301</v>
      </c>
      <c r="B20" s="21"/>
      <c r="D20" s="6" t="s">
        <v>1650</v>
      </c>
      <c r="E20" s="221">
        <f>SUM(E21:E27)</f>
        <v>7068124.4299999997</v>
      </c>
      <c r="F20" s="221">
        <f>SUM(F21:F27)</f>
        <v>6454054.9900000002</v>
      </c>
      <c r="G20" s="673">
        <f>SUM(G21:G27)</f>
        <v>133498.76</v>
      </c>
      <c r="H20" s="210"/>
      <c r="I20" s="4">
        <f t="shared" si="0"/>
        <v>301</v>
      </c>
    </row>
    <row r="21" spans="1:9">
      <c r="A21" s="4">
        <f t="shared" si="1"/>
        <v>302</v>
      </c>
      <c r="B21" s="21">
        <v>451</v>
      </c>
      <c r="C21">
        <v>4510000</v>
      </c>
      <c r="D21" t="s">
        <v>1648</v>
      </c>
      <c r="E21" s="220">
        <v>1490447.08</v>
      </c>
      <c r="F21" s="220">
        <v>1490447.08</v>
      </c>
      <c r="G21" s="677"/>
      <c r="H21" s="210" t="s">
        <v>425</v>
      </c>
      <c r="I21" s="4">
        <f t="shared" si="0"/>
        <v>302</v>
      </c>
    </row>
    <row r="22" spans="1:9">
      <c r="A22" s="4">
        <f t="shared" si="1"/>
        <v>303</v>
      </c>
      <c r="B22" s="21">
        <v>451</v>
      </c>
      <c r="C22">
        <v>4510007</v>
      </c>
      <c r="D22" t="s">
        <v>1651</v>
      </c>
      <c r="E22" s="220">
        <v>614069.44000000006</v>
      </c>
      <c r="F22" s="220"/>
      <c r="G22" s="220">
        <v>133498.76</v>
      </c>
      <c r="H22" s="210" t="s">
        <v>425</v>
      </c>
      <c r="I22" s="4">
        <f t="shared" si="0"/>
        <v>303</v>
      </c>
    </row>
    <row r="23" spans="1:9">
      <c r="A23" s="4">
        <f t="shared" si="1"/>
        <v>304</v>
      </c>
      <c r="B23" s="21">
        <v>451</v>
      </c>
      <c r="C23">
        <v>4510040</v>
      </c>
      <c r="D23" t="s">
        <v>1652</v>
      </c>
      <c r="E23" s="220">
        <v>3411764.95</v>
      </c>
      <c r="F23" s="220">
        <v>3411764.95</v>
      </c>
      <c r="G23" s="677"/>
      <c r="H23" s="210" t="s">
        <v>425</v>
      </c>
      <c r="I23" s="4">
        <f t="shared" si="0"/>
        <v>304</v>
      </c>
    </row>
    <row r="24" spans="1:9">
      <c r="A24" s="4">
        <f t="shared" si="1"/>
        <v>305</v>
      </c>
      <c r="B24" s="21">
        <v>451</v>
      </c>
      <c r="C24">
        <v>4510041</v>
      </c>
      <c r="D24" t="s">
        <v>1653</v>
      </c>
      <c r="E24" s="220">
        <v>810021.14</v>
      </c>
      <c r="F24" s="220">
        <v>810021.14</v>
      </c>
      <c r="G24" s="677"/>
      <c r="H24" s="210" t="s">
        <v>425</v>
      </c>
      <c r="I24" s="4">
        <f t="shared" si="0"/>
        <v>305</v>
      </c>
    </row>
    <row r="25" spans="1:9">
      <c r="A25" s="4">
        <f t="shared" si="1"/>
        <v>306</v>
      </c>
      <c r="B25" s="21">
        <v>451</v>
      </c>
      <c r="C25">
        <v>4510043</v>
      </c>
      <c r="D25" t="s">
        <v>1654</v>
      </c>
      <c r="E25" s="220">
        <v>741821.81999999983</v>
      </c>
      <c r="F25" s="220">
        <v>741821.81999999983</v>
      </c>
      <c r="G25" s="677"/>
      <c r="H25" s="210" t="s">
        <v>425</v>
      </c>
      <c r="I25" s="4">
        <f t="shared" si="0"/>
        <v>306</v>
      </c>
    </row>
    <row r="26" spans="1:9">
      <c r="A26" s="4">
        <f t="shared" si="1"/>
        <v>307</v>
      </c>
      <c r="B26" s="44">
        <v>451</v>
      </c>
      <c r="C26" s="38">
        <v>4510005</v>
      </c>
      <c r="D26" s="38" t="s">
        <v>1655</v>
      </c>
      <c r="E26" s="220">
        <v>0</v>
      </c>
      <c r="F26" s="220">
        <v>0</v>
      </c>
      <c r="G26" s="677"/>
      <c r="H26" s="210"/>
      <c r="I26" s="4">
        <f t="shared" si="0"/>
        <v>307</v>
      </c>
    </row>
    <row r="27" spans="1:9">
      <c r="A27" s="4">
        <f t="shared" si="1"/>
        <v>308</v>
      </c>
      <c r="B27" s="219" t="s">
        <v>596</v>
      </c>
      <c r="C27" s="38"/>
      <c r="D27" s="38"/>
      <c r="E27" s="220"/>
      <c r="F27" s="220"/>
      <c r="G27" s="677"/>
      <c r="H27" s="210"/>
      <c r="I27" s="4">
        <f t="shared" si="0"/>
        <v>308</v>
      </c>
    </row>
    <row r="28" spans="1:9">
      <c r="A28" s="4"/>
      <c r="B28" s="45" t="s">
        <v>1656</v>
      </c>
      <c r="C28" s="43"/>
      <c r="D28" s="43"/>
      <c r="E28" s="43"/>
      <c r="F28" s="43"/>
      <c r="G28" s="675"/>
      <c r="H28" s="43"/>
      <c r="I28" s="4"/>
    </row>
    <row r="29" spans="1:9">
      <c r="A29" s="4">
        <v>400</v>
      </c>
      <c r="B29" s="21"/>
      <c r="D29" s="6" t="s">
        <v>1657</v>
      </c>
      <c r="E29" s="280">
        <v>4603372</v>
      </c>
      <c r="F29" s="221"/>
      <c r="G29" s="673"/>
      <c r="H29" s="210"/>
      <c r="I29" s="4">
        <f>A29</f>
        <v>400</v>
      </c>
    </row>
    <row r="30" spans="1:9">
      <c r="A30" s="4">
        <f>A29+1</f>
        <v>401</v>
      </c>
      <c r="B30" s="21"/>
      <c r="D30" s="6" t="s">
        <v>1658</v>
      </c>
      <c r="E30" s="221">
        <f>SUM(E31:E33)</f>
        <v>4603372.1500000004</v>
      </c>
      <c r="F30" s="221">
        <f>SUM(F31:F33)</f>
        <v>0</v>
      </c>
      <c r="G30" s="673">
        <f>SUM(G31:G33)</f>
        <v>0</v>
      </c>
      <c r="H30" s="210"/>
      <c r="I30" s="4">
        <f>A30</f>
        <v>401</v>
      </c>
    </row>
    <row r="31" spans="1:9">
      <c r="A31" s="4">
        <f>A30+1</f>
        <v>402</v>
      </c>
      <c r="B31" s="21">
        <v>453</v>
      </c>
      <c r="C31">
        <v>4530000</v>
      </c>
      <c r="D31" t="s">
        <v>1656</v>
      </c>
      <c r="E31" s="220">
        <v>4603372.1500000004</v>
      </c>
      <c r="F31" s="220"/>
      <c r="G31" s="677"/>
      <c r="H31" s="210" t="s">
        <v>425</v>
      </c>
      <c r="I31" s="4">
        <f>A31</f>
        <v>402</v>
      </c>
    </row>
    <row r="32" spans="1:9">
      <c r="A32" s="4">
        <f>A31+1</f>
        <v>403</v>
      </c>
      <c r="B32" s="44"/>
      <c r="C32" s="38"/>
      <c r="D32" s="38"/>
      <c r="E32" s="220"/>
      <c r="F32" s="220"/>
      <c r="G32" s="677"/>
      <c r="H32" s="210"/>
      <c r="I32" s="4">
        <f>A32</f>
        <v>403</v>
      </c>
    </row>
    <row r="33" spans="1:9">
      <c r="A33" s="4">
        <f>A32+1</f>
        <v>404</v>
      </c>
      <c r="B33" s="219" t="s">
        <v>1659</v>
      </c>
      <c r="C33" s="38"/>
      <c r="D33" s="38"/>
      <c r="E33" s="220"/>
      <c r="F33" s="220"/>
      <c r="G33" s="677"/>
      <c r="H33" s="210"/>
      <c r="I33" s="4">
        <f>A33</f>
        <v>404</v>
      </c>
    </row>
    <row r="34" spans="1:9">
      <c r="A34" s="4"/>
      <c r="B34" s="45" t="s">
        <v>1501</v>
      </c>
      <c r="C34" s="43"/>
      <c r="D34" s="43"/>
      <c r="E34" s="43"/>
      <c r="F34" s="43"/>
      <c r="G34" s="675"/>
      <c r="H34" s="43"/>
      <c r="I34" s="4"/>
    </row>
    <row r="35" spans="1:9">
      <c r="A35" s="4">
        <v>500</v>
      </c>
      <c r="B35" s="21"/>
      <c r="D35" s="6" t="s">
        <v>1660</v>
      </c>
      <c r="E35" s="280">
        <v>61810991</v>
      </c>
      <c r="F35" s="221"/>
      <c r="G35" s="673"/>
      <c r="H35" s="210"/>
      <c r="I35" s="4">
        <f t="shared" ref="I35:I41" si="2">A35</f>
        <v>500</v>
      </c>
    </row>
    <row r="36" spans="1:9">
      <c r="A36" s="4">
        <f t="shared" ref="A36:A41" si="3">A35+1</f>
        <v>501</v>
      </c>
      <c r="B36" s="21"/>
      <c r="D36" s="6" t="s">
        <v>1661</v>
      </c>
      <c r="E36" s="221">
        <f>SUM(E37:E41)</f>
        <v>61810991.179999992</v>
      </c>
      <c r="F36" s="221">
        <f>SUM(F37:F41)</f>
        <v>33155035.140199993</v>
      </c>
      <c r="G36" s="673">
        <f>SUM(G37:G41)</f>
        <v>6714334.0199999996</v>
      </c>
      <c r="H36" s="210"/>
      <c r="I36" s="4">
        <f t="shared" si="2"/>
        <v>501</v>
      </c>
    </row>
    <row r="37" spans="1:9">
      <c r="A37" s="4">
        <f t="shared" si="3"/>
        <v>502</v>
      </c>
      <c r="B37" s="21">
        <v>454</v>
      </c>
      <c r="C37">
        <v>4540010</v>
      </c>
      <c r="D37" s="8" t="s">
        <v>1662</v>
      </c>
      <c r="E37" s="220">
        <v>39578694.519999996</v>
      </c>
      <c r="F37" s="220">
        <v>33155035.140199993</v>
      </c>
      <c r="G37" s="677"/>
      <c r="H37" s="210" t="s">
        <v>1663</v>
      </c>
      <c r="I37" s="4">
        <f t="shared" si="2"/>
        <v>502</v>
      </c>
    </row>
    <row r="38" spans="1:9">
      <c r="A38" s="4">
        <f t="shared" si="3"/>
        <v>503</v>
      </c>
      <c r="B38" s="21">
        <v>454</v>
      </c>
      <c r="C38">
        <v>4540012</v>
      </c>
      <c r="D38" t="s">
        <v>1664</v>
      </c>
      <c r="E38" s="220">
        <v>15959486.329999998</v>
      </c>
      <c r="F38" s="220" t="s">
        <v>827</v>
      </c>
      <c r="G38" s="220">
        <v>5588241.0499999998</v>
      </c>
      <c r="H38" s="210" t="s">
        <v>425</v>
      </c>
      <c r="I38" s="4">
        <f t="shared" si="2"/>
        <v>503</v>
      </c>
    </row>
    <row r="39" spans="1:9">
      <c r="A39" s="4">
        <f t="shared" si="3"/>
        <v>504</v>
      </c>
      <c r="B39" s="21">
        <v>454</v>
      </c>
      <c r="C39">
        <v>4540013</v>
      </c>
      <c r="D39" t="s">
        <v>1665</v>
      </c>
      <c r="E39" s="220">
        <v>6272810.3300000001</v>
      </c>
      <c r="F39" s="220"/>
      <c r="G39" s="677">
        <v>1126092.97</v>
      </c>
      <c r="H39" s="210" t="s">
        <v>425</v>
      </c>
      <c r="I39" s="4">
        <f t="shared" si="2"/>
        <v>504</v>
      </c>
    </row>
    <row r="40" spans="1:9">
      <c r="A40" s="4">
        <f t="shared" si="3"/>
        <v>505</v>
      </c>
      <c r="B40" s="44"/>
      <c r="C40" s="38"/>
      <c r="D40" s="38"/>
      <c r="E40" s="220"/>
      <c r="F40" s="220"/>
      <c r="G40" s="677"/>
      <c r="H40" s="210"/>
      <c r="I40" s="4">
        <f t="shared" si="2"/>
        <v>505</v>
      </c>
    </row>
    <row r="41" spans="1:9">
      <c r="A41" s="4">
        <f t="shared" si="3"/>
        <v>506</v>
      </c>
      <c r="B41" s="219" t="s">
        <v>1659</v>
      </c>
      <c r="C41" s="38"/>
      <c r="D41" s="38"/>
      <c r="E41" s="220"/>
      <c r="F41" s="220"/>
      <c r="G41" s="677"/>
      <c r="H41" s="210"/>
      <c r="I41" s="4">
        <f t="shared" si="2"/>
        <v>506</v>
      </c>
    </row>
    <row r="42" spans="1:9">
      <c r="A42" s="4"/>
      <c r="B42" s="45" t="s">
        <v>1666</v>
      </c>
      <c r="C42" s="43"/>
      <c r="D42" s="43"/>
      <c r="E42" s="43"/>
      <c r="F42" s="43"/>
      <c r="G42" s="675"/>
      <c r="H42" s="43"/>
      <c r="I42" s="4"/>
    </row>
    <row r="43" spans="1:9">
      <c r="A43" s="4">
        <v>600</v>
      </c>
      <c r="B43" s="21"/>
      <c r="D43" s="6" t="s">
        <v>1667</v>
      </c>
      <c r="E43" s="280">
        <v>262072494</v>
      </c>
      <c r="F43" s="221"/>
      <c r="G43" s="673"/>
      <c r="H43" s="8" t="s">
        <v>103</v>
      </c>
      <c r="I43" s="4">
        <f t="shared" ref="I43:I63" si="4">A43</f>
        <v>600</v>
      </c>
    </row>
    <row r="44" spans="1:9">
      <c r="A44" s="4">
        <f t="shared" ref="A44:A63" si="5">A43+1</f>
        <v>601</v>
      </c>
      <c r="B44" s="21"/>
      <c r="D44" s="6" t="s">
        <v>1668</v>
      </c>
      <c r="E44" s="221">
        <f>SUM(E45:E63)</f>
        <v>-262072493.61000001</v>
      </c>
      <c r="F44" s="221">
        <f>SUM(F45:F63)</f>
        <v>170343649.36000007</v>
      </c>
      <c r="G44" s="673">
        <f>SUM(G45:G63)</f>
        <v>13213894.800000001</v>
      </c>
      <c r="H44" s="210"/>
      <c r="I44" s="4">
        <f t="shared" si="4"/>
        <v>601</v>
      </c>
    </row>
    <row r="45" spans="1:9">
      <c r="A45" s="4">
        <f t="shared" si="5"/>
        <v>602</v>
      </c>
      <c r="B45" s="21">
        <v>456</v>
      </c>
      <c r="C45">
        <v>4560099</v>
      </c>
      <c r="D45" t="s">
        <v>1669</v>
      </c>
      <c r="E45" s="220">
        <v>117755287.68000001</v>
      </c>
      <c r="F45" s="220">
        <v>117755287.68000001</v>
      </c>
      <c r="G45" s="677"/>
      <c r="H45" s="210" t="s">
        <v>425</v>
      </c>
      <c r="I45" s="4">
        <f t="shared" si="4"/>
        <v>602</v>
      </c>
    </row>
    <row r="46" spans="1:9">
      <c r="A46" s="4">
        <f t="shared" si="5"/>
        <v>603</v>
      </c>
      <c r="B46" s="21">
        <v>456</v>
      </c>
      <c r="D46" t="s">
        <v>1670</v>
      </c>
      <c r="E46" s="220">
        <v>611916.92000000004</v>
      </c>
      <c r="F46" s="220"/>
      <c r="G46" s="677"/>
      <c r="H46" s="210" t="s">
        <v>425</v>
      </c>
      <c r="I46" s="4">
        <f t="shared" si="4"/>
        <v>603</v>
      </c>
    </row>
    <row r="47" spans="1:9">
      <c r="A47" s="4">
        <f t="shared" si="5"/>
        <v>604</v>
      </c>
      <c r="B47" s="21">
        <v>456</v>
      </c>
      <c r="C47">
        <v>4560050</v>
      </c>
      <c r="D47" t="s">
        <v>1671</v>
      </c>
      <c r="E47" s="220">
        <v>1295482</v>
      </c>
      <c r="F47" s="220"/>
      <c r="G47" s="677"/>
      <c r="H47" s="210" t="s">
        <v>425</v>
      </c>
      <c r="I47" s="4">
        <f t="shared" si="4"/>
        <v>604</v>
      </c>
    </row>
    <row r="48" spans="1:9">
      <c r="A48" s="4">
        <f t="shared" si="5"/>
        <v>605</v>
      </c>
      <c r="B48" s="21">
        <v>456</v>
      </c>
      <c r="C48">
        <v>4560070</v>
      </c>
      <c r="D48" t="s">
        <v>1672</v>
      </c>
      <c r="E48" s="220">
        <v>3271.6</v>
      </c>
      <c r="F48" s="220"/>
      <c r="G48" s="677"/>
      <c r="H48" s="210" t="s">
        <v>425</v>
      </c>
      <c r="I48" s="4">
        <f t="shared" si="4"/>
        <v>605</v>
      </c>
    </row>
    <row r="49" spans="1:9">
      <c r="A49" s="4">
        <f t="shared" si="5"/>
        <v>606</v>
      </c>
      <c r="B49" s="21">
        <v>456</v>
      </c>
      <c r="C49">
        <v>4560014</v>
      </c>
      <c r="D49" t="s">
        <v>1673</v>
      </c>
      <c r="E49" s="220">
        <v>93207.19</v>
      </c>
      <c r="F49" s="220"/>
      <c r="G49" s="677"/>
      <c r="H49" s="210" t="s">
        <v>425</v>
      </c>
      <c r="I49" s="4">
        <f t="shared" si="4"/>
        <v>606</v>
      </c>
    </row>
    <row r="50" spans="1:9">
      <c r="A50" s="4">
        <f t="shared" si="5"/>
        <v>607</v>
      </c>
      <c r="B50" s="21">
        <v>456</v>
      </c>
      <c r="C50">
        <v>4560022</v>
      </c>
      <c r="D50" t="s">
        <v>1674</v>
      </c>
      <c r="E50" s="220">
        <v>1134941.74</v>
      </c>
      <c r="F50" s="220">
        <v>1134941.74</v>
      </c>
      <c r="G50" s="677"/>
      <c r="H50" s="210" t="s">
        <v>425</v>
      </c>
      <c r="I50" s="4">
        <f t="shared" si="4"/>
        <v>607</v>
      </c>
    </row>
    <row r="51" spans="1:9">
      <c r="A51" s="4">
        <f t="shared" si="5"/>
        <v>608</v>
      </c>
      <c r="B51" s="21">
        <v>456</v>
      </c>
      <c r="C51">
        <v>4560093</v>
      </c>
      <c r="D51" t="s">
        <v>1675</v>
      </c>
      <c r="E51" s="220">
        <v>4529.79</v>
      </c>
      <c r="F51" s="220">
        <v>4529.79</v>
      </c>
      <c r="G51" s="677"/>
      <c r="H51" s="210" t="s">
        <v>425</v>
      </c>
      <c r="I51" s="4">
        <f t="shared" si="4"/>
        <v>608</v>
      </c>
    </row>
    <row r="52" spans="1:9">
      <c r="A52" s="4">
        <f t="shared" si="5"/>
        <v>609</v>
      </c>
      <c r="B52" s="21">
        <v>456</v>
      </c>
      <c r="C52">
        <v>4560091</v>
      </c>
      <c r="D52" t="s">
        <v>1676</v>
      </c>
      <c r="E52" s="220">
        <v>44441875.380000003</v>
      </c>
      <c r="F52" s="220"/>
      <c r="G52" s="677"/>
      <c r="H52" s="210" t="s">
        <v>425</v>
      </c>
      <c r="I52" s="4">
        <f t="shared" si="4"/>
        <v>609</v>
      </c>
    </row>
    <row r="53" spans="1:9">
      <c r="A53" s="4">
        <f t="shared" si="5"/>
        <v>610</v>
      </c>
      <c r="B53" s="21">
        <v>456</v>
      </c>
      <c r="C53">
        <v>4560098</v>
      </c>
      <c r="D53" t="s">
        <v>1677</v>
      </c>
      <c r="E53" s="220">
        <v>73100493.659999982</v>
      </c>
      <c r="F53" s="220"/>
      <c r="G53" s="220">
        <v>10033839</v>
      </c>
      <c r="H53" s="210" t="s">
        <v>425</v>
      </c>
      <c r="I53" s="4">
        <f t="shared" si="4"/>
        <v>610</v>
      </c>
    </row>
    <row r="54" spans="1:9">
      <c r="A54" s="4">
        <f t="shared" si="5"/>
        <v>611</v>
      </c>
      <c r="B54" s="21">
        <v>456</v>
      </c>
      <c r="C54">
        <v>4560000</v>
      </c>
      <c r="D54" t="s">
        <v>1678</v>
      </c>
      <c r="E54" s="220">
        <v>-36899725.649999999</v>
      </c>
      <c r="F54" s="220"/>
      <c r="G54" s="677"/>
      <c r="H54" s="210" t="s">
        <v>425</v>
      </c>
      <c r="I54" s="4">
        <f t="shared" si="4"/>
        <v>611</v>
      </c>
    </row>
    <row r="55" spans="1:9">
      <c r="A55" s="4">
        <f t="shared" si="5"/>
        <v>612</v>
      </c>
      <c r="B55" s="21">
        <v>456</v>
      </c>
      <c r="C55">
        <v>4560001</v>
      </c>
      <c r="D55" t="s">
        <v>1679</v>
      </c>
      <c r="E55" s="220">
        <v>55039838.450000063</v>
      </c>
      <c r="F55" s="220">
        <v>51423319.150000066</v>
      </c>
      <c r="G55" s="677"/>
      <c r="H55" s="210" t="s">
        <v>1680</v>
      </c>
      <c r="I55" s="4">
        <f t="shared" si="4"/>
        <v>612</v>
      </c>
    </row>
    <row r="56" spans="1:9">
      <c r="A56" s="4">
        <f t="shared" si="5"/>
        <v>613</v>
      </c>
      <c r="B56" s="21">
        <v>456</v>
      </c>
      <c r="C56">
        <v>4560002</v>
      </c>
      <c r="D56" t="s">
        <v>1681</v>
      </c>
      <c r="E56" s="220">
        <v>25571</v>
      </c>
      <c r="F56" s="220">
        <v>25571</v>
      </c>
      <c r="G56" s="677"/>
      <c r="H56" s="210" t="s">
        <v>425</v>
      </c>
      <c r="I56" s="4">
        <f t="shared" si="4"/>
        <v>613</v>
      </c>
    </row>
    <row r="57" spans="1:9">
      <c r="A57" s="4">
        <f t="shared" si="5"/>
        <v>614</v>
      </c>
      <c r="B57" s="21">
        <v>456</v>
      </c>
      <c r="C57">
        <v>4560003</v>
      </c>
      <c r="D57" t="s">
        <v>1682</v>
      </c>
      <c r="E57" s="220">
        <v>15398611.389999999</v>
      </c>
      <c r="F57" s="220"/>
      <c r="G57" s="677"/>
      <c r="H57" s="210" t="s">
        <v>425</v>
      </c>
      <c r="I57" s="4">
        <f t="shared" si="4"/>
        <v>614</v>
      </c>
    </row>
    <row r="58" spans="1:9">
      <c r="A58" s="4">
        <f t="shared" si="5"/>
        <v>615</v>
      </c>
      <c r="B58" s="21">
        <v>456</v>
      </c>
      <c r="C58">
        <v>4560095</v>
      </c>
      <c r="D58" t="s">
        <v>1683</v>
      </c>
      <c r="E58" s="220">
        <v>-475288924.18000001</v>
      </c>
      <c r="F58" s="220"/>
      <c r="G58" s="677"/>
      <c r="H58" s="210" t="s">
        <v>425</v>
      </c>
      <c r="I58" s="4">
        <f t="shared" si="4"/>
        <v>615</v>
      </c>
    </row>
    <row r="59" spans="1:9">
      <c r="A59" s="4">
        <f t="shared" si="5"/>
        <v>616</v>
      </c>
      <c r="B59" s="21">
        <v>456</v>
      </c>
      <c r="C59">
        <v>4560005</v>
      </c>
      <c r="D59" t="s">
        <v>1684</v>
      </c>
      <c r="E59" s="220">
        <v>-101028934.11</v>
      </c>
      <c r="F59" s="220"/>
      <c r="G59" s="677"/>
      <c r="H59" s="210" t="s">
        <v>425</v>
      </c>
      <c r="I59" s="4">
        <f t="shared" si="4"/>
        <v>616</v>
      </c>
    </row>
    <row r="60" spans="1:9">
      <c r="A60" s="4">
        <f t="shared" si="5"/>
        <v>617</v>
      </c>
      <c r="B60" s="21">
        <v>456</v>
      </c>
      <c r="C60">
        <v>9414000</v>
      </c>
      <c r="D60" t="s">
        <v>1685</v>
      </c>
      <c r="E60" s="220">
        <v>0</v>
      </c>
      <c r="F60" s="220"/>
      <c r="G60" s="677"/>
      <c r="H60" s="210" t="s">
        <v>425</v>
      </c>
      <c r="I60" s="4">
        <f t="shared" si="4"/>
        <v>617</v>
      </c>
    </row>
    <row r="61" spans="1:9">
      <c r="A61" s="4">
        <f t="shared" si="5"/>
        <v>618</v>
      </c>
      <c r="B61" s="21">
        <v>456.1</v>
      </c>
      <c r="C61">
        <v>4561000</v>
      </c>
      <c r="D61" t="s">
        <v>1686</v>
      </c>
      <c r="E61" s="220">
        <v>4566310.1399999997</v>
      </c>
      <c r="F61" s="220"/>
      <c r="G61" s="677"/>
      <c r="H61" s="210" t="s">
        <v>1687</v>
      </c>
      <c r="I61" s="4">
        <f t="shared" si="4"/>
        <v>618</v>
      </c>
    </row>
    <row r="62" spans="1:9">
      <c r="A62" s="4">
        <f t="shared" si="5"/>
        <v>619</v>
      </c>
      <c r="B62" s="44">
        <v>456</v>
      </c>
      <c r="C62" s="682" t="s">
        <v>1688</v>
      </c>
      <c r="D62" s="38" t="s">
        <v>1689</v>
      </c>
      <c r="E62" s="220">
        <v>37673753.390000001</v>
      </c>
      <c r="F62" s="220"/>
      <c r="G62" s="677">
        <v>3180055.8</v>
      </c>
      <c r="H62" s="210"/>
      <c r="I62" s="4">
        <f t="shared" si="4"/>
        <v>619</v>
      </c>
    </row>
    <row r="63" spans="1:9">
      <c r="A63" s="4">
        <f t="shared" si="5"/>
        <v>620</v>
      </c>
      <c r="B63" s="219" t="s">
        <v>1659</v>
      </c>
      <c r="C63" s="38"/>
      <c r="D63" s="38"/>
      <c r="E63" s="220"/>
      <c r="F63" s="220"/>
      <c r="G63" s="677"/>
      <c r="H63" s="210"/>
      <c r="I63" s="4">
        <f t="shared" si="4"/>
        <v>620</v>
      </c>
    </row>
    <row r="65" spans="1:9">
      <c r="A65" s="4"/>
      <c r="B65" s="7" t="s">
        <v>598</v>
      </c>
      <c r="E65" s="210"/>
      <c r="I65" s="4"/>
    </row>
    <row r="66" spans="1:9">
      <c r="A66" s="4"/>
      <c r="B66" t="s">
        <v>1690</v>
      </c>
      <c r="I66" s="4"/>
    </row>
    <row r="67" spans="1:9">
      <c r="A67" s="4"/>
      <c r="B67" t="s">
        <v>1691</v>
      </c>
      <c r="I67" s="4"/>
    </row>
    <row r="68" spans="1:9">
      <c r="B68" t="s">
        <v>1692</v>
      </c>
    </row>
    <row r="69" spans="1:9">
      <c r="B69" t="s">
        <v>1693</v>
      </c>
    </row>
    <row r="70" spans="1:9">
      <c r="B70" t="s">
        <v>1694</v>
      </c>
    </row>
  </sheetData>
  <phoneticPr fontId="104" type="noConversion"/>
  <printOptions horizontalCentered="1"/>
  <pageMargins left="1" right="1" top="1" bottom="1" header="0.5" footer="0.5"/>
  <pageSetup scale="65"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41" max="7" man="1"/>
  </rowBreaks>
  <customProperties>
    <customPr name="_pios_id" r:id="rId2"/>
    <customPr name="EpmWorksheetKeyString_GUID" r:id="rId3"/>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42A27-762D-434C-B449-A5273A37DD24}">
  <sheetPr codeName="Sheet28">
    <pageSetUpPr fitToPage="1"/>
  </sheetPr>
  <dimension ref="A1:I22"/>
  <sheetViews>
    <sheetView view="pageBreakPreview" zoomScaleNormal="100" zoomScaleSheetLayoutView="100" workbookViewId="0">
      <selection activeCell="D45" sqref="D45"/>
    </sheetView>
  </sheetViews>
  <sheetFormatPr defaultRowHeight="14.5"/>
  <cols>
    <col min="2" max="2" width="64.7265625" bestFit="1" customWidth="1"/>
    <col min="3" max="3" width="17.54296875" bestFit="1" customWidth="1"/>
    <col min="4" max="4" width="56" bestFit="1" customWidth="1"/>
    <col min="6" max="6" width="15.54296875" bestFit="1" customWidth="1"/>
  </cols>
  <sheetData>
    <row r="1" spans="1:9">
      <c r="B1" s="2" t="s">
        <v>1695</v>
      </c>
      <c r="D1" s="6" t="str">
        <f>CONCATENATE("Rate Year: ",'1-DRR'!$K$1)</f>
        <v>Rate Year: 2024</v>
      </c>
    </row>
    <row r="2" spans="1:9">
      <c r="B2" s="2"/>
    </row>
    <row r="3" spans="1:9">
      <c r="B3" s="45" t="s">
        <v>1696</v>
      </c>
      <c r="C3" s="43"/>
      <c r="D3" s="43"/>
    </row>
    <row r="4" spans="1:9">
      <c r="A4" s="3" t="s">
        <v>92</v>
      </c>
      <c r="B4" s="2"/>
      <c r="D4" s="3" t="s">
        <v>128</v>
      </c>
      <c r="E4" s="3" t="s">
        <v>92</v>
      </c>
    </row>
    <row r="5" spans="1:9">
      <c r="A5" s="4">
        <v>100</v>
      </c>
      <c r="B5" s="6" t="s">
        <v>1697</v>
      </c>
      <c r="C5" s="226">
        <f>C17</f>
        <v>8.0107612041717697E-3</v>
      </c>
      <c r="D5" t="s">
        <v>1698</v>
      </c>
      <c r="E5" s="4">
        <f t="shared" ref="E5" si="0">A5</f>
        <v>100</v>
      </c>
    </row>
    <row r="6" spans="1:9">
      <c r="B6" s="2"/>
    </row>
    <row r="7" spans="1:9">
      <c r="B7" s="45" t="s">
        <v>1699</v>
      </c>
      <c r="C7" s="43"/>
      <c r="D7" s="43"/>
    </row>
    <row r="8" spans="1:9">
      <c r="A8" s="3" t="s">
        <v>92</v>
      </c>
      <c r="B8" s="3" t="s">
        <v>7</v>
      </c>
      <c r="C8" s="3" t="s">
        <v>523</v>
      </c>
      <c r="D8" s="3" t="s">
        <v>128</v>
      </c>
      <c r="E8" s="3" t="str">
        <f>A8</f>
        <v>Line</v>
      </c>
    </row>
    <row r="9" spans="1:9">
      <c r="A9" s="4">
        <v>200</v>
      </c>
      <c r="B9" t="s">
        <v>9</v>
      </c>
      <c r="C9" s="24">
        <f>'1-DRR'!E121</f>
        <v>7288711712.7040997</v>
      </c>
      <c r="D9" t="s">
        <v>1700</v>
      </c>
      <c r="E9" s="4">
        <f t="shared" ref="E9:E17" si="1">A9</f>
        <v>200</v>
      </c>
      <c r="F9" s="24"/>
    </row>
    <row r="10" spans="1:9">
      <c r="A10" s="4">
        <f>A9+1</f>
        <v>201</v>
      </c>
      <c r="B10" t="s">
        <v>283</v>
      </c>
      <c r="C10" s="24">
        <f>'1-DRR'!E106</f>
        <v>1488132633.1743968</v>
      </c>
      <c r="D10" t="s">
        <v>1701</v>
      </c>
      <c r="E10" s="4">
        <f t="shared" si="1"/>
        <v>201</v>
      </c>
      <c r="F10" s="24"/>
    </row>
    <row r="11" spans="1:9">
      <c r="A11" s="4">
        <f t="shared" ref="A11:A17" si="2">A10+1</f>
        <v>202</v>
      </c>
      <c r="B11" t="s">
        <v>1702</v>
      </c>
      <c r="C11" s="24">
        <f>'1-DRR'!E9</f>
        <v>3119409079.6751008</v>
      </c>
      <c r="D11" t="s">
        <v>1703</v>
      </c>
      <c r="E11" s="4">
        <f t="shared" si="1"/>
        <v>202</v>
      </c>
      <c r="F11" s="24"/>
      <c r="I11" s="399"/>
    </row>
    <row r="12" spans="1:9">
      <c r="A12" s="4">
        <f t="shared" si="2"/>
        <v>203</v>
      </c>
      <c r="B12" s="8" t="s">
        <v>1704</v>
      </c>
      <c r="C12" s="24">
        <f>'1-DRR'!E10</f>
        <v>42520442062.835098</v>
      </c>
      <c r="D12" t="s">
        <v>1705</v>
      </c>
      <c r="E12" s="4">
        <f t="shared" si="1"/>
        <v>203</v>
      </c>
      <c r="F12" s="24"/>
      <c r="I12" s="399"/>
    </row>
    <row r="13" spans="1:9">
      <c r="A13" s="4">
        <f t="shared" si="2"/>
        <v>204</v>
      </c>
      <c r="B13" t="s">
        <v>1706</v>
      </c>
      <c r="C13" s="24">
        <f>'1-DRR'!E108+'1-DRR'!E110</f>
        <v>1848755230.0705295</v>
      </c>
      <c r="D13" t="s">
        <v>1707</v>
      </c>
      <c r="E13" s="4">
        <f t="shared" si="1"/>
        <v>204</v>
      </c>
      <c r="F13" s="24"/>
      <c r="I13" s="399"/>
    </row>
    <row r="14" spans="1:9">
      <c r="A14" s="4">
        <f t="shared" si="2"/>
        <v>205</v>
      </c>
      <c r="B14" t="s">
        <v>1708</v>
      </c>
      <c r="C14" s="24">
        <f>(C11/C12)*C13</f>
        <v>135629442.47514054</v>
      </c>
      <c r="D14" t="s">
        <v>1709</v>
      </c>
      <c r="E14" s="4">
        <f t="shared" si="1"/>
        <v>205</v>
      </c>
      <c r="F14" s="24"/>
      <c r="I14" s="399"/>
    </row>
    <row r="15" spans="1:9">
      <c r="A15" s="4">
        <f t="shared" si="2"/>
        <v>206</v>
      </c>
      <c r="B15" t="s">
        <v>1710</v>
      </c>
      <c r="C15" s="24">
        <f>C9-C10-C13+C14</f>
        <v>4087453291.9343143</v>
      </c>
      <c r="D15" t="s">
        <v>1711</v>
      </c>
      <c r="E15" s="4">
        <f t="shared" si="1"/>
        <v>206</v>
      </c>
      <c r="F15" s="24"/>
    </row>
    <row r="16" spans="1:9">
      <c r="A16" s="4">
        <f t="shared" si="2"/>
        <v>207</v>
      </c>
      <c r="B16" t="s">
        <v>1712</v>
      </c>
      <c r="C16" s="442">
        <f>C15/C12</f>
        <v>9.6129134450061229E-2</v>
      </c>
      <c r="D16" t="s">
        <v>1713</v>
      </c>
      <c r="E16" s="4">
        <f t="shared" si="1"/>
        <v>207</v>
      </c>
      <c r="F16" s="442"/>
    </row>
    <row r="17" spans="1:6">
      <c r="A17" s="4">
        <f t="shared" si="2"/>
        <v>208</v>
      </c>
      <c r="B17" t="s">
        <v>1714</v>
      </c>
      <c r="C17" s="442">
        <f>C16/12</f>
        <v>8.0107612041717697E-3</v>
      </c>
      <c r="D17" t="s">
        <v>1715</v>
      </c>
      <c r="E17" s="4">
        <f t="shared" si="1"/>
        <v>208</v>
      </c>
      <c r="F17" s="442"/>
    </row>
    <row r="22" spans="1:6">
      <c r="C22" s="29"/>
    </row>
  </sheetData>
  <printOptions horizontalCentered="1"/>
  <pageMargins left="1" right="1" top="1" bottom="1" header="0.5" footer="0.5"/>
  <pageSetup scale="74"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A1:F25"/>
  <sheetViews>
    <sheetView view="pageBreakPreview" zoomScale="115" zoomScaleNormal="100" zoomScaleSheetLayoutView="115" workbookViewId="0">
      <selection activeCell="D45" sqref="D45"/>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s>
  <sheetData>
    <row r="1" spans="1:6">
      <c r="B1" s="105" t="s">
        <v>59</v>
      </c>
      <c r="D1" s="5"/>
      <c r="E1" s="6" t="str">
        <f>CONCATENATE("Prior Year: ",'1-DRR'!$K$2)</f>
        <v>Prior Year: 2022</v>
      </c>
    </row>
    <row r="2" spans="1:6">
      <c r="B2" s="78" t="s">
        <v>122</v>
      </c>
      <c r="D2" s="5"/>
      <c r="E2" s="6"/>
    </row>
    <row r="3" spans="1:6">
      <c r="B3" s="105"/>
    </row>
    <row r="4" spans="1:6">
      <c r="B4" s="45" t="s">
        <v>1716</v>
      </c>
      <c r="C4" s="43"/>
      <c r="D4" s="43"/>
      <c r="E4" s="43"/>
    </row>
    <row r="5" spans="1:6">
      <c r="A5" s="3" t="s">
        <v>92</v>
      </c>
      <c r="B5" s="3" t="s">
        <v>7</v>
      </c>
      <c r="C5" s="3" t="s">
        <v>507</v>
      </c>
      <c r="D5" s="3" t="s">
        <v>555</v>
      </c>
      <c r="E5" s="3" t="s">
        <v>133</v>
      </c>
      <c r="F5" s="3" t="str">
        <f>A5</f>
        <v>Line</v>
      </c>
    </row>
    <row r="6" spans="1:6">
      <c r="A6" s="91">
        <v>100</v>
      </c>
      <c r="B6" t="s">
        <v>245</v>
      </c>
      <c r="C6" s="39">
        <v>0.21</v>
      </c>
      <c r="D6" s="33" t="s">
        <v>1717</v>
      </c>
      <c r="E6" s="180"/>
      <c r="F6" s="91">
        <f>A6</f>
        <v>100</v>
      </c>
    </row>
    <row r="7" spans="1:6">
      <c r="A7" s="91">
        <f>A6+1</f>
        <v>101</v>
      </c>
      <c r="B7" t="s">
        <v>1718</v>
      </c>
      <c r="C7" s="39">
        <v>8.8400000000000006E-2</v>
      </c>
      <c r="D7" t="s">
        <v>1719</v>
      </c>
      <c r="E7" s="180"/>
      <c r="F7" s="91">
        <f>A7</f>
        <v>101</v>
      </c>
    </row>
    <row r="8" spans="1:6" ht="30.75" customHeight="1">
      <c r="A8" s="91">
        <v>102</v>
      </c>
      <c r="B8" t="s">
        <v>1720</v>
      </c>
      <c r="C8" s="30">
        <f>-C6*C7</f>
        <v>-1.8564000000000001E-2</v>
      </c>
      <c r="D8" s="34" t="s">
        <v>1721</v>
      </c>
      <c r="E8" s="190" t="s">
        <v>1722</v>
      </c>
      <c r="F8" s="91">
        <v>102</v>
      </c>
    </row>
    <row r="9" spans="1:6">
      <c r="A9" s="91">
        <v>103</v>
      </c>
      <c r="B9" s="2" t="s">
        <v>1723</v>
      </c>
      <c r="C9" s="716">
        <f>SUM(C6:C8)</f>
        <v>0.27983599999999997</v>
      </c>
      <c r="D9" t="s">
        <v>1724</v>
      </c>
      <c r="F9" s="91">
        <v>103</v>
      </c>
    </row>
    <row r="10" spans="1:6">
      <c r="A10" s="91"/>
      <c r="B10" s="2"/>
      <c r="C10" s="226"/>
      <c r="F10" s="91"/>
    </row>
    <row r="11" spans="1:6">
      <c r="A11" s="91"/>
      <c r="B11" s="45" t="s">
        <v>1725</v>
      </c>
      <c r="C11" s="43"/>
      <c r="D11" s="43"/>
      <c r="E11" s="43"/>
    </row>
    <row r="12" spans="1:6">
      <c r="A12" s="3" t="s">
        <v>92</v>
      </c>
      <c r="B12" s="3" t="s">
        <v>7</v>
      </c>
      <c r="C12" s="3" t="s">
        <v>507</v>
      </c>
      <c r="D12" s="3" t="s">
        <v>555</v>
      </c>
      <c r="E12" s="3" t="s">
        <v>133</v>
      </c>
      <c r="F12" s="3" t="str">
        <f>A12</f>
        <v>Line</v>
      </c>
    </row>
    <row r="13" spans="1:6">
      <c r="A13" s="91">
        <v>200</v>
      </c>
      <c r="B13" t="s">
        <v>245</v>
      </c>
      <c r="C13" s="39">
        <v>0.21</v>
      </c>
      <c r="D13" s="33" t="s">
        <v>1717</v>
      </c>
      <c r="E13" s="180"/>
      <c r="F13" s="91">
        <f>A13</f>
        <v>200</v>
      </c>
    </row>
    <row r="14" spans="1:6">
      <c r="A14" s="91">
        <f>A13+1</f>
        <v>201</v>
      </c>
      <c r="B14" t="s">
        <v>1718</v>
      </c>
      <c r="C14" s="39">
        <v>8.8400000000000006E-2</v>
      </c>
      <c r="D14" t="s">
        <v>1719</v>
      </c>
      <c r="E14" s="180"/>
      <c r="F14" s="91">
        <f>A14</f>
        <v>201</v>
      </c>
    </row>
    <row r="15" spans="1:6" ht="29">
      <c r="A15" s="91">
        <f>A14+1</f>
        <v>202</v>
      </c>
      <c r="B15" t="s">
        <v>1720</v>
      </c>
      <c r="C15" s="30">
        <f>-C13*C14</f>
        <v>-1.8564000000000001E-2</v>
      </c>
      <c r="D15" s="34" t="s">
        <v>1721</v>
      </c>
      <c r="E15" s="190" t="s">
        <v>1722</v>
      </c>
      <c r="F15" s="91">
        <f>A15</f>
        <v>202</v>
      </c>
    </row>
    <row r="16" spans="1:6">
      <c r="A16" s="91">
        <f>A15+1</f>
        <v>203</v>
      </c>
      <c r="B16" s="2" t="s">
        <v>1723</v>
      </c>
      <c r="C16" s="716">
        <f>SUM(C13:C15)</f>
        <v>0.27983599999999997</v>
      </c>
      <c r="D16" t="s">
        <v>1724</v>
      </c>
      <c r="F16" s="91">
        <f>A16</f>
        <v>203</v>
      </c>
    </row>
    <row r="25" spans="4:4">
      <c r="D25" s="8"/>
    </row>
  </sheetData>
  <printOptions horizontalCentered="1"/>
  <pageMargins left="1" right="1" top="1" bottom="1" header="0.5" footer="0.5"/>
  <pageSetup scale="77"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113CF-59E6-4409-9A03-FEE686309C0A}">
  <sheetPr codeName="Sheet30">
    <pageSetUpPr fitToPage="1"/>
  </sheetPr>
  <dimension ref="A1:E42"/>
  <sheetViews>
    <sheetView view="pageBreakPreview" topLeftCell="A16" zoomScaleNormal="100" zoomScaleSheetLayoutView="100" workbookViewId="0">
      <selection activeCell="H39" sqref="H39"/>
    </sheetView>
  </sheetViews>
  <sheetFormatPr defaultColWidth="9.1796875" defaultRowHeight="14.5"/>
  <cols>
    <col min="1" max="1" width="4.7265625" style="455" bestFit="1" customWidth="1"/>
    <col min="2" max="2" width="44.7265625" style="455" bestFit="1" customWidth="1"/>
    <col min="3" max="3" width="9.1796875" style="455" bestFit="1" customWidth="1"/>
    <col min="4" max="4" width="62.81640625" style="455" bestFit="1" customWidth="1"/>
    <col min="5" max="5" width="4.7265625" style="455" bestFit="1" customWidth="1"/>
    <col min="6" max="16384" width="9.1796875" style="455"/>
  </cols>
  <sheetData>
    <row r="1" spans="1:5">
      <c r="B1" s="105" t="s">
        <v>1726</v>
      </c>
      <c r="D1" s="6" t="str">
        <f>CONCATENATE("Rate Year: ",'1-DRR'!$K$1)</f>
        <v>Rate Year: 2024</v>
      </c>
    </row>
    <row r="2" spans="1:5">
      <c r="B2" s="472" t="s">
        <v>122</v>
      </c>
    </row>
    <row r="4" spans="1:5">
      <c r="B4" s="45" t="s">
        <v>1727</v>
      </c>
      <c r="C4" s="45"/>
      <c r="D4" s="45"/>
    </row>
    <row r="5" spans="1:5">
      <c r="B5" s="2"/>
      <c r="C5" s="2"/>
      <c r="D5" s="2"/>
    </row>
    <row r="6" spans="1:5">
      <c r="B6" s="763" t="s">
        <v>1728</v>
      </c>
      <c r="C6" s="763"/>
      <c r="D6" s="763"/>
    </row>
    <row r="7" spans="1:5">
      <c r="A7" s="3" t="s">
        <v>92</v>
      </c>
      <c r="B7" s="3" t="s">
        <v>7</v>
      </c>
      <c r="C7" s="453" t="s">
        <v>523</v>
      </c>
      <c r="D7" s="3" t="s">
        <v>128</v>
      </c>
      <c r="E7" s="3" t="str">
        <f>A7</f>
        <v>Line</v>
      </c>
    </row>
    <row r="8" spans="1:5">
      <c r="A8" s="454">
        <v>100</v>
      </c>
      <c r="B8" s="447" t="s">
        <v>1729</v>
      </c>
      <c r="C8" s="449">
        <v>84.51</v>
      </c>
      <c r="D8" s="456" t="s">
        <v>1730</v>
      </c>
      <c r="E8" s="4">
        <f t="shared" ref="E8:E20" si="0">A8</f>
        <v>100</v>
      </c>
    </row>
    <row r="9" spans="1:5">
      <c r="A9" s="454"/>
      <c r="B9" s="448"/>
      <c r="C9" s="459"/>
      <c r="D9" s="456"/>
      <c r="E9" s="4"/>
    </row>
    <row r="10" spans="1:5">
      <c r="A10" s="454"/>
      <c r="B10" s="448" t="s">
        <v>1731</v>
      </c>
      <c r="C10" s="452"/>
      <c r="D10" s="456"/>
      <c r="E10" s="4"/>
    </row>
    <row r="11" spans="1:5">
      <c r="A11" s="454">
        <f>A8+1</f>
        <v>101</v>
      </c>
      <c r="B11" s="455" t="s">
        <v>1732</v>
      </c>
      <c r="C11" s="449">
        <v>5.7804840000000004</v>
      </c>
      <c r="D11" s="144" t="s">
        <v>1733</v>
      </c>
      <c r="E11" s="4">
        <f t="shared" si="0"/>
        <v>101</v>
      </c>
    </row>
    <row r="12" spans="1:5">
      <c r="A12" s="454">
        <f>A11+1</f>
        <v>102</v>
      </c>
      <c r="B12" s="455" t="s">
        <v>1734</v>
      </c>
      <c r="C12" s="449">
        <v>2.7177435684</v>
      </c>
      <c r="D12" s="144" t="s">
        <v>1733</v>
      </c>
      <c r="E12" s="4">
        <f t="shared" si="0"/>
        <v>102</v>
      </c>
    </row>
    <row r="13" spans="1:5">
      <c r="A13" s="454">
        <f t="shared" ref="A13:A18" si="1">A12+1</f>
        <v>103</v>
      </c>
      <c r="B13" s="455" t="s">
        <v>1735</v>
      </c>
      <c r="C13" s="449">
        <v>3.8192874732000002</v>
      </c>
      <c r="D13" s="144" t="s">
        <v>1733</v>
      </c>
      <c r="E13" s="4">
        <f t="shared" si="0"/>
        <v>103</v>
      </c>
    </row>
    <row r="14" spans="1:5">
      <c r="A14" s="454">
        <f t="shared" si="1"/>
        <v>104</v>
      </c>
      <c r="B14" s="455" t="s">
        <v>1736</v>
      </c>
      <c r="C14" s="449">
        <v>18.029283300745924</v>
      </c>
      <c r="D14" s="144" t="s">
        <v>1733</v>
      </c>
      <c r="E14" s="4">
        <f t="shared" si="0"/>
        <v>104</v>
      </c>
    </row>
    <row r="15" spans="1:5">
      <c r="A15" s="454">
        <f t="shared" si="1"/>
        <v>105</v>
      </c>
      <c r="B15" s="455" t="s">
        <v>1737</v>
      </c>
      <c r="C15" s="449">
        <v>5.2867823212713612</v>
      </c>
      <c r="D15" s="144" t="s">
        <v>1733</v>
      </c>
      <c r="E15" s="4">
        <f t="shared" si="0"/>
        <v>105</v>
      </c>
    </row>
    <row r="16" spans="1:5">
      <c r="A16" s="454">
        <f t="shared" si="1"/>
        <v>106</v>
      </c>
      <c r="B16" s="455" t="s">
        <v>1738</v>
      </c>
      <c r="C16" s="449">
        <v>8.4848040000000005</v>
      </c>
      <c r="D16" s="144" t="s">
        <v>1733</v>
      </c>
      <c r="E16" s="4">
        <f t="shared" si="0"/>
        <v>106</v>
      </c>
    </row>
    <row r="17" spans="1:5">
      <c r="A17" s="454">
        <f t="shared" si="1"/>
        <v>107</v>
      </c>
      <c r="B17" s="455" t="s">
        <v>1739</v>
      </c>
      <c r="C17" s="449">
        <v>1.6986510000000001</v>
      </c>
      <c r="D17" s="144" t="s">
        <v>1733</v>
      </c>
      <c r="E17" s="4">
        <f t="shared" si="0"/>
        <v>107</v>
      </c>
    </row>
    <row r="18" spans="1:5">
      <c r="A18" s="454">
        <f t="shared" si="1"/>
        <v>108</v>
      </c>
      <c r="B18" s="447" t="s">
        <v>1740</v>
      </c>
      <c r="C18" s="450">
        <f>SUM(C11:C17)</f>
        <v>45.81703566361729</v>
      </c>
      <c r="D18" s="456" t="s">
        <v>1741</v>
      </c>
      <c r="E18" s="4">
        <f t="shared" si="0"/>
        <v>108</v>
      </c>
    </row>
    <row r="19" spans="1:5" ht="15" customHeight="1">
      <c r="A19" s="454"/>
      <c r="C19" s="452"/>
      <c r="D19" s="456"/>
      <c r="E19" s="4"/>
    </row>
    <row r="20" spans="1:5">
      <c r="A20" s="454">
        <f>A18+1</f>
        <v>109</v>
      </c>
      <c r="B20" s="447" t="s">
        <v>1742</v>
      </c>
      <c r="C20" s="451">
        <f>C8+C18</f>
        <v>130.32703566361729</v>
      </c>
      <c r="D20" s="456" t="s">
        <v>1743</v>
      </c>
      <c r="E20" s="4">
        <f t="shared" si="0"/>
        <v>109</v>
      </c>
    </row>
    <row r="22" spans="1:5">
      <c r="B22" s="45" t="s">
        <v>1744</v>
      </c>
      <c r="C22" s="45"/>
      <c r="D22" s="45"/>
    </row>
    <row r="24" spans="1:5" ht="29">
      <c r="A24" s="3" t="s">
        <v>92</v>
      </c>
      <c r="B24" s="3" t="s">
        <v>419</v>
      </c>
      <c r="C24" s="110" t="s">
        <v>1745</v>
      </c>
      <c r="D24" s="458" t="s">
        <v>1746</v>
      </c>
      <c r="E24" s="3" t="str">
        <f>A24</f>
        <v>Line</v>
      </c>
    </row>
    <row r="25" spans="1:5">
      <c r="A25" s="454">
        <v>200</v>
      </c>
      <c r="B25" s="460" t="s">
        <v>1747</v>
      </c>
      <c r="C25" s="180">
        <v>40</v>
      </c>
      <c r="D25" s="452">
        <f>C25*$C$20</f>
        <v>5213.0814265446916</v>
      </c>
      <c r="E25" s="454">
        <f t="shared" ref="E25:E31" si="2">A25</f>
        <v>200</v>
      </c>
    </row>
    <row r="26" spans="1:5">
      <c r="A26" s="454">
        <f>A25+1</f>
        <v>201</v>
      </c>
      <c r="B26" s="460" t="s">
        <v>848</v>
      </c>
      <c r="C26" s="180">
        <v>3.5</v>
      </c>
      <c r="D26" s="452">
        <f t="shared" ref="D26:D31" si="3">C26*$C$20</f>
        <v>456.14462482266055</v>
      </c>
      <c r="E26" s="454">
        <f t="shared" si="2"/>
        <v>201</v>
      </c>
    </row>
    <row r="27" spans="1:5">
      <c r="A27" s="454">
        <f t="shared" ref="A27:A30" si="4">A26+1</f>
        <v>202</v>
      </c>
      <c r="B27" s="460" t="s">
        <v>1748</v>
      </c>
      <c r="C27" s="180">
        <v>3.5</v>
      </c>
      <c r="D27" s="452">
        <f t="shared" si="3"/>
        <v>456.14462482266055</v>
      </c>
      <c r="E27" s="454">
        <f t="shared" si="2"/>
        <v>202</v>
      </c>
    </row>
    <row r="28" spans="1:5">
      <c r="A28" s="454">
        <f t="shared" si="4"/>
        <v>203</v>
      </c>
      <c r="B28" s="460" t="s">
        <v>851</v>
      </c>
      <c r="C28" s="180">
        <v>3.5</v>
      </c>
      <c r="D28" s="452">
        <f t="shared" si="3"/>
        <v>456.14462482266055</v>
      </c>
      <c r="E28" s="454">
        <f t="shared" si="2"/>
        <v>203</v>
      </c>
    </row>
    <row r="29" spans="1:5">
      <c r="A29" s="454">
        <f t="shared" si="4"/>
        <v>204</v>
      </c>
      <c r="B29" s="460" t="s">
        <v>1749</v>
      </c>
      <c r="C29" s="180">
        <v>45</v>
      </c>
      <c r="D29" s="452">
        <f t="shared" si="3"/>
        <v>5864.7166048627787</v>
      </c>
      <c r="E29" s="454">
        <f t="shared" si="2"/>
        <v>204</v>
      </c>
    </row>
    <row r="30" spans="1:5">
      <c r="A30" s="454">
        <f t="shared" si="4"/>
        <v>205</v>
      </c>
      <c r="B30" s="460" t="s">
        <v>1750</v>
      </c>
      <c r="C30" s="180">
        <v>3.5</v>
      </c>
      <c r="D30" s="452">
        <f t="shared" si="3"/>
        <v>456.14462482266055</v>
      </c>
      <c r="E30" s="454">
        <f t="shared" si="2"/>
        <v>205</v>
      </c>
    </row>
    <row r="31" spans="1:5">
      <c r="A31" s="454" t="s">
        <v>119</v>
      </c>
      <c r="B31" s="460"/>
      <c r="C31" s="180"/>
      <c r="D31" s="452">
        <f t="shared" si="3"/>
        <v>0</v>
      </c>
      <c r="E31" s="454" t="str">
        <f t="shared" si="2"/>
        <v>…</v>
      </c>
    </row>
    <row r="32" spans="1:5">
      <c r="A32" s="454"/>
      <c r="B32" s="460"/>
      <c r="C32" s="180"/>
      <c r="D32" s="452"/>
      <c r="E32" s="454"/>
    </row>
    <row r="33" spans="1:5">
      <c r="A33" s="457"/>
    </row>
    <row r="35" spans="1:5" ht="15" customHeight="1">
      <c r="A35" s="454"/>
      <c r="B35" s="764" t="s">
        <v>1751</v>
      </c>
      <c r="C35" s="764"/>
      <c r="D35" s="764"/>
      <c r="E35" s="454"/>
    </row>
    <row r="36" spans="1:5">
      <c r="A36" s="454"/>
      <c r="B36" s="764"/>
      <c r="C36" s="764"/>
      <c r="D36" s="764"/>
      <c r="E36" s="454"/>
    </row>
    <row r="37" spans="1:5">
      <c r="A37" s="454"/>
      <c r="B37" s="764"/>
      <c r="C37" s="764"/>
      <c r="D37" s="764"/>
      <c r="E37" s="454"/>
    </row>
    <row r="38" spans="1:5">
      <c r="A38" s="454"/>
      <c r="B38" s="762" t="s">
        <v>1752</v>
      </c>
      <c r="C38" s="762"/>
      <c r="D38" s="762"/>
      <c r="E38" s="454"/>
    </row>
    <row r="39" spans="1:5">
      <c r="B39" s="762"/>
      <c r="C39" s="762"/>
      <c r="D39" s="762"/>
    </row>
    <row r="40" spans="1:5">
      <c r="B40" s="762"/>
      <c r="C40" s="762"/>
      <c r="D40" s="762"/>
    </row>
    <row r="41" spans="1:5" ht="34.5" customHeight="1">
      <c r="B41" s="762"/>
      <c r="C41" s="762"/>
      <c r="D41" s="762"/>
    </row>
    <row r="42" spans="1:5">
      <c r="B42" s="455" t="s">
        <v>1753</v>
      </c>
    </row>
  </sheetData>
  <mergeCells count="3">
    <mergeCell ref="B38:D41"/>
    <mergeCell ref="B6:D6"/>
    <mergeCell ref="B35:D37"/>
  </mergeCells>
  <printOptions horizontalCentered="1"/>
  <pageMargins left="1" right="1" top="1" bottom="1" header="0.5" footer="0.5"/>
  <pageSetup scale="91"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I42"/>
  <sheetViews>
    <sheetView view="pageBreakPreview" topLeftCell="D24" zoomScaleNormal="100" zoomScaleSheetLayoutView="100" workbookViewId="0">
      <selection activeCell="D45" sqref="D45"/>
    </sheetView>
  </sheetViews>
  <sheetFormatPr defaultRowHeight="14.5"/>
  <cols>
    <col min="1" max="1" width="19.7265625" customWidth="1"/>
    <col min="2" max="2" width="26.453125" bestFit="1" customWidth="1"/>
    <col min="3" max="3" width="28.54296875" bestFit="1" customWidth="1"/>
    <col min="4" max="4" width="97.26953125" bestFit="1" customWidth="1"/>
  </cols>
  <sheetData>
    <row r="1" spans="1:9">
      <c r="A1" s="2" t="s">
        <v>68</v>
      </c>
    </row>
    <row r="3" spans="1:9">
      <c r="A3" s="2" t="s">
        <v>69</v>
      </c>
    </row>
    <row r="4" spans="1:9" ht="28.5" customHeight="1">
      <c r="A4" s="723" t="s">
        <v>70</v>
      </c>
      <c r="B4" s="723"/>
      <c r="C4" s="723"/>
      <c r="D4" s="723"/>
      <c r="E4" s="34"/>
      <c r="F4" s="34"/>
      <c r="G4" s="34"/>
      <c r="H4" s="34"/>
      <c r="I4" s="34"/>
    </row>
    <row r="6" spans="1:9">
      <c r="A6" s="2" t="s">
        <v>71</v>
      </c>
    </row>
    <row r="7" spans="1:9">
      <c r="A7" s="723" t="s">
        <v>72</v>
      </c>
      <c r="B7" s="723"/>
      <c r="C7" s="723"/>
      <c r="D7" s="723"/>
      <c r="E7" s="34"/>
      <c r="F7" s="34"/>
      <c r="G7" s="34"/>
      <c r="H7" s="34"/>
      <c r="I7" s="34"/>
    </row>
    <row r="9" spans="1:9">
      <c r="A9" s="2" t="s">
        <v>73</v>
      </c>
    </row>
    <row r="10" spans="1:9" ht="29.25" customHeight="1">
      <c r="A10" s="723" t="s">
        <v>74</v>
      </c>
      <c r="B10" s="723"/>
      <c r="C10" s="723"/>
      <c r="D10" s="723"/>
      <c r="E10" s="34"/>
      <c r="F10" s="34"/>
      <c r="G10" s="34"/>
      <c r="H10" s="34"/>
      <c r="I10" s="34"/>
    </row>
    <row r="12" spans="1:9">
      <c r="A12" s="2" t="s">
        <v>75</v>
      </c>
    </row>
    <row r="13" spans="1:9" ht="45.75" customHeight="1">
      <c r="A13" s="723" t="s">
        <v>76</v>
      </c>
      <c r="B13" s="723"/>
      <c r="C13" s="723"/>
      <c r="D13" s="723"/>
      <c r="E13" s="34"/>
      <c r="F13" s="34"/>
      <c r="G13" s="34"/>
      <c r="H13" s="34"/>
      <c r="I13" s="34"/>
    </row>
    <row r="15" spans="1:9">
      <c r="A15" s="2" t="s">
        <v>77</v>
      </c>
    </row>
    <row r="16" spans="1:9" ht="30" customHeight="1">
      <c r="A16" s="723" t="s">
        <v>78</v>
      </c>
      <c r="B16" s="723"/>
      <c r="C16" s="723"/>
      <c r="D16" s="723"/>
      <c r="E16" s="34"/>
      <c r="F16" s="34"/>
      <c r="G16" s="34"/>
      <c r="H16" s="34"/>
      <c r="I16" s="34"/>
    </row>
    <row r="17" spans="1:9">
      <c r="A17" s="237"/>
      <c r="B17" s="237"/>
      <c r="C17" s="237"/>
      <c r="D17" s="237"/>
      <c r="E17" s="237"/>
      <c r="F17" s="237"/>
      <c r="G17" s="237"/>
      <c r="H17" s="237"/>
      <c r="I17" s="237"/>
    </row>
    <row r="18" spans="1:9" ht="30.75" customHeight="1">
      <c r="A18" s="723" t="s">
        <v>79</v>
      </c>
      <c r="B18" s="723"/>
      <c r="C18" s="723"/>
      <c r="D18" s="723"/>
      <c r="E18" s="34"/>
      <c r="F18" s="34"/>
      <c r="G18" s="34"/>
      <c r="H18" s="34"/>
      <c r="I18" s="34"/>
    </row>
    <row r="20" spans="1:9">
      <c r="A20" s="2" t="s">
        <v>80</v>
      </c>
    </row>
    <row r="21" spans="1:9">
      <c r="A21" s="238" t="s">
        <v>81</v>
      </c>
      <c r="B21" s="238" t="s">
        <v>82</v>
      </c>
      <c r="C21" s="238" t="s">
        <v>83</v>
      </c>
      <c r="D21" s="238" t="s">
        <v>84</v>
      </c>
    </row>
    <row r="22" spans="1:9">
      <c r="A22" s="241" t="s">
        <v>85</v>
      </c>
      <c r="B22" s="241" t="s">
        <v>86</v>
      </c>
      <c r="C22" s="241" t="s">
        <v>87</v>
      </c>
      <c r="D22" s="241"/>
    </row>
    <row r="23" spans="1:9">
      <c r="A23" s="240"/>
      <c r="B23" s="240"/>
      <c r="C23" s="240"/>
      <c r="D23" s="240"/>
    </row>
    <row r="24" spans="1:9">
      <c r="A24" s="241" t="s">
        <v>88</v>
      </c>
      <c r="B24" s="241" t="s">
        <v>89</v>
      </c>
      <c r="C24" s="241" t="s">
        <v>90</v>
      </c>
      <c r="D24" s="241"/>
    </row>
    <row r="25" spans="1:9">
      <c r="A25" s="240"/>
      <c r="B25" s="240"/>
      <c r="C25" s="240" t="s">
        <v>91</v>
      </c>
      <c r="D25" s="240"/>
    </row>
    <row r="26" spans="1:9">
      <c r="A26" s="241" t="s">
        <v>92</v>
      </c>
      <c r="B26" s="241" t="s">
        <v>93</v>
      </c>
      <c r="C26" s="241" t="s">
        <v>94</v>
      </c>
      <c r="D26" s="241" t="s">
        <v>95</v>
      </c>
    </row>
    <row r="27" spans="1:9">
      <c r="A27" s="240" t="s">
        <v>96</v>
      </c>
      <c r="B27" s="240"/>
      <c r="C27" s="240"/>
      <c r="D27" s="240"/>
    </row>
    <row r="28" spans="1:9">
      <c r="A28" s="241" t="s">
        <v>92</v>
      </c>
      <c r="B28" s="241" t="s">
        <v>97</v>
      </c>
      <c r="C28" s="241" t="s">
        <v>98</v>
      </c>
      <c r="D28" s="241" t="s">
        <v>99</v>
      </c>
    </row>
    <row r="29" spans="1:9">
      <c r="A29" s="240" t="s">
        <v>100</v>
      </c>
      <c r="B29" s="240"/>
      <c r="C29" s="240"/>
      <c r="D29" s="240"/>
    </row>
    <row r="30" spans="1:9">
      <c r="A30" s="241" t="s">
        <v>101</v>
      </c>
      <c r="B30" s="241" t="s">
        <v>102</v>
      </c>
      <c r="C30" s="241" t="s">
        <v>103</v>
      </c>
      <c r="D30" s="241"/>
    </row>
    <row r="31" spans="1:9">
      <c r="A31" s="239"/>
      <c r="B31" s="239"/>
      <c r="C31" s="239" t="s">
        <v>104</v>
      </c>
      <c r="D31" s="239"/>
    </row>
    <row r="32" spans="1:9">
      <c r="A32" s="240"/>
      <c r="B32" s="240"/>
      <c r="C32" s="240" t="s">
        <v>105</v>
      </c>
      <c r="D32" s="240"/>
    </row>
    <row r="33" spans="1:4">
      <c r="A33" s="241" t="s">
        <v>106</v>
      </c>
      <c r="B33" s="241" t="s">
        <v>107</v>
      </c>
      <c r="C33" s="241" t="s">
        <v>108</v>
      </c>
      <c r="D33" s="241" t="s">
        <v>109</v>
      </c>
    </row>
    <row r="34" spans="1:4">
      <c r="A34" s="240"/>
      <c r="B34" s="240"/>
      <c r="C34" s="240" t="s">
        <v>110</v>
      </c>
      <c r="D34" s="240"/>
    </row>
    <row r="35" spans="1:4">
      <c r="A35" s="241" t="s">
        <v>6</v>
      </c>
      <c r="B35" s="241" t="s">
        <v>111</v>
      </c>
      <c r="C35" s="241" t="s">
        <v>36</v>
      </c>
      <c r="D35" s="241" t="s">
        <v>112</v>
      </c>
    </row>
    <row r="36" spans="1:4">
      <c r="A36" s="240"/>
      <c r="B36" s="240"/>
      <c r="C36" s="240"/>
      <c r="D36" s="240"/>
    </row>
    <row r="37" spans="1:4">
      <c r="A37" s="241" t="s">
        <v>113</v>
      </c>
      <c r="B37" s="241" t="s">
        <v>114</v>
      </c>
      <c r="C37" s="241" t="s">
        <v>115</v>
      </c>
      <c r="D37" s="241" t="s">
        <v>116</v>
      </c>
    </row>
    <row r="38" spans="1:4">
      <c r="A38" s="239"/>
      <c r="B38" s="239"/>
      <c r="C38" s="239"/>
      <c r="D38" s="239"/>
    </row>
    <row r="39" spans="1:4">
      <c r="A39" s="239"/>
      <c r="B39" s="239"/>
      <c r="C39" s="239" t="s">
        <v>117</v>
      </c>
      <c r="D39" s="239"/>
    </row>
    <row r="40" spans="1:4">
      <c r="A40" s="240"/>
      <c r="B40" s="240"/>
      <c r="C40" s="240"/>
      <c r="D40" s="240"/>
    </row>
    <row r="41" spans="1:4">
      <c r="A41" s="241" t="s">
        <v>118</v>
      </c>
      <c r="B41" s="688" t="s">
        <v>119</v>
      </c>
      <c r="C41" s="294" t="s">
        <v>119</v>
      </c>
      <c r="D41" s="721" t="s">
        <v>120</v>
      </c>
    </row>
    <row r="42" spans="1:4">
      <c r="A42" s="240"/>
      <c r="B42" s="295"/>
      <c r="C42" s="240"/>
      <c r="D42" s="722"/>
    </row>
  </sheetData>
  <mergeCells count="7">
    <mergeCell ref="D41:D42"/>
    <mergeCell ref="A16:D16"/>
    <mergeCell ref="A18:D18"/>
    <mergeCell ref="A4:D4"/>
    <mergeCell ref="A7:D7"/>
    <mergeCell ref="A10:D10"/>
    <mergeCell ref="A13:D13"/>
  </mergeCells>
  <printOptions horizontalCentered="1"/>
  <pageMargins left="1" right="1" top="1" bottom="1" header="0.5" footer="0.5"/>
  <pageSetup scale="67" fitToHeight="0" orientation="landscape" r:id="rId1"/>
  <customProperties>
    <customPr name="_pios_id" r:id="rId2"/>
    <customPr name="EpmWorksheetKeyString_GUID" r:id="rId3"/>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pageSetUpPr fitToPage="1"/>
  </sheetPr>
  <dimension ref="A1:H58"/>
  <sheetViews>
    <sheetView view="pageBreakPreview" zoomScale="85" zoomScaleNormal="86" zoomScaleSheetLayoutView="85" workbookViewId="0">
      <selection activeCell="D45" sqref="D45"/>
    </sheetView>
  </sheetViews>
  <sheetFormatPr defaultColWidth="9.1796875" defaultRowHeight="14.5"/>
  <cols>
    <col min="1" max="1" width="4.7265625" bestFit="1" customWidth="1"/>
    <col min="2" max="2" width="68.26953125" customWidth="1"/>
    <col min="3" max="3" width="18.81640625" customWidth="1"/>
    <col min="4" max="4" width="86.453125" bestFit="1" customWidth="1"/>
    <col min="5" max="5" width="19.1796875" bestFit="1" customWidth="1"/>
    <col min="6" max="6" width="4.7265625" bestFit="1" customWidth="1"/>
    <col min="7" max="7" width="19.1796875" bestFit="1" customWidth="1"/>
    <col min="8" max="8" width="13.81640625" bestFit="1" customWidth="1"/>
    <col min="9" max="9" width="10.1796875" bestFit="1" customWidth="1"/>
    <col min="10" max="10" width="9.453125" bestFit="1" customWidth="1"/>
  </cols>
  <sheetData>
    <row r="1" spans="1:6">
      <c r="B1" s="2" t="s">
        <v>63</v>
      </c>
      <c r="D1" s="6"/>
      <c r="E1" s="6" t="str">
        <f>CONCATENATE("Prior Year: ",'1-DRR'!$K$2)</f>
        <v>Prior Year: 2022</v>
      </c>
    </row>
    <row r="2" spans="1:6">
      <c r="B2" s="78" t="s">
        <v>122</v>
      </c>
    </row>
    <row r="4" spans="1:6">
      <c r="A4" s="3" t="s">
        <v>92</v>
      </c>
      <c r="B4" s="3" t="s">
        <v>7</v>
      </c>
      <c r="C4" s="3" t="s">
        <v>507</v>
      </c>
      <c r="D4" s="3" t="s">
        <v>555</v>
      </c>
      <c r="E4" s="3" t="s">
        <v>133</v>
      </c>
      <c r="F4" s="3" t="str">
        <f>A4</f>
        <v>Line</v>
      </c>
    </row>
    <row r="5" spans="1:6">
      <c r="B5" s="45" t="s">
        <v>1754</v>
      </c>
      <c r="C5" s="43"/>
      <c r="D5" s="43"/>
      <c r="E5" s="43"/>
    </row>
    <row r="6" spans="1:6">
      <c r="A6" s="4">
        <v>100</v>
      </c>
      <c r="B6" t="s">
        <v>1755</v>
      </c>
      <c r="C6" s="220">
        <v>2321743464.4099998</v>
      </c>
      <c r="D6" s="33" t="s">
        <v>1756</v>
      </c>
      <c r="F6" s="4">
        <f>A6</f>
        <v>100</v>
      </c>
    </row>
    <row r="7" spans="1:6">
      <c r="A7" s="4">
        <f>A6+1</f>
        <v>101</v>
      </c>
      <c r="B7" t="s">
        <v>1757</v>
      </c>
      <c r="C7" s="220">
        <v>-307482801.54000002</v>
      </c>
      <c r="D7" s="33" t="s">
        <v>1758</v>
      </c>
      <c r="F7" s="4">
        <f>A7</f>
        <v>101</v>
      </c>
    </row>
    <row r="8" spans="1:6">
      <c r="A8" s="4">
        <f>A7+1</f>
        <v>102</v>
      </c>
      <c r="B8" t="s">
        <v>1759</v>
      </c>
      <c r="C8" s="220">
        <v>-145831063.22</v>
      </c>
      <c r="D8" s="33" t="s">
        <v>1760</v>
      </c>
      <c r="F8" s="4">
        <f>A8</f>
        <v>102</v>
      </c>
    </row>
    <row r="9" spans="1:6">
      <c r="A9" s="4">
        <f>A8+1</f>
        <v>103</v>
      </c>
      <c r="B9" t="s">
        <v>1761</v>
      </c>
      <c r="C9" s="441">
        <v>-70773445.558300301</v>
      </c>
      <c r="D9" s="33" t="s">
        <v>1762</v>
      </c>
      <c r="F9" s="4">
        <f>A9</f>
        <v>103</v>
      </c>
    </row>
    <row r="10" spans="1:6">
      <c r="A10" s="4">
        <f>A9+1</f>
        <v>104</v>
      </c>
      <c r="B10" s="2" t="s">
        <v>1763</v>
      </c>
      <c r="C10" s="221">
        <f>SUM(C6:C9)</f>
        <v>1797656154.0916996</v>
      </c>
      <c r="D10" s="106" t="s">
        <v>1764</v>
      </c>
      <c r="F10" s="4">
        <f>A10</f>
        <v>104</v>
      </c>
    </row>
    <row r="11" spans="1:6">
      <c r="A11" s="4"/>
      <c r="C11" s="24"/>
      <c r="D11" s="33"/>
      <c r="F11" s="4"/>
    </row>
    <row r="12" spans="1:6">
      <c r="A12" s="4">
        <f>A10+1</f>
        <v>105</v>
      </c>
      <c r="B12" t="s">
        <v>1765</v>
      </c>
      <c r="C12" s="220">
        <v>1637751444.0499997</v>
      </c>
      <c r="D12" s="33" t="s">
        <v>1766</v>
      </c>
      <c r="F12" s="4">
        <f>A12</f>
        <v>105</v>
      </c>
    </row>
    <row r="13" spans="1:6">
      <c r="A13" s="4">
        <f>A12+1</f>
        <v>106</v>
      </c>
      <c r="B13" t="s">
        <v>1767</v>
      </c>
      <c r="C13" s="24">
        <f>C7</f>
        <v>-307482801.54000002</v>
      </c>
      <c r="D13" s="106" t="str">
        <f>"Line "&amp;A7&amp;""</f>
        <v>Line 101</v>
      </c>
      <c r="F13" s="4">
        <f>A13</f>
        <v>106</v>
      </c>
    </row>
    <row r="14" spans="1:6">
      <c r="A14" s="4">
        <f>A13+1</f>
        <v>107</v>
      </c>
      <c r="B14" t="s">
        <v>1761</v>
      </c>
      <c r="C14" s="220">
        <v>-58927169.118300304</v>
      </c>
      <c r="D14" s="33" t="s">
        <v>1768</v>
      </c>
      <c r="F14" s="4">
        <f>A14</f>
        <v>107</v>
      </c>
    </row>
    <row r="15" spans="1:6">
      <c r="A15" s="4">
        <f>A14+1</f>
        <v>108</v>
      </c>
      <c r="B15" s="2" t="s">
        <v>1769</v>
      </c>
      <c r="C15" s="221">
        <f>SUM(C12:C14)</f>
        <v>1271341473.3916996</v>
      </c>
      <c r="D15" s="106" t="s">
        <v>1770</v>
      </c>
      <c r="F15" s="4">
        <f>A15</f>
        <v>108</v>
      </c>
    </row>
    <row r="16" spans="1:6">
      <c r="A16" s="4"/>
      <c r="D16" s="33"/>
      <c r="F16" s="4"/>
    </row>
    <row r="17" spans="1:8">
      <c r="A17" s="4">
        <f>A15+1</f>
        <v>109</v>
      </c>
      <c r="B17" s="2" t="s">
        <v>1771</v>
      </c>
      <c r="C17" s="226">
        <f>C15/C10</f>
        <v>0.70722171784518451</v>
      </c>
      <c r="D17" s="106" t="str">
        <f>"Line "&amp;A15&amp;" / Line "&amp;A10&amp;""</f>
        <v>Line 108 / Line 104</v>
      </c>
      <c r="F17" s="4">
        <f>A17</f>
        <v>109</v>
      </c>
    </row>
    <row r="18" spans="1:8">
      <c r="F18" s="4"/>
    </row>
    <row r="19" spans="1:8">
      <c r="B19" s="45" t="s">
        <v>1772</v>
      </c>
      <c r="C19" s="43"/>
      <c r="D19" s="43"/>
      <c r="E19" s="43"/>
      <c r="F19" s="4"/>
    </row>
    <row r="20" spans="1:8">
      <c r="A20" s="4">
        <f>A17+1</f>
        <v>110</v>
      </c>
      <c r="B20" t="s">
        <v>1769</v>
      </c>
      <c r="C20" s="24">
        <f>C15</f>
        <v>1271341473.3916996</v>
      </c>
      <c r="D20" s="106" t="str">
        <f>"Line "&amp;A15&amp;""</f>
        <v>Line 108</v>
      </c>
      <c r="F20" s="4">
        <f>A20</f>
        <v>110</v>
      </c>
    </row>
    <row r="21" spans="1:8">
      <c r="A21" s="4">
        <f>A20+1</f>
        <v>111</v>
      </c>
      <c r="B21" t="s">
        <v>1773</v>
      </c>
      <c r="C21" s="24">
        <f>'18-OandM'!J11</f>
        <v>549752049.38000011</v>
      </c>
      <c r="D21" s="106" t="s">
        <v>1774</v>
      </c>
      <c r="E21" s="29"/>
      <c r="F21" s="4">
        <f>A21</f>
        <v>111</v>
      </c>
    </row>
    <row r="22" spans="1:8">
      <c r="A22" s="4"/>
      <c r="D22" s="33"/>
      <c r="F22" s="4"/>
    </row>
    <row r="23" spans="1:8">
      <c r="A23" s="4">
        <f>A21+1</f>
        <v>112</v>
      </c>
      <c r="B23" s="2" t="s">
        <v>1775</v>
      </c>
      <c r="C23" s="226">
        <f>C21/C20</f>
        <v>0.43241887477592089</v>
      </c>
      <c r="D23" s="106" t="str">
        <f>"Line "&amp;A21&amp;" / Line "&amp;A20&amp;""</f>
        <v>Line 111 / Line 110</v>
      </c>
      <c r="F23" s="4">
        <f>A23</f>
        <v>112</v>
      </c>
      <c r="H23" s="19"/>
    </row>
    <row r="24" spans="1:8">
      <c r="A24" s="4">
        <f>+A23+1</f>
        <v>113</v>
      </c>
      <c r="B24" s="2" t="s">
        <v>1776</v>
      </c>
      <c r="C24" s="224">
        <f>C21/C10</f>
        <v>0.30581601944770853</v>
      </c>
      <c r="D24" s="106" t="str">
        <f>"Line "&amp;A21&amp;" / Line "&amp;A10&amp;""</f>
        <v>Line 111 / Line 104</v>
      </c>
      <c r="F24" s="4">
        <f>A24</f>
        <v>113</v>
      </c>
      <c r="H24" s="19"/>
    </row>
    <row r="25" spans="1:8">
      <c r="A25" s="4"/>
      <c r="B25" s="2"/>
      <c r="C25" s="224"/>
      <c r="F25" s="4"/>
    </row>
    <row r="26" spans="1:8">
      <c r="B26" s="45" t="s">
        <v>1777</v>
      </c>
      <c r="C26" s="43"/>
      <c r="D26" s="43"/>
      <c r="E26" s="43"/>
      <c r="F26" s="399"/>
    </row>
    <row r="27" spans="1:8">
      <c r="A27" s="4">
        <f>A24+1</f>
        <v>114</v>
      </c>
      <c r="B27" s="8" t="s">
        <v>1778</v>
      </c>
      <c r="C27" s="220">
        <v>44168247327.629547</v>
      </c>
      <c r="D27" s="33" t="s">
        <v>1779</v>
      </c>
      <c r="E27" s="234" t="s">
        <v>1780</v>
      </c>
      <c r="F27" s="4">
        <f>+A27</f>
        <v>114</v>
      </c>
    </row>
    <row r="28" spans="1:8">
      <c r="A28" s="4">
        <f>+A27+1</f>
        <v>115</v>
      </c>
      <c r="B28" s="8" t="s">
        <v>1781</v>
      </c>
      <c r="C28" s="220">
        <v>106463636777.83531</v>
      </c>
      <c r="D28" s="33" t="s">
        <v>1782</v>
      </c>
      <c r="E28" s="234" t="s">
        <v>1780</v>
      </c>
      <c r="F28" s="4">
        <f>+A28</f>
        <v>115</v>
      </c>
    </row>
    <row r="29" spans="1:8">
      <c r="A29" s="4">
        <f>+A28+1</f>
        <v>116</v>
      </c>
      <c r="B29" s="2" t="s">
        <v>1783</v>
      </c>
      <c r="C29" s="127">
        <f>+C27/C28</f>
        <v>0.41486697866425831</v>
      </c>
      <c r="D29" s="106" t="str">
        <f>"Line "&amp;A27&amp;" / Line "&amp;A28&amp;""</f>
        <v>Line 114 / Line 115</v>
      </c>
      <c r="F29" s="4">
        <f>+A29</f>
        <v>116</v>
      </c>
    </row>
    <row r="30" spans="1:8">
      <c r="A30" s="4"/>
      <c r="C30" s="20"/>
      <c r="D30" s="106"/>
      <c r="F30" s="4"/>
    </row>
    <row r="31" spans="1:8">
      <c r="A31" s="4">
        <f>+A29+1</f>
        <v>117</v>
      </c>
      <c r="B31" s="8" t="s">
        <v>1778</v>
      </c>
      <c r="C31" s="24">
        <f>C27</f>
        <v>44168247327.629547</v>
      </c>
      <c r="D31" s="125" t="str">
        <f>"Line "&amp;A27&amp;""</f>
        <v>Line 114</v>
      </c>
      <c r="E31" s="234" t="s">
        <v>1780</v>
      </c>
      <c r="F31" s="4">
        <f>+A31</f>
        <v>117</v>
      </c>
    </row>
    <row r="32" spans="1:8">
      <c r="A32" s="4">
        <f>+A31+1</f>
        <v>118</v>
      </c>
      <c r="B32" s="8" t="s">
        <v>1784</v>
      </c>
      <c r="C32" s="220">
        <v>78950070328.047607</v>
      </c>
      <c r="D32" s="33" t="s">
        <v>1785</v>
      </c>
      <c r="E32" s="234" t="s">
        <v>1780</v>
      </c>
      <c r="F32" s="4">
        <f>+A32</f>
        <v>118</v>
      </c>
    </row>
    <row r="33" spans="1:6">
      <c r="A33" s="4">
        <f>+A32+1</f>
        <v>119</v>
      </c>
      <c r="B33" s="2" t="s">
        <v>1786</v>
      </c>
      <c r="C33" s="127">
        <f>+C31/C32</f>
        <v>0.55944531960649113</v>
      </c>
      <c r="D33" s="106" t="str">
        <f>"Line "&amp;A31&amp;" / Line "&amp;A32&amp;""</f>
        <v>Line 117 / Line 118</v>
      </c>
      <c r="F33" s="4">
        <f>+A33</f>
        <v>119</v>
      </c>
    </row>
    <row r="35" spans="1:6">
      <c r="B35" s="45" t="s">
        <v>1787</v>
      </c>
      <c r="C35" s="225"/>
      <c r="D35" s="43"/>
      <c r="E35" s="43"/>
    </row>
    <row r="36" spans="1:6">
      <c r="A36" s="4">
        <f>A33+1</f>
        <v>120</v>
      </c>
      <c r="B36" s="2" t="s">
        <v>1788</v>
      </c>
      <c r="C36" s="224">
        <f>AVERAGE(C24,C29)</f>
        <v>0.36034149905598345</v>
      </c>
      <c r="D36" s="106" t="str">
        <f>"Average of Line "&amp;A24&amp;" and Line "&amp;A29&amp;""</f>
        <v>Average of Line 113 and Line 116</v>
      </c>
      <c r="F36" s="4">
        <f>A36</f>
        <v>120</v>
      </c>
    </row>
    <row r="37" spans="1:6">
      <c r="A37" s="4"/>
      <c r="B37" s="2"/>
      <c r="C37" s="224"/>
    </row>
    <row r="38" spans="1:6">
      <c r="A38" s="4"/>
      <c r="B38" s="45" t="s">
        <v>1789</v>
      </c>
      <c r="C38" s="225"/>
      <c r="D38" s="43"/>
      <c r="E38" s="43"/>
    </row>
    <row r="39" spans="1:6">
      <c r="A39" s="4">
        <f>+A36+1</f>
        <v>121</v>
      </c>
      <c r="B39" t="s">
        <v>1790</v>
      </c>
      <c r="C39" s="220">
        <v>18236664367.140965</v>
      </c>
      <c r="D39" s="33" t="s">
        <v>1791</v>
      </c>
      <c r="E39" s="234" t="s">
        <v>1780</v>
      </c>
      <c r="F39" s="4">
        <f>A39</f>
        <v>121</v>
      </c>
    </row>
    <row r="40" spans="1:6">
      <c r="A40" s="4">
        <f>+A39+1</f>
        <v>122</v>
      </c>
      <c r="B40" s="8" t="s">
        <v>1792</v>
      </c>
      <c r="C40" s="220">
        <v>34449702124.159882</v>
      </c>
      <c r="D40" s="33" t="s">
        <v>1793</v>
      </c>
      <c r="E40" s="234" t="s">
        <v>1780</v>
      </c>
      <c r="F40" s="4">
        <f>A40</f>
        <v>122</v>
      </c>
    </row>
    <row r="41" spans="1:6">
      <c r="A41" s="4">
        <f>+A40+1</f>
        <v>123</v>
      </c>
      <c r="B41" t="s">
        <v>1794</v>
      </c>
      <c r="C41" s="24">
        <f>+C31-C39</f>
        <v>25931582960.488583</v>
      </c>
      <c r="D41" s="33" t="s">
        <v>1795</v>
      </c>
      <c r="E41" s="234" t="s">
        <v>1780</v>
      </c>
      <c r="F41" s="4">
        <f>A41</f>
        <v>123</v>
      </c>
    </row>
    <row r="42" spans="1:6">
      <c r="A42" s="4">
        <f>+A41+1</f>
        <v>124</v>
      </c>
      <c r="B42" s="8" t="s">
        <v>1796</v>
      </c>
      <c r="C42" s="24">
        <f>+C32-C40</f>
        <v>44500368203.887726</v>
      </c>
      <c r="D42" s="33" t="s">
        <v>1797</v>
      </c>
      <c r="E42" s="234" t="s">
        <v>1780</v>
      </c>
      <c r="F42" s="4">
        <f>A42</f>
        <v>124</v>
      </c>
    </row>
    <row r="43" spans="1:6">
      <c r="A43" s="4">
        <f>+A42+1</f>
        <v>125</v>
      </c>
      <c r="B43" s="2" t="s">
        <v>1798</v>
      </c>
      <c r="C43" s="224">
        <f>C41/C42</f>
        <v>0.58272737973037936</v>
      </c>
      <c r="D43" s="106" t="s">
        <v>1799</v>
      </c>
      <c r="F43" s="4">
        <f>A43</f>
        <v>125</v>
      </c>
    </row>
    <row r="45" spans="1:6" s="86" customFormat="1">
      <c r="A45" s="528"/>
      <c r="B45" s="45" t="s">
        <v>1800</v>
      </c>
      <c r="C45" s="529"/>
      <c r="D45" s="530"/>
      <c r="E45" s="530"/>
    </row>
    <row r="46" spans="1:6" s="86" customFormat="1">
      <c r="A46" s="105">
        <f>A43+1</f>
        <v>126</v>
      </c>
      <c r="B46" s="8" t="s">
        <v>1784</v>
      </c>
      <c r="C46" s="635">
        <f>C32</f>
        <v>78950070328.047607</v>
      </c>
      <c r="D46" s="8" t="s">
        <v>1801</v>
      </c>
      <c r="E46" s="8"/>
      <c r="F46" s="91">
        <f>A46</f>
        <v>126</v>
      </c>
    </row>
    <row r="47" spans="1:6" s="86" customFormat="1">
      <c r="A47" s="105">
        <f>A46+1</f>
        <v>127</v>
      </c>
      <c r="B47" s="8" t="s">
        <v>1781</v>
      </c>
      <c r="C47" s="635">
        <f>C28</f>
        <v>106463636777.83531</v>
      </c>
      <c r="D47" s="8" t="s">
        <v>1802</v>
      </c>
      <c r="E47" s="8"/>
      <c r="F47" s="91">
        <f>A47</f>
        <v>127</v>
      </c>
    </row>
    <row r="48" spans="1:6" s="86" customFormat="1">
      <c r="A48" s="105">
        <f>A47+1</f>
        <v>128</v>
      </c>
      <c r="B48" s="8" t="s">
        <v>1598</v>
      </c>
      <c r="C48" s="636">
        <f>C46/C47</f>
        <v>0.74156841450755551</v>
      </c>
      <c r="D48" s="8" t="s">
        <v>1803</v>
      </c>
      <c r="E48" s="8"/>
      <c r="F48" s="91">
        <f>A48</f>
        <v>128</v>
      </c>
    </row>
    <row r="49" spans="1:6" s="86" customFormat="1">
      <c r="A49" s="91"/>
      <c r="B49" s="105"/>
      <c r="C49" s="636"/>
      <c r="D49" s="8"/>
      <c r="E49" s="8"/>
      <c r="F49" s="8"/>
    </row>
    <row r="50" spans="1:6" s="86" customFormat="1">
      <c r="A50" s="105">
        <f>A48+1</f>
        <v>129</v>
      </c>
      <c r="B50" s="8" t="s">
        <v>1804</v>
      </c>
      <c r="C50" s="637">
        <v>4619348912</v>
      </c>
      <c r="D50" s="8" t="s">
        <v>1805</v>
      </c>
      <c r="E50" s="8"/>
      <c r="F50" s="91">
        <f>A50</f>
        <v>129</v>
      </c>
    </row>
    <row r="51" spans="1:6" s="86" customFormat="1">
      <c r="A51" s="105">
        <f>A50+1</f>
        <v>130</v>
      </c>
      <c r="B51" s="8" t="s">
        <v>1806</v>
      </c>
      <c r="C51" s="637">
        <v>21615710446</v>
      </c>
      <c r="D51" s="8" t="s">
        <v>1807</v>
      </c>
      <c r="E51" s="8"/>
      <c r="F51" s="91">
        <f>A51</f>
        <v>130</v>
      </c>
    </row>
    <row r="52" spans="1:6" s="86" customFormat="1">
      <c r="A52" s="105">
        <f>A51+1</f>
        <v>131</v>
      </c>
      <c r="B52" s="8" t="s">
        <v>1601</v>
      </c>
      <c r="C52" s="636">
        <f>C50/C51</f>
        <v>0.21370331192860761</v>
      </c>
      <c r="D52" s="106" t="s">
        <v>1808</v>
      </c>
      <c r="E52" s="8"/>
      <c r="F52" s="91">
        <f>A52</f>
        <v>131</v>
      </c>
    </row>
    <row r="53" spans="1:6" s="86" customFormat="1"/>
    <row r="54" spans="1:6">
      <c r="C54" s="533"/>
    </row>
    <row r="56" spans="1:6">
      <c r="C56" s="534"/>
    </row>
    <row r="58" spans="1:6">
      <c r="C58" s="534"/>
    </row>
  </sheetData>
  <printOptions horizontalCentered="1"/>
  <pageMargins left="1" right="1" top="1" bottom="1" header="0.5" footer="0.5"/>
  <pageSetup scale="57"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J22"/>
  <sheetViews>
    <sheetView view="pageBreakPreview" zoomScaleNormal="100" zoomScaleSheetLayoutView="100" workbookViewId="0">
      <selection activeCell="D45" sqref="D45"/>
    </sheetView>
  </sheetViews>
  <sheetFormatPr defaultColWidth="9.1796875" defaultRowHeight="14.5"/>
  <cols>
    <col min="1" max="1" width="6.7265625" bestFit="1" customWidth="1"/>
    <col min="2" max="2" width="9.54296875" customWidth="1"/>
    <col min="3" max="3" width="10.7265625" customWidth="1"/>
    <col min="4" max="4" width="17.81640625" customWidth="1"/>
    <col min="5" max="5" width="19.453125" bestFit="1" customWidth="1"/>
    <col min="6" max="6" width="33.453125" bestFit="1" customWidth="1"/>
    <col min="7" max="7" width="4.7265625" bestFit="1" customWidth="1"/>
    <col min="10" max="10" width="15.54296875" bestFit="1" customWidth="1"/>
  </cols>
  <sheetData>
    <row r="1" spans="1:10">
      <c r="B1" s="2" t="s">
        <v>1809</v>
      </c>
      <c r="E1" s="6"/>
      <c r="F1" s="6" t="str">
        <f>CONCATENATE("Prior Year: ",'1-DRR'!$K$2)</f>
        <v>Prior Year: 2022</v>
      </c>
    </row>
    <row r="2" spans="1:10">
      <c r="B2" s="320" t="s">
        <v>122</v>
      </c>
      <c r="C2" s="404"/>
    </row>
    <row r="4" spans="1:10">
      <c r="A4" s="3" t="s">
        <v>92</v>
      </c>
      <c r="G4" s="3" t="str">
        <f>A4</f>
        <v>Line</v>
      </c>
    </row>
    <row r="5" spans="1:10">
      <c r="B5" s="45" t="s">
        <v>1810</v>
      </c>
      <c r="C5" s="43"/>
      <c r="D5" s="43"/>
      <c r="E5" s="43"/>
      <c r="F5" s="43"/>
      <c r="J5" s="210"/>
    </row>
    <row r="6" spans="1:10">
      <c r="B6" s="7" t="s">
        <v>1811</v>
      </c>
      <c r="C6" s="7" t="s">
        <v>1812</v>
      </c>
      <c r="D6" s="7" t="s">
        <v>1813</v>
      </c>
      <c r="E6" s="7" t="s">
        <v>1814</v>
      </c>
      <c r="F6" s="3" t="s">
        <v>555</v>
      </c>
      <c r="J6" s="210"/>
    </row>
    <row r="7" spans="1:10">
      <c r="A7" s="4">
        <v>100</v>
      </c>
      <c r="B7" s="94"/>
      <c r="C7" s="94" t="s">
        <v>1815</v>
      </c>
      <c r="D7" s="38">
        <v>365</v>
      </c>
      <c r="E7" s="229">
        <v>7.6309999999999998E-3</v>
      </c>
      <c r="F7" s="228" t="s">
        <v>1816</v>
      </c>
      <c r="G7" s="4">
        <f>A7</f>
        <v>100</v>
      </c>
    </row>
    <row r="8" spans="1:10">
      <c r="A8" s="4">
        <f>A7+1</f>
        <v>101</v>
      </c>
      <c r="B8" s="227" t="s">
        <v>1659</v>
      </c>
      <c r="C8" s="38"/>
      <c r="D8" s="38"/>
      <c r="E8" s="229"/>
      <c r="F8" s="228"/>
      <c r="G8" s="4">
        <f>A8</f>
        <v>101</v>
      </c>
      <c r="J8" s="10"/>
    </row>
    <row r="9" spans="1:10">
      <c r="A9" s="4"/>
      <c r="G9" s="4"/>
    </row>
    <row r="10" spans="1:10">
      <c r="A10" s="4"/>
      <c r="B10" s="45" t="s">
        <v>1817</v>
      </c>
      <c r="C10" s="43"/>
      <c r="D10" s="43"/>
      <c r="E10" s="43"/>
      <c r="F10" s="43"/>
      <c r="G10" s="4"/>
    </row>
    <row r="11" spans="1:10">
      <c r="A11" s="4"/>
      <c r="B11" s="2" t="s">
        <v>1811</v>
      </c>
      <c r="C11" s="2" t="s">
        <v>1812</v>
      </c>
      <c r="D11" s="2" t="s">
        <v>1813</v>
      </c>
      <c r="E11" s="2" t="s">
        <v>306</v>
      </c>
      <c r="F11" s="2" t="s">
        <v>555</v>
      </c>
      <c r="G11" s="4"/>
    </row>
    <row r="12" spans="1:10">
      <c r="A12" s="4">
        <v>200</v>
      </c>
      <c r="B12" s="94"/>
      <c r="C12" s="94" t="s">
        <v>1815</v>
      </c>
      <c r="D12" s="38">
        <v>365</v>
      </c>
      <c r="E12" s="229">
        <v>2.0782341986441631E-4</v>
      </c>
      <c r="F12" s="228" t="s">
        <v>1818</v>
      </c>
      <c r="G12" s="4">
        <f>A12</f>
        <v>200</v>
      </c>
    </row>
    <row r="13" spans="1:10">
      <c r="A13" s="4">
        <f>A12+1</f>
        <v>201</v>
      </c>
      <c r="B13" s="227" t="s">
        <v>1659</v>
      </c>
      <c r="C13" s="38"/>
      <c r="D13" s="38"/>
      <c r="E13" s="38"/>
      <c r="G13" s="4">
        <f>A13</f>
        <v>201</v>
      </c>
    </row>
    <row r="14" spans="1:10">
      <c r="A14" s="4"/>
      <c r="G14" s="4"/>
    </row>
    <row r="15" spans="1:10">
      <c r="A15" s="4"/>
      <c r="B15" s="45" t="s">
        <v>1819</v>
      </c>
      <c r="C15" s="43"/>
      <c r="D15" s="43"/>
      <c r="E15" s="43"/>
      <c r="F15" s="43"/>
      <c r="G15" s="4"/>
    </row>
    <row r="16" spans="1:10">
      <c r="A16" s="4">
        <v>400</v>
      </c>
      <c r="B16" s="2" t="s">
        <v>1814</v>
      </c>
      <c r="C16" s="2"/>
      <c r="D16" s="2"/>
      <c r="E16" s="10">
        <f>((E7*D7)+(E8*D8))/(D7+D8)</f>
        <v>7.6309999999999998E-3</v>
      </c>
      <c r="F16" s="10"/>
      <c r="G16" s="4">
        <f>A16</f>
        <v>400</v>
      </c>
    </row>
    <row r="17" spans="1:7">
      <c r="A17" s="4">
        <f>A16+1</f>
        <v>401</v>
      </c>
      <c r="B17" s="2" t="s">
        <v>306</v>
      </c>
      <c r="C17" s="2"/>
      <c r="D17" s="2"/>
      <c r="E17" s="10">
        <f>((E12*D12)+(E13*D13))/(D12+D13)</f>
        <v>2.0782341986441631E-4</v>
      </c>
      <c r="F17" s="10"/>
      <c r="G17" s="4">
        <f>A17</f>
        <v>401</v>
      </c>
    </row>
    <row r="22" spans="1:7">
      <c r="D22" s="8"/>
    </row>
  </sheetData>
  <printOptions horizontalCentered="1"/>
  <pageMargins left="1" right="1" top="1" bottom="1" header="0.5" footer="0.5"/>
  <pageSetup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A0616-F583-4DAA-9F13-A45DF24FF732}">
  <sheetPr>
    <pageSetUpPr fitToPage="1"/>
  </sheetPr>
  <dimension ref="A1:G45"/>
  <sheetViews>
    <sheetView view="pageBreakPreview" zoomScale="70" zoomScaleNormal="100" zoomScaleSheetLayoutView="70" workbookViewId="0">
      <selection activeCell="D45" sqref="D45"/>
    </sheetView>
  </sheetViews>
  <sheetFormatPr defaultColWidth="9.1796875" defaultRowHeight="14.5"/>
  <cols>
    <col min="1" max="1" width="5.1796875" style="641" bestFit="1" customWidth="1"/>
    <col min="2" max="2" width="72.54296875" style="641" customWidth="1"/>
    <col min="3" max="3" width="14.26953125" style="641" bestFit="1" customWidth="1"/>
    <col min="4" max="4" width="14.26953125" style="641" customWidth="1"/>
    <col min="5" max="5" width="15.453125" style="641" customWidth="1"/>
    <col min="6" max="6" width="16.54296875" style="641" customWidth="1"/>
    <col min="7" max="7" width="4.7265625" style="641" bestFit="1" customWidth="1"/>
    <col min="8" max="16384" width="9.1796875" style="641"/>
  </cols>
  <sheetData>
    <row r="1" spans="1:7">
      <c r="B1" s="642" t="s">
        <v>67</v>
      </c>
      <c r="C1" s="643"/>
      <c r="F1" s="6" t="str">
        <f>CONCATENATE("Prior Year: ",'1-DRR'!$K$2)</f>
        <v>Prior Year: 2022</v>
      </c>
    </row>
    <row r="2" spans="1:7">
      <c r="B2" s="644" t="s">
        <v>122</v>
      </c>
      <c r="C2" s="643"/>
      <c r="D2" s="643"/>
      <c r="E2" s="643"/>
      <c r="F2" s="643"/>
    </row>
    <row r="3" spans="1:7">
      <c r="A3" s="645"/>
      <c r="B3" s="646"/>
      <c r="C3" s="646"/>
      <c r="D3" s="646"/>
      <c r="E3" s="646"/>
      <c r="F3" s="646"/>
      <c r="G3" s="646"/>
    </row>
    <row r="4" spans="1:7">
      <c r="A4" s="646"/>
      <c r="B4" s="647" t="s">
        <v>1820</v>
      </c>
      <c r="C4" s="648"/>
      <c r="D4" s="648"/>
      <c r="E4" s="648"/>
      <c r="F4" s="648"/>
      <c r="G4" s="646"/>
    </row>
    <row r="5" spans="1:7">
      <c r="A5" s="646" t="s">
        <v>92</v>
      </c>
      <c r="B5" s="646" t="s">
        <v>7</v>
      </c>
      <c r="C5" s="646" t="s">
        <v>523</v>
      </c>
      <c r="D5" s="646" t="s">
        <v>128</v>
      </c>
      <c r="E5" s="646"/>
      <c r="F5" s="646"/>
      <c r="G5" s="646" t="str">
        <f>A5</f>
        <v>Line</v>
      </c>
    </row>
    <row r="6" spans="1:7">
      <c r="A6" s="645">
        <v>100</v>
      </c>
      <c r="B6" s="641" t="s">
        <v>1821</v>
      </c>
      <c r="C6" s="649">
        <f>'20-RevenueCredits'!G10</f>
        <v>20061727.579999998</v>
      </c>
      <c r="D6" s="650" t="s">
        <v>1822</v>
      </c>
      <c r="G6" s="645">
        <f>A6</f>
        <v>100</v>
      </c>
    </row>
    <row r="7" spans="1:7">
      <c r="A7" s="645"/>
      <c r="C7" s="651"/>
      <c r="G7" s="645"/>
    </row>
    <row r="8" spans="1:7">
      <c r="A8" s="645">
        <f>A6+1</f>
        <v>101</v>
      </c>
      <c r="B8" s="641" t="s">
        <v>1823</v>
      </c>
      <c r="C8" s="652">
        <v>9542311.120000001</v>
      </c>
      <c r="D8" s="683" t="s">
        <v>1824</v>
      </c>
      <c r="E8" s="653"/>
      <c r="F8" s="653"/>
      <c r="G8" s="645">
        <f>A8</f>
        <v>101</v>
      </c>
    </row>
    <row r="9" spans="1:7">
      <c r="A9" s="645">
        <f>A8+1</f>
        <v>102</v>
      </c>
      <c r="B9" s="641" t="s">
        <v>1825</v>
      </c>
      <c r="C9" s="654">
        <v>326214.35618618684</v>
      </c>
      <c r="D9" s="683" t="s">
        <v>1826</v>
      </c>
      <c r="E9" s="653"/>
      <c r="F9" s="653"/>
      <c r="G9" s="645">
        <f>A9</f>
        <v>102</v>
      </c>
    </row>
    <row r="10" spans="1:7">
      <c r="A10" s="645">
        <f>A9+1</f>
        <v>103</v>
      </c>
      <c r="B10" s="642" t="s">
        <v>1827</v>
      </c>
      <c r="C10" s="655">
        <f>C8+C9</f>
        <v>9868525.4761861879</v>
      </c>
      <c r="D10" s="641" t="str">
        <f>"Line "&amp;A8&amp;" + Line "&amp;A9&amp;""</f>
        <v>Line 101 + Line 102</v>
      </c>
      <c r="G10" s="645">
        <f>A10</f>
        <v>103</v>
      </c>
    </row>
    <row r="11" spans="1:7">
      <c r="A11" s="645"/>
      <c r="C11" s="656"/>
      <c r="G11" s="645"/>
    </row>
    <row r="12" spans="1:7">
      <c r="A12" s="645"/>
      <c r="B12" s="647" t="s">
        <v>1828</v>
      </c>
      <c r="C12" s="648"/>
      <c r="D12" s="648"/>
      <c r="E12" s="648"/>
      <c r="F12" s="648"/>
      <c r="G12" s="646"/>
    </row>
    <row r="13" spans="1:7">
      <c r="A13" s="645"/>
      <c r="B13" s="657"/>
      <c r="C13" s="646" t="s">
        <v>124</v>
      </c>
      <c r="D13" s="646" t="s">
        <v>125</v>
      </c>
      <c r="E13" s="646" t="s">
        <v>126</v>
      </c>
      <c r="F13" s="646" t="s">
        <v>127</v>
      </c>
      <c r="G13" s="646"/>
    </row>
    <row r="14" spans="1:7">
      <c r="A14" s="645"/>
      <c r="B14" s="657"/>
      <c r="C14" s="658" t="s">
        <v>103</v>
      </c>
      <c r="D14" s="658" t="s">
        <v>425</v>
      </c>
      <c r="E14" s="658" t="s">
        <v>1305</v>
      </c>
      <c r="F14" s="658" t="s">
        <v>426</v>
      </c>
      <c r="G14" s="646"/>
    </row>
    <row r="15" spans="1:7">
      <c r="A15" s="645"/>
      <c r="B15" s="657"/>
      <c r="C15" s="646"/>
      <c r="D15" s="646"/>
      <c r="E15" s="646"/>
      <c r="F15" s="645" t="s">
        <v>1829</v>
      </c>
      <c r="G15" s="646"/>
    </row>
    <row r="16" spans="1:7">
      <c r="A16" s="646" t="s">
        <v>92</v>
      </c>
      <c r="B16" s="646" t="s">
        <v>1830</v>
      </c>
      <c r="C16" s="646" t="s">
        <v>443</v>
      </c>
      <c r="D16" s="646" t="s">
        <v>1333</v>
      </c>
      <c r="E16" s="646" t="s">
        <v>1831</v>
      </c>
      <c r="F16" s="646" t="s">
        <v>1831</v>
      </c>
      <c r="G16" s="646" t="s">
        <v>92</v>
      </c>
    </row>
    <row r="17" spans="1:7">
      <c r="A17" s="645">
        <v>200</v>
      </c>
      <c r="B17" s="659" t="s">
        <v>736</v>
      </c>
      <c r="C17" s="660">
        <f>SUM(C18:C24)</f>
        <v>20061727.580000002</v>
      </c>
      <c r="D17" s="660">
        <f>SUM(D18:D24)</f>
        <v>9868525.4761861879</v>
      </c>
      <c r="E17" s="660">
        <f>SUM(E18:E24)</f>
        <v>10193202.103813812</v>
      </c>
      <c r="F17" s="660">
        <f>SUM(F18:F24)</f>
        <v>10360727.797873827</v>
      </c>
      <c r="G17" s="645">
        <f t="shared" ref="G17:G23" si="0">A17</f>
        <v>200</v>
      </c>
    </row>
    <row r="18" spans="1:7">
      <c r="A18" s="645">
        <f>A17+1</f>
        <v>201</v>
      </c>
      <c r="B18" s="641" t="s">
        <v>1832</v>
      </c>
      <c r="C18" s="652">
        <v>4135.67</v>
      </c>
      <c r="D18" s="652">
        <v>6847.3336072347893</v>
      </c>
      <c r="E18" s="661">
        <f>C18-D18</f>
        <v>-2711.6636072347892</v>
      </c>
      <c r="F18" s="661">
        <f>IF(E18&gt;0,E18,0)</f>
        <v>0</v>
      </c>
      <c r="G18" s="645">
        <f t="shared" si="0"/>
        <v>201</v>
      </c>
    </row>
    <row r="19" spans="1:7">
      <c r="A19" s="645">
        <f>A18+1</f>
        <v>202</v>
      </c>
      <c r="B19" s="641" t="s">
        <v>1833</v>
      </c>
      <c r="C19" s="652">
        <v>2755282.67</v>
      </c>
      <c r="D19" s="652">
        <v>415171.67518128385</v>
      </c>
      <c r="E19" s="661">
        <f>C19-D19</f>
        <v>2340110.9948187163</v>
      </c>
      <c r="F19" s="661">
        <f>IF(E19&gt;0,E19,0)</f>
        <v>2340110.9948187163</v>
      </c>
      <c r="G19" s="645">
        <f t="shared" si="0"/>
        <v>202</v>
      </c>
    </row>
    <row r="20" spans="1:7">
      <c r="A20" s="645">
        <f>A19+1</f>
        <v>203</v>
      </c>
      <c r="B20" s="641" t="s">
        <v>1834</v>
      </c>
      <c r="C20" s="652">
        <v>7095501.3399999999</v>
      </c>
      <c r="D20" s="652">
        <v>5829861.4753428884</v>
      </c>
      <c r="E20" s="661">
        <f>C20-D20</f>
        <v>1265639.8646571115</v>
      </c>
      <c r="F20" s="661">
        <f>IF(E20&gt;0,E20,0)</f>
        <v>1265639.8646571115</v>
      </c>
      <c r="G20" s="645">
        <f t="shared" si="0"/>
        <v>203</v>
      </c>
    </row>
    <row r="21" spans="1:7">
      <c r="A21" s="645">
        <f>A20+1</f>
        <v>204</v>
      </c>
      <c r="B21" s="641" t="s">
        <v>1835</v>
      </c>
      <c r="C21" s="652">
        <v>86772.71</v>
      </c>
      <c r="D21" s="652">
        <v>251586.74045278016</v>
      </c>
      <c r="E21" s="661">
        <f>C21-D21</f>
        <v>-164814.03045278013</v>
      </c>
      <c r="F21" s="661">
        <f t="shared" ref="F21" si="1">IF(E21&gt;0,E21,0)</f>
        <v>0</v>
      </c>
      <c r="G21" s="645">
        <f t="shared" si="0"/>
        <v>204</v>
      </c>
    </row>
    <row r="22" spans="1:7">
      <c r="A22" s="645">
        <f>A21+1</f>
        <v>205</v>
      </c>
      <c r="B22" s="641" t="s">
        <v>1836</v>
      </c>
      <c r="C22" s="652">
        <v>2992733.91</v>
      </c>
      <c r="D22" s="652">
        <v>193266.16594697826</v>
      </c>
      <c r="E22" s="661">
        <f t="shared" ref="E22:E24" si="2">C22-D22</f>
        <v>2799467.744053022</v>
      </c>
      <c r="F22" s="661">
        <f>IF(E22&gt;0,E22,0)</f>
        <v>2799467.744053022</v>
      </c>
      <c r="G22" s="645">
        <f t="shared" si="0"/>
        <v>205</v>
      </c>
    </row>
    <row r="23" spans="1:7">
      <c r="A23" s="645">
        <v>206</v>
      </c>
      <c r="B23" s="641" t="s">
        <v>1837</v>
      </c>
      <c r="C23" s="652">
        <v>3947245.48</v>
      </c>
      <c r="D23" s="652">
        <v>3171792.0856550224</v>
      </c>
      <c r="E23" s="661">
        <f t="shared" si="2"/>
        <v>775453.39434497757</v>
      </c>
      <c r="F23" s="661">
        <f>IF(E23&gt;0,E23,0)</f>
        <v>775453.39434497757</v>
      </c>
      <c r="G23" s="645">
        <f t="shared" si="0"/>
        <v>206</v>
      </c>
    </row>
    <row r="24" spans="1:7">
      <c r="A24" s="645">
        <v>207</v>
      </c>
      <c r="B24" s="662" t="s">
        <v>1838</v>
      </c>
      <c r="C24" s="663">
        <v>3180055.7999999993</v>
      </c>
      <c r="D24" s="663">
        <v>0</v>
      </c>
      <c r="E24" s="661">
        <f t="shared" si="2"/>
        <v>3180055.7999999993</v>
      </c>
      <c r="F24" s="661">
        <f>IF(E24&gt;0,E24,0)</f>
        <v>3180055.7999999993</v>
      </c>
      <c r="G24" s="645">
        <v>207</v>
      </c>
    </row>
    <row r="25" spans="1:7">
      <c r="A25" s="645"/>
      <c r="G25" s="646"/>
    </row>
    <row r="26" spans="1:7">
      <c r="A26" s="645"/>
      <c r="B26" s="646"/>
      <c r="C26" s="646"/>
      <c r="D26" s="646"/>
      <c r="E26" s="646"/>
      <c r="F26" s="646"/>
      <c r="G26" s="646"/>
    </row>
    <row r="27" spans="1:7">
      <c r="A27" s="645"/>
      <c r="B27" s="664" t="s">
        <v>1839</v>
      </c>
      <c r="C27" s="665"/>
      <c r="D27" s="665"/>
      <c r="E27" s="665"/>
      <c r="F27" s="665"/>
      <c r="G27" s="658"/>
    </row>
    <row r="28" spans="1:7">
      <c r="A28" s="646" t="s">
        <v>92</v>
      </c>
      <c r="B28" s="646" t="s">
        <v>7</v>
      </c>
      <c r="C28" s="646" t="s">
        <v>523</v>
      </c>
      <c r="D28" s="646" t="s">
        <v>128</v>
      </c>
      <c r="E28" s="646"/>
      <c r="F28" s="646"/>
      <c r="G28" s="646" t="str">
        <f t="shared" ref="G28:G33" si="3">A28</f>
        <v>Line</v>
      </c>
    </row>
    <row r="29" spans="1:7">
      <c r="A29" s="645">
        <v>300</v>
      </c>
      <c r="B29" s="641" t="s">
        <v>1840</v>
      </c>
      <c r="C29" s="661">
        <f>F17</f>
        <v>10360727.797873827</v>
      </c>
      <c r="D29" s="641" t="s">
        <v>1841</v>
      </c>
      <c r="G29" s="645">
        <f t="shared" si="3"/>
        <v>300</v>
      </c>
    </row>
    <row r="30" spans="1:7">
      <c r="A30" s="645">
        <f>A29+1</f>
        <v>301</v>
      </c>
      <c r="B30" s="641" t="s">
        <v>1842</v>
      </c>
      <c r="C30" s="666">
        <f>'1-DRR'!E78</f>
        <v>0.27983599999999997</v>
      </c>
      <c r="D30" s="679" t="s">
        <v>1843</v>
      </c>
      <c r="E30" s="641" t="s">
        <v>827</v>
      </c>
      <c r="G30" s="645">
        <f t="shared" si="3"/>
        <v>301</v>
      </c>
    </row>
    <row r="31" spans="1:7">
      <c r="A31" s="645">
        <f>A30+1</f>
        <v>302</v>
      </c>
      <c r="B31" s="641" t="s">
        <v>1844</v>
      </c>
      <c r="C31" s="641">
        <v>1</v>
      </c>
      <c r="D31" s="667" t="s">
        <v>1845</v>
      </c>
      <c r="E31" s="667"/>
      <c r="F31" s="667"/>
      <c r="G31" s="645">
        <f t="shared" si="3"/>
        <v>302</v>
      </c>
    </row>
    <row r="32" spans="1:7">
      <c r="A32" s="645">
        <f>A31+1</f>
        <v>303</v>
      </c>
      <c r="B32" s="641" t="s">
        <v>1846</v>
      </c>
      <c r="C32" s="666">
        <f>1/(1+C31-C31*C30)</f>
        <v>0.58133991875193292</v>
      </c>
      <c r="D32" s="641" t="str">
        <f>"1 / [1 + Line "&amp;A31&amp;" - (Line "&amp;A31&amp;" * Line "&amp;A30&amp;")]"</f>
        <v>1 / [1 + Line 302 - (Line 302 * Line 301)]</v>
      </c>
      <c r="G32" s="645">
        <f t="shared" si="3"/>
        <v>303</v>
      </c>
    </row>
    <row r="33" spans="1:7">
      <c r="A33" s="645">
        <f>A32+1</f>
        <v>304</v>
      </c>
      <c r="B33" s="641" t="s">
        <v>1847</v>
      </c>
      <c r="C33" s="666">
        <f>1-C32</f>
        <v>0.41866008124806708</v>
      </c>
      <c r="D33" s="641" t="str">
        <f>"1 - Line "&amp;A32&amp;""</f>
        <v>1 - Line 303</v>
      </c>
      <c r="G33" s="645">
        <f t="shared" si="3"/>
        <v>304</v>
      </c>
    </row>
    <row r="34" spans="1:7">
      <c r="A34" s="645"/>
      <c r="G34" s="645"/>
    </row>
    <row r="35" spans="1:7">
      <c r="A35" s="645"/>
      <c r="B35" s="664" t="s">
        <v>1848</v>
      </c>
      <c r="C35" s="665"/>
      <c r="D35" s="665"/>
      <c r="E35" s="665"/>
      <c r="F35" s="665"/>
      <c r="G35" s="645"/>
    </row>
    <row r="36" spans="1:7">
      <c r="A36" s="646" t="s">
        <v>92</v>
      </c>
      <c r="B36" s="646" t="s">
        <v>7</v>
      </c>
      <c r="C36" s="646" t="s">
        <v>523</v>
      </c>
      <c r="D36" s="646" t="s">
        <v>128</v>
      </c>
      <c r="E36" s="646"/>
      <c r="F36" s="646"/>
      <c r="G36" s="646" t="str">
        <f>A36</f>
        <v>Line</v>
      </c>
    </row>
    <row r="37" spans="1:7">
      <c r="A37" s="645">
        <v>400</v>
      </c>
      <c r="B37" s="641" t="s">
        <v>1849</v>
      </c>
      <c r="C37" s="661">
        <f>C32*C29</f>
        <v>6023104.6562268632</v>
      </c>
      <c r="D37" s="641" t="str">
        <f>"Line "&amp;A29&amp;" * Line "&amp;A32&amp;""</f>
        <v>Line 300 * Line 303</v>
      </c>
      <c r="G37" s="645">
        <f>A37</f>
        <v>400</v>
      </c>
    </row>
    <row r="38" spans="1:7">
      <c r="A38" s="645">
        <f>A37+1</f>
        <v>401</v>
      </c>
      <c r="B38" s="641" t="s">
        <v>1850</v>
      </c>
      <c r="C38" s="661">
        <f>C37*C30</f>
        <v>1685481.5145799003</v>
      </c>
      <c r="D38" s="641" t="str">
        <f>"Line "&amp;A37&amp;" * Line "&amp;A30&amp;""</f>
        <v>Line 400 * Line 301</v>
      </c>
      <c r="G38" s="645">
        <f>A38</f>
        <v>401</v>
      </c>
    </row>
    <row r="39" spans="1:7">
      <c r="A39" s="645">
        <f>A38+1</f>
        <v>402</v>
      </c>
      <c r="B39" s="641" t="s">
        <v>1851</v>
      </c>
      <c r="C39" s="661">
        <f>C37-C38</f>
        <v>4337623.1416469626</v>
      </c>
      <c r="D39" s="641" t="str">
        <f>"Line "&amp;A37&amp;" - Line "&amp;A38&amp;""</f>
        <v>Line 400 - Line 401</v>
      </c>
      <c r="G39" s="645">
        <f>A39</f>
        <v>402</v>
      </c>
    </row>
    <row r="40" spans="1:7">
      <c r="A40" s="645">
        <f>A39+1</f>
        <v>403</v>
      </c>
      <c r="B40" s="641" t="s">
        <v>1852</v>
      </c>
      <c r="C40" s="661">
        <f>C33*C29</f>
        <v>4337623.1416469635</v>
      </c>
      <c r="D40" s="641" t="str">
        <f>"Line "&amp;A33&amp;" * Line "&amp;A29&amp;""</f>
        <v>Line 304 * Line 300</v>
      </c>
      <c r="G40" s="645">
        <f>A40</f>
        <v>403</v>
      </c>
    </row>
    <row r="42" spans="1:7">
      <c r="B42" s="668" t="s">
        <v>598</v>
      </c>
    </row>
    <row r="43" spans="1:7">
      <c r="B43" s="679" t="s">
        <v>1853</v>
      </c>
    </row>
    <row r="44" spans="1:7">
      <c r="B44" s="679" t="s">
        <v>1854</v>
      </c>
    </row>
    <row r="45" spans="1:7">
      <c r="B45" s="641" t="s">
        <v>1855</v>
      </c>
    </row>
  </sheetData>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ER20-2878-000, et al.
Annual Update RY2024
&amp;F
</oddHead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S127"/>
  <sheetViews>
    <sheetView tabSelected="1" view="pageBreakPreview" topLeftCell="A93" zoomScale="85" zoomScaleNormal="85" zoomScaleSheetLayoutView="85" zoomScalePageLayoutView="70" workbookViewId="0">
      <selection activeCell="D45" sqref="D45"/>
    </sheetView>
  </sheetViews>
  <sheetFormatPr defaultColWidth="9.1796875" defaultRowHeight="14.5"/>
  <cols>
    <col min="1" max="1" width="6" style="4" bestFit="1" customWidth="1"/>
    <col min="2" max="2" width="2.1796875" style="4" bestFit="1" customWidth="1"/>
    <col min="3" max="3" width="51.1796875" customWidth="1"/>
    <col min="4" max="4" width="3.7265625" customWidth="1"/>
    <col min="5" max="5" width="17.7265625" bestFit="1" customWidth="1"/>
    <col min="6" max="6" width="33.453125" bestFit="1" customWidth="1"/>
    <col min="7" max="7" width="30.26953125" bestFit="1" customWidth="1"/>
    <col min="8" max="8" width="17.7265625" bestFit="1" customWidth="1"/>
    <col min="9" max="10" width="16.26953125" bestFit="1" customWidth="1"/>
    <col min="11" max="11" width="38.26953125" bestFit="1" customWidth="1"/>
    <col min="12" max="12" width="4.54296875" bestFit="1" customWidth="1"/>
    <col min="13" max="13" width="2.7265625" customWidth="1"/>
    <col min="15" max="17" width="14.54296875" bestFit="1" customWidth="1"/>
    <col min="19" max="19" width="15.26953125" bestFit="1" customWidth="1"/>
  </cols>
  <sheetData>
    <row r="1" spans="1:17">
      <c r="C1" s="2" t="s">
        <v>9</v>
      </c>
      <c r="J1" s="6" t="s">
        <v>121</v>
      </c>
      <c r="K1" s="36">
        <v>2024</v>
      </c>
    </row>
    <row r="2" spans="1:17">
      <c r="A2" s="5"/>
      <c r="B2" s="5"/>
      <c r="C2" s="35" t="s">
        <v>122</v>
      </c>
      <c r="J2" s="6" t="s">
        <v>123</v>
      </c>
      <c r="K2" s="5">
        <f>K1-2</f>
        <v>2022</v>
      </c>
      <c r="M2" s="6"/>
    </row>
    <row r="3" spans="1:17">
      <c r="A3" s="3" t="s">
        <v>92</v>
      </c>
      <c r="B3" s="3"/>
      <c r="E3" s="3" t="s">
        <v>124</v>
      </c>
      <c r="G3" s="33"/>
      <c r="H3" s="3" t="s">
        <v>125</v>
      </c>
      <c r="I3" s="3" t="s">
        <v>126</v>
      </c>
      <c r="J3" s="3" t="s">
        <v>127</v>
      </c>
      <c r="K3" s="3" t="s">
        <v>128</v>
      </c>
      <c r="L3" s="3"/>
    </row>
    <row r="4" spans="1:17">
      <c r="A4" s="4">
        <v>1</v>
      </c>
      <c r="B4" s="3"/>
      <c r="E4" s="3"/>
      <c r="G4" s="33"/>
      <c r="H4" s="4" t="s">
        <v>129</v>
      </c>
      <c r="I4" s="440">
        <f>'6-PlantJurisdiction'!E85</f>
        <v>0.48416819932621386</v>
      </c>
      <c r="J4" s="440">
        <f>'6-PlantJurisdiction'!F85</f>
        <v>0.47050172254427719</v>
      </c>
      <c r="K4" s="34" t="s">
        <v>130</v>
      </c>
      <c r="L4" s="3"/>
    </row>
    <row r="5" spans="1:17">
      <c r="C5" s="41" t="s">
        <v>131</v>
      </c>
      <c r="D5" s="42"/>
      <c r="E5" s="43"/>
      <c r="F5" s="43"/>
      <c r="G5" s="43"/>
      <c r="H5" s="43"/>
      <c r="I5" s="43"/>
      <c r="J5" s="43"/>
      <c r="K5" s="43"/>
    </row>
    <row r="6" spans="1:17" ht="29">
      <c r="A6" s="3" t="s">
        <v>92</v>
      </c>
      <c r="B6" s="3"/>
      <c r="C6" s="110" t="s">
        <v>7</v>
      </c>
      <c r="D6" s="34"/>
      <c r="E6" s="110" t="s">
        <v>132</v>
      </c>
      <c r="F6" s="110" t="s">
        <v>128</v>
      </c>
      <c r="G6" s="110" t="s">
        <v>133</v>
      </c>
      <c r="H6" s="110" t="s">
        <v>134</v>
      </c>
      <c r="I6" s="110" t="s">
        <v>135</v>
      </c>
      <c r="J6" s="110" t="s">
        <v>136</v>
      </c>
      <c r="K6" s="3" t="s">
        <v>128</v>
      </c>
      <c r="L6" s="3" t="str">
        <f>A6</f>
        <v>Line</v>
      </c>
    </row>
    <row r="7" spans="1:17">
      <c r="C7" s="1" t="s">
        <v>137</v>
      </c>
      <c r="D7" s="1"/>
    </row>
    <row r="8" spans="1:17">
      <c r="A8" s="4">
        <v>100</v>
      </c>
      <c r="C8" t="s">
        <v>138</v>
      </c>
      <c r="E8" s="13">
        <f>'7-PlantInService'!AC25</f>
        <v>39401032983.159996</v>
      </c>
      <c r="F8" t="s">
        <v>139</v>
      </c>
      <c r="G8" t="s">
        <v>140</v>
      </c>
      <c r="H8" s="13">
        <f>I8+J8</f>
        <v>37614981079.649979</v>
      </c>
      <c r="I8" s="13">
        <f>'7-PlantInService'!AC50</f>
        <v>19076727191.049332</v>
      </c>
      <c r="J8" s="13">
        <f>'7-PlantInService'!AC75</f>
        <v>18538253888.600651</v>
      </c>
      <c r="K8" t="s">
        <v>141</v>
      </c>
      <c r="L8" s="4">
        <f>A8</f>
        <v>100</v>
      </c>
      <c r="Q8" s="24"/>
    </row>
    <row r="9" spans="1:17">
      <c r="A9" s="4">
        <f>A8+1</f>
        <v>101</v>
      </c>
      <c r="C9" t="s">
        <v>142</v>
      </c>
      <c r="E9" s="40">
        <v>3119409079.6751008</v>
      </c>
      <c r="F9" s="33" t="s">
        <v>143</v>
      </c>
      <c r="G9" t="s">
        <v>140</v>
      </c>
      <c r="H9" s="13">
        <f t="shared" ref="H9:H10" si="0">I9+J9</f>
        <v>2215750119.499042</v>
      </c>
      <c r="I9" s="13">
        <f>'7-PlantInService'!D129</f>
        <v>1123734728.5570269</v>
      </c>
      <c r="J9" s="13">
        <f>'7-PlantInService'!E129</f>
        <v>1092015390.9420152</v>
      </c>
      <c r="K9" t="s">
        <v>144</v>
      </c>
      <c r="L9" s="4">
        <f>A9</f>
        <v>101</v>
      </c>
      <c r="Q9" s="24"/>
    </row>
    <row r="10" spans="1:17">
      <c r="A10" s="4">
        <f>A9+1</f>
        <v>102</v>
      </c>
      <c r="C10" s="2" t="s">
        <v>145</v>
      </c>
      <c r="D10" s="2"/>
      <c r="E10" s="444">
        <f>+E8+E9</f>
        <v>42520442062.835098</v>
      </c>
      <c r="F10" s="33" t="str">
        <f>"Line "&amp;A8&amp;" + Line "&amp;A9&amp;""</f>
        <v>Line 100 + Line 101</v>
      </c>
      <c r="H10" s="444">
        <f t="shared" si="0"/>
        <v>39830731199.149025</v>
      </c>
      <c r="I10" s="444">
        <f t="shared" ref="I10:J10" si="1">+I8+I9</f>
        <v>20200461919.606358</v>
      </c>
      <c r="J10" s="444">
        <f t="shared" si="1"/>
        <v>19630269279.542667</v>
      </c>
      <c r="K10" s="33" t="str">
        <f>"Line "&amp;A8&amp;" + Line "&amp;A9&amp;""</f>
        <v>Line 100 + Line 101</v>
      </c>
      <c r="L10" s="4">
        <f>A10</f>
        <v>102</v>
      </c>
      <c r="Q10" s="24"/>
    </row>
    <row r="11" spans="1:17">
      <c r="E11" s="24"/>
      <c r="H11" s="24"/>
      <c r="I11" s="24"/>
      <c r="J11" s="24"/>
      <c r="Q11" s="24"/>
    </row>
    <row r="12" spans="1:17">
      <c r="C12" s="1" t="s">
        <v>146</v>
      </c>
      <c r="D12" s="1"/>
      <c r="E12" s="24"/>
      <c r="H12" s="24"/>
      <c r="I12" s="24"/>
      <c r="J12" s="24"/>
      <c r="Q12" s="24"/>
    </row>
    <row r="13" spans="1:17">
      <c r="A13" s="4">
        <f>A10+1</f>
        <v>103</v>
      </c>
      <c r="C13" t="s">
        <v>147</v>
      </c>
      <c r="E13" s="13">
        <f>'13-WorkCap'!E25</f>
        <v>377486048.99807775</v>
      </c>
      <c r="F13" t="s">
        <v>148</v>
      </c>
      <c r="G13" t="s">
        <v>140</v>
      </c>
      <c r="H13" s="13">
        <f t="shared" ref="H13:H16" si="2">I13+J13</f>
        <v>360374576.90419519</v>
      </c>
      <c r="I13" s="13">
        <f>E13*$I$4</f>
        <v>182766740.61416623</v>
      </c>
      <c r="J13" s="13">
        <f>E13*$J$4</f>
        <v>177607836.29002899</v>
      </c>
      <c r="K13" t="s">
        <v>149</v>
      </c>
      <c r="L13" s="4">
        <f>A13</f>
        <v>103</v>
      </c>
      <c r="Q13" s="24"/>
    </row>
    <row r="14" spans="1:17">
      <c r="A14" s="4">
        <f>A13+1</f>
        <v>104</v>
      </c>
      <c r="C14" t="s">
        <v>150</v>
      </c>
      <c r="E14" s="13">
        <f>'13-WorkCap'!F60</f>
        <v>193336607</v>
      </c>
      <c r="F14" t="s">
        <v>151</v>
      </c>
      <c r="G14" t="s">
        <v>140</v>
      </c>
      <c r="H14" s="13">
        <f t="shared" si="2"/>
        <v>184572643.49939585</v>
      </c>
      <c r="I14" s="13">
        <f>E14*$I$4</f>
        <v>93607436.875029877</v>
      </c>
      <c r="J14" s="13">
        <f>E14*$J$4</f>
        <v>90965206.624365956</v>
      </c>
      <c r="K14" t="s">
        <v>152</v>
      </c>
      <c r="L14" s="4">
        <f>A14</f>
        <v>104</v>
      </c>
      <c r="Q14" s="24"/>
    </row>
    <row r="15" spans="1:17">
      <c r="A15" s="4">
        <f t="shared" ref="A15:A16" si="3">A14+1</f>
        <v>105</v>
      </c>
      <c r="C15" t="s">
        <v>153</v>
      </c>
      <c r="E15" s="14">
        <f>(E104+E105)/8</f>
        <v>449460746.01799142</v>
      </c>
      <c r="F15" t="str">
        <f>"(Line "&amp;A104&amp;" + Line "&amp;A105&amp;") / 8"</f>
        <v>(Line 500 + Line 501) / 8</v>
      </c>
      <c r="H15" s="14">
        <f t="shared" si="2"/>
        <v>429086655.28484845</v>
      </c>
      <c r="I15" s="14">
        <f>E15*$I$4</f>
        <v>217614600.06734765</v>
      </c>
      <c r="J15" s="14">
        <f>E15*$J$4</f>
        <v>211472055.21750084</v>
      </c>
      <c r="K15" t="s">
        <v>154</v>
      </c>
      <c r="L15" s="4">
        <f>A15</f>
        <v>105</v>
      </c>
      <c r="Q15" s="24"/>
    </row>
    <row r="16" spans="1:17">
      <c r="A16" s="4">
        <f t="shared" si="3"/>
        <v>106</v>
      </c>
      <c r="C16" s="2" t="s">
        <v>155</v>
      </c>
      <c r="D16" s="2"/>
      <c r="E16" s="15">
        <f>+E13+E15+E14</f>
        <v>1020283402.0160692</v>
      </c>
      <c r="F16" s="33" t="str">
        <f>"Sum of Lines "&amp;$A$13&amp;" to "&amp;$A$15&amp;""</f>
        <v>Sum of Lines 103 to 105</v>
      </c>
      <c r="H16" s="15">
        <f t="shared" si="2"/>
        <v>974033875.68843961</v>
      </c>
      <c r="I16" s="15">
        <f t="shared" ref="I16:J16" si="4">+I13+I15+I14</f>
        <v>493988777.55654377</v>
      </c>
      <c r="J16" s="15">
        <f t="shared" si="4"/>
        <v>480045098.13189578</v>
      </c>
      <c r="K16" s="33" t="str">
        <f>"Sum of Lines "&amp;$A$13&amp;" to "&amp;$A$15&amp;""</f>
        <v>Sum of Lines 103 to 105</v>
      </c>
      <c r="L16" s="4">
        <f>A16</f>
        <v>106</v>
      </c>
      <c r="Q16" s="24"/>
    </row>
    <row r="17" spans="1:17">
      <c r="E17" s="24"/>
      <c r="H17" s="24"/>
      <c r="I17" s="24"/>
      <c r="J17" s="24"/>
      <c r="Q17" s="24"/>
    </row>
    <row r="18" spans="1:17">
      <c r="C18" s="1" t="s">
        <v>156</v>
      </c>
      <c r="D18" s="1"/>
      <c r="E18" s="24"/>
      <c r="H18" s="24"/>
      <c r="I18" s="24"/>
      <c r="J18" s="24"/>
      <c r="Q18" s="24"/>
    </row>
    <row r="19" spans="1:17">
      <c r="A19" s="4">
        <f>A16+1</f>
        <v>107</v>
      </c>
      <c r="C19" t="s">
        <v>157</v>
      </c>
      <c r="E19" s="23">
        <f>-'10-AccDep'!AC25</f>
        <v>-17034837531.28595</v>
      </c>
      <c r="F19" t="s">
        <v>158</v>
      </c>
      <c r="G19" t="s">
        <v>159</v>
      </c>
      <c r="H19" s="13">
        <f t="shared" ref="H19:H21" si="5">I19+J19</f>
        <v>-16319933547.777126</v>
      </c>
      <c r="I19" s="13">
        <f>-'10-AccDep'!AC50</f>
        <v>-8088421929.4081507</v>
      </c>
      <c r="J19" s="13">
        <f>-'10-AccDep'!AC75</f>
        <v>-8231511618.3689756</v>
      </c>
      <c r="K19" t="s">
        <v>160</v>
      </c>
      <c r="L19" s="4">
        <f>A19</f>
        <v>107</v>
      </c>
      <c r="Q19" s="24"/>
    </row>
    <row r="20" spans="1:17">
      <c r="A20" s="4">
        <f>A19+1</f>
        <v>108</v>
      </c>
      <c r="C20" t="s">
        <v>161</v>
      </c>
      <c r="E20" s="40">
        <v>-1184058443.2408299</v>
      </c>
      <c r="F20" s="33" t="s">
        <v>162</v>
      </c>
      <c r="G20" t="s">
        <v>159</v>
      </c>
      <c r="H20" s="13">
        <f t="shared" si="5"/>
        <v>-805390275.4204464</v>
      </c>
      <c r="I20" s="13">
        <f>-'10-AccDep'!D129</f>
        <v>-408459877.56809223</v>
      </c>
      <c r="J20" s="13">
        <f>-'10-AccDep'!E129</f>
        <v>-396930397.85235417</v>
      </c>
      <c r="K20" t="s">
        <v>163</v>
      </c>
      <c r="L20" s="4">
        <f>A20</f>
        <v>108</v>
      </c>
      <c r="Q20" s="24"/>
    </row>
    <row r="21" spans="1:17">
      <c r="A21" s="4">
        <f>A20+1</f>
        <v>109</v>
      </c>
      <c r="C21" s="2" t="s">
        <v>164</v>
      </c>
      <c r="D21" s="2"/>
      <c r="E21" s="444">
        <f>+E19+E20</f>
        <v>-18218895974.526779</v>
      </c>
      <c r="F21" t="str">
        <f>"Line "&amp;$A$19&amp;" + Line "&amp;$A$20&amp;""</f>
        <v>Line 107 + Line 108</v>
      </c>
      <c r="H21" s="444">
        <f t="shared" si="5"/>
        <v>-17125323823.197575</v>
      </c>
      <c r="I21" s="444">
        <f t="shared" ref="I21:J21" si="6">+I19+I20</f>
        <v>-8496881806.976243</v>
      </c>
      <c r="J21" s="444">
        <f t="shared" si="6"/>
        <v>-8628442016.2213306</v>
      </c>
      <c r="K21" t="str">
        <f>"Line "&amp;$A$19&amp;" + Line "&amp;$A$20&amp;""</f>
        <v>Line 107 + Line 108</v>
      </c>
      <c r="L21" s="4">
        <f>A21</f>
        <v>109</v>
      </c>
      <c r="M21" s="2"/>
      <c r="Q21" s="24"/>
    </row>
    <row r="22" spans="1:17">
      <c r="E22" s="24"/>
      <c r="H22" s="24"/>
      <c r="I22" s="24"/>
      <c r="J22" s="24"/>
      <c r="M22" s="2"/>
      <c r="Q22" s="24"/>
    </row>
    <row r="23" spans="1:17">
      <c r="A23" s="4">
        <f>A21+1</f>
        <v>110</v>
      </c>
      <c r="B23" s="5" t="s">
        <v>165</v>
      </c>
      <c r="C23" s="5" t="s">
        <v>166</v>
      </c>
      <c r="D23" s="5"/>
      <c r="E23" s="13">
        <f>'14-ADIT'!D13</f>
        <v>-2841069372.4795103</v>
      </c>
      <c r="F23" t="s">
        <v>167</v>
      </c>
      <c r="G23" t="s">
        <v>140</v>
      </c>
      <c r="H23" s="13">
        <f t="shared" ref="H23:H27" si="7">I23+J23</f>
        <v>-2712283475.8536592</v>
      </c>
      <c r="I23" s="13">
        <f>E23*$I$4</f>
        <v>-1375555442.2342608</v>
      </c>
      <c r="J23" s="13">
        <f>E23*$J$4</f>
        <v>-1336728033.6193984</v>
      </c>
      <c r="K23" t="s">
        <v>168</v>
      </c>
      <c r="L23" s="4">
        <f>A23</f>
        <v>110</v>
      </c>
      <c r="M23" s="2" t="s">
        <v>165</v>
      </c>
      <c r="Q23" s="24"/>
    </row>
    <row r="24" spans="1:17">
      <c r="A24" s="4">
        <f>A23</f>
        <v>110</v>
      </c>
      <c r="B24" s="5" t="s">
        <v>169</v>
      </c>
      <c r="C24" s="5" t="s">
        <v>170</v>
      </c>
      <c r="D24" s="5"/>
      <c r="E24" s="14">
        <f>'17-RegAssets-1'!C47</f>
        <v>-1406718571.7271471</v>
      </c>
      <c r="F24" t="s">
        <v>171</v>
      </c>
      <c r="G24" t="s">
        <v>140</v>
      </c>
      <c r="H24" s="14">
        <f t="shared" si="7"/>
        <v>-1342951908.9645243</v>
      </c>
      <c r="I24" s="14">
        <f>E24*$I$4</f>
        <v>-681088397.83187628</v>
      </c>
      <c r="J24" s="14">
        <f>E24*$J$4</f>
        <v>-661863511.13264811</v>
      </c>
      <c r="K24" t="s">
        <v>172</v>
      </c>
      <c r="L24" s="4">
        <f>A24</f>
        <v>110</v>
      </c>
      <c r="M24" s="2" t="s">
        <v>169</v>
      </c>
      <c r="Q24" s="24"/>
    </row>
    <row r="25" spans="1:17">
      <c r="A25" s="4">
        <f>A24</f>
        <v>110</v>
      </c>
      <c r="B25" s="5" t="s">
        <v>173</v>
      </c>
      <c r="C25" s="5" t="s">
        <v>174</v>
      </c>
      <c r="D25" s="329"/>
      <c r="E25" s="15">
        <f>+E23+E24</f>
        <v>-4247787944.2066574</v>
      </c>
      <c r="F25" t="str">
        <f>"Line "&amp;$A$23&amp;"a + Line "&amp;$A$24&amp;"b"</f>
        <v>Line 110a + Line 110b</v>
      </c>
      <c r="G25" t="s">
        <v>140</v>
      </c>
      <c r="H25" s="15">
        <f t="shared" si="7"/>
        <v>-4055235384.8181839</v>
      </c>
      <c r="I25" s="15">
        <f t="shared" ref="I25:J25" si="8">+I23+I24</f>
        <v>-2056643840.0661371</v>
      </c>
      <c r="J25" s="15">
        <f t="shared" si="8"/>
        <v>-1998591544.7520466</v>
      </c>
      <c r="K25" t="str">
        <f>"Line "&amp;$A$23&amp;"a + Line "&amp;$A$24&amp;"b"</f>
        <v>Line 110a + Line 110b</v>
      </c>
      <c r="L25" s="4">
        <f>A25</f>
        <v>110</v>
      </c>
      <c r="M25" s="2" t="s">
        <v>173</v>
      </c>
      <c r="Q25" s="24"/>
    </row>
    <row r="26" spans="1:17">
      <c r="A26" s="4">
        <f>A25+1</f>
        <v>111</v>
      </c>
      <c r="C26" s="105" t="s">
        <v>175</v>
      </c>
      <c r="D26" s="558"/>
      <c r="E26" s="265">
        <f>'16-UnfundedReserves'!E13</f>
        <v>-159049067.91786498</v>
      </c>
      <c r="F26" s="8" t="s">
        <v>176</v>
      </c>
      <c r="G26" t="s">
        <v>140</v>
      </c>
      <c r="H26" s="13">
        <f t="shared" si="7"/>
        <v>-151839361.24272257</v>
      </c>
      <c r="I26" s="13">
        <f>E26*$I$4</f>
        <v>-77006500.818305373</v>
      </c>
      <c r="J26" s="13">
        <f>E26*$J$4</f>
        <v>-74832860.424417213</v>
      </c>
      <c r="K26" t="s">
        <v>177</v>
      </c>
      <c r="L26" s="4">
        <f>A26</f>
        <v>111</v>
      </c>
    </row>
    <row r="27" spans="1:17">
      <c r="A27" s="4">
        <f>A26+1</f>
        <v>112</v>
      </c>
      <c r="C27" s="2" t="s">
        <v>178</v>
      </c>
      <c r="D27" s="2"/>
      <c r="E27" s="14">
        <f>'17-RegAssets-1'!E25</f>
        <v>0</v>
      </c>
      <c r="F27" t="s">
        <v>179</v>
      </c>
      <c r="G27" t="s">
        <v>140</v>
      </c>
      <c r="H27" s="14">
        <f t="shared" si="7"/>
        <v>0</v>
      </c>
      <c r="I27" s="14">
        <f>E27*$I$4</f>
        <v>0</v>
      </c>
      <c r="J27" s="14">
        <f>E27*$J$4</f>
        <v>0</v>
      </c>
      <c r="K27" t="s">
        <v>180</v>
      </c>
      <c r="L27" s="4">
        <f>A27</f>
        <v>112</v>
      </c>
    </row>
    <row r="28" spans="1:17">
      <c r="E28" s="13"/>
      <c r="H28" s="13"/>
      <c r="I28" s="13"/>
      <c r="J28" s="13"/>
      <c r="L28" s="4"/>
    </row>
    <row r="29" spans="1:17" ht="30.75" customHeight="1">
      <c r="A29" s="4">
        <f>A27+1</f>
        <v>113</v>
      </c>
      <c r="C29" s="2" t="s">
        <v>181</v>
      </c>
      <c r="D29" s="2"/>
      <c r="E29" s="15">
        <f>+E10+E16+E21+E25+E27+E26</f>
        <v>20914992478.199863</v>
      </c>
      <c r="F29" s="34" t="str">
        <f>"Sum of Lines "&amp;$A$10&amp;", "&amp;$A$16&amp;", "&amp;$A$21&amp;" and Lines "&amp;$A$25&amp;$B$25&amp;" to "&amp;$A$27&amp;""</f>
        <v>Sum of Lines 102, 106, 109 and Lines 110c to 112</v>
      </c>
      <c r="H29" s="15">
        <f>I29+J29</f>
        <v>19472366505.578987</v>
      </c>
      <c r="I29" s="15">
        <f t="shared" ref="I29:J29" si="9">+I10+I16+I21+I25+I27+I26</f>
        <v>10063918549.302217</v>
      </c>
      <c r="J29" s="15">
        <f t="shared" si="9"/>
        <v>9408447956.2767696</v>
      </c>
      <c r="K29" s="34" t="str">
        <f>"Sum of Lines "&amp;$A$10&amp;", "&amp;$A$16&amp;", "&amp;$A$21&amp;" and Lines "&amp;$A$25&amp;$B$25&amp;" to "&amp;$A$27&amp;""</f>
        <v>Sum of Lines 102, 106, 109 and Lines 110c to 112</v>
      </c>
      <c r="L29" s="4">
        <f>A29</f>
        <v>113</v>
      </c>
    </row>
    <row r="30" spans="1:17">
      <c r="E30" s="8"/>
      <c r="H30" s="8"/>
      <c r="I30" s="8"/>
      <c r="J30" s="8"/>
      <c r="L30" s="4"/>
    </row>
    <row r="31" spans="1:17">
      <c r="C31" s="41" t="s">
        <v>182</v>
      </c>
      <c r="D31" s="43"/>
      <c r="E31" s="43"/>
      <c r="F31" s="43"/>
      <c r="G31" s="43"/>
      <c r="H31" s="43"/>
      <c r="I31" s="43"/>
      <c r="J31" s="43"/>
      <c r="K31" s="43"/>
    </row>
    <row r="32" spans="1:17" ht="29">
      <c r="A32" s="3" t="s">
        <v>92</v>
      </c>
      <c r="B32" s="3"/>
      <c r="C32" s="110" t="s">
        <v>7</v>
      </c>
      <c r="D32" s="34"/>
      <c r="E32" s="110" t="s">
        <v>132</v>
      </c>
      <c r="F32" s="110" t="s">
        <v>128</v>
      </c>
      <c r="G32" s="110" t="s">
        <v>133</v>
      </c>
      <c r="H32" s="110" t="s">
        <v>134</v>
      </c>
      <c r="I32" s="110" t="s">
        <v>135</v>
      </c>
      <c r="J32" s="110" t="s">
        <v>136</v>
      </c>
      <c r="K32" s="110" t="s">
        <v>128</v>
      </c>
      <c r="L32" s="3" t="str">
        <f>A32</f>
        <v>Line</v>
      </c>
    </row>
    <row r="33" spans="1:12">
      <c r="C33" s="1" t="s">
        <v>183</v>
      </c>
      <c r="D33" s="1"/>
    </row>
    <row r="34" spans="1:12">
      <c r="A34" s="4">
        <v>200</v>
      </c>
      <c r="C34" t="s">
        <v>184</v>
      </c>
      <c r="E34" s="231">
        <v>0.4975</v>
      </c>
      <c r="F34" s="8" t="s">
        <v>185</v>
      </c>
      <c r="G34" s="8" t="s">
        <v>186</v>
      </c>
      <c r="H34" s="231">
        <f>E34</f>
        <v>0.4975</v>
      </c>
      <c r="I34" s="231">
        <f>E34</f>
        <v>0.4975</v>
      </c>
      <c r="J34" s="231">
        <f>E34</f>
        <v>0.4975</v>
      </c>
      <c r="K34" s="8" t="s">
        <v>187</v>
      </c>
      <c r="L34" s="4">
        <f>A34</f>
        <v>200</v>
      </c>
    </row>
    <row r="35" spans="1:12">
      <c r="A35" s="4">
        <f>A34+1</f>
        <v>201</v>
      </c>
      <c r="C35" t="s">
        <v>188</v>
      </c>
      <c r="E35" s="231">
        <v>5.0000000000000001E-3</v>
      </c>
      <c r="F35" s="8" t="s">
        <v>189</v>
      </c>
      <c r="G35" s="8" t="s">
        <v>186</v>
      </c>
      <c r="H35" s="231">
        <f t="shared" ref="H35:H36" si="10">E35</f>
        <v>5.0000000000000001E-3</v>
      </c>
      <c r="I35" s="231">
        <f>E35</f>
        <v>5.0000000000000001E-3</v>
      </c>
      <c r="J35" s="231">
        <f>E35</f>
        <v>5.0000000000000001E-3</v>
      </c>
      <c r="K35" s="8" t="s">
        <v>190</v>
      </c>
      <c r="L35" s="4">
        <f>A35</f>
        <v>201</v>
      </c>
    </row>
    <row r="36" spans="1:12">
      <c r="A36" s="4">
        <f>A35+1</f>
        <v>202</v>
      </c>
      <c r="C36" t="s">
        <v>191</v>
      </c>
      <c r="E36" s="231">
        <v>0.4975</v>
      </c>
      <c r="F36" s="8" t="s">
        <v>185</v>
      </c>
      <c r="G36" s="8" t="s">
        <v>186</v>
      </c>
      <c r="H36" s="231">
        <f t="shared" si="10"/>
        <v>0.4975</v>
      </c>
      <c r="I36" s="231">
        <f>E36</f>
        <v>0.4975</v>
      </c>
      <c r="J36" s="231">
        <f>E36</f>
        <v>0.4975</v>
      </c>
      <c r="K36" s="8" t="s">
        <v>192</v>
      </c>
      <c r="L36" s="4">
        <f>A36</f>
        <v>202</v>
      </c>
    </row>
    <row r="37" spans="1:12">
      <c r="E37" s="8"/>
      <c r="F37" s="8"/>
      <c r="G37" s="8"/>
      <c r="H37" s="8"/>
      <c r="I37" s="8"/>
      <c r="J37" s="8"/>
      <c r="K37" s="8"/>
    </row>
    <row r="38" spans="1:12">
      <c r="C38" s="1" t="s">
        <v>193</v>
      </c>
      <c r="D38" s="1"/>
      <c r="E38" s="8"/>
      <c r="F38" s="8"/>
      <c r="G38" s="8"/>
      <c r="H38" s="8"/>
      <c r="I38" s="8"/>
      <c r="J38" s="8"/>
      <c r="K38" s="8"/>
      <c r="L38" s="4"/>
    </row>
    <row r="39" spans="1:12">
      <c r="A39" s="4">
        <f>A36+1</f>
        <v>203</v>
      </c>
      <c r="C39" t="s">
        <v>21</v>
      </c>
      <c r="E39" s="559">
        <f>'5-CostofCap-3'!F26</f>
        <v>3.9199999999999999E-2</v>
      </c>
      <c r="F39" s="8" t="s">
        <v>194</v>
      </c>
      <c r="G39" s="8"/>
      <c r="H39" s="559">
        <f t="shared" ref="H39:H40" si="11">E39</f>
        <v>3.9199999999999999E-2</v>
      </c>
      <c r="I39" s="559">
        <f>E39</f>
        <v>3.9199999999999999E-2</v>
      </c>
      <c r="J39" s="559">
        <f>E39</f>
        <v>3.9199999999999999E-2</v>
      </c>
      <c r="K39" s="8" t="s">
        <v>195</v>
      </c>
      <c r="L39" s="4">
        <f>A39</f>
        <v>203</v>
      </c>
    </row>
    <row r="40" spans="1:12">
      <c r="A40" s="4">
        <f>A39+1</f>
        <v>204</v>
      </c>
      <c r="C40" t="s">
        <v>23</v>
      </c>
      <c r="E40" s="559">
        <f>'5-CostofCap-4'!E14</f>
        <v>5.5211589517762859E-2</v>
      </c>
      <c r="F40" s="8" t="s">
        <v>196</v>
      </c>
      <c r="G40" s="8"/>
      <c r="H40" s="559">
        <f t="shared" si="11"/>
        <v>5.5211589517762859E-2</v>
      </c>
      <c r="I40" s="559">
        <f>E40</f>
        <v>5.5211589517762859E-2</v>
      </c>
      <c r="J40" s="559">
        <f>E40</f>
        <v>5.5211589517762859E-2</v>
      </c>
      <c r="K40" s="8" t="s">
        <v>197</v>
      </c>
      <c r="L40" s="4">
        <f>A40</f>
        <v>204</v>
      </c>
    </row>
    <row r="41" spans="1:12">
      <c r="E41" s="559"/>
      <c r="F41" s="8"/>
      <c r="G41" s="8"/>
      <c r="H41" s="559"/>
      <c r="I41" s="559"/>
      <c r="J41" s="559"/>
      <c r="K41" s="8"/>
      <c r="L41" s="4"/>
    </row>
    <row r="42" spans="1:12">
      <c r="A42" s="4">
        <f>A40+1</f>
        <v>205</v>
      </c>
      <c r="C42" t="s">
        <v>198</v>
      </c>
      <c r="E42" s="231">
        <v>0.10249999999999999</v>
      </c>
      <c r="F42" s="8" t="s">
        <v>199</v>
      </c>
      <c r="G42" s="8" t="s">
        <v>186</v>
      </c>
      <c r="H42" s="231">
        <f t="shared" ref="H42" si="12">E42</f>
        <v>0.10249999999999999</v>
      </c>
      <c r="I42" s="231">
        <f>E42</f>
        <v>0.10249999999999999</v>
      </c>
      <c r="J42" s="231">
        <f>E42</f>
        <v>0.10249999999999999</v>
      </c>
      <c r="K42" s="8" t="s">
        <v>200</v>
      </c>
      <c r="L42" s="4">
        <f>A42</f>
        <v>205</v>
      </c>
    </row>
    <row r="43" spans="1:12">
      <c r="E43" s="8"/>
      <c r="F43" s="8"/>
      <c r="G43" s="8"/>
      <c r="H43" s="8"/>
      <c r="I43" s="8"/>
      <c r="J43" s="8"/>
      <c r="K43" s="8"/>
    </row>
    <row r="44" spans="1:12">
      <c r="C44" s="1" t="s">
        <v>201</v>
      </c>
      <c r="D44" s="1"/>
      <c r="E44" s="8"/>
      <c r="F44" s="8"/>
      <c r="G44" s="8"/>
      <c r="H44" s="8"/>
      <c r="I44" s="8"/>
      <c r="J44" s="8"/>
      <c r="K44" s="8"/>
    </row>
    <row r="45" spans="1:12">
      <c r="A45" s="4">
        <f>A42+1</f>
        <v>206</v>
      </c>
      <c r="C45" t="s">
        <v>202</v>
      </c>
      <c r="E45" s="231">
        <f>E34*E39</f>
        <v>1.9501999999999999E-2</v>
      </c>
      <c r="F45" s="8" t="str">
        <f>"Line "&amp;A34&amp;" * Line "&amp;A39&amp;""</f>
        <v>Line 200 * Line 203</v>
      </c>
      <c r="G45" s="8"/>
      <c r="H45" s="231">
        <f t="shared" ref="H45:H48" si="13">E45</f>
        <v>1.9501999999999999E-2</v>
      </c>
      <c r="I45" s="231">
        <f>E45</f>
        <v>1.9501999999999999E-2</v>
      </c>
      <c r="J45" s="231">
        <f>E45</f>
        <v>1.9501999999999999E-2</v>
      </c>
      <c r="K45" s="8" t="s">
        <v>203</v>
      </c>
      <c r="L45" s="4">
        <f>A45</f>
        <v>206</v>
      </c>
    </row>
    <row r="46" spans="1:12">
      <c r="A46" s="4">
        <f>A45+1</f>
        <v>207</v>
      </c>
      <c r="C46" t="s">
        <v>204</v>
      </c>
      <c r="E46" s="231">
        <f>E35*E40</f>
        <v>2.7605794758881429E-4</v>
      </c>
      <c r="F46" s="8" t="str">
        <f>"Line "&amp;A35&amp;" * Line "&amp;A40&amp;""</f>
        <v>Line 201 * Line 204</v>
      </c>
      <c r="G46" s="8"/>
      <c r="H46" s="231">
        <f t="shared" si="13"/>
        <v>2.7605794758881429E-4</v>
      </c>
      <c r="I46" s="231">
        <f>E46</f>
        <v>2.7605794758881429E-4</v>
      </c>
      <c r="J46" s="231">
        <f>E46</f>
        <v>2.7605794758881429E-4</v>
      </c>
      <c r="K46" s="8" t="s">
        <v>205</v>
      </c>
      <c r="L46" s="4">
        <f>A46</f>
        <v>207</v>
      </c>
    </row>
    <row r="47" spans="1:12">
      <c r="A47" s="4">
        <f>A46+1</f>
        <v>208</v>
      </c>
      <c r="C47" t="s">
        <v>206</v>
      </c>
      <c r="E47" s="560">
        <f>E36*E42</f>
        <v>5.0993749999999997E-2</v>
      </c>
      <c r="F47" s="8" t="str">
        <f>"Line "&amp;A36&amp;" * Line "&amp;A42&amp;""</f>
        <v>Line 202 * Line 205</v>
      </c>
      <c r="G47" s="8"/>
      <c r="H47" s="560">
        <f t="shared" si="13"/>
        <v>5.0993749999999997E-2</v>
      </c>
      <c r="I47" s="560">
        <f>E47</f>
        <v>5.0993749999999997E-2</v>
      </c>
      <c r="J47" s="560">
        <f>E47</f>
        <v>5.0993749999999997E-2</v>
      </c>
      <c r="K47" s="8" t="s">
        <v>207</v>
      </c>
      <c r="L47" s="4">
        <f>A47</f>
        <v>208</v>
      </c>
    </row>
    <row r="48" spans="1:12">
      <c r="A48" s="4">
        <f>A47+1</f>
        <v>209</v>
      </c>
      <c r="C48" s="2" t="s">
        <v>208</v>
      </c>
      <c r="D48" s="2"/>
      <c r="E48" s="561">
        <f>SUM(E45:E47)</f>
        <v>7.0771807947588805E-2</v>
      </c>
      <c r="F48" s="106" t="str">
        <f>"Sum of Lines "&amp;A45&amp;" to "&amp;A47&amp;""</f>
        <v>Sum of Lines 206 to 208</v>
      </c>
      <c r="G48" s="8"/>
      <c r="H48" s="561">
        <f t="shared" si="13"/>
        <v>7.0771807947588805E-2</v>
      </c>
      <c r="I48" s="561">
        <f>E48</f>
        <v>7.0771807947588805E-2</v>
      </c>
      <c r="J48" s="561">
        <f>E48</f>
        <v>7.0771807947588805E-2</v>
      </c>
      <c r="K48" s="8" t="s">
        <v>209</v>
      </c>
      <c r="L48" s="4">
        <f>A48</f>
        <v>209</v>
      </c>
    </row>
    <row r="49" spans="1:12">
      <c r="E49" s="8"/>
      <c r="F49" s="8"/>
      <c r="G49" s="8"/>
      <c r="H49" s="8"/>
      <c r="I49" s="8"/>
      <c r="J49" s="8"/>
      <c r="K49" s="8"/>
    </row>
    <row r="50" spans="1:12">
      <c r="A50" s="4">
        <f>A48+1</f>
        <v>210</v>
      </c>
      <c r="C50" s="2" t="s">
        <v>210</v>
      </c>
      <c r="D50" s="2"/>
      <c r="E50" s="559">
        <f>E46+E47</f>
        <v>5.1269807947588814E-2</v>
      </c>
      <c r="F50" s="8" t="str">
        <f>"Line "&amp;A46&amp;" + Line "&amp;A47&amp;""</f>
        <v>Line 207 + Line 208</v>
      </c>
      <c r="G50" s="8"/>
      <c r="H50" s="559">
        <f>E50</f>
        <v>5.1269807947588814E-2</v>
      </c>
      <c r="I50" s="559">
        <f>E50</f>
        <v>5.1269807947588814E-2</v>
      </c>
      <c r="J50" s="559">
        <f>E50</f>
        <v>5.1269807947588814E-2</v>
      </c>
      <c r="K50" s="8" t="s">
        <v>211</v>
      </c>
      <c r="L50" s="4">
        <f>A50</f>
        <v>210</v>
      </c>
    </row>
    <row r="51" spans="1:12">
      <c r="E51" s="8"/>
      <c r="F51" s="8"/>
      <c r="G51" s="8"/>
      <c r="H51" s="8"/>
      <c r="I51" s="8"/>
      <c r="J51" s="8"/>
      <c r="K51" s="8"/>
      <c r="L51" s="4"/>
    </row>
    <row r="52" spans="1:12">
      <c r="A52" s="4">
        <f>A50+1</f>
        <v>211</v>
      </c>
      <c r="C52" s="2" t="s">
        <v>212</v>
      </c>
      <c r="D52" s="2"/>
      <c r="E52" s="562">
        <f>E48*E29</f>
        <v>1480191830.8924251</v>
      </c>
      <c r="F52" s="8" t="str">
        <f>"Line "&amp;A29&amp;" * Line "&amp;A48&amp;""</f>
        <v>Line 113 * Line 209</v>
      </c>
      <c r="G52" s="8"/>
      <c r="H52" s="562">
        <f>I52+J52</f>
        <v>1378094582.617897</v>
      </c>
      <c r="I52" s="562">
        <f>I48*I29</f>
        <v>712241710.77139306</v>
      </c>
      <c r="J52" s="562">
        <f>J48*J29</f>
        <v>665852871.84650397</v>
      </c>
      <c r="K52" s="8" t="str">
        <f>"Line "&amp;A29&amp;" * Line "&amp;A48&amp;""</f>
        <v>Line 113 * Line 209</v>
      </c>
      <c r="L52" s="4">
        <f>A52</f>
        <v>211</v>
      </c>
    </row>
    <row r="53" spans="1:12">
      <c r="E53" s="8"/>
      <c r="F53" s="8"/>
      <c r="G53" s="8"/>
      <c r="H53" s="8"/>
      <c r="I53" s="8"/>
      <c r="J53" s="8"/>
      <c r="K53" s="8"/>
    </row>
    <row r="54" spans="1:12">
      <c r="C54" s="41" t="s">
        <v>213</v>
      </c>
      <c r="D54" s="43"/>
      <c r="E54" s="43"/>
      <c r="F54" s="43"/>
      <c r="G54" s="43"/>
      <c r="H54" s="43"/>
      <c r="I54" s="43"/>
      <c r="J54" s="43"/>
      <c r="K54" s="43"/>
    </row>
    <row r="55" spans="1:12" ht="29">
      <c r="A55" s="3" t="s">
        <v>92</v>
      </c>
      <c r="B55" s="3"/>
      <c r="C55" s="110" t="s">
        <v>7</v>
      </c>
      <c r="D55" s="34"/>
      <c r="E55" s="110" t="s">
        <v>132</v>
      </c>
      <c r="F55" s="110" t="s">
        <v>128</v>
      </c>
      <c r="G55" s="110" t="s">
        <v>133</v>
      </c>
      <c r="H55" s="110" t="s">
        <v>134</v>
      </c>
      <c r="I55" s="110" t="s">
        <v>135</v>
      </c>
      <c r="J55" s="110" t="s">
        <v>136</v>
      </c>
      <c r="K55" s="110" t="s">
        <v>128</v>
      </c>
      <c r="L55" s="3" t="str">
        <f>A55</f>
        <v>Line</v>
      </c>
    </row>
    <row r="56" spans="1:12">
      <c r="C56" s="1" t="s">
        <v>214</v>
      </c>
      <c r="D56" s="1"/>
    </row>
    <row r="57" spans="1:12">
      <c r="A57" s="4">
        <v>300</v>
      </c>
      <c r="C57" t="s">
        <v>215</v>
      </c>
      <c r="E57" s="686">
        <v>435557101</v>
      </c>
      <c r="F57" s="8" t="s">
        <v>216</v>
      </c>
      <c r="H57" s="13">
        <f>I57+J57</f>
        <v>415813263.58180761</v>
      </c>
      <c r="I57" s="13">
        <f>E57*$I$4</f>
        <v>210882897.29491585</v>
      </c>
      <c r="J57" s="13">
        <f>E57*$J$4</f>
        <v>204930366.28689173</v>
      </c>
      <c r="K57" t="s">
        <v>217</v>
      </c>
      <c r="L57" s="4">
        <f>A57</f>
        <v>300</v>
      </c>
    </row>
    <row r="58" spans="1:12">
      <c r="A58" s="4">
        <f>A57+1</f>
        <v>301</v>
      </c>
      <c r="C58" t="s">
        <v>218</v>
      </c>
      <c r="E58" s="594">
        <f>'24-Allocators'!$C$43</f>
        <v>0.58272737973037936</v>
      </c>
      <c r="F58" s="8" t="s">
        <v>219</v>
      </c>
      <c r="H58" s="30">
        <f>E58</f>
        <v>0.58272737973037936</v>
      </c>
      <c r="I58" s="30">
        <f>'24-Allocators'!$C$43</f>
        <v>0.58272737973037936</v>
      </c>
      <c r="J58" s="30">
        <f>'24-Allocators'!$C$43</f>
        <v>0.58272737973037936</v>
      </c>
      <c r="K58" t="s">
        <v>220</v>
      </c>
      <c r="L58" s="4">
        <f>A58</f>
        <v>301</v>
      </c>
    </row>
    <row r="59" spans="1:12">
      <c r="A59" s="4">
        <f>A58+1</f>
        <v>302</v>
      </c>
      <c r="C59" s="2" t="s">
        <v>221</v>
      </c>
      <c r="D59" s="2"/>
      <c r="E59" s="562">
        <f>+E57*E58</f>
        <v>253811048.18869019</v>
      </c>
      <c r="F59" s="8" t="str">
        <f>"Line "&amp;$A$57&amp;" * Line "&amp;$A$58&amp;""</f>
        <v>Line 300 * Line 301</v>
      </c>
      <c r="H59" s="15">
        <f>I59+J59</f>
        <v>242305773.5441643</v>
      </c>
      <c r="I59" s="15">
        <f t="shared" ref="I59:J59" si="14">+I57*I58</f>
        <v>122887238.17061701</v>
      </c>
      <c r="J59" s="15">
        <f t="shared" si="14"/>
        <v>119418535.37354729</v>
      </c>
      <c r="K59" t="str">
        <f>"Line "&amp;$A$57&amp;" * Line "&amp;$A$58&amp;""</f>
        <v>Line 300 * Line 301</v>
      </c>
      <c r="L59" s="4">
        <f>A59</f>
        <v>302</v>
      </c>
    </row>
    <row r="60" spans="1:12">
      <c r="E60" s="8"/>
      <c r="F60" s="8"/>
    </row>
    <row r="61" spans="1:12">
      <c r="C61" s="1" t="s">
        <v>222</v>
      </c>
      <c r="D61" s="1"/>
      <c r="E61" s="8"/>
      <c r="F61" s="8"/>
    </row>
    <row r="62" spans="1:12">
      <c r="A62" s="4">
        <f>A59+1</f>
        <v>303</v>
      </c>
      <c r="C62" t="s">
        <v>223</v>
      </c>
      <c r="E62" s="686">
        <v>102974934</v>
      </c>
      <c r="F62" s="8" t="s">
        <v>224</v>
      </c>
      <c r="H62" s="13">
        <f t="shared" ref="H62:H67" si="15">I62+J62</f>
        <v>98307072.196398973</v>
      </c>
      <c r="I62" s="13">
        <f>E62*$I$4</f>
        <v>49857188.370515719</v>
      </c>
      <c r="J62" s="13">
        <f>E62*$J$4</f>
        <v>48449883.825883254</v>
      </c>
      <c r="K62" t="s">
        <v>225</v>
      </c>
      <c r="L62" s="4">
        <f t="shared" ref="L62:L67" si="16">A62</f>
        <v>303</v>
      </c>
    </row>
    <row r="63" spans="1:12">
      <c r="A63" s="4">
        <f>A62+1</f>
        <v>304</v>
      </c>
      <c r="C63" t="s">
        <v>226</v>
      </c>
      <c r="E63" s="686">
        <v>3527350</v>
      </c>
      <c r="F63" s="8" t="s">
        <v>227</v>
      </c>
      <c r="H63" s="13">
        <f t="shared" si="15"/>
        <v>3367454.9489098764</v>
      </c>
      <c r="I63" s="13">
        <f>E63*$I$4</f>
        <v>1707830.6978933203</v>
      </c>
      <c r="J63" s="13">
        <f>E63*$J$4</f>
        <v>1659624.2510165561</v>
      </c>
      <c r="K63" t="s">
        <v>228</v>
      </c>
      <c r="L63" s="4">
        <f t="shared" si="16"/>
        <v>304</v>
      </c>
    </row>
    <row r="64" spans="1:12">
      <c r="A64" s="4">
        <f>A63+1</f>
        <v>305</v>
      </c>
      <c r="C64" t="s">
        <v>229</v>
      </c>
      <c r="E64" s="686">
        <v>814104</v>
      </c>
      <c r="F64" s="8" t="s">
        <v>230</v>
      </c>
      <c r="H64" s="13">
        <f t="shared" si="15"/>
        <v>777200.60207445431</v>
      </c>
      <c r="I64" s="13">
        <f>E64*$I$4</f>
        <v>394163.267744268</v>
      </c>
      <c r="J64" s="13">
        <f>E64*$J$4</f>
        <v>383037.33433018625</v>
      </c>
      <c r="K64" t="s">
        <v>231</v>
      </c>
      <c r="L64" s="4">
        <f t="shared" si="16"/>
        <v>305</v>
      </c>
    </row>
    <row r="65" spans="1:12">
      <c r="A65" s="4">
        <f t="shared" ref="A65:A70" si="17">A64+1</f>
        <v>306</v>
      </c>
      <c r="C65" t="s">
        <v>232</v>
      </c>
      <c r="E65" s="686">
        <v>28924750</v>
      </c>
      <c r="F65" s="8" t="s">
        <v>233</v>
      </c>
      <c r="H65" s="13">
        <f t="shared" si="15"/>
        <v>27613588.822623484</v>
      </c>
      <c r="I65" s="13">
        <f>E65*$I$4</f>
        <v>14004444.123460904</v>
      </c>
      <c r="J65" s="13">
        <f>E65*$J$4</f>
        <v>13609144.699162582</v>
      </c>
      <c r="K65" t="s">
        <v>234</v>
      </c>
      <c r="L65" s="4">
        <f t="shared" si="16"/>
        <v>306</v>
      </c>
    </row>
    <row r="66" spans="1:12">
      <c r="A66" s="4">
        <f t="shared" si="17"/>
        <v>307</v>
      </c>
      <c r="C66" t="s">
        <v>235</v>
      </c>
      <c r="E66" s="37">
        <v>0</v>
      </c>
      <c r="F66" t="s">
        <v>236</v>
      </c>
      <c r="H66" s="14">
        <f t="shared" si="15"/>
        <v>0</v>
      </c>
      <c r="I66" s="14">
        <f>E66*$I$4</f>
        <v>0</v>
      </c>
      <c r="J66" s="14">
        <f>E66*$J$4</f>
        <v>0</v>
      </c>
      <c r="K66" t="s">
        <v>237</v>
      </c>
      <c r="L66" s="4">
        <f t="shared" si="16"/>
        <v>307</v>
      </c>
    </row>
    <row r="67" spans="1:12">
      <c r="A67" s="4">
        <f t="shared" si="17"/>
        <v>308</v>
      </c>
      <c r="C67" s="2" t="s">
        <v>238</v>
      </c>
      <c r="D67" s="2"/>
      <c r="E67" s="15">
        <f>SUM(E62:E66)</f>
        <v>136241138</v>
      </c>
      <c r="F67" s="33" t="str">
        <f>"Sum of Lines "&amp;$A$62&amp;" to "&amp;$A$66&amp;""</f>
        <v>Sum of Lines 303 to 307</v>
      </c>
      <c r="H67" s="15">
        <f t="shared" si="15"/>
        <v>130065316.57000679</v>
      </c>
      <c r="I67" s="15">
        <f t="shared" ref="I67:J67" si="18">SUM(I62:I66)</f>
        <v>65963626.45961421</v>
      </c>
      <c r="J67" s="15">
        <f t="shared" si="18"/>
        <v>64101690.110392578</v>
      </c>
      <c r="K67" s="33" t="str">
        <f>"Sum of Lines "&amp;$A$62&amp;" to "&amp;$A$66&amp;""</f>
        <v>Sum of Lines 303 to 307</v>
      </c>
      <c r="L67" s="4">
        <f t="shared" si="16"/>
        <v>308</v>
      </c>
    </row>
    <row r="69" spans="1:12" ht="29">
      <c r="A69" s="4">
        <f>A67+1</f>
        <v>309</v>
      </c>
      <c r="C69" s="34" t="s">
        <v>239</v>
      </c>
      <c r="E69" s="30">
        <f>'24-Allocators'!$C$23</f>
        <v>0.43241887477592089</v>
      </c>
      <c r="F69" t="s">
        <v>240</v>
      </c>
      <c r="H69" s="30">
        <f>E69</f>
        <v>0.43241887477592089</v>
      </c>
      <c r="I69" s="30">
        <f>'24-Allocators'!$C$23</f>
        <v>0.43241887477592089</v>
      </c>
      <c r="J69" s="30">
        <f>'24-Allocators'!$C$23</f>
        <v>0.43241887477592089</v>
      </c>
      <c r="K69" t="s">
        <v>241</v>
      </c>
      <c r="L69" s="4">
        <f>A69</f>
        <v>309</v>
      </c>
    </row>
    <row r="70" spans="1:12">
      <c r="A70" s="4">
        <f t="shared" si="17"/>
        <v>310</v>
      </c>
      <c r="C70" s="2" t="s">
        <v>242</v>
      </c>
      <c r="D70" s="2"/>
      <c r="E70" s="15">
        <f>E67*E69</f>
        <v>58913239.592150956</v>
      </c>
      <c r="F70" s="8" t="str">
        <f>"Line "&amp;$A$69&amp;" *  Line "&amp;$A$67&amp;""</f>
        <v>Line 309 *  Line 308</v>
      </c>
      <c r="H70" s="15">
        <f>I70+J70</f>
        <v>56242697.838576272</v>
      </c>
      <c r="I70" s="15">
        <f t="shared" ref="I70:J70" si="19">I67*I69</f>
        <v>28523917.129805539</v>
      </c>
      <c r="J70" s="15">
        <f t="shared" si="19"/>
        <v>27718780.708770733</v>
      </c>
      <c r="K70" s="8" t="str">
        <f>"Line "&amp;$A$69&amp;" *  Line "&amp;$A$67&amp;""</f>
        <v>Line 309 *  Line 308</v>
      </c>
      <c r="L70" s="4">
        <f>A70</f>
        <v>310</v>
      </c>
    </row>
    <row r="71" spans="1:12">
      <c r="H71" s="24"/>
      <c r="I71" s="24"/>
      <c r="J71" s="24"/>
    </row>
    <row r="72" spans="1:12">
      <c r="A72" s="4">
        <f>A70+1</f>
        <v>311</v>
      </c>
      <c r="C72" s="2" t="s">
        <v>243</v>
      </c>
      <c r="D72" s="2"/>
      <c r="E72" s="15">
        <f>E70+E59</f>
        <v>312724287.78084111</v>
      </c>
      <c r="F72" t="str">
        <f>"Line "&amp;$A$59&amp;" + Line "&amp;$A$70&amp;""</f>
        <v>Line 302 + Line 310</v>
      </c>
      <c r="G72" s="86"/>
      <c r="H72" s="15">
        <f>I72+J72</f>
        <v>298548471.38274056</v>
      </c>
      <c r="I72" s="15">
        <f t="shared" ref="I72:J72" si="20">I70+I59</f>
        <v>151411155.30042255</v>
      </c>
      <c r="J72" s="15">
        <f t="shared" si="20"/>
        <v>147137316.08231801</v>
      </c>
      <c r="K72" t="str">
        <f>"Line "&amp;$A$59&amp;" + Line "&amp;$A$70&amp;""</f>
        <v>Line 302 + Line 310</v>
      </c>
      <c r="L72" s="4">
        <f>A72</f>
        <v>311</v>
      </c>
    </row>
    <row r="74" spans="1:12">
      <c r="A74"/>
      <c r="B74"/>
      <c r="C74" s="41" t="s">
        <v>244</v>
      </c>
      <c r="D74" s="43"/>
      <c r="E74" s="43"/>
      <c r="F74" s="43"/>
      <c r="G74" s="43"/>
      <c r="H74" s="43"/>
      <c r="I74" s="43"/>
      <c r="J74" s="43"/>
      <c r="K74" s="43"/>
    </row>
    <row r="75" spans="1:12" ht="29">
      <c r="A75" s="3" t="s">
        <v>92</v>
      </c>
      <c r="B75" s="3"/>
      <c r="C75" s="110" t="s">
        <v>7</v>
      </c>
      <c r="D75" s="34"/>
      <c r="E75" s="110" t="s">
        <v>132</v>
      </c>
      <c r="F75" s="110" t="s">
        <v>128</v>
      </c>
      <c r="G75" s="110" t="s">
        <v>133</v>
      </c>
      <c r="H75" s="110" t="s">
        <v>134</v>
      </c>
      <c r="I75" s="110" t="s">
        <v>135</v>
      </c>
      <c r="J75" s="110" t="s">
        <v>136</v>
      </c>
      <c r="K75" s="110" t="s">
        <v>128</v>
      </c>
      <c r="L75" s="3" t="str">
        <f>A75</f>
        <v>Line</v>
      </c>
    </row>
    <row r="76" spans="1:12">
      <c r="A76" s="4">
        <v>400</v>
      </c>
      <c r="C76" t="s">
        <v>245</v>
      </c>
      <c r="E76" s="22">
        <f>'22-TaxRates'!$C$6</f>
        <v>0.21</v>
      </c>
      <c r="F76" t="s">
        <v>246</v>
      </c>
      <c r="H76" s="22">
        <f>E76</f>
        <v>0.21</v>
      </c>
      <c r="I76" s="22">
        <f>'22-TaxRates'!$C$6</f>
        <v>0.21</v>
      </c>
      <c r="J76" s="22">
        <f>'22-TaxRates'!$C$6</f>
        <v>0.21</v>
      </c>
      <c r="K76" t="s">
        <v>247</v>
      </c>
      <c r="L76" s="4">
        <f>A76</f>
        <v>400</v>
      </c>
    </row>
    <row r="77" spans="1:12">
      <c r="A77" s="4">
        <f>A76+1</f>
        <v>401</v>
      </c>
      <c r="C77" t="s">
        <v>248</v>
      </c>
      <c r="E77" s="25">
        <f>'22-TaxRates'!$C$7</f>
        <v>8.8400000000000006E-2</v>
      </c>
      <c r="F77" t="s">
        <v>249</v>
      </c>
      <c r="H77" s="25">
        <f>E77</f>
        <v>8.8400000000000006E-2</v>
      </c>
      <c r="I77" s="25">
        <f>'22-TaxRates'!$C$7</f>
        <v>8.8400000000000006E-2</v>
      </c>
      <c r="J77" s="25">
        <f>'22-TaxRates'!$C$7</f>
        <v>8.8400000000000006E-2</v>
      </c>
      <c r="K77" t="s">
        <v>250</v>
      </c>
      <c r="L77" s="4">
        <f>A77</f>
        <v>401</v>
      </c>
    </row>
    <row r="78" spans="1:12">
      <c r="A78" s="4">
        <f>A77+1</f>
        <v>402</v>
      </c>
      <c r="C78" s="2" t="s">
        <v>251</v>
      </c>
      <c r="D78" s="2"/>
      <c r="E78" s="226">
        <f>'22-TaxRates'!C9</f>
        <v>0.27983599999999997</v>
      </c>
      <c r="F78" t="s">
        <v>252</v>
      </c>
      <c r="H78" s="226">
        <f>E78</f>
        <v>0.27983599999999997</v>
      </c>
      <c r="I78" s="226">
        <f t="shared" ref="I78:J78" si="21">(I76+I77)-(I76*I77)</f>
        <v>0.27983599999999997</v>
      </c>
      <c r="J78" s="226">
        <f t="shared" si="21"/>
        <v>0.27983599999999997</v>
      </c>
      <c r="K78" t="s">
        <v>253</v>
      </c>
      <c r="L78" s="4">
        <f>A78</f>
        <v>402</v>
      </c>
    </row>
    <row r="80" spans="1:12">
      <c r="C80" s="1" t="s">
        <v>254</v>
      </c>
      <c r="L80" s="4"/>
    </row>
    <row r="81" spans="1:12">
      <c r="A81" s="4">
        <f>A78+1</f>
        <v>403</v>
      </c>
      <c r="C81" t="s">
        <v>255</v>
      </c>
      <c r="E81" s="37">
        <v>12413563.47892753</v>
      </c>
      <c r="F81" s="446" t="s">
        <v>256</v>
      </c>
      <c r="H81" s="14">
        <f>I81+J81</f>
        <v>11850855.676562127</v>
      </c>
      <c r="I81" s="14">
        <f>E81*$I$4</f>
        <v>6010252.6768139936</v>
      </c>
      <c r="J81" s="14">
        <f>E81*$J$4</f>
        <v>5840602.9997481331</v>
      </c>
      <c r="K81" t="s">
        <v>257</v>
      </c>
      <c r="L81" s="4">
        <f>A81</f>
        <v>403</v>
      </c>
    </row>
    <row r="82" spans="1:12">
      <c r="A82" s="4">
        <f>A81+1</f>
        <v>404</v>
      </c>
      <c r="C82" s="2" t="s">
        <v>258</v>
      </c>
      <c r="E82" s="15">
        <f>SUM(E81:E81)</f>
        <v>12413563.47892753</v>
      </c>
      <c r="F82" t="str">
        <f>"Line "&amp;A81&amp;""</f>
        <v>Line 403</v>
      </c>
      <c r="H82" s="15">
        <f>I82+J82</f>
        <v>11850855.676562127</v>
      </c>
      <c r="I82" s="15">
        <f t="shared" ref="I82:J82" si="22">SUM(I81:I81)</f>
        <v>6010252.6768139936</v>
      </c>
      <c r="J82" s="15">
        <f t="shared" si="22"/>
        <v>5840602.9997481331</v>
      </c>
      <c r="L82" s="4">
        <f>A82</f>
        <v>404</v>
      </c>
    </row>
    <row r="83" spans="1:12">
      <c r="E83" s="13"/>
      <c r="H83" s="13"/>
      <c r="I83" s="13"/>
      <c r="J83" s="13"/>
      <c r="L83" s="4"/>
    </row>
    <row r="84" spans="1:12">
      <c r="C84" s="1" t="s">
        <v>259</v>
      </c>
      <c r="D84" s="1"/>
      <c r="E84" s="13"/>
      <c r="H84" s="13"/>
      <c r="I84" s="13"/>
      <c r="J84" s="13"/>
    </row>
    <row r="85" spans="1:12">
      <c r="A85" s="4">
        <f>A82+1</f>
        <v>405</v>
      </c>
      <c r="C85" t="s">
        <v>260</v>
      </c>
      <c r="E85" s="23">
        <f>+'17-RegAssets-2'!AR22+'17-RegAssets-2'!AT22+'17-RegAssets-2'!AV22</f>
        <v>-35875211.478202976</v>
      </c>
      <c r="F85" t="s">
        <v>261</v>
      </c>
      <c r="H85" s="13">
        <f t="shared" ref="H85:H87" si="23">I85+J85</f>
        <v>-34248985.338983372</v>
      </c>
      <c r="I85" s="13">
        <f>E85*$I$4</f>
        <v>-17369636.541848652</v>
      </c>
      <c r="J85" s="13">
        <f>E85*$J$4</f>
        <v>-16879348.797134724</v>
      </c>
      <c r="K85" t="s">
        <v>262</v>
      </c>
      <c r="L85" s="4">
        <f>A85</f>
        <v>405</v>
      </c>
    </row>
    <row r="86" spans="1:12">
      <c r="A86" s="4">
        <f t="shared" ref="A86" si="24">A85+1</f>
        <v>406</v>
      </c>
      <c r="C86" t="s">
        <v>263</v>
      </c>
      <c r="E86" s="37">
        <v>-2242741.5347022987</v>
      </c>
      <c r="F86" s="446" t="s">
        <v>264</v>
      </c>
      <c r="H86" s="14">
        <f t="shared" si="23"/>
        <v>-2141077.8857099488</v>
      </c>
      <c r="I86" s="14">
        <f>E86*$I$4</f>
        <v>-1085864.1304109213</v>
      </c>
      <c r="J86" s="14">
        <f>E86*$J$4</f>
        <v>-1055213.7552990273</v>
      </c>
      <c r="K86" t="s">
        <v>265</v>
      </c>
      <c r="L86" s="4">
        <f>A86</f>
        <v>406</v>
      </c>
    </row>
    <row r="87" spans="1:12">
      <c r="A87" s="4">
        <f>A86+1</f>
        <v>407</v>
      </c>
      <c r="C87" s="2" t="s">
        <v>266</v>
      </c>
      <c r="D87" s="2"/>
      <c r="E87" s="15">
        <f>SUM(E85:E86)</f>
        <v>-38117953.012905277</v>
      </c>
      <c r="F87" t="str">
        <f>"Line "&amp;$A$85&amp;" + Line "&amp;$A$86&amp;""</f>
        <v>Line 405 + Line 406</v>
      </c>
      <c r="H87" s="15">
        <f t="shared" si="23"/>
        <v>-36390063.224693328</v>
      </c>
      <c r="I87" s="15">
        <f t="shared" ref="I87:J87" si="25">SUM(I85:I86)</f>
        <v>-18455500.672259573</v>
      </c>
      <c r="J87" s="15">
        <f t="shared" si="25"/>
        <v>-17934562.552433752</v>
      </c>
      <c r="K87" t="str">
        <f>"Line "&amp;$A$85&amp;" + Line "&amp;$A$86&amp;""</f>
        <v>Line 405 + Line 406</v>
      </c>
      <c r="L87" s="4">
        <f>A87</f>
        <v>407</v>
      </c>
    </row>
    <row r="88" spans="1:12">
      <c r="E88" s="24"/>
      <c r="H88" s="24"/>
      <c r="I88" s="24"/>
      <c r="J88" s="24"/>
    </row>
    <row r="89" spans="1:12">
      <c r="A89" s="4">
        <f>A87+1</f>
        <v>408</v>
      </c>
      <c r="C89" s="2" t="s">
        <v>267</v>
      </c>
      <c r="E89" s="15">
        <f>(((E94*E95)+E98)*(E96/(1-E96)))+E97/(1-E96)</f>
        <v>368563399.17810434</v>
      </c>
      <c r="F89" t="str">
        <f>"Line "&amp;$A$91&amp;""</f>
        <v>Line 409</v>
      </c>
      <c r="H89" s="15">
        <f>I89+J89</f>
        <v>342003990.50104082</v>
      </c>
      <c r="I89" s="15">
        <f t="shared" ref="I89:J89" si="26">(((I94*I95)+I98)*(I96/(1-I96)))+I97/(1-I96)</f>
        <v>177202432.23785293</v>
      </c>
      <c r="J89" s="15">
        <f t="shared" si="26"/>
        <v>164801558.26318792</v>
      </c>
      <c r="K89" t="str">
        <f>"Line "&amp;$A$91&amp;""</f>
        <v>Line 409</v>
      </c>
      <c r="L89" s="4">
        <f>A89</f>
        <v>408</v>
      </c>
    </row>
    <row r="90" spans="1:12">
      <c r="E90" s="24"/>
      <c r="H90" s="24"/>
      <c r="I90" s="24"/>
      <c r="J90" s="24"/>
    </row>
    <row r="91" spans="1:12">
      <c r="A91" s="4">
        <f>A89+1</f>
        <v>409</v>
      </c>
      <c r="C91" t="s">
        <v>268</v>
      </c>
      <c r="E91" s="24"/>
      <c r="H91" s="24"/>
      <c r="I91" s="24"/>
      <c r="J91" s="24"/>
      <c r="L91" s="4">
        <f>A91</f>
        <v>409</v>
      </c>
    </row>
    <row r="92" spans="1:12">
      <c r="E92" s="24"/>
      <c r="H92" s="24"/>
      <c r="I92" s="24"/>
      <c r="J92" s="24"/>
    </row>
    <row r="93" spans="1:12">
      <c r="C93" t="s">
        <v>269</v>
      </c>
      <c r="E93" s="24"/>
      <c r="H93" s="24"/>
      <c r="I93" s="24"/>
      <c r="J93" s="24"/>
    </row>
    <row r="94" spans="1:12">
      <c r="A94" s="4">
        <f>A91+1</f>
        <v>410</v>
      </c>
      <c r="C94" s="26" t="s">
        <v>270</v>
      </c>
      <c r="D94" s="26"/>
      <c r="E94" s="13">
        <f>+E29</f>
        <v>20914992478.199863</v>
      </c>
      <c r="F94" t="str">
        <f>"Line "&amp;$A$29&amp;", col 1"</f>
        <v>Line 113, col 1</v>
      </c>
      <c r="G94" s="12"/>
      <c r="H94" s="13">
        <f t="shared" ref="H94:H98" si="27">I94+J94</f>
        <v>19472366505.578987</v>
      </c>
      <c r="I94" s="13">
        <f>+I29</f>
        <v>10063918549.302217</v>
      </c>
      <c r="J94" s="13">
        <f>+J29</f>
        <v>9408447956.2767696</v>
      </c>
      <c r="K94" t="str">
        <f>"Line "&amp;$A$29&amp;", col 3 and col 4"</f>
        <v>Line 113, col 3 and col 4</v>
      </c>
      <c r="L94" s="4">
        <f>A94</f>
        <v>410</v>
      </c>
    </row>
    <row r="95" spans="1:12">
      <c r="A95" s="4">
        <f>A94+1</f>
        <v>411</v>
      </c>
      <c r="C95" s="9" t="s">
        <v>271</v>
      </c>
      <c r="D95" s="9"/>
      <c r="E95" s="22">
        <f>+E50</f>
        <v>5.1269807947588814E-2</v>
      </c>
      <c r="F95" t="str">
        <f>"Line "&amp;$A$50&amp;", col 1"</f>
        <v>Line 210, col 1</v>
      </c>
      <c r="H95" s="445">
        <f>E95</f>
        <v>5.1269807947588814E-2</v>
      </c>
      <c r="I95" s="22">
        <f t="shared" ref="I95:J95" si="28">+I50</f>
        <v>5.1269807947588814E-2</v>
      </c>
      <c r="J95" s="22">
        <f t="shared" si="28"/>
        <v>5.1269807947588814E-2</v>
      </c>
      <c r="K95" t="str">
        <f>"Line "&amp;$A$50&amp;", col 3 and col 4"</f>
        <v>Line 210, col 3 and col 4</v>
      </c>
      <c r="L95" s="4">
        <f>A95</f>
        <v>411</v>
      </c>
    </row>
    <row r="96" spans="1:12">
      <c r="A96" s="4">
        <f t="shared" ref="A96:A98" si="29">A95+1</f>
        <v>412</v>
      </c>
      <c r="C96" s="26" t="s">
        <v>272</v>
      </c>
      <c r="D96" s="26"/>
      <c r="E96" s="19">
        <f>+E78</f>
        <v>0.27983599999999997</v>
      </c>
      <c r="F96" t="str">
        <f>"Line "&amp;$A$78&amp;", col 1"</f>
        <v>Line 402, col 1</v>
      </c>
      <c r="H96" s="445">
        <f>E96</f>
        <v>0.27983599999999997</v>
      </c>
      <c r="I96" s="19">
        <f t="shared" ref="I96:J96" si="30">+I78</f>
        <v>0.27983599999999997</v>
      </c>
      <c r="J96" s="19">
        <f t="shared" si="30"/>
        <v>0.27983599999999997</v>
      </c>
      <c r="K96" t="str">
        <f>"Line "&amp;$A$78&amp;", col 3 and col 4"</f>
        <v>Line 402, col 3 and col 4</v>
      </c>
      <c r="L96" s="4">
        <f>A96</f>
        <v>412</v>
      </c>
    </row>
    <row r="97" spans="1:19">
      <c r="A97" s="4">
        <f t="shared" si="29"/>
        <v>413</v>
      </c>
      <c r="C97" s="26" t="s">
        <v>273</v>
      </c>
      <c r="D97" s="26"/>
      <c r="E97" s="13">
        <f>+E87</f>
        <v>-38117953.012905277</v>
      </c>
      <c r="F97" t="str">
        <f>"Line "&amp;$A$87&amp;", col 1"</f>
        <v>Line 407, col 1</v>
      </c>
      <c r="H97" s="13">
        <f t="shared" si="27"/>
        <v>-36390063.224693328</v>
      </c>
      <c r="I97" s="13">
        <f t="shared" ref="I97:J97" si="31">+I87</f>
        <v>-18455500.672259573</v>
      </c>
      <c r="J97" s="13">
        <f t="shared" si="31"/>
        <v>-17934562.552433752</v>
      </c>
      <c r="K97" t="str">
        <f>"Line "&amp;$A$87&amp;", col 3 and col 4"</f>
        <v>Line 407, col 3 and col 4</v>
      </c>
      <c r="L97" s="4">
        <f>A97</f>
        <v>413</v>
      </c>
    </row>
    <row r="98" spans="1:19">
      <c r="A98" s="4">
        <f t="shared" si="29"/>
        <v>414</v>
      </c>
      <c r="C98" s="26" t="s">
        <v>274</v>
      </c>
      <c r="D98" s="26"/>
      <c r="E98" s="13">
        <f>+E82</f>
        <v>12413563.47892753</v>
      </c>
      <c r="F98" t="str">
        <f>"Line "&amp;$A$82&amp;", col 1"</f>
        <v>Line 404, col 1</v>
      </c>
      <c r="H98" s="13">
        <f t="shared" si="27"/>
        <v>11850855.676562127</v>
      </c>
      <c r="I98" s="13">
        <f t="shared" ref="I98:J98" si="32">+I82</f>
        <v>6010252.6768139936</v>
      </c>
      <c r="J98" s="13">
        <f t="shared" si="32"/>
        <v>5840602.9997481331</v>
      </c>
      <c r="K98" t="str">
        <f>"Line "&amp;$A$82&amp;", col 3 and col 4"</f>
        <v>Line 404, col 3 and col 4</v>
      </c>
      <c r="L98" s="4">
        <f>A98</f>
        <v>414</v>
      </c>
    </row>
    <row r="99" spans="1:19">
      <c r="C99" s="26"/>
      <c r="D99" s="26"/>
      <c r="E99" s="13"/>
      <c r="H99" s="13"/>
      <c r="I99" s="13"/>
      <c r="J99" s="13"/>
      <c r="L99" s="4"/>
    </row>
    <row r="100" spans="1:19">
      <c r="L100" s="4"/>
    </row>
    <row r="101" spans="1:19">
      <c r="C101" s="41" t="s">
        <v>275</v>
      </c>
      <c r="D101" s="43"/>
      <c r="E101" s="43"/>
      <c r="F101" s="43"/>
      <c r="G101" s="43"/>
      <c r="H101" s="43"/>
      <c r="I101" s="43"/>
      <c r="J101" s="43"/>
      <c r="K101" s="43"/>
    </row>
    <row r="102" spans="1:19" ht="29">
      <c r="A102" s="3" t="s">
        <v>92</v>
      </c>
      <c r="B102" s="3"/>
      <c r="C102" s="110" t="s">
        <v>7</v>
      </c>
      <c r="D102" s="34"/>
      <c r="E102" s="110" t="s">
        <v>132</v>
      </c>
      <c r="F102" s="110" t="s">
        <v>128</v>
      </c>
      <c r="G102" s="110" t="s">
        <v>133</v>
      </c>
      <c r="H102" s="110" t="s">
        <v>134</v>
      </c>
      <c r="I102" s="110" t="s">
        <v>135</v>
      </c>
      <c r="J102" s="110" t="s">
        <v>136</v>
      </c>
      <c r="K102" s="110" t="s">
        <v>128</v>
      </c>
      <c r="L102" s="3" t="str">
        <f>A102</f>
        <v>Line</v>
      </c>
    </row>
    <row r="103" spans="1:19">
      <c r="C103" s="1" t="s">
        <v>276</v>
      </c>
      <c r="D103" s="1"/>
    </row>
    <row r="104" spans="1:19">
      <c r="A104" s="4">
        <v>500</v>
      </c>
      <c r="C104" t="s">
        <v>277</v>
      </c>
      <c r="E104" s="13">
        <f>'18-OandM'!L11</f>
        <v>2770471913.5100007</v>
      </c>
      <c r="F104" t="s">
        <v>278</v>
      </c>
      <c r="H104" s="13">
        <f t="shared" ref="H104:H113" si="33">I104+J104</f>
        <v>2711932473.7905846</v>
      </c>
      <c r="I104" s="13">
        <f>'18-OandM'!M11</f>
        <v>1975142063.1125312</v>
      </c>
      <c r="J104" s="13">
        <f>'18-OandM'!N11</f>
        <v>736790410.6780535</v>
      </c>
      <c r="K104" t="s">
        <v>279</v>
      </c>
      <c r="L104" s="4">
        <f t="shared" ref="L104:L114" si="34">A104</f>
        <v>500</v>
      </c>
      <c r="O104" s="210"/>
      <c r="P104" s="210"/>
      <c r="Q104" s="24"/>
      <c r="S104" s="24"/>
    </row>
    <row r="105" spans="1:19">
      <c r="A105" s="4">
        <f>A104+1</f>
        <v>501</v>
      </c>
      <c r="C105" t="s">
        <v>280</v>
      </c>
      <c r="E105" s="13">
        <f>'19-AandG'!F45</f>
        <v>825214054.63393092</v>
      </c>
      <c r="F105" t="s">
        <v>281</v>
      </c>
      <c r="H105" s="13">
        <f t="shared" si="33"/>
        <v>787807037.06380606</v>
      </c>
      <c r="I105" s="13">
        <f>E105*$I$4</f>
        <v>399542402.89079422</v>
      </c>
      <c r="J105" s="13">
        <f>E105*$J$4</f>
        <v>388264634.17301178</v>
      </c>
      <c r="K105" t="s">
        <v>282</v>
      </c>
      <c r="L105" s="4">
        <f t="shared" si="34"/>
        <v>501</v>
      </c>
      <c r="O105" s="210"/>
      <c r="P105" s="210"/>
      <c r="Q105" s="24"/>
      <c r="S105" s="24"/>
    </row>
    <row r="106" spans="1:19">
      <c r="A106" s="4">
        <f>A105+1</f>
        <v>502</v>
      </c>
      <c r="C106" t="s">
        <v>283</v>
      </c>
      <c r="E106" s="13">
        <f>'11-Depreciation'!AC13</f>
        <v>1488132633.1743968</v>
      </c>
      <c r="F106" t="s">
        <v>284</v>
      </c>
      <c r="H106" s="13">
        <f t="shared" si="33"/>
        <v>1381832369.6669745</v>
      </c>
      <c r="I106" s="13">
        <f>'11-Depreciation'!AC14</f>
        <v>745626104.8135283</v>
      </c>
      <c r="J106" s="13">
        <f>'11-Depreciation'!AC15</f>
        <v>636206264.85344636</v>
      </c>
      <c r="K106" t="s">
        <v>285</v>
      </c>
      <c r="L106" s="4">
        <f t="shared" si="34"/>
        <v>502</v>
      </c>
      <c r="O106" s="210"/>
      <c r="P106" s="210"/>
      <c r="Q106" s="24"/>
      <c r="S106" s="24"/>
    </row>
    <row r="107" spans="1:19">
      <c r="A107" s="4">
        <f t="shared" ref="A107:A114" si="35">A106+1</f>
        <v>503</v>
      </c>
      <c r="C107" t="s">
        <v>286</v>
      </c>
      <c r="E107" s="40">
        <v>201121710.70091242</v>
      </c>
      <c r="F107" t="s">
        <v>287</v>
      </c>
      <c r="H107" s="13">
        <f t="shared" si="33"/>
        <v>145248068.89077163</v>
      </c>
      <c r="I107" s="13">
        <f>'11-Depreciation'!C61</f>
        <v>73663676.166383788</v>
      </c>
      <c r="J107" s="13">
        <f>'11-Depreciation'!D61</f>
        <v>71584392.724387839</v>
      </c>
      <c r="K107" t="s">
        <v>288</v>
      </c>
      <c r="L107" s="4">
        <f t="shared" si="34"/>
        <v>503</v>
      </c>
      <c r="O107" s="210"/>
      <c r="P107" s="210"/>
      <c r="Q107" s="24"/>
      <c r="S107" s="24"/>
    </row>
    <row r="108" spans="1:19">
      <c r="A108" s="4">
        <f>A107+1</f>
        <v>504</v>
      </c>
      <c r="C108" t="s">
        <v>289</v>
      </c>
      <c r="E108" s="13">
        <f>E52</f>
        <v>1480191830.8924251</v>
      </c>
      <c r="F108" t="str">
        <f>"Line "&amp;$A$52&amp;", col 1"</f>
        <v>Line 211, col 1</v>
      </c>
      <c r="H108" s="13">
        <f t="shared" si="33"/>
        <v>1378094582.617897</v>
      </c>
      <c r="I108" s="13">
        <f t="shared" ref="I108:J108" si="36">I52</f>
        <v>712241710.77139306</v>
      </c>
      <c r="J108" s="13">
        <f t="shared" si="36"/>
        <v>665852871.84650397</v>
      </c>
      <c r="K108" t="str">
        <f>"Line "&amp;$A$52&amp;", col 3 and col 4"</f>
        <v>Line 211, col 3 and col 4</v>
      </c>
      <c r="L108" s="4">
        <f t="shared" si="34"/>
        <v>504</v>
      </c>
      <c r="O108" s="210"/>
      <c r="P108" s="210"/>
      <c r="Q108" s="24"/>
      <c r="S108" s="24"/>
    </row>
    <row r="109" spans="1:19">
      <c r="A109" s="4">
        <f t="shared" si="35"/>
        <v>505</v>
      </c>
      <c r="C109" t="s">
        <v>290</v>
      </c>
      <c r="E109" s="13">
        <f>E72</f>
        <v>312724287.78084111</v>
      </c>
      <c r="F109" t="str">
        <f>"Line "&amp;$A$72&amp;", col 1"</f>
        <v>Line 311, col 1</v>
      </c>
      <c r="H109" s="13">
        <f t="shared" si="33"/>
        <v>298548471.38274056</v>
      </c>
      <c r="I109" s="13">
        <f>I72</f>
        <v>151411155.30042255</v>
      </c>
      <c r="J109" s="13">
        <f>J72</f>
        <v>147137316.08231801</v>
      </c>
      <c r="K109" t="str">
        <f>"Line "&amp;$A$72&amp;", col 3 and col 4"</f>
        <v>Line 311, col 3 and col 4</v>
      </c>
      <c r="L109" s="4">
        <f t="shared" si="34"/>
        <v>505</v>
      </c>
      <c r="O109" s="210"/>
      <c r="P109" s="210"/>
      <c r="Q109" s="24"/>
      <c r="S109" s="24"/>
    </row>
    <row r="110" spans="1:19">
      <c r="A110" s="4">
        <f t="shared" si="35"/>
        <v>506</v>
      </c>
      <c r="C110" t="s">
        <v>291</v>
      </c>
      <c r="E110" s="13">
        <f>E89</f>
        <v>368563399.17810434</v>
      </c>
      <c r="F110" t="str">
        <f>"Line "&amp;$A$89&amp;", col 1"</f>
        <v>Line 408, col 1</v>
      </c>
      <c r="H110" s="13">
        <f t="shared" si="33"/>
        <v>342003990.50104082</v>
      </c>
      <c r="I110" s="13">
        <f t="shared" ref="I110:J110" si="37">I89</f>
        <v>177202432.23785293</v>
      </c>
      <c r="J110" s="13">
        <f t="shared" si="37"/>
        <v>164801558.26318792</v>
      </c>
      <c r="K110" t="str">
        <f>"Line "&amp;$A$89&amp;", col 3 and col 4"</f>
        <v>Line 408, col 3 and col 4</v>
      </c>
      <c r="L110" s="4">
        <f t="shared" si="34"/>
        <v>506</v>
      </c>
      <c r="O110" s="210"/>
      <c r="P110" s="210"/>
      <c r="Q110" s="24"/>
      <c r="S110" s="24"/>
    </row>
    <row r="111" spans="1:19">
      <c r="A111" s="4">
        <f t="shared" si="35"/>
        <v>507</v>
      </c>
      <c r="C111" t="s">
        <v>55</v>
      </c>
      <c r="E111" s="13">
        <f>-'20-RevenueCredits'!F10</f>
        <v>-210061030.99020007</v>
      </c>
      <c r="F111" t="s">
        <v>292</v>
      </c>
      <c r="G111" t="s">
        <v>293</v>
      </c>
      <c r="H111" s="13">
        <f t="shared" si="33"/>
        <v>-200538948.0434491</v>
      </c>
      <c r="I111" s="13">
        <f>E111*$I$4</f>
        <v>-101704871.12313317</v>
      </c>
      <c r="J111" s="13">
        <f>E111*$J$4</f>
        <v>-98834076.920315921</v>
      </c>
      <c r="K111" t="s">
        <v>294</v>
      </c>
      <c r="L111" s="4">
        <f t="shared" si="34"/>
        <v>507</v>
      </c>
      <c r="O111" s="210"/>
      <c r="P111" s="210"/>
      <c r="Q111" s="24"/>
      <c r="S111" s="24"/>
    </row>
    <row r="112" spans="1:19" s="8" customFormat="1">
      <c r="A112" s="4">
        <f t="shared" si="35"/>
        <v>508</v>
      </c>
      <c r="B112" s="91"/>
      <c r="C112" s="8" t="s">
        <v>295</v>
      </c>
      <c r="E112" s="678">
        <f>-'26-NPandS'!C40</f>
        <v>-4337623.1416469635</v>
      </c>
      <c r="F112" s="8" t="s">
        <v>296</v>
      </c>
      <c r="G112" t="s">
        <v>293</v>
      </c>
      <c r="H112" s="678">
        <f>I112+J112</f>
        <v>-4140998.3457397404</v>
      </c>
      <c r="I112" s="678">
        <f>E112*$I$4</f>
        <v>-2100139.1858469248</v>
      </c>
      <c r="J112" s="678">
        <f>E112*$J$4</f>
        <v>-2040859.1598928156</v>
      </c>
      <c r="K112" t="s">
        <v>297</v>
      </c>
      <c r="L112" s="91">
        <f>A112</f>
        <v>508</v>
      </c>
      <c r="O112" s="685"/>
      <c r="P112" s="685"/>
      <c r="Q112" s="242"/>
      <c r="S112" s="24"/>
    </row>
    <row r="113" spans="1:19">
      <c r="A113" s="4">
        <f t="shared" si="35"/>
        <v>509</v>
      </c>
      <c r="C113" t="s">
        <v>298</v>
      </c>
      <c r="E113" s="14">
        <f>'17-RegAssets-1'!E27</f>
        <v>0</v>
      </c>
      <c r="F113" t="s">
        <v>299</v>
      </c>
      <c r="H113" s="14">
        <f t="shared" si="33"/>
        <v>0</v>
      </c>
      <c r="I113" s="14">
        <f>E113*$I$4</f>
        <v>0</v>
      </c>
      <c r="J113" s="14">
        <f>E113*$J$4</f>
        <v>0</v>
      </c>
      <c r="K113" s="8" t="s">
        <v>300</v>
      </c>
      <c r="L113" s="4">
        <f t="shared" si="34"/>
        <v>509</v>
      </c>
      <c r="O113" s="210"/>
      <c r="P113" s="210"/>
      <c r="Q113" s="24"/>
      <c r="S113" s="24"/>
    </row>
    <row r="114" spans="1:19">
      <c r="A114" s="4">
        <f t="shared" si="35"/>
        <v>510</v>
      </c>
      <c r="C114" s="2" t="s">
        <v>301</v>
      </c>
      <c r="D114" s="2"/>
      <c r="E114" s="15">
        <f>SUM(E104:E113)</f>
        <v>7232021175.7387629</v>
      </c>
      <c r="F114" t="str">
        <f>"Sum of Lines "&amp;$A$104&amp;" to Line "&amp;$A$113&amp;""</f>
        <v>Sum of Lines 500 to Line 509</v>
      </c>
      <c r="H114" s="15">
        <f>I114+J114</f>
        <v>6840787047.5246258</v>
      </c>
      <c r="I114" s="15">
        <f>SUM(I104:I113)</f>
        <v>4131024534.9839258</v>
      </c>
      <c r="J114" s="15">
        <f>SUM(J104:J113)</f>
        <v>2709762512.5407004</v>
      </c>
      <c r="K114" t="str">
        <f>"Sum of Lines "&amp;$A$104&amp;" to Line "&amp;$A$112&amp;""</f>
        <v>Sum of Lines 500 to Line 508</v>
      </c>
      <c r="L114" s="4">
        <f t="shared" si="34"/>
        <v>510</v>
      </c>
    </row>
    <row r="115" spans="1:19">
      <c r="L115" s="4"/>
    </row>
    <row r="116" spans="1:19">
      <c r="C116" s="1" t="s">
        <v>302</v>
      </c>
      <c r="D116" s="1"/>
      <c r="L116" s="4"/>
    </row>
    <row r="117" spans="1:19">
      <c r="A117" s="4">
        <f>+A114+1</f>
        <v>511</v>
      </c>
      <c r="C117" t="s">
        <v>303</v>
      </c>
      <c r="E117" s="10">
        <f>'25-RevenueFeeFactors'!$E$16</f>
        <v>7.6309999999999998E-3</v>
      </c>
      <c r="F117" t="s">
        <v>304</v>
      </c>
      <c r="H117" s="10">
        <f>E117</f>
        <v>7.6309999999999998E-3</v>
      </c>
      <c r="I117" s="10">
        <f>'25-RevenueFeeFactors'!$E$16</f>
        <v>7.6309999999999998E-3</v>
      </c>
      <c r="J117" s="10">
        <f>'25-RevenueFeeFactors'!$E$16</f>
        <v>7.6309999999999998E-3</v>
      </c>
      <c r="K117" t="s">
        <v>305</v>
      </c>
      <c r="L117" s="4">
        <f>A117</f>
        <v>511</v>
      </c>
    </row>
    <row r="118" spans="1:19">
      <c r="A118" s="4">
        <f>A117+1</f>
        <v>512</v>
      </c>
      <c r="C118" t="s">
        <v>306</v>
      </c>
      <c r="D118" s="2"/>
      <c r="E118" s="31">
        <f>'25-RevenueFeeFactors'!$E$17</f>
        <v>2.0782341986441631E-4</v>
      </c>
      <c r="F118" t="s">
        <v>307</v>
      </c>
      <c r="H118" s="31">
        <f>E118</f>
        <v>2.0782341986441631E-4</v>
      </c>
      <c r="I118" s="31">
        <f>'25-RevenueFeeFactors'!$E$17</f>
        <v>2.0782341986441631E-4</v>
      </c>
      <c r="J118" s="31">
        <f>'25-RevenueFeeFactors'!$E$17</f>
        <v>2.0782341986441631E-4</v>
      </c>
      <c r="K118" t="s">
        <v>308</v>
      </c>
      <c r="L118" s="4">
        <f>A118</f>
        <v>512</v>
      </c>
    </row>
    <row r="119" spans="1:19">
      <c r="A119" s="4">
        <f>A118+1</f>
        <v>513</v>
      </c>
      <c r="C119" s="2" t="s">
        <v>309</v>
      </c>
      <c r="D119" s="2"/>
      <c r="E119" s="15">
        <f>(E117+E118)*E114</f>
        <v>56690536.965336405</v>
      </c>
      <c r="F119" s="8" t="str">
        <f>"Line "&amp;$A$114&amp;" * (Line "&amp;$A$117&amp;" + Line "&amp;$A$118&amp;")"</f>
        <v>Line 510 * (Line 511 + Line 512)</v>
      </c>
      <c r="H119" s="15">
        <f>I119+J119</f>
        <v>53623721.718441188</v>
      </c>
      <c r="I119" s="15">
        <f t="shared" ref="I119:J119" si="38">(I117+I118)*I114</f>
        <v>32382371.872866504</v>
      </c>
      <c r="J119" s="15">
        <f t="shared" si="38"/>
        <v>21241349.845574684</v>
      </c>
      <c r="K119" s="8" t="str">
        <f>"Line "&amp;$A$114&amp;" * (Line "&amp;$A$117&amp;" + Line "&amp;$A$118&amp;")"</f>
        <v>Line 510 * (Line 511 + Line 512)</v>
      </c>
      <c r="L119" s="4">
        <f>A119</f>
        <v>513</v>
      </c>
    </row>
    <row r="120" spans="1:19">
      <c r="C120" s="2"/>
      <c r="D120" s="2"/>
      <c r="E120" s="15"/>
      <c r="F120" s="8"/>
      <c r="H120" s="15"/>
      <c r="I120" s="15"/>
      <c r="J120" s="15"/>
      <c r="L120" s="4"/>
    </row>
    <row r="121" spans="1:19">
      <c r="A121" s="4">
        <f>A119+1</f>
        <v>514</v>
      </c>
      <c r="C121" s="2" t="s">
        <v>9</v>
      </c>
      <c r="D121" s="2"/>
      <c r="E121" s="15">
        <f>E119+E114</f>
        <v>7288711712.7040997</v>
      </c>
      <c r="F121" t="str">
        <f>"Line "&amp;$A$114&amp;" + Line "&amp;$A$119&amp;""</f>
        <v>Line 510 + Line 513</v>
      </c>
      <c r="G121" s="475"/>
      <c r="H121" s="15">
        <f t="shared" ref="H121:J121" si="39">H119+H114</f>
        <v>6894410769.2430668</v>
      </c>
      <c r="I121" s="15">
        <f t="shared" si="39"/>
        <v>4163406906.8567924</v>
      </c>
      <c r="J121" s="15">
        <f t="shared" si="39"/>
        <v>2731003862.3862753</v>
      </c>
      <c r="K121" t="str">
        <f>"Line "&amp;$A$114&amp;" + Line "&amp;$A$119&amp;""</f>
        <v>Line 510 + Line 513</v>
      </c>
      <c r="L121" s="4">
        <f>A121</f>
        <v>514</v>
      </c>
    </row>
    <row r="122" spans="1:19">
      <c r="E122" s="32"/>
      <c r="F122" s="32"/>
      <c r="I122" s="32"/>
      <c r="J122" s="32"/>
    </row>
    <row r="123" spans="1:19">
      <c r="H123" s="210"/>
      <c r="I123" s="210"/>
      <c r="J123" s="210"/>
    </row>
    <row r="125" spans="1:19">
      <c r="H125" s="24"/>
      <c r="I125" s="24"/>
      <c r="J125" s="24"/>
    </row>
    <row r="126" spans="1:19">
      <c r="I126" s="19"/>
      <c r="J126" s="12"/>
    </row>
    <row r="127" spans="1:19">
      <c r="H127" s="19"/>
      <c r="I127" s="19"/>
      <c r="J127" s="19"/>
    </row>
  </sheetData>
  <protectedRanges>
    <protectedRange password="F1C4" sqref="F85" name="AAReport1_23_1_1_2_1"/>
  </protectedRanges>
  <phoneticPr fontId="104" type="noConversion"/>
  <printOptions horizontalCentered="1"/>
  <pageMargins left="1" right="1" top="1" bottom="1" header="0.5" footer="0.5"/>
  <pageSetup scale="48" fitToHeight="0" orientation="landscape" r:id="rId1"/>
  <headerFooter>
    <oddHeader xml:space="preserve">&amp;C&amp;"-,Bold"Pacific Gas and Electric Company
Formula Rate Model
Schedule &amp;A&amp;R&amp;10Docket No. ER20-2878-000, et al.
Annual Update RY2024
&amp;F
</oddHeader>
  </headerFooter>
  <rowBreaks count="2" manualBreakCount="2">
    <brk id="53" max="12" man="1"/>
    <brk id="100" max="12" man="1"/>
  </rowBreaks>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O95"/>
  <sheetViews>
    <sheetView view="pageBreakPreview" topLeftCell="A38" zoomScale="55" zoomScaleNormal="75" zoomScaleSheetLayoutView="55" zoomScalePageLayoutView="70" workbookViewId="0">
      <selection activeCell="D45" sqref="D45"/>
    </sheetView>
  </sheetViews>
  <sheetFormatPr defaultColWidth="9.1796875" defaultRowHeight="14.5"/>
  <cols>
    <col min="1" max="1" width="6" style="4" bestFit="1" customWidth="1"/>
    <col min="2" max="2" width="2.1796875" style="4" bestFit="1" customWidth="1"/>
    <col min="3" max="3" width="73.453125" bestFit="1" customWidth="1"/>
    <col min="4" max="4" width="4.54296875" customWidth="1"/>
    <col min="5" max="5" width="22.54296875" bestFit="1" customWidth="1"/>
    <col min="6" max="6" width="45.26953125" bestFit="1" customWidth="1"/>
    <col min="7" max="7" width="22.26953125" bestFit="1" customWidth="1"/>
    <col min="8" max="8" width="22.26953125" customWidth="1"/>
    <col min="9" max="10" width="22.1796875" bestFit="1" customWidth="1"/>
    <col min="11" max="11" width="38.26953125" bestFit="1" customWidth="1"/>
    <col min="12" max="12" width="4.54296875" bestFit="1" customWidth="1"/>
    <col min="13" max="13" width="2.1796875" customWidth="1"/>
    <col min="15" max="15" width="15.26953125" bestFit="1" customWidth="1"/>
  </cols>
  <sheetData>
    <row r="1" spans="1:12">
      <c r="C1" s="5" t="s">
        <v>11</v>
      </c>
      <c r="I1" s="6"/>
      <c r="K1" s="6" t="str">
        <f>CONCATENATE("Prior Year: ",'1-DRR'!$K$2)</f>
        <v>Prior Year: 2022</v>
      </c>
    </row>
    <row r="2" spans="1:12">
      <c r="C2" s="35" t="s">
        <v>122</v>
      </c>
      <c r="I2" s="6"/>
    </row>
    <row r="3" spans="1:12">
      <c r="A3" s="3" t="s">
        <v>92</v>
      </c>
      <c r="B3" s="3"/>
      <c r="E3" s="3" t="s">
        <v>124</v>
      </c>
      <c r="H3" s="3" t="s">
        <v>125</v>
      </c>
      <c r="I3" s="3" t="s">
        <v>126</v>
      </c>
      <c r="J3" s="3" t="s">
        <v>127</v>
      </c>
      <c r="K3" s="3" t="s">
        <v>128</v>
      </c>
      <c r="L3" s="3"/>
    </row>
    <row r="4" spans="1:12">
      <c r="A4" s="4">
        <v>1</v>
      </c>
      <c r="B4" s="3"/>
      <c r="E4" s="3"/>
      <c r="H4" s="4" t="s">
        <v>129</v>
      </c>
      <c r="I4" s="440">
        <f>'6-PlantJurisdiction'!E85</f>
        <v>0.48416819932621386</v>
      </c>
      <c r="J4" s="440">
        <f>'6-PlantJurisdiction'!F85</f>
        <v>0.47050172254427719</v>
      </c>
      <c r="K4" s="34" t="s">
        <v>130</v>
      </c>
      <c r="L4" s="3">
        <f>A4</f>
        <v>1</v>
      </c>
    </row>
    <row r="5" spans="1:12">
      <c r="C5" s="41" t="s">
        <v>131</v>
      </c>
      <c r="D5" s="42"/>
      <c r="E5" s="43"/>
      <c r="F5" s="43"/>
      <c r="G5" s="43"/>
      <c r="H5" s="43"/>
      <c r="I5" s="43"/>
      <c r="J5" s="43"/>
      <c r="K5" s="43"/>
    </row>
    <row r="6" spans="1:12" ht="29">
      <c r="A6" s="3" t="s">
        <v>92</v>
      </c>
      <c r="B6" s="3"/>
      <c r="C6" s="110" t="s">
        <v>7</v>
      </c>
      <c r="D6" s="34"/>
      <c r="E6" s="110" t="s">
        <v>310</v>
      </c>
      <c r="F6" s="110" t="s">
        <v>128</v>
      </c>
      <c r="G6" s="110" t="s">
        <v>133</v>
      </c>
      <c r="H6" s="110" t="s">
        <v>134</v>
      </c>
      <c r="I6" s="110" t="s">
        <v>135</v>
      </c>
      <c r="J6" s="110" t="s">
        <v>136</v>
      </c>
      <c r="K6" s="110" t="s">
        <v>128</v>
      </c>
      <c r="L6" s="3" t="str">
        <f>A6</f>
        <v>Line</v>
      </c>
    </row>
    <row r="7" spans="1:12">
      <c r="A7"/>
      <c r="B7"/>
      <c r="C7" s="1" t="s">
        <v>137</v>
      </c>
      <c r="D7" s="1"/>
    </row>
    <row r="8" spans="1:12">
      <c r="A8" s="4">
        <v>100</v>
      </c>
      <c r="C8" t="s">
        <v>138</v>
      </c>
      <c r="E8" s="23">
        <f>'7-PlantInService'!AC26</f>
        <v>38360483410.646141</v>
      </c>
      <c r="F8" t="s">
        <v>311</v>
      </c>
      <c r="G8" t="s">
        <v>312</v>
      </c>
      <c r="H8" s="13">
        <f>I8+J8</f>
        <v>36608883862.097679</v>
      </c>
      <c r="I8" s="23">
        <f>'7-PlantInService'!AC51</f>
        <v>18617596497.844784</v>
      </c>
      <c r="J8" s="23">
        <f>'7-PlantInService'!AC76</f>
        <v>17991287364.252895</v>
      </c>
      <c r="K8" t="s">
        <v>313</v>
      </c>
      <c r="L8" s="4">
        <f>A8</f>
        <v>100</v>
      </c>
    </row>
    <row r="9" spans="1:12">
      <c r="A9" s="4">
        <f>A8+1</f>
        <v>101</v>
      </c>
      <c r="C9" t="s">
        <v>142</v>
      </c>
      <c r="E9" s="40">
        <v>3004700181.0025501</v>
      </c>
      <c r="F9" s="33" t="s">
        <v>143</v>
      </c>
      <c r="G9" t="s">
        <v>314</v>
      </c>
      <c r="H9" s="13">
        <f t="shared" ref="H9:H10" si="0">I9+J9</f>
        <v>2119670792.626029</v>
      </c>
      <c r="I9" s="23">
        <f>'7-PlantInService'!D130</f>
        <v>1075007358.375051</v>
      </c>
      <c r="J9" s="23">
        <f>'7-PlantInService'!E130</f>
        <v>1044663434.2509781</v>
      </c>
      <c r="K9" t="s">
        <v>315</v>
      </c>
      <c r="L9" s="4">
        <f>A9</f>
        <v>101</v>
      </c>
    </row>
    <row r="10" spans="1:12">
      <c r="A10" s="4">
        <f>A9+1</f>
        <v>102</v>
      </c>
      <c r="C10" s="2" t="s">
        <v>145</v>
      </c>
      <c r="D10" s="2"/>
      <c r="E10" s="689">
        <f>SUM(E8:E9)</f>
        <v>41365183591.648689</v>
      </c>
      <c r="F10" s="33" t="str">
        <f>"Line "&amp;A8&amp;" + Line "&amp;A9&amp;""</f>
        <v>Line 100 + Line 101</v>
      </c>
      <c r="H10" s="444">
        <f t="shared" si="0"/>
        <v>38728554654.723709</v>
      </c>
      <c r="I10" s="689">
        <f t="shared" ref="I10:J10" si="1">SUM(I8:I9)</f>
        <v>19692603856.219833</v>
      </c>
      <c r="J10" s="689">
        <f t="shared" si="1"/>
        <v>19035950798.503872</v>
      </c>
      <c r="K10" s="443"/>
      <c r="L10" s="4">
        <f>A10</f>
        <v>102</v>
      </c>
    </row>
    <row r="11" spans="1:12">
      <c r="H11" s="24"/>
    </row>
    <row r="12" spans="1:12">
      <c r="C12" s="1" t="s">
        <v>146</v>
      </c>
      <c r="D12" s="1"/>
      <c r="H12" s="24"/>
    </row>
    <row r="13" spans="1:12">
      <c r="A13" s="4">
        <f>A10+1</f>
        <v>103</v>
      </c>
      <c r="C13" t="s">
        <v>147</v>
      </c>
      <c r="E13" s="23">
        <f>'13-WorkCap'!E26</f>
        <v>292318141.96702325</v>
      </c>
      <c r="F13" t="s">
        <v>316</v>
      </c>
      <c r="G13" t="s">
        <v>312</v>
      </c>
      <c r="H13" s="13">
        <f t="shared" ref="H13:H16" si="2">I13+J13</f>
        <v>279067337.75298524</v>
      </c>
      <c r="I13" s="23">
        <f>E13*$I$4</f>
        <v>141531148.4265582</v>
      </c>
      <c r="J13" s="23">
        <f>E13*$J$4</f>
        <v>137536189.32642701</v>
      </c>
      <c r="K13" t="s">
        <v>149</v>
      </c>
      <c r="L13" s="4">
        <f>A13</f>
        <v>103</v>
      </c>
    </row>
    <row r="14" spans="1:12">
      <c r="A14" s="4">
        <f>A13+1</f>
        <v>104</v>
      </c>
      <c r="C14" t="s">
        <v>150</v>
      </c>
      <c r="E14" s="23">
        <f>'13-WorkCap'!F57</f>
        <v>224288264</v>
      </c>
      <c r="F14" t="s">
        <v>317</v>
      </c>
      <c r="G14" t="s">
        <v>312</v>
      </c>
      <c r="H14" s="13">
        <f t="shared" si="2"/>
        <v>214121259.46934807</v>
      </c>
      <c r="I14" s="23">
        <f>E14*$I$4</f>
        <v>108593244.91088247</v>
      </c>
      <c r="J14" s="23">
        <f>E14*$J$4</f>
        <v>105528014.5584656</v>
      </c>
      <c r="K14" t="s">
        <v>152</v>
      </c>
      <c r="L14" s="4">
        <f>A14</f>
        <v>104</v>
      </c>
    </row>
    <row r="15" spans="1:12">
      <c r="A15" s="4">
        <f t="shared" ref="A15:A16" si="3">A14+1</f>
        <v>105</v>
      </c>
      <c r="C15" t="s">
        <v>153</v>
      </c>
      <c r="E15" s="17">
        <f>(E74+E75)/8</f>
        <v>449460746.01799142</v>
      </c>
      <c r="F15" t="str">
        <f>"(Line "&amp;A74&amp;" + Line "&amp;A75&amp;") / 8"</f>
        <v>(Line 400 + Line 401) / 8</v>
      </c>
      <c r="H15" s="14">
        <f t="shared" si="2"/>
        <v>429086655.28484845</v>
      </c>
      <c r="I15" s="17">
        <f>E15*$I$4</f>
        <v>217614600.06734765</v>
      </c>
      <c r="J15" s="17">
        <f>E15*$J$4</f>
        <v>211472055.21750084</v>
      </c>
      <c r="K15" t="s">
        <v>154</v>
      </c>
      <c r="L15" s="4">
        <f>A15</f>
        <v>105</v>
      </c>
    </row>
    <row r="16" spans="1:12">
      <c r="A16" s="4">
        <f t="shared" si="3"/>
        <v>106</v>
      </c>
      <c r="C16" s="2" t="s">
        <v>155</v>
      </c>
      <c r="D16" s="2"/>
      <c r="E16" s="51">
        <f>SUM(E13:E15)</f>
        <v>966067151.98501468</v>
      </c>
      <c r="F16" s="33" t="str">
        <f>"Sum of Lines "&amp;A13&amp;" to "&amp;A15&amp;""</f>
        <v>Sum of Lines 103 to 105</v>
      </c>
      <c r="H16" s="15">
        <f t="shared" si="2"/>
        <v>922275252.50718176</v>
      </c>
      <c r="I16" s="51">
        <f t="shared" ref="I16:J16" si="4">SUM(I13:I15)</f>
        <v>467738993.40478832</v>
      </c>
      <c r="J16" s="51">
        <f t="shared" si="4"/>
        <v>454536259.10239345</v>
      </c>
      <c r="K16" s="33" t="str">
        <f>"Sum of Lines "&amp;$A$13&amp;" to "&amp;$A$15&amp;""</f>
        <v>Sum of Lines 103 to 105</v>
      </c>
      <c r="L16" s="4">
        <f>A16</f>
        <v>106</v>
      </c>
    </row>
    <row r="17" spans="1:13">
      <c r="H17" s="24"/>
    </row>
    <row r="18" spans="1:13">
      <c r="C18" s="1" t="s">
        <v>156</v>
      </c>
      <c r="D18" s="1"/>
      <c r="H18" s="24"/>
    </row>
    <row r="19" spans="1:13">
      <c r="A19" s="4">
        <f>A16+1</f>
        <v>107</v>
      </c>
      <c r="C19" t="s">
        <v>157</v>
      </c>
      <c r="E19" s="23">
        <f>-'10-AccDep'!AC26</f>
        <v>-16531324062.124228</v>
      </c>
      <c r="F19" t="s">
        <v>318</v>
      </c>
      <c r="G19" t="s">
        <v>319</v>
      </c>
      <c r="H19" s="13">
        <f t="shared" ref="H19:H21" si="5">I19+J19</f>
        <v>-15853843805.020157</v>
      </c>
      <c r="I19" s="23">
        <f>-'10-AccDep'!AC51</f>
        <v>-7851795201.3668613</v>
      </c>
      <c r="J19" s="23">
        <f>-'10-AccDep'!AC76</f>
        <v>-8002048603.6532955</v>
      </c>
      <c r="K19" t="s">
        <v>320</v>
      </c>
      <c r="L19" s="4">
        <f>A19</f>
        <v>107</v>
      </c>
    </row>
    <row r="20" spans="1:13">
      <c r="A20" s="4">
        <f>A19+1</f>
        <v>108</v>
      </c>
      <c r="C20" t="s">
        <v>161</v>
      </c>
      <c r="E20" s="40">
        <v>-1143267501.120415</v>
      </c>
      <c r="F20" s="33" t="s">
        <v>162</v>
      </c>
      <c r="G20" t="s">
        <v>321</v>
      </c>
      <c r="H20" s="13">
        <f t="shared" si="5"/>
        <v>-773220292.91177213</v>
      </c>
      <c r="I20" s="274">
        <f>-'10-AccDep'!D130</f>
        <v>-392144623.31449318</v>
      </c>
      <c r="J20" s="274">
        <f>-'10-AccDep'!E130</f>
        <v>-381075669.59727895</v>
      </c>
      <c r="K20" t="s">
        <v>322</v>
      </c>
      <c r="L20" s="4">
        <f>A20</f>
        <v>108</v>
      </c>
    </row>
    <row r="21" spans="1:13">
      <c r="A21" s="4">
        <f>A20+1</f>
        <v>109</v>
      </c>
      <c r="C21" s="2" t="s">
        <v>164</v>
      </c>
      <c r="D21" s="2"/>
      <c r="E21" s="689">
        <f>E19+E20</f>
        <v>-17674591563.244644</v>
      </c>
      <c r="F21" s="33" t="str">
        <f>"Line "&amp;A19&amp;" + Line "&amp;A20&amp;""</f>
        <v>Line 107 + Line 108</v>
      </c>
      <c r="H21" s="444">
        <f t="shared" si="5"/>
        <v>-16627064097.931929</v>
      </c>
      <c r="I21" s="689">
        <f t="shared" ref="I21:J21" si="6">I19+I20</f>
        <v>-8243939824.6813545</v>
      </c>
      <c r="J21" s="689">
        <f t="shared" si="6"/>
        <v>-8383124273.2505741</v>
      </c>
      <c r="K21" t="str">
        <f>"Line "&amp;$A$19&amp;" + Line "&amp;$A$20&amp;""</f>
        <v>Line 107 + Line 108</v>
      </c>
      <c r="L21" s="4">
        <f>A21</f>
        <v>109</v>
      </c>
    </row>
    <row r="22" spans="1:13">
      <c r="H22" s="24"/>
    </row>
    <row r="23" spans="1:13">
      <c r="A23" s="4">
        <f>A21+1</f>
        <v>110</v>
      </c>
      <c r="B23" s="4" t="s">
        <v>165</v>
      </c>
      <c r="C23" s="5" t="s">
        <v>166</v>
      </c>
      <c r="D23" s="5"/>
      <c r="E23" s="23">
        <f>'14-ADIT'!D21</f>
        <v>-2856888515.7788434</v>
      </c>
      <c r="F23" t="s">
        <v>323</v>
      </c>
      <c r="G23" t="s">
        <v>324</v>
      </c>
      <c r="H23" s="13">
        <f t="shared" ref="H23:H27" si="7">I23+J23</f>
        <v>-2727385536.1512918</v>
      </c>
      <c r="I23" s="23">
        <f>E23*$I$4</f>
        <v>-1383214568.3603823</v>
      </c>
      <c r="J23" s="23">
        <f>E23*$J$4</f>
        <v>-1344170967.7909093</v>
      </c>
      <c r="K23" t="s">
        <v>168</v>
      </c>
      <c r="L23" s="4">
        <f>A23</f>
        <v>110</v>
      </c>
      <c r="M23" t="s">
        <v>165</v>
      </c>
    </row>
    <row r="24" spans="1:13">
      <c r="A24" s="4">
        <f>A23</f>
        <v>110</v>
      </c>
      <c r="B24" s="4" t="s">
        <v>169</v>
      </c>
      <c r="C24" s="5" t="s">
        <v>170</v>
      </c>
      <c r="D24" s="5"/>
      <c r="E24" s="17">
        <f>+'17-RegAssets-1'!C48</f>
        <v>-1425974878.1621368</v>
      </c>
      <c r="F24" t="s">
        <v>325</v>
      </c>
      <c r="G24" t="s">
        <v>324</v>
      </c>
      <c r="H24" s="14">
        <f t="shared" si="7"/>
        <v>-1361335325.5243301</v>
      </c>
      <c r="I24" s="17">
        <f>E24*$I$4</f>
        <v>-690411689.04417896</v>
      </c>
      <c r="J24" s="17">
        <f>E24*$J$4</f>
        <v>-670923636.48015118</v>
      </c>
      <c r="K24" t="s">
        <v>172</v>
      </c>
      <c r="L24" s="4">
        <f>A24</f>
        <v>110</v>
      </c>
      <c r="M24" t="s">
        <v>169</v>
      </c>
    </row>
    <row r="25" spans="1:13">
      <c r="A25" s="4">
        <f>A24</f>
        <v>110</v>
      </c>
      <c r="B25" s="4" t="s">
        <v>173</v>
      </c>
      <c r="C25" s="5" t="s">
        <v>326</v>
      </c>
      <c r="D25" s="5"/>
      <c r="E25" s="51">
        <f>+E23+E24</f>
        <v>-4282863393.94098</v>
      </c>
      <c r="F25" t="str">
        <f>"Line "&amp;A23&amp;"a + Line "&amp;A24&amp;"b"</f>
        <v>Line 110a + Line 110b</v>
      </c>
      <c r="G25" t="s">
        <v>324</v>
      </c>
      <c r="H25" s="15">
        <f t="shared" si="7"/>
        <v>-4088720861.675622</v>
      </c>
      <c r="I25" s="51">
        <f t="shared" ref="I25:J25" si="8">+I23+I24</f>
        <v>-2073626257.4045613</v>
      </c>
      <c r="J25" s="51">
        <f t="shared" si="8"/>
        <v>-2015094604.2710605</v>
      </c>
      <c r="K25" t="str">
        <f>"Line "&amp;$A$23&amp;"a + Line "&amp;$A$24&amp;"b"</f>
        <v>Line 110a + Line 110b</v>
      </c>
      <c r="L25" s="4">
        <f>A25</f>
        <v>110</v>
      </c>
      <c r="M25" t="s">
        <v>173</v>
      </c>
    </row>
    <row r="26" spans="1:13">
      <c r="A26" s="4">
        <f>A25+1</f>
        <v>111</v>
      </c>
      <c r="C26" s="105" t="str">
        <f>+'1-DRR'!C26</f>
        <v>Unfunded Reserves</v>
      </c>
      <c r="D26" s="2"/>
      <c r="E26" s="23">
        <f>'16-UnfundedReserves'!E12</f>
        <v>-144225436.24298069</v>
      </c>
      <c r="F26" s="8" t="s">
        <v>327</v>
      </c>
      <c r="G26" t="s">
        <v>312</v>
      </c>
      <c r="H26" s="13">
        <f t="shared" si="7"/>
        <v>-137687685.94982386</v>
      </c>
      <c r="I26" s="23">
        <f>E26*$I$4</f>
        <v>-69829369.762801617</v>
      </c>
      <c r="J26" s="23">
        <f>E26*$J$4</f>
        <v>-67858316.187022239</v>
      </c>
      <c r="K26" t="s">
        <v>177</v>
      </c>
      <c r="L26" s="4">
        <f>A26</f>
        <v>111</v>
      </c>
    </row>
    <row r="27" spans="1:13">
      <c r="A27" s="4">
        <f>A26+1</f>
        <v>112</v>
      </c>
      <c r="C27" s="2" t="s">
        <v>178</v>
      </c>
      <c r="D27" s="2"/>
      <c r="E27" s="17">
        <f>'17-RegAssets-1'!E26</f>
        <v>0</v>
      </c>
      <c r="F27" t="s">
        <v>328</v>
      </c>
      <c r="G27" t="s">
        <v>314</v>
      </c>
      <c r="H27" s="14">
        <f t="shared" si="7"/>
        <v>0</v>
      </c>
      <c r="I27" s="17">
        <f>E27*$I$4</f>
        <v>0</v>
      </c>
      <c r="J27" s="17">
        <f>E27*$J$4</f>
        <v>0</v>
      </c>
      <c r="K27" t="s">
        <v>180</v>
      </c>
      <c r="L27" s="4">
        <f>A27</f>
        <v>112</v>
      </c>
    </row>
    <row r="28" spans="1:13">
      <c r="E28" s="51"/>
      <c r="H28" s="13"/>
      <c r="I28" s="51"/>
      <c r="J28" s="51"/>
      <c r="L28" s="4"/>
    </row>
    <row r="29" spans="1:13" ht="29">
      <c r="A29" s="4">
        <f>A27+1</f>
        <v>113</v>
      </c>
      <c r="C29" s="2" t="s">
        <v>181</v>
      </c>
      <c r="D29" s="2"/>
      <c r="E29" s="51">
        <f>+E10+E16+E21+E25+E27+E26</f>
        <v>20229570350.205101</v>
      </c>
      <c r="F29" t="str">
        <f>"Sum of Lines "&amp;A10&amp;", "&amp;A16&amp;", "&amp;A21&amp;" and Lines "&amp;A25&amp;B25&amp;" to "&amp;A27&amp;""</f>
        <v>Sum of Lines 102, 106, 109 and Lines 110c to 112</v>
      </c>
      <c r="H29" s="15">
        <f>I29+J29</f>
        <v>18797357261.673512</v>
      </c>
      <c r="I29" s="51">
        <f t="shared" ref="I29:J29" si="9">+I10+I16+I21+I25+I27+I26</f>
        <v>9772947397.7759037</v>
      </c>
      <c r="J29" s="51">
        <f t="shared" si="9"/>
        <v>9024409863.8976078</v>
      </c>
      <c r="K29" s="34" t="str">
        <f>"Sum of Lines "&amp;$A$10&amp;", "&amp;$A$16&amp;", "&amp;$A$21&amp;" and Lines "&amp;$A$25&amp;$B$25&amp;" to "&amp;$A$27&amp;""</f>
        <v>Sum of Lines 102, 106, 109 and Lines 110c to 112</v>
      </c>
      <c r="L29" s="4">
        <f>A29</f>
        <v>113</v>
      </c>
    </row>
    <row r="30" spans="1:13">
      <c r="E30" s="8"/>
      <c r="I30" s="8"/>
      <c r="J30" s="8"/>
      <c r="K30" s="8"/>
      <c r="L30" s="4"/>
    </row>
    <row r="31" spans="1:13">
      <c r="C31" s="41" t="s">
        <v>182</v>
      </c>
      <c r="D31" s="43"/>
      <c r="E31" s="43"/>
      <c r="F31" s="43"/>
      <c r="G31" s="43"/>
      <c r="H31" s="43"/>
      <c r="I31" s="43"/>
      <c r="J31" s="43"/>
      <c r="K31" s="43"/>
    </row>
    <row r="32" spans="1:13">
      <c r="C32" s="2" t="s">
        <v>329</v>
      </c>
    </row>
    <row r="33" spans="1:15">
      <c r="C33" t="s">
        <v>330</v>
      </c>
      <c r="E33" s="3"/>
      <c r="H33" s="3"/>
      <c r="I33" s="3"/>
      <c r="J33" s="3"/>
    </row>
    <row r="34" spans="1:15">
      <c r="C34" s="5"/>
      <c r="H34" s="4"/>
      <c r="I34" s="440"/>
      <c r="J34" s="440"/>
    </row>
    <row r="35" spans="1:15" ht="29">
      <c r="A35" s="3" t="s">
        <v>92</v>
      </c>
      <c r="B35" s="3"/>
      <c r="C35" s="110" t="s">
        <v>7</v>
      </c>
      <c r="D35" s="34"/>
      <c r="E35" s="110" t="s">
        <v>310</v>
      </c>
      <c r="F35" s="110" t="s">
        <v>128</v>
      </c>
      <c r="G35" s="110" t="s">
        <v>133</v>
      </c>
      <c r="H35" s="110" t="s">
        <v>134</v>
      </c>
      <c r="I35" s="110" t="s">
        <v>135</v>
      </c>
      <c r="J35" s="110" t="s">
        <v>136</v>
      </c>
      <c r="K35" s="110" t="s">
        <v>128</v>
      </c>
      <c r="L35" s="3" t="str">
        <f>A35</f>
        <v>Line</v>
      </c>
    </row>
    <row r="36" spans="1:15" ht="77.25" customHeight="1">
      <c r="A36" s="4">
        <v>200</v>
      </c>
      <c r="C36" t="s">
        <v>331</v>
      </c>
      <c r="E36" s="39">
        <f>'1-DRR'!E42</f>
        <v>0.10249999999999999</v>
      </c>
      <c r="F36" s="38" t="str">
        <f>CONCATENATE("1-DRR, L. ",'1-DRR'!A42)</f>
        <v>1-DRR, L. 205</v>
      </c>
      <c r="G36" s="34" t="s">
        <v>332</v>
      </c>
      <c r="H36" s="464">
        <f>E36</f>
        <v>0.10249999999999999</v>
      </c>
      <c r="I36" s="20">
        <f>E36</f>
        <v>0.10249999999999999</v>
      </c>
      <c r="J36" s="20">
        <f>I36</f>
        <v>0.10249999999999999</v>
      </c>
      <c r="K36" s="20" t="s">
        <v>333</v>
      </c>
      <c r="L36" s="4">
        <f>A36</f>
        <v>200</v>
      </c>
    </row>
    <row r="37" spans="1:15">
      <c r="C37" s="5"/>
    </row>
    <row r="38" spans="1:15">
      <c r="C38" s="1" t="s">
        <v>201</v>
      </c>
      <c r="D38" s="1"/>
    </row>
    <row r="39" spans="1:15">
      <c r="A39" s="4">
        <f>A36+1</f>
        <v>201</v>
      </c>
      <c r="C39" t="s">
        <v>202</v>
      </c>
      <c r="E39" s="20">
        <f>'1-DRR'!E45</f>
        <v>1.9501999999999999E-2</v>
      </c>
      <c r="F39" t="str">
        <f>CONCATENATE("1-DRR, L. ",'1-DRR'!A45)</f>
        <v>1-DRR, L. 206</v>
      </c>
      <c r="H39" s="20">
        <f>E39</f>
        <v>1.9501999999999999E-2</v>
      </c>
      <c r="I39" s="20">
        <f>E39</f>
        <v>1.9501999999999999E-2</v>
      </c>
      <c r="J39" s="20">
        <f>E39</f>
        <v>1.9501999999999999E-2</v>
      </c>
      <c r="K39" s="20" t="s">
        <v>334</v>
      </c>
      <c r="L39" s="4">
        <f>A39</f>
        <v>201</v>
      </c>
    </row>
    <row r="40" spans="1:15">
      <c r="A40" s="4">
        <f>A39+1</f>
        <v>202</v>
      </c>
      <c r="C40" t="s">
        <v>204</v>
      </c>
      <c r="E40" s="20">
        <f>'1-DRR'!E46</f>
        <v>2.7605794758881429E-4</v>
      </c>
      <c r="F40" t="str">
        <f>CONCATENATE("1-DRR, L. ",'1-DRR'!A46)</f>
        <v>1-DRR, L. 207</v>
      </c>
      <c r="H40" s="20">
        <f t="shared" ref="H40:H42" si="10">E40</f>
        <v>2.7605794758881429E-4</v>
      </c>
      <c r="I40" s="20">
        <f>E40</f>
        <v>2.7605794758881429E-4</v>
      </c>
      <c r="J40" s="20">
        <f>E40</f>
        <v>2.7605794758881429E-4</v>
      </c>
      <c r="K40" s="20" t="s">
        <v>335</v>
      </c>
      <c r="L40" s="4">
        <f>A40</f>
        <v>202</v>
      </c>
    </row>
    <row r="41" spans="1:15">
      <c r="A41" s="4">
        <f>A40+1</f>
        <v>203</v>
      </c>
      <c r="C41" t="s">
        <v>206</v>
      </c>
      <c r="E41" s="233">
        <f>E36*'1-DRR'!E36</f>
        <v>5.0993749999999997E-2</v>
      </c>
      <c r="F41" t="str">
        <f>CONCATENATE("Line ",A36," * ","1-DRR, L. ",'1-DRR'!A36)</f>
        <v>Line 200 * 1-DRR, L. 202</v>
      </c>
      <c r="H41" s="233">
        <f t="shared" si="10"/>
        <v>5.0993749999999997E-2</v>
      </c>
      <c r="I41" s="233">
        <f>E41</f>
        <v>5.0993749999999997E-2</v>
      </c>
      <c r="J41" s="233">
        <f>E41</f>
        <v>5.0993749999999997E-2</v>
      </c>
      <c r="K41" s="20" t="s">
        <v>336</v>
      </c>
      <c r="L41" s="4">
        <f>A41</f>
        <v>203</v>
      </c>
      <c r="O41" s="28"/>
    </row>
    <row r="42" spans="1:15">
      <c r="A42" s="4">
        <f>A41+1</f>
        <v>204</v>
      </c>
      <c r="C42" s="2" t="s">
        <v>208</v>
      </c>
      <c r="D42" s="2"/>
      <c r="E42" s="226">
        <f>SUM(E39:E41)</f>
        <v>7.0771807947588805E-2</v>
      </c>
      <c r="F42" s="33" t="str">
        <f>"Sum of Lines "&amp;A39&amp;" to "&amp;A41&amp;""</f>
        <v>Sum of Lines 201 to 203</v>
      </c>
      <c r="H42" s="226">
        <f t="shared" si="10"/>
        <v>7.0771807947588805E-2</v>
      </c>
      <c r="I42" s="226">
        <f t="shared" ref="I42:J42" si="11">SUM(I39:I41)</f>
        <v>7.0771807947588805E-2</v>
      </c>
      <c r="J42" s="226">
        <f t="shared" si="11"/>
        <v>7.0771807947588805E-2</v>
      </c>
      <c r="K42" s="20" t="s">
        <v>337</v>
      </c>
      <c r="L42" s="4">
        <f>A42</f>
        <v>204</v>
      </c>
      <c r="O42" s="28"/>
    </row>
    <row r="43" spans="1:15">
      <c r="O43" s="28"/>
    </row>
    <row r="44" spans="1:15">
      <c r="A44" s="4">
        <f>A42+1</f>
        <v>205</v>
      </c>
      <c r="C44" s="2" t="s">
        <v>210</v>
      </c>
      <c r="D44" s="2"/>
      <c r="E44" s="226">
        <f>E40+E41</f>
        <v>5.1269807947588814E-2</v>
      </c>
      <c r="F44" t="str">
        <f>"Line "&amp;A40&amp;" + Line "&amp;A41&amp;""</f>
        <v>Line 202 + Line 203</v>
      </c>
      <c r="G44" s="8"/>
      <c r="H44" s="226">
        <f>E44</f>
        <v>5.1269807947588814E-2</v>
      </c>
      <c r="I44" s="226">
        <f t="shared" ref="I44:J44" si="12">I40+I41</f>
        <v>5.1269807947588814E-2</v>
      </c>
      <c r="J44" s="226">
        <f t="shared" si="12"/>
        <v>5.1269807947588814E-2</v>
      </c>
      <c r="K44" s="20" t="s">
        <v>338</v>
      </c>
      <c r="L44" s="4">
        <f>A44</f>
        <v>205</v>
      </c>
      <c r="O44" s="28"/>
    </row>
    <row r="45" spans="1:15">
      <c r="L45" s="4"/>
    </row>
    <row r="46" spans="1:15">
      <c r="A46" s="4">
        <f>A44+1</f>
        <v>206</v>
      </c>
      <c r="C46" s="2" t="s">
        <v>212</v>
      </c>
      <c r="D46" s="2"/>
      <c r="E46" s="51">
        <f>E42*E29</f>
        <v>1431683267.6869521</v>
      </c>
      <c r="F46" t="str">
        <f>"Line "&amp;A29&amp;" * Line "&amp;A42&amp;""</f>
        <v>Line 113 * Line 204</v>
      </c>
      <c r="H46" s="15">
        <f>I46+J46</f>
        <v>1330322958.0453715</v>
      </c>
      <c r="I46" s="51">
        <f t="shared" ref="I46:J46" si="13">I42*I29</f>
        <v>691649156.31728399</v>
      </c>
      <c r="J46" s="51">
        <f t="shared" si="13"/>
        <v>638673801.72808754</v>
      </c>
      <c r="K46" s="51" t="str">
        <f>"Line "&amp;A29&amp;" * Line "&amp;A42&amp;""</f>
        <v>Line 113 * Line 204</v>
      </c>
      <c r="L46" s="4">
        <f>A46</f>
        <v>206</v>
      </c>
    </row>
    <row r="48" spans="1:15">
      <c r="C48" s="41" t="s">
        <v>339</v>
      </c>
      <c r="D48" s="43"/>
      <c r="E48" s="43"/>
      <c r="F48" s="43"/>
      <c r="G48" s="43"/>
      <c r="H48" s="43"/>
      <c r="I48" s="43"/>
      <c r="J48" s="43"/>
      <c r="K48" s="43"/>
    </row>
    <row r="49" spans="1:12">
      <c r="C49" s="5"/>
    </row>
    <row r="50" spans="1:12" ht="29">
      <c r="A50" s="3" t="s">
        <v>92</v>
      </c>
      <c r="B50" s="3"/>
      <c r="C50" s="110" t="s">
        <v>7</v>
      </c>
      <c r="D50" s="34"/>
      <c r="E50" s="110" t="s">
        <v>310</v>
      </c>
      <c r="F50" s="110" t="s">
        <v>128</v>
      </c>
      <c r="G50" s="110" t="s">
        <v>133</v>
      </c>
      <c r="H50" s="110" t="s">
        <v>134</v>
      </c>
      <c r="I50" s="110" t="s">
        <v>135</v>
      </c>
      <c r="J50" s="110" t="s">
        <v>136</v>
      </c>
      <c r="K50" s="110" t="s">
        <v>128</v>
      </c>
      <c r="L50" s="3" t="str">
        <f>A50</f>
        <v>Line</v>
      </c>
    </row>
    <row r="51" spans="1:12">
      <c r="A51" s="4">
        <v>300</v>
      </c>
      <c r="C51" t="s">
        <v>245</v>
      </c>
      <c r="E51" s="22">
        <f>'22-TaxRates'!C13</f>
        <v>0.21</v>
      </c>
      <c r="F51" t="s">
        <v>340</v>
      </c>
      <c r="H51" s="22">
        <f>E51</f>
        <v>0.21</v>
      </c>
      <c r="I51" s="22">
        <f>E51</f>
        <v>0.21</v>
      </c>
      <c r="J51" s="22">
        <f>E51</f>
        <v>0.21</v>
      </c>
      <c r="K51" s="20" t="s">
        <v>341</v>
      </c>
      <c r="L51" s="4">
        <f>A51</f>
        <v>300</v>
      </c>
    </row>
    <row r="52" spans="1:12">
      <c r="A52" s="4">
        <f>A51+1</f>
        <v>301</v>
      </c>
      <c r="C52" t="s">
        <v>248</v>
      </c>
      <c r="E52" s="233">
        <f>'22-TaxRates'!C14</f>
        <v>8.8400000000000006E-2</v>
      </c>
      <c r="F52" t="s">
        <v>342</v>
      </c>
      <c r="H52" s="30">
        <f t="shared" ref="H52:H53" si="14">E52</f>
        <v>8.8400000000000006E-2</v>
      </c>
      <c r="I52" s="30">
        <f>E52</f>
        <v>8.8400000000000006E-2</v>
      </c>
      <c r="J52" s="30">
        <f>E52</f>
        <v>8.8400000000000006E-2</v>
      </c>
      <c r="K52" s="20" t="s">
        <v>343</v>
      </c>
      <c r="L52" s="4">
        <f>A52</f>
        <v>301</v>
      </c>
    </row>
    <row r="53" spans="1:12">
      <c r="A53" s="4">
        <f>A52+1</f>
        <v>302</v>
      </c>
      <c r="C53" s="2" t="s">
        <v>251</v>
      </c>
      <c r="D53" s="2"/>
      <c r="E53" s="226">
        <f>'22-TaxRates'!C16</f>
        <v>0.27983599999999997</v>
      </c>
      <c r="F53" t="s">
        <v>344</v>
      </c>
      <c r="H53" s="226">
        <f t="shared" si="14"/>
        <v>0.27983599999999997</v>
      </c>
      <c r="I53" s="226">
        <f t="shared" ref="I53:J53" si="15">(I51+I52)-(I51*I52)</f>
        <v>0.27983599999999997</v>
      </c>
      <c r="J53" s="226">
        <f t="shared" si="15"/>
        <v>0.27983599999999997</v>
      </c>
      <c r="K53" s="20" t="s">
        <v>345</v>
      </c>
      <c r="L53" s="4">
        <f>A53</f>
        <v>302</v>
      </c>
    </row>
    <row r="55" spans="1:12">
      <c r="A55" s="4">
        <f>A53+1</f>
        <v>303</v>
      </c>
      <c r="C55" s="2" t="s">
        <v>267</v>
      </c>
      <c r="E55" s="15">
        <f>(((E60*E61)+E64)*(E62/(1-E62)))+E63/(1-E62)</f>
        <v>354908390.25970876</v>
      </c>
      <c r="F55" t="str">
        <f>"Line "&amp;A57</f>
        <v>Line 304</v>
      </c>
      <c r="H55" s="221">
        <f>I55+J55</f>
        <v>328556427.50435984</v>
      </c>
      <c r="I55" s="15">
        <f t="shared" ref="I55:J55" si="16">(((I60*I61)+I64)*(I62/(1-I62)))+I63/(1-I62)</f>
        <v>171405692.52547824</v>
      </c>
      <c r="J55" s="15">
        <f t="shared" si="16"/>
        <v>157150734.97888163</v>
      </c>
      <c r="K55" t="str">
        <f>"Line "&amp;A57</f>
        <v>Line 304</v>
      </c>
      <c r="L55" s="4">
        <f>A55</f>
        <v>303</v>
      </c>
    </row>
    <row r="57" spans="1:12">
      <c r="A57" s="4">
        <f>A55+1</f>
        <v>304</v>
      </c>
      <c r="C57" t="s">
        <v>346</v>
      </c>
      <c r="L57" s="4">
        <f>A57</f>
        <v>304</v>
      </c>
    </row>
    <row r="59" spans="1:12">
      <c r="C59" t="s">
        <v>269</v>
      </c>
    </row>
    <row r="60" spans="1:12">
      <c r="A60" s="4">
        <f>A57+1</f>
        <v>305</v>
      </c>
      <c r="C60" s="26" t="s">
        <v>270</v>
      </c>
      <c r="D60" s="26"/>
      <c r="E60" s="13">
        <f>+E29</f>
        <v>20229570350.205101</v>
      </c>
      <c r="F60" t="str">
        <f>"Line "&amp;A29&amp;" col 1"</f>
        <v>Line 113 col 1</v>
      </c>
      <c r="G60" s="12"/>
      <c r="H60" s="24">
        <f>I60+J60</f>
        <v>18797357261.673512</v>
      </c>
      <c r="I60" s="465">
        <f>+I29</f>
        <v>9772947397.7759037</v>
      </c>
      <c r="J60" s="465">
        <f>+J29</f>
        <v>9024409863.8976078</v>
      </c>
      <c r="K60" s="13" t="str">
        <f>"Line "&amp;A29</f>
        <v>Line 113</v>
      </c>
      <c r="L60" s="4">
        <f>A60</f>
        <v>305</v>
      </c>
    </row>
    <row r="61" spans="1:12">
      <c r="A61" s="4">
        <f>A60+1</f>
        <v>306</v>
      </c>
      <c r="C61" s="9" t="s">
        <v>271</v>
      </c>
      <c r="D61" s="9"/>
      <c r="E61" s="22">
        <f>E44</f>
        <v>5.1269807947588814E-2</v>
      </c>
      <c r="F61" t="str">
        <f>"Line "&amp;A44</f>
        <v>Line 205</v>
      </c>
      <c r="H61" s="22">
        <f>E61</f>
        <v>5.1269807947588814E-2</v>
      </c>
      <c r="I61" s="22">
        <f>I44</f>
        <v>5.1269807947588814E-2</v>
      </c>
      <c r="J61" s="22">
        <f>J44</f>
        <v>5.1269807947588814E-2</v>
      </c>
      <c r="K61" s="22" t="str">
        <f>"Line "&amp;A44</f>
        <v>Line 205</v>
      </c>
      <c r="L61" s="4">
        <f>A61</f>
        <v>306</v>
      </c>
    </row>
    <row r="62" spans="1:12">
      <c r="A62" s="4">
        <f t="shared" ref="A62:A63" si="17">A61+1</f>
        <v>307</v>
      </c>
      <c r="C62" s="26" t="s">
        <v>272</v>
      </c>
      <c r="D62" s="26"/>
      <c r="E62" s="19">
        <f>E53</f>
        <v>0.27983599999999997</v>
      </c>
      <c r="F62" t="str">
        <f>"Line "&amp;A53</f>
        <v>Line 302</v>
      </c>
      <c r="H62" s="22">
        <f>E62</f>
        <v>0.27983599999999997</v>
      </c>
      <c r="I62" s="442">
        <f t="shared" ref="I62:J62" si="18">I53</f>
        <v>0.27983599999999997</v>
      </c>
      <c r="J62" s="442">
        <f t="shared" si="18"/>
        <v>0.27983599999999997</v>
      </c>
      <c r="K62" s="19" t="str">
        <f>"Line "&amp;A53</f>
        <v>Line 302</v>
      </c>
      <c r="L62" s="4">
        <f>A62</f>
        <v>307</v>
      </c>
    </row>
    <row r="63" spans="1:12">
      <c r="A63" s="4">
        <f t="shared" si="17"/>
        <v>308</v>
      </c>
      <c r="C63" s="26" t="s">
        <v>273</v>
      </c>
      <c r="D63" s="26"/>
      <c r="E63" s="13">
        <f>'1-DRR'!E87</f>
        <v>-38117953.012905277</v>
      </c>
      <c r="F63" t="str">
        <f>CONCATENATE("1-DRR, L. ",'1-DRR'!A87,", col 1")</f>
        <v>1-DRR, L. 407, col 1</v>
      </c>
      <c r="H63" s="24">
        <f>I63+J63</f>
        <v>-36390063.224693328</v>
      </c>
      <c r="I63" s="465">
        <f>'1-DRR'!I87</f>
        <v>-18455500.672259573</v>
      </c>
      <c r="J63" s="465">
        <f>'1-DRR'!J87</f>
        <v>-17934562.552433752</v>
      </c>
      <c r="K63" t="str">
        <f>CONCATENATE("1-DRR, L. ",'1-DRR'!A87,", col 3 and col 4")</f>
        <v>1-DRR, L. 407, col 3 and col 4</v>
      </c>
      <c r="L63" s="4">
        <f>A63</f>
        <v>308</v>
      </c>
    </row>
    <row r="64" spans="1:12">
      <c r="A64" s="4">
        <f>A63+1</f>
        <v>309</v>
      </c>
      <c r="C64" s="26" t="s">
        <v>274</v>
      </c>
      <c r="D64" s="26"/>
      <c r="E64" s="13">
        <f>'1-DRR'!E82</f>
        <v>12413563.47892753</v>
      </c>
      <c r="F64" t="str">
        <f>CONCATENATE("1-DRR, L. ",'1-DRR'!A82,", col 1")</f>
        <v>1-DRR, L. 404, col 1</v>
      </c>
      <c r="H64" s="24">
        <f>I64+J64</f>
        <v>11850855.676562127</v>
      </c>
      <c r="I64" s="465">
        <f>'1-DRR'!I82</f>
        <v>6010252.6768139936</v>
      </c>
      <c r="J64" s="465">
        <f>'1-DRR'!J82</f>
        <v>5840602.9997481331</v>
      </c>
      <c r="K64" t="str">
        <f>CONCATENATE("1-DRR, L. ",'1-DRR'!A82,", col 3 and col 4")</f>
        <v>1-DRR, L. 404, col 3 and col 4</v>
      </c>
      <c r="L64" s="4">
        <f>A64</f>
        <v>309</v>
      </c>
    </row>
    <row r="65" spans="1:12">
      <c r="C65" s="26"/>
      <c r="D65" s="26"/>
      <c r="E65" s="23"/>
      <c r="I65" s="23"/>
      <c r="J65" s="23"/>
      <c r="K65" s="23"/>
      <c r="L65" s="4"/>
    </row>
    <row r="67" spans="1:12">
      <c r="C67" s="41" t="s">
        <v>347</v>
      </c>
      <c r="D67" s="43"/>
      <c r="E67" s="43"/>
      <c r="F67" s="43"/>
      <c r="G67" s="43"/>
      <c r="H67" s="43"/>
      <c r="I67" s="43"/>
      <c r="J67" s="43"/>
      <c r="K67" s="43"/>
    </row>
    <row r="68" spans="1:12">
      <c r="C68" s="2" t="s">
        <v>329</v>
      </c>
    </row>
    <row r="69" spans="1:12" ht="15" customHeight="1">
      <c r="C69" s="34" t="str">
        <f>"1) Input the Annual True-up Adjustment that was included in the Prior Year's rates on Line "&amp;" and input the Rate Year the ATA trued-up. (For example,  if the Prior Year is 2021, then the ATA that was included in the 2021 rates was the ATA for 2019.)"</f>
        <v>1) Input the Annual True-up Adjustment that was included in the Prior Year's rates on Line  and input the Rate Year the ATA trued-up. (For example,  if the Prior Year is 2021, then the ATA that was included in the 2021 rates was the ATA for 2019.)</v>
      </c>
      <c r="D69" s="34"/>
      <c r="E69" s="34"/>
      <c r="F69" s="34"/>
      <c r="G69" s="34"/>
      <c r="H69" s="34"/>
      <c r="I69" s="34"/>
      <c r="J69" s="34"/>
      <c r="K69" s="34"/>
    </row>
    <row r="70" spans="1:12">
      <c r="C70" s="34"/>
      <c r="D70" s="34"/>
      <c r="E70" s="34"/>
      <c r="F70" s="34"/>
      <c r="G70" s="34"/>
      <c r="H70" s="34"/>
      <c r="I70" s="34"/>
      <c r="J70" s="34"/>
      <c r="K70" s="34"/>
    </row>
    <row r="71" spans="1:12">
      <c r="C71" s="33"/>
    </row>
    <row r="72" spans="1:12" ht="29">
      <c r="A72" s="3" t="s">
        <v>92</v>
      </c>
      <c r="B72" s="3"/>
      <c r="C72" s="110" t="s">
        <v>7</v>
      </c>
      <c r="D72" s="34"/>
      <c r="E72" s="110" t="s">
        <v>310</v>
      </c>
      <c r="F72" s="110" t="s">
        <v>128</v>
      </c>
      <c r="G72" s="110" t="s">
        <v>133</v>
      </c>
      <c r="H72" s="110" t="s">
        <v>134</v>
      </c>
      <c r="I72" s="110" t="s">
        <v>135</v>
      </c>
      <c r="J72" s="110" t="s">
        <v>136</v>
      </c>
      <c r="K72" s="110" t="s">
        <v>128</v>
      </c>
      <c r="L72" s="3" t="str">
        <f>A72</f>
        <v>Line</v>
      </c>
    </row>
    <row r="73" spans="1:12">
      <c r="C73" s="1" t="s">
        <v>276</v>
      </c>
      <c r="D73" s="1"/>
    </row>
    <row r="74" spans="1:12">
      <c r="A74" s="4">
        <v>400</v>
      </c>
      <c r="C74" t="s">
        <v>277</v>
      </c>
      <c r="E74" s="13">
        <f>'1-DRR'!E104</f>
        <v>2770471913.5100007</v>
      </c>
      <c r="F74" t="str">
        <f>CONCATENATE("1-DRR, L. ",'1-DRR'!A104,", col 1")</f>
        <v>1-DRR, L. 500, col 1</v>
      </c>
      <c r="H74" s="23">
        <f t="shared" ref="H74:H84" si="19">I74+J74</f>
        <v>2711932473.7905846</v>
      </c>
      <c r="I74" s="23">
        <f>'18-OandM'!M11</f>
        <v>1975142063.1125312</v>
      </c>
      <c r="J74" s="23">
        <f>'18-OandM'!N11</f>
        <v>736790410.6780535</v>
      </c>
      <c r="K74" t="s">
        <v>279</v>
      </c>
      <c r="L74" s="4">
        <f t="shared" ref="L74:L84" si="20">A74</f>
        <v>400</v>
      </c>
    </row>
    <row r="75" spans="1:12">
      <c r="A75" s="4">
        <f>A74+1</f>
        <v>401</v>
      </c>
      <c r="C75" t="s">
        <v>280</v>
      </c>
      <c r="E75" s="13">
        <f>'1-DRR'!E105</f>
        <v>825214054.63393092</v>
      </c>
      <c r="F75" t="str">
        <f>CONCATENATE("1-DRR, L. ",'1-DRR'!A105,", col 1")</f>
        <v>1-DRR, L. 501, col 1</v>
      </c>
      <c r="H75" s="13">
        <f t="shared" si="19"/>
        <v>787807037.06380606</v>
      </c>
      <c r="I75" s="23">
        <f>E75*$I$4</f>
        <v>399542402.89079422</v>
      </c>
      <c r="J75" s="23">
        <f>E75*$J$4</f>
        <v>388264634.17301178</v>
      </c>
      <c r="K75" t="s">
        <v>282</v>
      </c>
      <c r="L75" s="4">
        <f t="shared" si="20"/>
        <v>401</v>
      </c>
    </row>
    <row r="76" spans="1:12">
      <c r="A76" s="4">
        <f t="shared" ref="A76:A84" si="21">A75+1</f>
        <v>402</v>
      </c>
      <c r="C76" t="s">
        <v>283</v>
      </c>
      <c r="E76" s="13">
        <f>'1-DRR'!E106</f>
        <v>1488132633.1743968</v>
      </c>
      <c r="F76" t="str">
        <f>CONCATENATE("1-DRR, L. ",'1-DRR'!A106,", col 1")</f>
        <v>1-DRR, L. 502, col 1</v>
      </c>
      <c r="H76" s="13">
        <f t="shared" si="19"/>
        <v>1381832369.6669745</v>
      </c>
      <c r="I76" s="13">
        <f>'1-DRR'!I106</f>
        <v>745626104.8135283</v>
      </c>
      <c r="J76" s="13">
        <f>'1-DRR'!J106</f>
        <v>636206264.85344636</v>
      </c>
      <c r="K76" s="13" t="str">
        <f>CONCATENATE("1-DRR, L. ",'1-DRR'!A106,", col 3 and col 4")</f>
        <v>1-DRR, L. 502, col 3 and col 4</v>
      </c>
      <c r="L76" s="4">
        <f t="shared" si="20"/>
        <v>402</v>
      </c>
    </row>
    <row r="77" spans="1:12">
      <c r="A77" s="4">
        <f t="shared" si="21"/>
        <v>403</v>
      </c>
      <c r="C77" t="s">
        <v>286</v>
      </c>
      <c r="E77" s="13">
        <f>'1-DRR'!E107</f>
        <v>201121710.70091242</v>
      </c>
      <c r="F77" t="str">
        <f>CONCATENATE("1-DRR, L. ",'1-DRR'!A107,", col 1")</f>
        <v>1-DRR, L. 503, col 1</v>
      </c>
      <c r="H77" s="13">
        <f t="shared" si="19"/>
        <v>145248068.89077163</v>
      </c>
      <c r="I77" s="13">
        <f>'1-DRR'!I107</f>
        <v>73663676.166383788</v>
      </c>
      <c r="J77" s="13">
        <f>'1-DRR'!J107</f>
        <v>71584392.724387839</v>
      </c>
      <c r="K77" s="13" t="str">
        <f>CONCATENATE("1-DRR, L. ",'1-DRR'!A107,", col 3 and col 4")</f>
        <v>1-DRR, L. 503, col 3 and col 4</v>
      </c>
      <c r="L77" s="4">
        <f t="shared" si="20"/>
        <v>403</v>
      </c>
    </row>
    <row r="78" spans="1:12">
      <c r="A78" s="4">
        <f t="shared" si="21"/>
        <v>404</v>
      </c>
      <c r="C78" t="s">
        <v>289</v>
      </c>
      <c r="E78" s="13">
        <f>E46</f>
        <v>1431683267.6869521</v>
      </c>
      <c r="F78" t="str">
        <f>"Line "&amp;A46&amp;", col 1"</f>
        <v>Line 206, col 1</v>
      </c>
      <c r="H78" s="13">
        <f t="shared" si="19"/>
        <v>1330322958.0453715</v>
      </c>
      <c r="I78" s="13">
        <f>I46</f>
        <v>691649156.31728399</v>
      </c>
      <c r="J78" s="13">
        <f>J46</f>
        <v>638673801.72808754</v>
      </c>
      <c r="K78" s="13" t="str">
        <f>"Line "&amp;A46&amp;", col 3 and col 4"</f>
        <v>Line 206, col 3 and col 4</v>
      </c>
      <c r="L78" s="4">
        <f t="shared" si="20"/>
        <v>404</v>
      </c>
    </row>
    <row r="79" spans="1:12">
      <c r="A79" s="4">
        <f t="shared" si="21"/>
        <v>405</v>
      </c>
      <c r="C79" t="s">
        <v>290</v>
      </c>
      <c r="E79" s="13">
        <f>'1-DRR'!E109</f>
        <v>312724287.78084111</v>
      </c>
      <c r="F79" t="str">
        <f>CONCATENATE("1-DRR, L. ",'1-DRR'!A109,", col 1")</f>
        <v>1-DRR, L. 505, col 1</v>
      </c>
      <c r="H79" s="13">
        <f t="shared" si="19"/>
        <v>298548471.38274056</v>
      </c>
      <c r="I79" s="13">
        <f>'1-DRR'!I109</f>
        <v>151411155.30042255</v>
      </c>
      <c r="J79" s="13">
        <f>'1-DRR'!J109</f>
        <v>147137316.08231801</v>
      </c>
      <c r="K79" s="13" t="str">
        <f>CONCATENATE("1-DRR, L. ",'1-DRR'!A109,", col 3 and col 4")</f>
        <v>1-DRR, L. 505, col 3 and col 4</v>
      </c>
      <c r="L79" s="4">
        <f t="shared" si="20"/>
        <v>405</v>
      </c>
    </row>
    <row r="80" spans="1:12">
      <c r="A80" s="4">
        <f t="shared" si="21"/>
        <v>406</v>
      </c>
      <c r="C80" t="s">
        <v>291</v>
      </c>
      <c r="E80" s="13">
        <f>E55</f>
        <v>354908390.25970876</v>
      </c>
      <c r="F80" t="str">
        <f>"Line "&amp;A55&amp;", col 1"</f>
        <v>Line 303, col 1</v>
      </c>
      <c r="H80" s="13">
        <f t="shared" si="19"/>
        <v>328556427.50435984</v>
      </c>
      <c r="I80" s="13">
        <f t="shared" ref="I80:J80" si="22">I55</f>
        <v>171405692.52547824</v>
      </c>
      <c r="J80" s="13">
        <f t="shared" si="22"/>
        <v>157150734.97888163</v>
      </c>
      <c r="K80" s="13" t="str">
        <f>"Line "&amp;A55&amp;", col 3 and col 4"</f>
        <v>Line 303, col 3 and col 4</v>
      </c>
      <c r="L80" s="4">
        <f t="shared" si="20"/>
        <v>406</v>
      </c>
    </row>
    <row r="81" spans="1:12">
      <c r="A81" s="4">
        <f t="shared" si="21"/>
        <v>407</v>
      </c>
      <c r="C81" t="s">
        <v>55</v>
      </c>
      <c r="E81" s="13">
        <f>'1-DRR'!E111</f>
        <v>-210061030.99020007</v>
      </c>
      <c r="F81" t="str">
        <f>CONCATENATE("1-DRR, L. ",'1-DRR'!A111,", col 1")</f>
        <v>1-DRR, L. 507, col 1</v>
      </c>
      <c r="G81" t="s">
        <v>293</v>
      </c>
      <c r="H81" s="13">
        <f t="shared" si="19"/>
        <v>-200538948.0434491</v>
      </c>
      <c r="I81" s="13">
        <f>'1-DRR'!I111</f>
        <v>-101704871.12313317</v>
      </c>
      <c r="J81" s="13">
        <f>'1-DRR'!J111</f>
        <v>-98834076.920315921</v>
      </c>
      <c r="K81" s="13" t="str">
        <f>CONCATENATE("1-DRR, L. ",'1-DRR'!A111,", col 3 and col 4")</f>
        <v>1-DRR, L. 507, col 3 and col 4</v>
      </c>
      <c r="L81" s="4">
        <f t="shared" si="20"/>
        <v>407</v>
      </c>
    </row>
    <row r="82" spans="1:12" s="8" customFormat="1">
      <c r="A82" s="4">
        <f t="shared" si="21"/>
        <v>408</v>
      </c>
      <c r="B82" s="91"/>
      <c r="C82" s="8" t="s">
        <v>295</v>
      </c>
      <c r="E82" s="678">
        <f>'1-DRR'!E112</f>
        <v>-4337623.1416469635</v>
      </c>
      <c r="F82" s="8" t="str">
        <f>CONCATENATE("1-DRR, L. ",'1-DRR'!A112,", col 1")</f>
        <v>1-DRR, L. 508, col 1</v>
      </c>
      <c r="G82" t="s">
        <v>293</v>
      </c>
      <c r="H82" s="678">
        <f t="shared" ref="H82" si="23">I82+J82</f>
        <v>-4140998.3457397404</v>
      </c>
      <c r="I82" s="678">
        <f>'1-DRR'!I112</f>
        <v>-2100139.1858469248</v>
      </c>
      <c r="J82" s="678">
        <f>'1-DRR'!J112</f>
        <v>-2040859.1598928156</v>
      </c>
      <c r="K82" s="265" t="str">
        <f>CONCATENATE("1-DRR, L. ",'1-DRR'!A112,", col 3 and col 4")</f>
        <v>1-DRR, L. 508, col 3 and col 4</v>
      </c>
      <c r="L82" s="91">
        <f>A82</f>
        <v>408</v>
      </c>
    </row>
    <row r="83" spans="1:12">
      <c r="A83" s="4">
        <f t="shared" si="21"/>
        <v>409</v>
      </c>
      <c r="C83" t="s">
        <v>298</v>
      </c>
      <c r="E83" s="14">
        <f>'1-DRR'!E113</f>
        <v>0</v>
      </c>
      <c r="F83" t="str">
        <f>CONCATENATE("1-DRR, L. ",'1-DRR'!A113,", col 1")</f>
        <v>1-DRR, L. 509, col 1</v>
      </c>
      <c r="H83" s="14">
        <f t="shared" si="19"/>
        <v>0</v>
      </c>
      <c r="I83" s="14">
        <f>'1-DRR'!I113</f>
        <v>0</v>
      </c>
      <c r="J83" s="14">
        <f>'1-DRR'!J113</f>
        <v>0</v>
      </c>
      <c r="K83" s="13" t="str">
        <f>CONCATENATE("1-DRR, L. ",'1-DRR'!A113,", col 3 and col 4")</f>
        <v>1-DRR, L. 509, col 3 and col 4</v>
      </c>
      <c r="L83" s="4">
        <f t="shared" si="20"/>
        <v>409</v>
      </c>
    </row>
    <row r="84" spans="1:12">
      <c r="A84" s="4">
        <f t="shared" si="21"/>
        <v>410</v>
      </c>
      <c r="C84" s="2" t="s">
        <v>348</v>
      </c>
      <c r="D84" s="2"/>
      <c r="E84" s="15">
        <f>SUM(E74:E83)</f>
        <v>7169857603.6148939</v>
      </c>
      <c r="F84" t="str">
        <f>"Sum Lines "&amp;A74&amp;" to "&amp;A83&amp;""</f>
        <v>Sum Lines 400 to 409</v>
      </c>
      <c r="H84" s="15">
        <f t="shared" si="19"/>
        <v>6779567859.9554205</v>
      </c>
      <c r="I84" s="15">
        <f>SUM(I74:I83)</f>
        <v>4104635240.8174424</v>
      </c>
      <c r="J84" s="15">
        <f>SUM(J74:J83)</f>
        <v>2674932619.1379781</v>
      </c>
      <c r="K84" t="str">
        <f>"Sum Lines "&amp;A74&amp;" to "&amp;A83&amp;""</f>
        <v>Sum Lines 400 to 409</v>
      </c>
      <c r="L84" s="4">
        <f t="shared" si="20"/>
        <v>410</v>
      </c>
    </row>
    <row r="85" spans="1:12">
      <c r="L85" s="4"/>
    </row>
    <row r="86" spans="1:12">
      <c r="C86" s="1" t="s">
        <v>302</v>
      </c>
      <c r="D86" s="1"/>
    </row>
    <row r="87" spans="1:12">
      <c r="A87" s="4">
        <f>A84+1</f>
        <v>411</v>
      </c>
      <c r="C87" t="s">
        <v>303</v>
      </c>
      <c r="E87" s="10">
        <f>'1-DRR'!E117</f>
        <v>7.6309999999999998E-3</v>
      </c>
      <c r="F87" t="str">
        <f>CONCATENATE("1-DRR, L. ",'1-DRR'!A117)</f>
        <v>1-DRR, L. 511</v>
      </c>
      <c r="H87" s="10">
        <f>E87</f>
        <v>7.6309999999999998E-3</v>
      </c>
      <c r="I87" s="10">
        <f>E87</f>
        <v>7.6309999999999998E-3</v>
      </c>
      <c r="J87" s="10">
        <f>E87</f>
        <v>7.6309999999999998E-3</v>
      </c>
      <c r="K87" s="20" t="s">
        <v>349</v>
      </c>
      <c r="L87" s="4">
        <f>A87</f>
        <v>411</v>
      </c>
    </row>
    <row r="88" spans="1:12">
      <c r="A88" s="4">
        <f>A87+1</f>
        <v>412</v>
      </c>
      <c r="C88" t="s">
        <v>306</v>
      </c>
      <c r="D88" s="2"/>
      <c r="E88" s="31">
        <f>'1-DRR'!E118</f>
        <v>2.0782341986441631E-4</v>
      </c>
      <c r="F88" t="str">
        <f>CONCATENATE("1-DRR, L. ",'1-DRR'!A118)</f>
        <v>1-DRR, L. 512</v>
      </c>
      <c r="H88" s="31">
        <f>E88</f>
        <v>2.0782341986441631E-4</v>
      </c>
      <c r="I88" s="31">
        <f>E88</f>
        <v>2.0782341986441631E-4</v>
      </c>
      <c r="J88" s="31">
        <f>E88</f>
        <v>2.0782341986441631E-4</v>
      </c>
      <c r="K88" s="20" t="s">
        <v>350</v>
      </c>
      <c r="L88" s="4">
        <f>A88</f>
        <v>412</v>
      </c>
    </row>
    <row r="89" spans="1:12">
      <c r="A89" s="4">
        <f>A88+1</f>
        <v>413</v>
      </c>
      <c r="C89" s="2" t="s">
        <v>309</v>
      </c>
      <c r="D89" s="2"/>
      <c r="E89" s="15">
        <f>(E87+E88)*E84</f>
        <v>56203247.700309388</v>
      </c>
      <c r="F89" s="8" t="str">
        <f>"Line "&amp;A84&amp;" * ( Line "&amp;A87&amp;" + Line "&amp;A88&amp;")"</f>
        <v>Line 410 * ( Line 411 + Line 412)</v>
      </c>
      <c r="H89" s="15">
        <f>I89+J89</f>
        <v>53143835.317178622</v>
      </c>
      <c r="I89" s="15">
        <f t="shared" ref="I89:J89" si="24">(I87+I88)*I84</f>
        <v>32175510.855720583</v>
      </c>
      <c r="J89" s="15">
        <f t="shared" si="24"/>
        <v>20968324.461458042</v>
      </c>
      <c r="K89" s="465" t="str">
        <f>"Line "&amp;A84&amp;" * ( Line "&amp;A87&amp;" + Line "&amp;A88&amp;")"</f>
        <v>Line 410 * ( Line 411 + Line 412)</v>
      </c>
      <c r="L89" s="4">
        <f>A89</f>
        <v>413</v>
      </c>
    </row>
    <row r="90" spans="1:12">
      <c r="C90" s="2"/>
      <c r="D90" s="221"/>
      <c r="E90" s="13"/>
      <c r="H90" s="13"/>
      <c r="I90" s="13"/>
      <c r="J90" s="13"/>
      <c r="K90" s="13"/>
      <c r="L90" s="4"/>
    </row>
    <row r="91" spans="1:12">
      <c r="A91" s="4">
        <f>A89+1</f>
        <v>414</v>
      </c>
      <c r="C91" s="2" t="s">
        <v>351</v>
      </c>
      <c r="D91" s="2"/>
      <c r="E91" s="15">
        <f>E89+E84</f>
        <v>7226060851.3152037</v>
      </c>
      <c r="F91" t="str">
        <f>"Line "&amp;A84&amp;" + Line "&amp;A89&amp;""</f>
        <v>Line 410 + Line 413</v>
      </c>
      <c r="H91" s="15">
        <f>I91+J91</f>
        <v>6832711695.2725992</v>
      </c>
      <c r="I91" s="15">
        <f t="shared" ref="I91:J91" si="25">I89+I84</f>
        <v>4136810751.6731629</v>
      </c>
      <c r="J91" s="15">
        <f t="shared" si="25"/>
        <v>2695900943.5994363</v>
      </c>
      <c r="K91" s="465" t="str">
        <f>"Line "&amp;A84&amp;" + Line "&amp;A89&amp;""</f>
        <v>Line 410 + Line 413</v>
      </c>
      <c r="L91" s="4">
        <f t="shared" ref="L91" si="26">A91</f>
        <v>414</v>
      </c>
    </row>
    <row r="92" spans="1:12">
      <c r="C92" s="7"/>
    </row>
    <row r="93" spans="1:12">
      <c r="E93" s="32"/>
      <c r="F93" s="32"/>
      <c r="G93" s="32"/>
      <c r="H93" s="32"/>
    </row>
    <row r="95" spans="1:12">
      <c r="E95" s="27"/>
      <c r="F95" s="27"/>
      <c r="G95" s="27"/>
      <c r="H95" s="27"/>
    </row>
  </sheetData>
  <phoneticPr fontId="104" type="noConversion"/>
  <printOptions horizontalCentered="1"/>
  <pageMargins left="1" right="1" top="1" bottom="1" header="0.5" footer="0.5"/>
  <pageSetup scale="39"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47" max="12" man="1"/>
  </rowBreaks>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9E3FC-EF12-4E05-9D1F-60A9E2D29340}">
  <sheetPr codeName="Sheet6">
    <pageSetUpPr fitToPage="1"/>
  </sheetPr>
  <dimension ref="A1:L361"/>
  <sheetViews>
    <sheetView view="pageBreakPreview" topLeftCell="A337" zoomScale="85" zoomScaleNormal="91" zoomScaleSheetLayoutView="85" zoomScalePageLayoutView="70" workbookViewId="0">
      <selection activeCell="D45" sqref="D45"/>
    </sheetView>
  </sheetViews>
  <sheetFormatPr defaultRowHeight="14.5"/>
  <cols>
    <col min="2" max="2" width="41" customWidth="1"/>
    <col min="3" max="3" width="20.26953125" customWidth="1"/>
    <col min="4" max="4" width="23.1796875" customWidth="1"/>
    <col min="5" max="5" width="17.1796875" customWidth="1"/>
    <col min="6" max="6" width="18" customWidth="1"/>
    <col min="7" max="7" width="18.453125" customWidth="1"/>
    <col min="8" max="8" width="14.54296875" customWidth="1"/>
    <col min="9" max="9" width="11.81640625" customWidth="1"/>
    <col min="10" max="10" width="23.81640625" customWidth="1"/>
    <col min="11" max="11" width="20.1796875" customWidth="1"/>
  </cols>
  <sheetData>
    <row r="1" spans="1:12">
      <c r="B1" s="2" t="s">
        <v>13</v>
      </c>
      <c r="K1" s="6" t="str">
        <f>CONCATENATE("Prior Year: ",'1-DRR'!$K$2)</f>
        <v>Prior Year: 2022</v>
      </c>
    </row>
    <row r="2" spans="1:12">
      <c r="B2" s="35" t="s">
        <v>122</v>
      </c>
    </row>
    <row r="3" spans="1:12">
      <c r="B3" s="2"/>
    </row>
    <row r="4" spans="1:12">
      <c r="B4" s="41" t="s">
        <v>352</v>
      </c>
      <c r="C4" s="41"/>
      <c r="D4" s="41"/>
      <c r="E4" s="41"/>
      <c r="F4" s="41"/>
      <c r="G4" s="41"/>
      <c r="H4" s="41"/>
      <c r="I4" s="41"/>
      <c r="J4" s="41"/>
      <c r="K4" s="41"/>
    </row>
    <row r="5" spans="1:12">
      <c r="B5" s="5" t="s">
        <v>353</v>
      </c>
      <c r="C5" s="5"/>
      <c r="D5" s="5"/>
      <c r="E5" s="5"/>
      <c r="F5" s="5"/>
      <c r="G5" s="5"/>
      <c r="H5" s="5"/>
      <c r="I5" s="5"/>
      <c r="J5" s="5"/>
      <c r="K5" s="5"/>
    </row>
    <row r="6" spans="1:12">
      <c r="A6" s="3" t="s">
        <v>92</v>
      </c>
      <c r="L6" s="3" t="str">
        <f t="shared" ref="L6:L49" si="0">A6</f>
        <v>Line</v>
      </c>
    </row>
    <row r="7" spans="1:12" ht="29">
      <c r="A7" s="4">
        <v>100</v>
      </c>
      <c r="B7" s="295"/>
      <c r="C7" s="397" t="s">
        <v>354</v>
      </c>
      <c r="D7" s="397" t="s">
        <v>355</v>
      </c>
      <c r="E7" s="397" t="s">
        <v>356</v>
      </c>
      <c r="F7" s="397" t="s">
        <v>357</v>
      </c>
      <c r="G7" s="397" t="s">
        <v>358</v>
      </c>
      <c r="H7" s="397" t="s">
        <v>359</v>
      </c>
      <c r="I7" s="398" t="s">
        <v>119</v>
      </c>
      <c r="J7" s="3" t="s">
        <v>128</v>
      </c>
      <c r="L7" s="4">
        <f t="shared" si="0"/>
        <v>100</v>
      </c>
    </row>
    <row r="8" spans="1:12">
      <c r="A8" s="4">
        <v>101</v>
      </c>
      <c r="B8" s="6" t="s">
        <v>360</v>
      </c>
      <c r="C8" s="375">
        <f>'8-DemandForAllocation'!F35/'8-DemandForAllocation'!$C$35</f>
        <v>4.2376483095440771E-3</v>
      </c>
      <c r="D8" s="375">
        <f>'8-DemandForAllocation'!H35/'8-DemandForAllocation'!$C$35</f>
        <v>0</v>
      </c>
      <c r="E8" s="375">
        <f>'8-DemandForAllocation'!I35/'8-DemandForAllocation'!$C$35</f>
        <v>1.3897584486726396E-4</v>
      </c>
      <c r="F8" s="375">
        <f>'8-DemandForAllocation'!J35/'8-DemandForAllocation'!$C$35</f>
        <v>3.4136661066752052E-5</v>
      </c>
      <c r="G8" s="375">
        <f>'8-DemandForAllocation'!K35/'8-DemandForAllocation'!$C$35</f>
        <v>6.110715077240563E-3</v>
      </c>
      <c r="H8" s="375">
        <f>'8-DemandForAllocation'!L35/'8-DemandForAllocation'!$C$35</f>
        <v>4.2617554390452005E-6</v>
      </c>
      <c r="I8" s="375">
        <f>'8-DemandForAllocation'!M35/'8-DemandForAllocation'!$C$35</f>
        <v>0</v>
      </c>
      <c r="J8" t="s">
        <v>361</v>
      </c>
      <c r="L8" s="4">
        <f t="shared" si="0"/>
        <v>101</v>
      </c>
    </row>
    <row r="9" spans="1:12">
      <c r="A9" s="4"/>
      <c r="B9" s="2"/>
      <c r="L9" s="4"/>
    </row>
    <row r="10" spans="1:12" ht="29">
      <c r="A10" s="4">
        <f>A8+1</f>
        <v>102</v>
      </c>
      <c r="B10" s="363"/>
      <c r="C10" s="397" t="s">
        <v>354</v>
      </c>
      <c r="D10" s="397" t="s">
        <v>355</v>
      </c>
      <c r="E10" s="397" t="s">
        <v>358</v>
      </c>
      <c r="F10" s="129" t="s">
        <v>128</v>
      </c>
      <c r="L10" s="4"/>
    </row>
    <row r="11" spans="1:12">
      <c r="A11" s="4">
        <f>A10+1</f>
        <v>103</v>
      </c>
      <c r="B11" s="6" t="s">
        <v>362</v>
      </c>
      <c r="C11" s="375">
        <f>'8-DemandForAllocation'!F38/'8-DemandForAllocation'!$C$38</f>
        <v>1.5208221936570726E-3</v>
      </c>
      <c r="D11" s="375">
        <f>'8-DemandForAllocation'!H38/'8-DemandForAllocation'!$C$38</f>
        <v>0</v>
      </c>
      <c r="E11" s="375">
        <f>'8-DemandForAllocation'!K38/'8-DemandForAllocation'!$C$38</f>
        <v>1.3541103804413403E-3</v>
      </c>
      <c r="F11" t="s">
        <v>363</v>
      </c>
      <c r="L11" s="4">
        <f t="shared" si="0"/>
        <v>103</v>
      </c>
    </row>
    <row r="12" spans="1:12">
      <c r="A12" s="4"/>
      <c r="L12" s="4"/>
    </row>
    <row r="13" spans="1:12">
      <c r="A13" s="4"/>
      <c r="B13" s="41" t="s">
        <v>364</v>
      </c>
      <c r="C13" s="41"/>
      <c r="D13" s="41"/>
      <c r="E13" s="41"/>
      <c r="F13" s="41"/>
      <c r="G13" s="41"/>
      <c r="H13" s="41"/>
      <c r="I13" s="41"/>
      <c r="J13" s="41"/>
      <c r="K13" s="41"/>
      <c r="L13" s="4"/>
    </row>
    <row r="14" spans="1:12">
      <c r="A14" s="4"/>
      <c r="B14" s="5" t="s">
        <v>365</v>
      </c>
      <c r="C14" s="5"/>
      <c r="D14" s="5"/>
      <c r="E14" s="5"/>
      <c r="F14" s="5"/>
      <c r="G14" s="5"/>
      <c r="H14" s="5"/>
      <c r="I14" s="5"/>
      <c r="J14" s="5"/>
      <c r="K14" s="5"/>
      <c r="L14" s="4"/>
    </row>
    <row r="15" spans="1:12">
      <c r="A15" s="4"/>
      <c r="B15" s="5"/>
      <c r="C15" s="5"/>
      <c r="D15" s="5"/>
      <c r="E15" s="5"/>
      <c r="F15" s="5"/>
      <c r="G15" s="5"/>
      <c r="H15" s="5"/>
      <c r="I15" s="5"/>
      <c r="J15" s="5"/>
      <c r="K15" s="5"/>
      <c r="L15" s="4"/>
    </row>
    <row r="16" spans="1:12" ht="29">
      <c r="A16" s="3" t="s">
        <v>92</v>
      </c>
      <c r="C16" s="110" t="s">
        <v>366</v>
      </c>
      <c r="D16" s="3" t="s">
        <v>128</v>
      </c>
      <c r="L16" s="3" t="str">
        <f t="shared" si="0"/>
        <v>Line</v>
      </c>
    </row>
    <row r="17" spans="1:12">
      <c r="A17" s="4">
        <v>200</v>
      </c>
      <c r="C17" s="478">
        <f>'2-True-upDRR'!I91</f>
        <v>4136810751.6731629</v>
      </c>
      <c r="D17" s="21" t="s">
        <v>367</v>
      </c>
      <c r="L17" s="4">
        <f t="shared" si="0"/>
        <v>200</v>
      </c>
    </row>
    <row r="18" spans="1:12">
      <c r="A18" s="4"/>
      <c r="C18" s="478"/>
      <c r="D18" s="21"/>
      <c r="L18" s="4"/>
    </row>
    <row r="19" spans="1:12" s="86" customFormat="1" ht="29">
      <c r="A19" s="91"/>
      <c r="B19" s="8"/>
      <c r="C19" s="138" t="s">
        <v>368</v>
      </c>
      <c r="D19" s="80" t="s">
        <v>128</v>
      </c>
      <c r="L19" s="528"/>
    </row>
    <row r="20" spans="1:12" s="86" customFormat="1">
      <c r="A20" s="91" t="s">
        <v>369</v>
      </c>
      <c r="B20" s="8"/>
      <c r="C20" s="563">
        <v>-3500000</v>
      </c>
      <c r="D20" s="18" t="s">
        <v>370</v>
      </c>
      <c r="L20" s="91" t="str">
        <f>A20</f>
        <v>200a</v>
      </c>
    </row>
    <row r="21" spans="1:12">
      <c r="A21" s="4"/>
      <c r="C21" s="24"/>
      <c r="L21" s="4"/>
    </row>
    <row r="22" spans="1:12" ht="29">
      <c r="A22" s="4">
        <f>A17+1</f>
        <v>201</v>
      </c>
      <c r="B22" s="295"/>
      <c r="C22" s="290" t="str">
        <f>$C$7</f>
        <v>CCSF
(SA No. 275)</v>
      </c>
      <c r="D22" s="290" t="str">
        <f>$D$7</f>
        <v>PWRPA 1 
(SA No. 30)</v>
      </c>
      <c r="E22" s="290" t="str">
        <f>$E$7</f>
        <v>PWRPA 2
(SA No. 56)</v>
      </c>
      <c r="F22" s="290" t="str">
        <f>$F$7</f>
        <v>Shelter Cove
(SA No. 382)</v>
      </c>
      <c r="G22" s="290" t="str">
        <f>$G$7</f>
        <v>WAPA
(SA No. 17)</v>
      </c>
      <c r="H22" s="290" t="str">
        <f>$H$7</f>
        <v>Westside
(SA No. 15)</v>
      </c>
      <c r="I22" s="397" t="str">
        <f>I7</f>
        <v>…</v>
      </c>
      <c r="J22" s="3" t="s">
        <v>128</v>
      </c>
      <c r="L22" s="4">
        <f t="shared" si="0"/>
        <v>201</v>
      </c>
    </row>
    <row r="23" spans="1:12">
      <c r="A23" s="4">
        <f>A22+1</f>
        <v>202</v>
      </c>
      <c r="B23" s="6" t="s">
        <v>371</v>
      </c>
      <c r="C23" s="29">
        <f>C8*$C$17</f>
        <v>17530349.088731542</v>
      </c>
      <c r="D23" s="29">
        <f t="shared" ref="D23:I23" si="1">D8*$C$17</f>
        <v>0</v>
      </c>
      <c r="E23" s="29">
        <f t="shared" si="1"/>
        <v>574916.76926975907</v>
      </c>
      <c r="F23" s="29">
        <f t="shared" si="1"/>
        <v>141216.90652716256</v>
      </c>
      <c r="G23" s="29">
        <f t="shared" si="1"/>
        <v>25278871.831940062</v>
      </c>
      <c r="H23" s="29">
        <f t="shared" si="1"/>
        <v>17630.075721243767</v>
      </c>
      <c r="I23" s="29">
        <f t="shared" si="1"/>
        <v>0</v>
      </c>
      <c r="J23" t="s">
        <v>372</v>
      </c>
      <c r="L23" s="4">
        <f t="shared" si="0"/>
        <v>202</v>
      </c>
    </row>
    <row r="24" spans="1:12" s="86" customFormat="1">
      <c r="A24" s="91" t="s">
        <v>373</v>
      </c>
      <c r="B24" s="90" t="s">
        <v>374</v>
      </c>
      <c r="C24" s="564">
        <f>C23/SUM($C$23:$H$23)*$C$20</f>
        <v>-1409095.4552719872</v>
      </c>
      <c r="D24" s="564">
        <f t="shared" ref="D24:H24" si="2">D23/SUM($C$23:$H$23)*$C$20</f>
        <v>0</v>
      </c>
      <c r="E24" s="564">
        <f t="shared" si="2"/>
        <v>-46212.006540041424</v>
      </c>
      <c r="F24" s="564">
        <f t="shared" si="2"/>
        <v>-11351.063243966017</v>
      </c>
      <c r="G24" s="564">
        <f t="shared" si="2"/>
        <v>-2031924.3634279051</v>
      </c>
      <c r="H24" s="564">
        <f t="shared" si="2"/>
        <v>-1417.1115161006267</v>
      </c>
      <c r="I24" s="564">
        <v>0</v>
      </c>
      <c r="J24" s="8" t="s">
        <v>375</v>
      </c>
      <c r="L24" s="4" t="str">
        <f t="shared" si="0"/>
        <v>202a</v>
      </c>
    </row>
    <row r="25" spans="1:12" ht="29">
      <c r="A25" s="4">
        <f>A23+1</f>
        <v>203</v>
      </c>
      <c r="B25" s="407" t="s">
        <v>376</v>
      </c>
      <c r="C25" s="361">
        <v>0</v>
      </c>
      <c r="D25" s="361">
        <v>0</v>
      </c>
      <c r="E25" s="361">
        <v>0</v>
      </c>
      <c r="F25" s="361">
        <v>0</v>
      </c>
      <c r="G25" s="361">
        <v>0</v>
      </c>
      <c r="H25" s="361">
        <v>0</v>
      </c>
      <c r="I25" s="361"/>
      <c r="J25" s="359"/>
      <c r="L25" s="4">
        <f t="shared" si="0"/>
        <v>203</v>
      </c>
    </row>
    <row r="26" spans="1:12">
      <c r="A26" s="4">
        <f t="shared" ref="A26" si="3">A25+1</f>
        <v>204</v>
      </c>
      <c r="B26" s="6" t="s">
        <v>377</v>
      </c>
      <c r="C26" s="29">
        <f>SUM(C23:C25)</f>
        <v>16121253.633459555</v>
      </c>
      <c r="D26" s="29">
        <f t="shared" ref="D26:I26" si="4">SUM(D23:D25)</f>
        <v>0</v>
      </c>
      <c r="E26" s="29">
        <f t="shared" si="4"/>
        <v>528704.76272971765</v>
      </c>
      <c r="F26" s="29">
        <f t="shared" si="4"/>
        <v>129865.84328319655</v>
      </c>
      <c r="G26" s="29">
        <f t="shared" si="4"/>
        <v>23246947.468512159</v>
      </c>
      <c r="H26" s="29">
        <f t="shared" si="4"/>
        <v>16212.96420514314</v>
      </c>
      <c r="I26" s="29">
        <f t="shared" si="4"/>
        <v>0</v>
      </c>
      <c r="J26" s="8" t="s">
        <v>378</v>
      </c>
      <c r="L26" s="4">
        <f t="shared" si="0"/>
        <v>204</v>
      </c>
    </row>
    <row r="27" spans="1:12">
      <c r="A27" s="4"/>
      <c r="B27" s="360"/>
      <c r="C27" s="29"/>
      <c r="D27" s="29"/>
      <c r="E27" s="29"/>
      <c r="F27" s="29"/>
      <c r="G27" s="29"/>
      <c r="H27" s="29"/>
      <c r="I27" s="29"/>
      <c r="L27" s="4"/>
    </row>
    <row r="28" spans="1:12" ht="29">
      <c r="A28" s="4"/>
      <c r="B28" s="358"/>
      <c r="C28" s="110" t="s">
        <v>379</v>
      </c>
      <c r="D28" s="3" t="s">
        <v>128</v>
      </c>
      <c r="E28" s="29"/>
      <c r="F28" s="29"/>
      <c r="G28" s="29"/>
      <c r="L28" s="4"/>
    </row>
    <row r="29" spans="1:12">
      <c r="A29" s="4">
        <f>A26+1</f>
        <v>205</v>
      </c>
      <c r="C29" s="24">
        <f>'2-True-upDRR'!J91</f>
        <v>2695900943.5994363</v>
      </c>
      <c r="D29" t="s">
        <v>380</v>
      </c>
      <c r="L29" s="4">
        <f t="shared" si="0"/>
        <v>205</v>
      </c>
    </row>
    <row r="30" spans="1:12">
      <c r="A30" s="4"/>
      <c r="C30" s="24"/>
      <c r="L30" s="4"/>
    </row>
    <row r="31" spans="1:12" ht="29">
      <c r="A31" s="4">
        <f>A29+1</f>
        <v>206</v>
      </c>
      <c r="B31" s="362"/>
      <c r="C31" s="396" t="str">
        <f>C22</f>
        <v>CCSF
(SA No. 275)</v>
      </c>
      <c r="D31" s="396" t="str">
        <f>D22</f>
        <v>PWRPA 1 
(SA No. 30)</v>
      </c>
      <c r="E31" s="396" t="str">
        <f>$E$10</f>
        <v>WAPA
(SA No. 17)</v>
      </c>
      <c r="F31" s="109" t="s">
        <v>128</v>
      </c>
      <c r="L31" s="4">
        <f t="shared" si="0"/>
        <v>206</v>
      </c>
    </row>
    <row r="32" spans="1:12">
      <c r="A32" s="4">
        <f>A31+1</f>
        <v>207</v>
      </c>
      <c r="B32" s="6" t="s">
        <v>381</v>
      </c>
      <c r="C32" s="29">
        <f>C11*$C$29</f>
        <v>4099985.9869270665</v>
      </c>
      <c r="D32" s="29">
        <f>D11*$C$29</f>
        <v>0</v>
      </c>
      <c r="E32" s="29">
        <f>E11*$C$29</f>
        <v>3650547.452369601</v>
      </c>
      <c r="F32" t="s">
        <v>382</v>
      </c>
      <c r="L32" s="4">
        <f t="shared" si="0"/>
        <v>207</v>
      </c>
    </row>
    <row r="33" spans="1:12" ht="29">
      <c r="A33" s="4">
        <f t="shared" ref="A33:A34" si="5">A32+1</f>
        <v>208</v>
      </c>
      <c r="B33" s="407" t="s">
        <v>383</v>
      </c>
      <c r="C33" s="332">
        <v>0</v>
      </c>
      <c r="D33" s="332">
        <v>0</v>
      </c>
      <c r="E33" s="332">
        <v>0</v>
      </c>
      <c r="F33" s="359"/>
      <c r="L33" s="4">
        <f t="shared" si="0"/>
        <v>208</v>
      </c>
    </row>
    <row r="34" spans="1:12">
      <c r="A34" s="4">
        <f t="shared" si="5"/>
        <v>209</v>
      </c>
      <c r="B34" s="6" t="s">
        <v>384</v>
      </c>
      <c r="C34" s="29">
        <f>C32+C33</f>
        <v>4099985.9869270665</v>
      </c>
      <c r="D34" s="29">
        <f t="shared" ref="D34:E34" si="6">D32+D33</f>
        <v>0</v>
      </c>
      <c r="E34" s="29">
        <f t="shared" si="6"/>
        <v>3650547.452369601</v>
      </c>
      <c r="F34" t="s">
        <v>385</v>
      </c>
      <c r="L34" s="4">
        <f t="shared" si="0"/>
        <v>209</v>
      </c>
    </row>
    <row r="35" spans="1:12">
      <c r="A35" s="4"/>
      <c r="B35" s="358"/>
      <c r="L35" s="4"/>
    </row>
    <row r="36" spans="1:12">
      <c r="A36" s="4"/>
      <c r="B36" s="41" t="s">
        <v>386</v>
      </c>
      <c r="C36" s="41"/>
      <c r="D36" s="41"/>
      <c r="E36" s="41"/>
      <c r="F36" s="41"/>
      <c r="G36" s="41"/>
      <c r="H36" s="41"/>
      <c r="I36" s="41"/>
      <c r="J36" s="41"/>
      <c r="K36" s="41"/>
      <c r="L36" s="4"/>
    </row>
    <row r="37" spans="1:12">
      <c r="A37" s="4"/>
      <c r="B37" s="5" t="s">
        <v>387</v>
      </c>
      <c r="C37" s="5"/>
      <c r="D37" s="5"/>
      <c r="E37" s="5"/>
      <c r="F37" s="5"/>
      <c r="G37" s="5"/>
      <c r="H37" s="5"/>
      <c r="I37" s="5"/>
      <c r="J37" s="5"/>
      <c r="K37" s="5"/>
      <c r="L37" s="4"/>
    </row>
    <row r="38" spans="1:12">
      <c r="A38" s="3" t="s">
        <v>92</v>
      </c>
      <c r="L38" s="3" t="str">
        <f t="shared" si="0"/>
        <v>Line</v>
      </c>
    </row>
    <row r="39" spans="1:12" ht="29">
      <c r="A39" s="4">
        <v>300</v>
      </c>
      <c r="B39" s="129" t="s">
        <v>388</v>
      </c>
      <c r="C39" s="290" t="str">
        <f t="shared" ref="C39:I39" si="7">C22</f>
        <v>CCSF
(SA No. 275)</v>
      </c>
      <c r="D39" s="290" t="str">
        <f t="shared" si="7"/>
        <v>PWRPA 1 
(SA No. 30)</v>
      </c>
      <c r="E39" s="290" t="str">
        <f t="shared" si="7"/>
        <v>PWRPA 2
(SA No. 56)</v>
      </c>
      <c r="F39" s="290" t="str">
        <f t="shared" si="7"/>
        <v>Shelter Cove
(SA No. 382)</v>
      </c>
      <c r="G39" s="290" t="str">
        <f t="shared" si="7"/>
        <v>WAPA
(SA No. 17)</v>
      </c>
      <c r="H39" s="290" t="str">
        <f t="shared" si="7"/>
        <v>Westside
(SA No. 15)</v>
      </c>
      <c r="I39" s="290" t="str">
        <f t="shared" si="7"/>
        <v>…</v>
      </c>
      <c r="J39" s="110" t="s">
        <v>128</v>
      </c>
      <c r="L39" s="91">
        <f t="shared" si="0"/>
        <v>300</v>
      </c>
    </row>
    <row r="40" spans="1:12">
      <c r="A40" s="4">
        <f>A39+1</f>
        <v>301</v>
      </c>
      <c r="B40" s="81" t="s">
        <v>377</v>
      </c>
      <c r="C40" s="29">
        <f t="shared" ref="C40:I40" si="8">C26</f>
        <v>16121253.633459555</v>
      </c>
      <c r="D40" s="29">
        <f t="shared" si="8"/>
        <v>0</v>
      </c>
      <c r="E40" s="29">
        <f t="shared" si="8"/>
        <v>528704.76272971765</v>
      </c>
      <c r="F40" s="29">
        <f t="shared" si="8"/>
        <v>129865.84328319655</v>
      </c>
      <c r="G40" s="29">
        <f t="shared" si="8"/>
        <v>23246947.468512159</v>
      </c>
      <c r="H40" s="29">
        <f t="shared" si="8"/>
        <v>16212.96420514314</v>
      </c>
      <c r="I40" s="29">
        <f t="shared" si="8"/>
        <v>0</v>
      </c>
      <c r="J40" t="s">
        <v>389</v>
      </c>
      <c r="L40" s="91">
        <f t="shared" si="0"/>
        <v>301</v>
      </c>
    </row>
    <row r="41" spans="1:12" s="86" customFormat="1">
      <c r="A41" s="91">
        <f>A40+1</f>
        <v>302</v>
      </c>
      <c r="B41" s="565" t="s">
        <v>390</v>
      </c>
      <c r="C41" s="536">
        <f>'9-WholesaleRevenues'!D26+('9-WholesaleRevenues'!C78*'15-LossFactors'!$C$23/'15-LossFactors'!$C$21)</f>
        <v>1723971.0150777898</v>
      </c>
      <c r="D41" s="536">
        <f>'9-WholesaleRevenues'!E26+('9-WholesaleRevenues'!D78*'15-LossFactors'!$C$23/'15-LossFactors'!$C$21)</f>
        <v>0</v>
      </c>
      <c r="E41" s="536">
        <f>'9-WholesaleRevenues'!F26</f>
        <v>36480</v>
      </c>
      <c r="F41" s="536">
        <f>'9-WholesaleRevenues'!G26</f>
        <v>8241</v>
      </c>
      <c r="G41" s="536">
        <f>'9-WholesaleRevenues'!H26+('9-WholesaleRevenues'!E78*'15-LossFactors'!$C$23/'15-LossFactors'!$C$21)</f>
        <v>1974869.0066285585</v>
      </c>
      <c r="H41" s="536">
        <f>'9-WholesaleRevenues'!I26</f>
        <v>883</v>
      </c>
      <c r="I41" s="536">
        <f>'8-DemandForAllocation'!M24</f>
        <v>0</v>
      </c>
      <c r="J41" s="8" t="s">
        <v>391</v>
      </c>
      <c r="L41" s="91">
        <f t="shared" si="0"/>
        <v>302</v>
      </c>
    </row>
    <row r="42" spans="1:12">
      <c r="A42" s="4">
        <f>A41+1</f>
        <v>303</v>
      </c>
      <c r="B42" s="6" t="s">
        <v>392</v>
      </c>
      <c r="C42" s="544">
        <f>C40/C41</f>
        <v>9.3512324119510346</v>
      </c>
      <c r="D42" s="544" t="e">
        <f t="shared" ref="D42:H42" si="9">D40/D41</f>
        <v>#DIV/0!</v>
      </c>
      <c r="E42" s="544">
        <f t="shared" si="9"/>
        <v>14.493003364301471</v>
      </c>
      <c r="F42" s="544">
        <f t="shared" si="9"/>
        <v>15.758505434194459</v>
      </c>
      <c r="G42" s="544">
        <f t="shared" si="9"/>
        <v>11.771387059336508</v>
      </c>
      <c r="H42" s="544">
        <f t="shared" si="9"/>
        <v>18.36122786539427</v>
      </c>
      <c r="I42" s="544">
        <f>IF(I41=0,0,I40/I41)</f>
        <v>0</v>
      </c>
      <c r="J42" t="s">
        <v>393</v>
      </c>
      <c r="L42" s="91">
        <f t="shared" si="0"/>
        <v>303</v>
      </c>
    </row>
    <row r="43" spans="1:12">
      <c r="A43" s="4"/>
      <c r="L43" s="91"/>
    </row>
    <row r="44" spans="1:12" ht="29">
      <c r="A44" s="4">
        <f>A42+1</f>
        <v>304</v>
      </c>
      <c r="B44" s="129" t="s">
        <v>394</v>
      </c>
      <c r="C44" s="290" t="str">
        <f>$C$7</f>
        <v>CCSF
(SA No. 275)</v>
      </c>
      <c r="D44" s="290" t="str">
        <f>$D$7</f>
        <v>PWRPA 1 
(SA No. 30)</v>
      </c>
      <c r="E44" s="290" t="str">
        <f>$E$10</f>
        <v>WAPA
(SA No. 17)</v>
      </c>
      <c r="F44" s="110" t="s">
        <v>128</v>
      </c>
      <c r="L44" s="91">
        <f t="shared" si="0"/>
        <v>304</v>
      </c>
    </row>
    <row r="45" spans="1:12">
      <c r="A45" s="4">
        <f>A44+1</f>
        <v>305</v>
      </c>
      <c r="B45" s="81" t="s">
        <v>384</v>
      </c>
      <c r="C45" s="29">
        <f>C34</f>
        <v>4099985.9869270665</v>
      </c>
      <c r="D45" s="29">
        <f>D34</f>
        <v>0</v>
      </c>
      <c r="E45" s="29">
        <f>E34</f>
        <v>3650547.452369601</v>
      </c>
      <c r="F45" t="s">
        <v>395</v>
      </c>
      <c r="L45" s="91">
        <f t="shared" si="0"/>
        <v>305</v>
      </c>
    </row>
    <row r="46" spans="1:12">
      <c r="A46" s="4">
        <f t="shared" ref="A46:A49" si="10">A45+1</f>
        <v>306</v>
      </c>
      <c r="B46" s="81" t="s">
        <v>396</v>
      </c>
      <c r="C46" s="29">
        <f>C40-(C42*'9-WholesaleRevenues'!D26)</f>
        <v>7151353.4448136389</v>
      </c>
      <c r="D46" s="29" t="e">
        <f>D40-(D42*'9-WholesaleRevenues'!E26)</f>
        <v>#DIV/0!</v>
      </c>
      <c r="E46" s="29">
        <f>G40-(G42*'9-WholesaleRevenues'!H26)</f>
        <v>7256259.7457882501</v>
      </c>
      <c r="F46" t="s">
        <v>397</v>
      </c>
      <c r="L46" s="91">
        <f t="shared" si="0"/>
        <v>306</v>
      </c>
    </row>
    <row r="47" spans="1:12">
      <c r="A47" s="4">
        <f t="shared" si="10"/>
        <v>307</v>
      </c>
      <c r="B47" s="81" t="s">
        <v>398</v>
      </c>
      <c r="C47" s="29">
        <f>C46+C45</f>
        <v>11251339.431740705</v>
      </c>
      <c r="D47" s="29" t="e">
        <f t="shared" ref="D47:E47" si="11">D46+D45</f>
        <v>#DIV/0!</v>
      </c>
      <c r="E47" s="29">
        <f t="shared" si="11"/>
        <v>10906807.198157851</v>
      </c>
      <c r="F47" s="29" t="s">
        <v>399</v>
      </c>
      <c r="L47" s="91">
        <f t="shared" si="0"/>
        <v>307</v>
      </c>
    </row>
    <row r="48" spans="1:12" s="86" customFormat="1">
      <c r="A48" s="91">
        <f t="shared" si="10"/>
        <v>308</v>
      </c>
      <c r="B48" s="565" t="s">
        <v>400</v>
      </c>
      <c r="C48" s="536">
        <f>'9-WholesaleRevenues'!C78</f>
        <v>721530.80234212056</v>
      </c>
      <c r="D48" s="536">
        <f>'9-WholesaleRevenues'!D78</f>
        <v>0</v>
      </c>
      <c r="E48" s="536">
        <f>'9-WholesaleRevenues'!E78</f>
        <v>581595</v>
      </c>
      <c r="F48" s="537" t="s">
        <v>401</v>
      </c>
      <c r="G48" s="8"/>
      <c r="L48" s="91">
        <f t="shared" si="0"/>
        <v>308</v>
      </c>
    </row>
    <row r="49" spans="1:12">
      <c r="A49" s="4">
        <f t="shared" si="10"/>
        <v>309</v>
      </c>
      <c r="B49" s="6" t="s">
        <v>402</v>
      </c>
      <c r="C49" s="29">
        <f>C47/C48</f>
        <v>15.593706318868668</v>
      </c>
      <c r="D49" s="29" t="e">
        <f t="shared" ref="D49:E49" si="12">D47/D48</f>
        <v>#DIV/0!</v>
      </c>
      <c r="E49" s="29">
        <f t="shared" si="12"/>
        <v>18.753268508425709</v>
      </c>
      <c r="F49" t="s">
        <v>403</v>
      </c>
      <c r="L49" s="4">
        <f t="shared" si="0"/>
        <v>309</v>
      </c>
    </row>
    <row r="50" spans="1:12">
      <c r="A50" s="4"/>
      <c r="B50" s="6"/>
      <c r="C50" s="29"/>
      <c r="D50" s="29"/>
      <c r="E50" s="29"/>
      <c r="L50" s="4"/>
    </row>
    <row r="51" spans="1:12">
      <c r="A51" s="4"/>
      <c r="B51" s="6"/>
      <c r="C51" s="29"/>
      <c r="D51" s="29"/>
      <c r="E51" s="29"/>
      <c r="L51" s="4"/>
    </row>
    <row r="52" spans="1:12">
      <c r="A52" s="4"/>
      <c r="B52" s="6"/>
      <c r="C52" s="29"/>
      <c r="D52" s="29"/>
      <c r="E52" s="29"/>
      <c r="L52" s="4"/>
    </row>
    <row r="53" spans="1:12">
      <c r="L53" s="4"/>
    </row>
    <row r="54" spans="1:12">
      <c r="A54" s="2"/>
      <c r="B54" s="41" t="s">
        <v>404</v>
      </c>
      <c r="C54" s="41"/>
      <c r="D54" s="41"/>
      <c r="E54" s="41"/>
      <c r="F54" s="41"/>
      <c r="G54" s="41"/>
      <c r="H54" s="41"/>
      <c r="I54" s="41"/>
      <c r="J54" s="41"/>
      <c r="K54" s="41"/>
      <c r="L54" s="4"/>
    </row>
    <row r="55" spans="1:12">
      <c r="A55" s="2"/>
      <c r="B55" s="725" t="s">
        <v>405</v>
      </c>
      <c r="C55" s="725"/>
      <c r="D55" s="725"/>
      <c r="E55" s="725"/>
      <c r="F55" s="725"/>
      <c r="G55" s="725"/>
      <c r="H55" s="725"/>
      <c r="I55" s="725"/>
      <c r="J55" s="725"/>
      <c r="K55" s="725"/>
      <c r="L55" s="4"/>
    </row>
    <row r="56" spans="1:12">
      <c r="A56" s="2"/>
      <c r="B56" s="725"/>
      <c r="C56" s="725"/>
      <c r="D56" s="725"/>
      <c r="E56" s="725"/>
      <c r="F56" s="725"/>
      <c r="G56" s="725"/>
      <c r="H56" s="725"/>
      <c r="I56" s="725"/>
      <c r="J56" s="725"/>
      <c r="K56" s="725"/>
      <c r="L56" s="4"/>
    </row>
    <row r="57" spans="1:12">
      <c r="A57" s="3" t="s">
        <v>92</v>
      </c>
      <c r="B57" s="726" t="s">
        <v>406</v>
      </c>
      <c r="C57" s="726"/>
      <c r="D57" s="726"/>
      <c r="E57" s="726"/>
      <c r="F57" s="726"/>
      <c r="G57" s="726"/>
      <c r="H57" s="726"/>
      <c r="I57" s="726"/>
      <c r="L57" s="3" t="str">
        <f>A57</f>
        <v>Line</v>
      </c>
    </row>
    <row r="58" spans="1:12" ht="29">
      <c r="A58" s="4">
        <v>400</v>
      </c>
      <c r="B58" s="408"/>
      <c r="C58" s="414" t="str">
        <f>$C$7</f>
        <v>CCSF
(SA No. 275)</v>
      </c>
      <c r="D58" s="414" t="str">
        <f>$D$7</f>
        <v>PWRPA 1 
(SA No. 30)</v>
      </c>
      <c r="E58" s="414" t="str">
        <f>$E$7</f>
        <v>PWRPA 2
(SA No. 56)</v>
      </c>
      <c r="F58" s="414" t="str">
        <f>$F$7</f>
        <v>Shelter Cove
(SA No. 382)</v>
      </c>
      <c r="G58" s="414" t="str">
        <f>$G$7</f>
        <v>WAPA
(SA No. 17)</v>
      </c>
      <c r="H58" s="414" t="str">
        <f>$H$7</f>
        <v>Westside
(SA No. 15)</v>
      </c>
      <c r="I58" s="471" t="s">
        <v>119</v>
      </c>
      <c r="L58" s="4">
        <f>A58</f>
        <v>400</v>
      </c>
    </row>
    <row r="59" spans="1:12">
      <c r="A59" s="4">
        <f>A58+1</f>
        <v>401</v>
      </c>
      <c r="B59" s="409" t="s">
        <v>407</v>
      </c>
      <c r="C59" s="24">
        <f>K96</f>
        <v>-2926544.03</v>
      </c>
      <c r="D59" s="24" t="e">
        <f>K158</f>
        <v>#DIV/0!</v>
      </c>
      <c r="E59" s="24">
        <f>K220</f>
        <v>-98363.18</v>
      </c>
      <c r="F59" s="24">
        <f>K252</f>
        <v>-12358.76</v>
      </c>
      <c r="G59" s="24">
        <f>K284</f>
        <v>-3073407.3</v>
      </c>
      <c r="H59" s="24">
        <f>K346</f>
        <v>2076.25</v>
      </c>
      <c r="I59" s="410"/>
      <c r="L59" s="4">
        <f t="shared" ref="L59:L64" si="13">A59</f>
        <v>401</v>
      </c>
    </row>
    <row r="60" spans="1:12">
      <c r="A60" s="4">
        <f>A59+1</f>
        <v>402</v>
      </c>
      <c r="B60" s="411" t="s">
        <v>408</v>
      </c>
      <c r="C60" s="412" t="s">
        <v>409</v>
      </c>
      <c r="D60" s="412" t="s">
        <v>410</v>
      </c>
      <c r="E60" s="412" t="s">
        <v>411</v>
      </c>
      <c r="F60" s="412" t="s">
        <v>412</v>
      </c>
      <c r="G60" s="412" t="s">
        <v>413</v>
      </c>
      <c r="H60" s="412" t="s">
        <v>414</v>
      </c>
      <c r="I60" s="413"/>
      <c r="L60" s="4">
        <f t="shared" si="13"/>
        <v>402</v>
      </c>
    </row>
    <row r="61" spans="1:12">
      <c r="A61" s="4"/>
      <c r="B61" s="6"/>
      <c r="L61" s="4"/>
    </row>
    <row r="62" spans="1:12" ht="29">
      <c r="A62" s="4">
        <f>A60+1</f>
        <v>403</v>
      </c>
      <c r="B62" s="408"/>
      <c r="C62" s="414" t="str">
        <f>$C$7</f>
        <v>CCSF
(SA No. 275)</v>
      </c>
      <c r="D62" s="414" t="str">
        <f>$D$7</f>
        <v>PWRPA 1 
(SA No. 30)</v>
      </c>
      <c r="E62" s="415" t="str">
        <f>$E$10</f>
        <v>WAPA
(SA No. 17)</v>
      </c>
      <c r="L62" s="4">
        <f t="shared" si="13"/>
        <v>403</v>
      </c>
    </row>
    <row r="63" spans="1:12">
      <c r="A63" s="4">
        <f>A62+1</f>
        <v>404</v>
      </c>
      <c r="B63" s="409" t="s">
        <v>415</v>
      </c>
      <c r="C63" s="24">
        <f>K126</f>
        <v>-3346006.26</v>
      </c>
      <c r="D63" s="24" t="e">
        <f>K188</f>
        <v>#DIV/0!</v>
      </c>
      <c r="E63" s="476">
        <f>K314</f>
        <v>-3401933.11</v>
      </c>
      <c r="L63" s="4">
        <f t="shared" si="13"/>
        <v>404</v>
      </c>
    </row>
    <row r="64" spans="1:12">
      <c r="A64" s="4">
        <f>A63+1</f>
        <v>405</v>
      </c>
      <c r="B64" s="411" t="s">
        <v>408</v>
      </c>
      <c r="C64" s="412" t="s">
        <v>416</v>
      </c>
      <c r="D64" s="412" t="s">
        <v>417</v>
      </c>
      <c r="E64" s="477" t="s">
        <v>418</v>
      </c>
      <c r="L64" s="4">
        <f t="shared" si="13"/>
        <v>405</v>
      </c>
    </row>
    <row r="65" spans="1:12">
      <c r="A65" s="3"/>
      <c r="B65" s="2"/>
    </row>
    <row r="66" spans="1:12">
      <c r="A66" s="3" t="s">
        <v>92</v>
      </c>
      <c r="B66" s="416" t="s">
        <v>419</v>
      </c>
      <c r="C66" s="417" t="s">
        <v>124</v>
      </c>
      <c r="D66" s="417" t="s">
        <v>125</v>
      </c>
      <c r="E66" s="417" t="s">
        <v>126</v>
      </c>
      <c r="F66" s="417" t="s">
        <v>127</v>
      </c>
      <c r="G66" s="417" t="s">
        <v>420</v>
      </c>
      <c r="H66" s="417" t="s">
        <v>421</v>
      </c>
      <c r="I66" s="417" t="s">
        <v>422</v>
      </c>
      <c r="J66" s="417" t="s">
        <v>423</v>
      </c>
      <c r="K66" s="418" t="s">
        <v>424</v>
      </c>
      <c r="L66" s="3" t="str">
        <f>A66</f>
        <v>Line</v>
      </c>
    </row>
    <row r="67" spans="1:12">
      <c r="A67" s="4">
        <v>500</v>
      </c>
      <c r="B67" s="419" t="s">
        <v>354</v>
      </c>
      <c r="C67" s="4"/>
      <c r="D67" s="18" t="s">
        <v>103</v>
      </c>
      <c r="E67" s="18" t="s">
        <v>425</v>
      </c>
      <c r="F67" s="21" t="str">
        <f>""&amp;D66&amp;" - "&amp;E66&amp;""</f>
        <v>Col 2 - Col 3</v>
      </c>
      <c r="G67" s="21" t="s">
        <v>426</v>
      </c>
      <c r="H67" s="21" t="s">
        <v>427</v>
      </c>
      <c r="I67" s="21" t="s">
        <v>428</v>
      </c>
      <c r="J67" s="21" t="s">
        <v>429</v>
      </c>
      <c r="K67" s="420" t="str">
        <f>""&amp;G66&amp;" + "&amp;J66&amp;""</f>
        <v>Col 5 + Col 8</v>
      </c>
      <c r="L67" s="4">
        <f>A67</f>
        <v>500</v>
      </c>
    </row>
    <row r="68" spans="1:12">
      <c r="A68" s="4"/>
      <c r="B68" s="421"/>
      <c r="C68" s="4"/>
      <c r="D68" s="4"/>
      <c r="E68" s="4"/>
      <c r="F68" s="4"/>
      <c r="G68" s="4" t="s">
        <v>430</v>
      </c>
      <c r="H68" s="4"/>
      <c r="I68" s="4"/>
      <c r="J68" s="4"/>
      <c r="K68" s="422" t="s">
        <v>430</v>
      </c>
    </row>
    <row r="69" spans="1:12">
      <c r="B69" s="421"/>
      <c r="C69" s="4"/>
      <c r="D69" s="4" t="s">
        <v>431</v>
      </c>
      <c r="E69" s="4" t="s">
        <v>432</v>
      </c>
      <c r="F69" s="4"/>
      <c r="G69" s="4" t="s">
        <v>433</v>
      </c>
      <c r="H69" s="4"/>
      <c r="I69" s="4"/>
      <c r="J69" s="4"/>
      <c r="K69" s="422" t="s">
        <v>433</v>
      </c>
    </row>
    <row r="70" spans="1:12">
      <c r="A70" s="4"/>
      <c r="B70" s="419"/>
      <c r="C70" s="4"/>
      <c r="D70" s="4" t="s">
        <v>434</v>
      </c>
      <c r="E70" s="4" t="s">
        <v>434</v>
      </c>
      <c r="F70" s="4" t="s">
        <v>435</v>
      </c>
      <c r="G70" s="4" t="s">
        <v>436</v>
      </c>
      <c r="H70" s="4" t="s">
        <v>437</v>
      </c>
      <c r="I70" s="4" t="s">
        <v>431</v>
      </c>
      <c r="J70" s="4" t="s">
        <v>438</v>
      </c>
      <c r="K70" s="422" t="s">
        <v>439</v>
      </c>
    </row>
    <row r="71" spans="1:12">
      <c r="A71" s="4"/>
      <c r="B71" s="423" t="s">
        <v>440</v>
      </c>
      <c r="C71" s="424" t="s">
        <v>441</v>
      </c>
      <c r="D71" s="424" t="s">
        <v>442</v>
      </c>
      <c r="E71" s="424" t="s">
        <v>443</v>
      </c>
      <c r="F71" s="424" t="s">
        <v>444</v>
      </c>
      <c r="G71" s="424" t="s">
        <v>445</v>
      </c>
      <c r="H71" s="424" t="s">
        <v>446</v>
      </c>
      <c r="I71" s="424" t="s">
        <v>447</v>
      </c>
      <c r="J71" s="424" t="s">
        <v>447</v>
      </c>
      <c r="K71" s="425" t="s">
        <v>448</v>
      </c>
    </row>
    <row r="72" spans="1:12">
      <c r="A72" s="4">
        <f>A67+1</f>
        <v>501</v>
      </c>
      <c r="B72" t="s">
        <v>449</v>
      </c>
      <c r="C72" s="21">
        <f>C73-1</f>
        <v>2021</v>
      </c>
      <c r="D72" s="81" t="s">
        <v>450</v>
      </c>
      <c r="E72" s="81" t="s">
        <v>450</v>
      </c>
      <c r="F72" s="21" t="s">
        <v>450</v>
      </c>
      <c r="G72" s="40">
        <v>91951.688164854771</v>
      </c>
      <c r="H72" s="21" t="s">
        <v>450</v>
      </c>
      <c r="I72" s="21" t="s">
        <v>450</v>
      </c>
      <c r="J72" s="40">
        <v>827.7600000000001</v>
      </c>
      <c r="K72" s="13">
        <f>ROUND((G72+J72),2)</f>
        <v>92779.45</v>
      </c>
      <c r="L72" s="4">
        <f t="shared" ref="L72:L96" si="14">A72</f>
        <v>501</v>
      </c>
    </row>
    <row r="73" spans="1:12">
      <c r="A73" s="4">
        <f>A72+1</f>
        <v>502</v>
      </c>
      <c r="B73" t="s">
        <v>451</v>
      </c>
      <c r="C73" s="21">
        <f>'1-DRR'!$K$2</f>
        <v>2022</v>
      </c>
      <c r="D73" s="395">
        <f>IF(E73="N/A","N/A",($C$42*'9-WholesaleRevenues'!D14))</f>
        <v>717320.13362003537</v>
      </c>
      <c r="E73" s="395">
        <f>IF('9-WholesaleRevenues'!D48="N/A","N/A",'9-WholesaleRevenues'!D48)</f>
        <v>1120761.1200000001</v>
      </c>
      <c r="F73" s="405">
        <f t="shared" ref="F73:F84" si="15">IF(E73="N/A",0,D73-E73)</f>
        <v>-403440.98637996474</v>
      </c>
      <c r="G73" s="405">
        <f>F73+G72</f>
        <v>-311489.29821510997</v>
      </c>
      <c r="H73" s="47">
        <v>3.2500000000000001E-2</v>
      </c>
      <c r="I73" s="13">
        <f>IF(E73="N/A",0,ROUND((F73/2+G72+J72)*H73/12,2))</f>
        <v>-295.05</v>
      </c>
      <c r="J73" s="13">
        <f>I73+J72</f>
        <v>532.71</v>
      </c>
      <c r="K73" s="13">
        <f t="shared" ref="K73:K96" si="16">ROUND((G73+J73),2)</f>
        <v>-310956.59000000003</v>
      </c>
      <c r="L73" s="4">
        <f t="shared" si="14"/>
        <v>502</v>
      </c>
    </row>
    <row r="74" spans="1:12">
      <c r="A74" s="4">
        <f t="shared" ref="A74:A96" si="17">A73+1</f>
        <v>503</v>
      </c>
      <c r="B74" t="s">
        <v>452</v>
      </c>
      <c r="C74" s="21">
        <f>'1-DRR'!$K$2</f>
        <v>2022</v>
      </c>
      <c r="D74" s="395">
        <f>IF(E74="N/A","N/A",($C$42*'9-WholesaleRevenues'!D15))</f>
        <v>665848.89315352624</v>
      </c>
      <c r="E74" s="395">
        <f>IF('9-WholesaleRevenues'!D49="N/A","N/A",'9-WholesaleRevenues'!D49)</f>
        <v>1120761.1200000001</v>
      </c>
      <c r="F74" s="405">
        <f t="shared" si="15"/>
        <v>-454912.22684647387</v>
      </c>
      <c r="G74" s="405">
        <f t="shared" ref="G74:G96" si="18">F74+G73</f>
        <v>-766401.52506158384</v>
      </c>
      <c r="H74" s="47">
        <v>3.2500000000000001E-2</v>
      </c>
      <c r="I74" s="13">
        <f>IF(E74="N/A",0,ROUND((F74/2+G73+J72)*H74/12,2))</f>
        <v>-1457.4</v>
      </c>
      <c r="J74" s="13">
        <f>I74+J73</f>
        <v>-924.69</v>
      </c>
      <c r="K74" s="13">
        <f t="shared" si="16"/>
        <v>-767326.22</v>
      </c>
      <c r="L74" s="4">
        <f t="shared" si="14"/>
        <v>503</v>
      </c>
    </row>
    <row r="75" spans="1:12">
      <c r="A75" s="4">
        <f t="shared" si="17"/>
        <v>504</v>
      </c>
      <c r="B75" t="s">
        <v>453</v>
      </c>
      <c r="C75" s="21">
        <f>'1-DRR'!$K$2</f>
        <v>2022</v>
      </c>
      <c r="D75" s="395">
        <f>IF(E75="N/A","N/A",($C$42*'9-WholesaleRevenues'!D16))</f>
        <v>721110.56216589571</v>
      </c>
      <c r="E75" s="395">
        <f>IF('9-WholesaleRevenues'!D50="N/A","N/A",'9-WholesaleRevenues'!D50)</f>
        <v>1120761.1200000001</v>
      </c>
      <c r="F75" s="405">
        <f t="shared" si="15"/>
        <v>-399650.5578341044</v>
      </c>
      <c r="G75" s="405">
        <f t="shared" si="18"/>
        <v>-1166052.0828956882</v>
      </c>
      <c r="H75" s="47">
        <v>3.2500000000000001E-2</v>
      </c>
      <c r="I75" s="13">
        <f>IF(E75="N/A",0,ROUND((F75/2+G74+J72)*H75/12,2))</f>
        <v>-2614.62</v>
      </c>
      <c r="J75" s="13">
        <f>I75+J74</f>
        <v>-3539.31</v>
      </c>
      <c r="K75" s="13">
        <f t="shared" si="16"/>
        <v>-1169591.3899999999</v>
      </c>
      <c r="L75" s="4">
        <f t="shared" si="14"/>
        <v>504</v>
      </c>
    </row>
    <row r="76" spans="1:12">
      <c r="A76" s="4">
        <f t="shared" si="17"/>
        <v>505</v>
      </c>
      <c r="B76" t="s">
        <v>454</v>
      </c>
      <c r="C76" s="21">
        <f>'1-DRR'!$K$2</f>
        <v>2022</v>
      </c>
      <c r="D76" s="395">
        <f>IF(E76="N/A","N/A",($C$42*'9-WholesaleRevenues'!D17))</f>
        <v>748748.31658406509</v>
      </c>
      <c r="E76" s="395">
        <f>IF('9-WholesaleRevenues'!D51="N/A","N/A",'9-WholesaleRevenues'!D51)</f>
        <v>1120761.1200000001</v>
      </c>
      <c r="F76" s="405">
        <f t="shared" si="15"/>
        <v>-372012.80341593502</v>
      </c>
      <c r="G76" s="405">
        <f t="shared" si="18"/>
        <v>-1538064.8863116233</v>
      </c>
      <c r="H76" s="47">
        <v>3.2500000000000001E-2</v>
      </c>
      <c r="I76" s="13">
        <f>IF(E76="N/A",0,ROUND((F76/2+G75+J75)*H76/12,2))</f>
        <v>-3671.41</v>
      </c>
      <c r="J76" s="13">
        <f t="shared" ref="J76:J96" si="19">I76+J75</f>
        <v>-7210.7199999999993</v>
      </c>
      <c r="K76" s="13">
        <f t="shared" si="16"/>
        <v>-1545275.61</v>
      </c>
      <c r="L76" s="4">
        <f t="shared" si="14"/>
        <v>505</v>
      </c>
    </row>
    <row r="77" spans="1:12">
      <c r="A77" s="4">
        <f t="shared" si="17"/>
        <v>506</v>
      </c>
      <c r="B77" t="s">
        <v>455</v>
      </c>
      <c r="C77" s="21">
        <f>'1-DRR'!$K$2</f>
        <v>2022</v>
      </c>
      <c r="D77" s="395">
        <f>IF(E77="N/A","N/A",($C$42*'9-WholesaleRevenues'!D18))</f>
        <v>704071.68158807966</v>
      </c>
      <c r="E77" s="395">
        <f>IF('9-WholesaleRevenues'!D52="N/A","N/A",'9-WholesaleRevenues'!D52)</f>
        <v>909569.06</v>
      </c>
      <c r="F77" s="405">
        <f t="shared" si="15"/>
        <v>-205497.37841192039</v>
      </c>
      <c r="G77" s="405">
        <f t="shared" si="18"/>
        <v>-1743562.2647235435</v>
      </c>
      <c r="H77" s="47">
        <v>3.2500000000000001E-2</v>
      </c>
      <c r="I77" s="13">
        <f>IF(E77="N/A",0,ROUND((F77/2+G76+J75)*H77/12,2))</f>
        <v>-4453.46</v>
      </c>
      <c r="J77" s="13">
        <f t="shared" si="19"/>
        <v>-11664.18</v>
      </c>
      <c r="K77" s="13">
        <f t="shared" si="16"/>
        <v>-1755226.44</v>
      </c>
      <c r="L77" s="4">
        <f t="shared" si="14"/>
        <v>506</v>
      </c>
    </row>
    <row r="78" spans="1:12">
      <c r="A78" s="4">
        <f t="shared" si="17"/>
        <v>507</v>
      </c>
      <c r="B78" t="s">
        <v>456</v>
      </c>
      <c r="C78" s="21">
        <f>'1-DRR'!$K$2</f>
        <v>2022</v>
      </c>
      <c r="D78" s="395">
        <f>IF(E78="N/A","N/A",($C$42*'9-WholesaleRevenues'!D19))</f>
        <v>749037.64371489093</v>
      </c>
      <c r="E78" s="395">
        <f>IF('9-WholesaleRevenues'!D53="N/A","N/A",'9-WholesaleRevenues'!D53)</f>
        <v>806275.91</v>
      </c>
      <c r="F78" s="405">
        <f t="shared" si="15"/>
        <v>-57238.266285109101</v>
      </c>
      <c r="G78" s="405">
        <f t="shared" si="18"/>
        <v>-1800800.5310086526</v>
      </c>
      <c r="H78" s="47">
        <v>3.2500000000000001E-2</v>
      </c>
      <c r="I78" s="13">
        <f>IF(E78="N/A",0,ROUND((F78/2+G77+J75)*H78/12,2))</f>
        <v>-4809.24</v>
      </c>
      <c r="J78" s="13">
        <f t="shared" si="19"/>
        <v>-16473.419999999998</v>
      </c>
      <c r="K78" s="13">
        <f t="shared" si="16"/>
        <v>-1817273.95</v>
      </c>
      <c r="L78" s="4">
        <f t="shared" si="14"/>
        <v>507</v>
      </c>
    </row>
    <row r="79" spans="1:12">
      <c r="A79" s="4">
        <f t="shared" si="17"/>
        <v>508</v>
      </c>
      <c r="B79" t="s">
        <v>457</v>
      </c>
      <c r="C79" s="21">
        <f>'1-DRR'!$K$2</f>
        <v>2022</v>
      </c>
      <c r="D79" s="395">
        <f>IF(E79="N/A","N/A",($C$42*'9-WholesaleRevenues'!D20))</f>
        <v>708181.92228242848</v>
      </c>
      <c r="E79" s="395">
        <f>IF('9-WholesaleRevenues'!D54="N/A","N/A",'9-WholesaleRevenues'!D54)</f>
        <v>747386.54</v>
      </c>
      <c r="F79" s="405">
        <f t="shared" si="15"/>
        <v>-39204.617717571557</v>
      </c>
      <c r="G79" s="405">
        <f t="shared" si="18"/>
        <v>-1840005.1487262242</v>
      </c>
      <c r="H79" s="47">
        <v>3.5999999999999997E-2</v>
      </c>
      <c r="I79" s="13">
        <f>IF(E79="N/A",0,ROUND((F79/2+G78+J78)*H79/12,2))</f>
        <v>-5510.63</v>
      </c>
      <c r="J79" s="13">
        <f t="shared" si="19"/>
        <v>-21984.05</v>
      </c>
      <c r="K79" s="13">
        <f t="shared" si="16"/>
        <v>-1861989.2</v>
      </c>
      <c r="L79" s="4">
        <f t="shared" si="14"/>
        <v>508</v>
      </c>
    </row>
    <row r="80" spans="1:12">
      <c r="A80" s="4">
        <f t="shared" si="17"/>
        <v>509</v>
      </c>
      <c r="B80" t="s">
        <v>458</v>
      </c>
      <c r="C80" s="21">
        <f>'1-DRR'!$K$2</f>
        <v>2022</v>
      </c>
      <c r="D80" s="395">
        <f>IF(E80="N/A","N/A",($C$42*'9-WholesaleRevenues'!D21))</f>
        <v>756723.79568356997</v>
      </c>
      <c r="E80" s="395">
        <f>IF('9-WholesaleRevenues'!D55="N/A","N/A",'9-WholesaleRevenues'!D55)</f>
        <v>664090.99</v>
      </c>
      <c r="F80" s="405">
        <f t="shared" si="15"/>
        <v>92632.805683569983</v>
      </c>
      <c r="G80" s="405">
        <f t="shared" si="18"/>
        <v>-1747372.3430426542</v>
      </c>
      <c r="H80" s="47">
        <v>3.5999999999999997E-2</v>
      </c>
      <c r="I80" s="13">
        <f>IF(E80="N/A",0,ROUND((F80/2+G79+J78)*H80/12,2))</f>
        <v>-5430.49</v>
      </c>
      <c r="J80" s="13">
        <f t="shared" si="19"/>
        <v>-27414.54</v>
      </c>
      <c r="K80" s="13">
        <f t="shared" si="16"/>
        <v>-1774786.88</v>
      </c>
      <c r="L80" s="4">
        <f t="shared" si="14"/>
        <v>509</v>
      </c>
    </row>
    <row r="81" spans="1:12">
      <c r="A81" s="4">
        <f t="shared" si="17"/>
        <v>510</v>
      </c>
      <c r="B81" t="s">
        <v>459</v>
      </c>
      <c r="C81" s="21">
        <f>'1-DRR'!$K$2</f>
        <v>2022</v>
      </c>
      <c r="D81" s="395">
        <f>IF(E81="N/A","N/A",($C$42*'9-WholesaleRevenues'!D22))</f>
        <v>833566.42588088813</v>
      </c>
      <c r="E81" s="395">
        <f>IF('9-WholesaleRevenues'!D56="N/A","N/A",'9-WholesaleRevenues'!D56)</f>
        <v>1071615.18</v>
      </c>
      <c r="F81" s="405">
        <f t="shared" si="15"/>
        <v>-238048.75411911181</v>
      </c>
      <c r="G81" s="405">
        <f t="shared" si="18"/>
        <v>-1985421.0971617661</v>
      </c>
      <c r="H81" s="47">
        <v>3.5999999999999997E-2</v>
      </c>
      <c r="I81" s="13">
        <f>IF(E81="N/A",0,ROUND((F81/2+G80+J78)*H81/12,2))</f>
        <v>-5648.61</v>
      </c>
      <c r="J81" s="13">
        <f t="shared" si="19"/>
        <v>-33063.15</v>
      </c>
      <c r="K81" s="13">
        <f t="shared" si="16"/>
        <v>-2018484.25</v>
      </c>
      <c r="L81" s="4">
        <f t="shared" si="14"/>
        <v>510</v>
      </c>
    </row>
    <row r="82" spans="1:12">
      <c r="A82" s="4">
        <f t="shared" si="17"/>
        <v>511</v>
      </c>
      <c r="B82" t="s">
        <v>460</v>
      </c>
      <c r="C82" s="21">
        <f>'1-DRR'!$K$2</f>
        <v>2022</v>
      </c>
      <c r="D82" s="395">
        <f>IF(E82="N/A","N/A",($C$42*'9-WholesaleRevenues'!D23))</f>
        <v>795381.22940063081</v>
      </c>
      <c r="E82" s="395">
        <f>IF('9-WholesaleRevenues'!D57="N/A","N/A",'9-WholesaleRevenues'!D57)</f>
        <v>1012553.69</v>
      </c>
      <c r="F82" s="405">
        <f t="shared" si="15"/>
        <v>-217172.46059936914</v>
      </c>
      <c r="G82" s="405">
        <f t="shared" si="18"/>
        <v>-2202593.5577611355</v>
      </c>
      <c r="H82" s="47">
        <v>4.9099999999999998E-2</v>
      </c>
      <c r="I82" s="13">
        <f>IF(E82="N/A",0,ROUND((F82/2+G81+J81)*H82/12,2))</f>
        <v>-8703.26</v>
      </c>
      <c r="J82" s="13">
        <f t="shared" si="19"/>
        <v>-41766.410000000003</v>
      </c>
      <c r="K82" s="13">
        <f t="shared" si="16"/>
        <v>-2244359.9700000002</v>
      </c>
      <c r="L82" s="4">
        <f t="shared" si="14"/>
        <v>511</v>
      </c>
    </row>
    <row r="83" spans="1:12">
      <c r="A83" s="4">
        <f t="shared" si="17"/>
        <v>512</v>
      </c>
      <c r="B83" t="s">
        <v>461</v>
      </c>
      <c r="C83" s="21">
        <f>'1-DRR'!$K$2</f>
        <v>2022</v>
      </c>
      <c r="D83" s="395">
        <f>IF(E83="N/A","N/A",($C$42*'9-WholesaleRevenues'!D24))</f>
        <v>788833.30944113445</v>
      </c>
      <c r="E83" s="395">
        <f>IF('9-WholesaleRevenues'!D58="N/A","N/A",'9-WholesaleRevenues'!D58)</f>
        <v>1014073.50032</v>
      </c>
      <c r="F83" s="405">
        <f t="shared" si="15"/>
        <v>-225240.19087886554</v>
      </c>
      <c r="G83" s="405">
        <f t="shared" si="18"/>
        <v>-2427833.7486400008</v>
      </c>
      <c r="H83" s="47">
        <v>4.9099999999999998E-2</v>
      </c>
      <c r="I83" s="13">
        <f>IF(E83="N/A",0,ROUND((F83/2+G82+J81)*H83/12,2))</f>
        <v>-9608.3700000000008</v>
      </c>
      <c r="J83" s="13">
        <f t="shared" si="19"/>
        <v>-51374.780000000006</v>
      </c>
      <c r="K83" s="13">
        <f t="shared" si="16"/>
        <v>-2479208.5299999998</v>
      </c>
      <c r="L83" s="4">
        <f t="shared" si="14"/>
        <v>512</v>
      </c>
    </row>
    <row r="84" spans="1:12">
      <c r="A84" s="4">
        <f t="shared" si="17"/>
        <v>513</v>
      </c>
      <c r="B84" t="s">
        <v>449</v>
      </c>
      <c r="C84" s="21">
        <f>'1-DRR'!$K$2</f>
        <v>2022</v>
      </c>
      <c r="D84" s="395">
        <f>IF(E84="N/A","N/A",($C$42*'9-WholesaleRevenues'!D25))</f>
        <v>781076.27513077273</v>
      </c>
      <c r="E84" s="395">
        <f>IF('9-WholesaleRevenues'!D59="N/A","N/A",'9-WholesaleRevenues'!D59)</f>
        <v>1007124.27112</v>
      </c>
      <c r="F84" s="405">
        <f t="shared" si="15"/>
        <v>-226047.99598922732</v>
      </c>
      <c r="G84" s="405">
        <f t="shared" si="18"/>
        <v>-2653881.744629228</v>
      </c>
      <c r="H84" s="47">
        <v>4.9099999999999998E-2</v>
      </c>
      <c r="I84" s="13">
        <f>IF(E84="N/A",0,ROUND((F84/2+G83+J81)*H84/12,2))</f>
        <v>-10531.63</v>
      </c>
      <c r="J84" s="13">
        <f t="shared" si="19"/>
        <v>-61906.41</v>
      </c>
      <c r="K84" s="13">
        <f t="shared" si="16"/>
        <v>-2715788.15</v>
      </c>
      <c r="L84" s="4">
        <f t="shared" si="14"/>
        <v>513</v>
      </c>
    </row>
    <row r="85" spans="1:12">
      <c r="A85" s="4">
        <f t="shared" si="17"/>
        <v>514</v>
      </c>
      <c r="B85" t="s">
        <v>451</v>
      </c>
      <c r="C85" s="21">
        <f>C84+1</f>
        <v>2023</v>
      </c>
      <c r="D85" s="81" t="s">
        <v>450</v>
      </c>
      <c r="E85" s="81" t="s">
        <v>450</v>
      </c>
      <c r="F85" s="405">
        <v>0</v>
      </c>
      <c r="G85" s="405">
        <f>F85+G84</f>
        <v>-2653881.744629228</v>
      </c>
      <c r="H85" s="47">
        <v>6.3100000000000003E-2</v>
      </c>
      <c r="I85" s="13">
        <f t="shared" ref="I85" si="20">ROUND((F85/2+G84+J84)*H85/12,2)</f>
        <v>-14280.52</v>
      </c>
      <c r="J85" s="13">
        <f t="shared" si="19"/>
        <v>-76186.930000000008</v>
      </c>
      <c r="K85" s="13">
        <f t="shared" si="16"/>
        <v>-2730068.67</v>
      </c>
      <c r="L85" s="4">
        <f t="shared" si="14"/>
        <v>514</v>
      </c>
    </row>
    <row r="86" spans="1:12">
      <c r="A86" s="4">
        <f t="shared" si="17"/>
        <v>515</v>
      </c>
      <c r="B86" t="s">
        <v>452</v>
      </c>
      <c r="C86" s="21">
        <f>C85</f>
        <v>2023</v>
      </c>
      <c r="D86" s="81" t="s">
        <v>450</v>
      </c>
      <c r="E86" s="81" t="s">
        <v>450</v>
      </c>
      <c r="F86" s="405">
        <v>0</v>
      </c>
      <c r="G86" s="405">
        <f t="shared" si="18"/>
        <v>-2653881.744629228</v>
      </c>
      <c r="H86" s="47">
        <v>6.3100000000000003E-2</v>
      </c>
      <c r="I86" s="13">
        <f t="shared" ref="I86" si="21">ROUND((F86/2+G85+J84)*H86/12,2)</f>
        <v>-14280.52</v>
      </c>
      <c r="J86" s="13">
        <f t="shared" si="19"/>
        <v>-90467.450000000012</v>
      </c>
      <c r="K86" s="13">
        <f t="shared" si="16"/>
        <v>-2744349.19</v>
      </c>
      <c r="L86" s="4">
        <f t="shared" si="14"/>
        <v>515</v>
      </c>
    </row>
    <row r="87" spans="1:12">
      <c r="A87" s="4">
        <f t="shared" si="17"/>
        <v>516</v>
      </c>
      <c r="B87" t="s">
        <v>453</v>
      </c>
      <c r="C87" s="21">
        <f t="shared" ref="C87:C96" si="22">C86</f>
        <v>2023</v>
      </c>
      <c r="D87" s="81" t="s">
        <v>450</v>
      </c>
      <c r="E87" s="81" t="s">
        <v>450</v>
      </c>
      <c r="F87" s="405">
        <v>0</v>
      </c>
      <c r="G87" s="405">
        <f t="shared" si="18"/>
        <v>-2653881.744629228</v>
      </c>
      <c r="H87" s="47">
        <v>6.3100000000000003E-2</v>
      </c>
      <c r="I87" s="13">
        <f t="shared" ref="I87" si="23">ROUND((F87/2+G86+J84)*H87/12,2)</f>
        <v>-14280.52</v>
      </c>
      <c r="J87" s="13">
        <f t="shared" si="19"/>
        <v>-104747.97000000002</v>
      </c>
      <c r="K87" s="13">
        <f t="shared" si="16"/>
        <v>-2758629.71</v>
      </c>
      <c r="L87" s="4">
        <f t="shared" si="14"/>
        <v>516</v>
      </c>
    </row>
    <row r="88" spans="1:12">
      <c r="A88" s="4">
        <f t="shared" si="17"/>
        <v>517</v>
      </c>
      <c r="B88" t="s">
        <v>454</v>
      </c>
      <c r="C88" s="21">
        <f t="shared" si="22"/>
        <v>2023</v>
      </c>
      <c r="D88" s="81" t="s">
        <v>450</v>
      </c>
      <c r="E88" s="81" t="s">
        <v>450</v>
      </c>
      <c r="F88" s="405">
        <v>0</v>
      </c>
      <c r="G88" s="405">
        <f t="shared" si="18"/>
        <v>-2653881.744629228</v>
      </c>
      <c r="H88" s="47">
        <v>7.4999999999999997E-2</v>
      </c>
      <c r="I88" s="13">
        <f t="shared" ref="I88" si="24">ROUND((F88/2+G87+J87)*H88/12,2)</f>
        <v>-17241.439999999999</v>
      </c>
      <c r="J88" s="13">
        <f t="shared" si="19"/>
        <v>-121989.41000000002</v>
      </c>
      <c r="K88" s="13">
        <f t="shared" si="16"/>
        <v>-2775871.15</v>
      </c>
      <c r="L88" s="4">
        <f t="shared" si="14"/>
        <v>517</v>
      </c>
    </row>
    <row r="89" spans="1:12">
      <c r="A89" s="4">
        <f t="shared" si="17"/>
        <v>518</v>
      </c>
      <c r="B89" t="s">
        <v>455</v>
      </c>
      <c r="C89" s="21">
        <f t="shared" si="22"/>
        <v>2023</v>
      </c>
      <c r="D89" s="81" t="s">
        <v>450</v>
      </c>
      <c r="E89" s="81" t="s">
        <v>450</v>
      </c>
      <c r="F89" s="405">
        <v>0</v>
      </c>
      <c r="G89" s="405">
        <f t="shared" si="18"/>
        <v>-2653881.744629228</v>
      </c>
      <c r="H89" s="47">
        <v>7.4999999999999997E-2</v>
      </c>
      <c r="I89" s="13">
        <f t="shared" ref="I89" si="25">ROUND((F89/2+G88+J87)*H89/12,2)</f>
        <v>-17241.439999999999</v>
      </c>
      <c r="J89" s="13">
        <f t="shared" si="19"/>
        <v>-139230.85</v>
      </c>
      <c r="K89" s="13">
        <f t="shared" si="16"/>
        <v>-2793112.59</v>
      </c>
      <c r="L89" s="4">
        <f t="shared" si="14"/>
        <v>518</v>
      </c>
    </row>
    <row r="90" spans="1:12">
      <c r="A90" s="4">
        <f t="shared" si="17"/>
        <v>519</v>
      </c>
      <c r="B90" t="s">
        <v>456</v>
      </c>
      <c r="C90" s="21">
        <f t="shared" si="22"/>
        <v>2023</v>
      </c>
      <c r="D90" s="81" t="s">
        <v>450</v>
      </c>
      <c r="E90" s="81" t="s">
        <v>450</v>
      </c>
      <c r="F90" s="405">
        <v>0</v>
      </c>
      <c r="G90" s="405">
        <f t="shared" si="18"/>
        <v>-2653881.744629228</v>
      </c>
      <c r="H90" s="47">
        <v>7.4999999999999997E-2</v>
      </c>
      <c r="I90" s="13">
        <f t="shared" ref="I90" si="26">ROUND((F90/2+G89+J87)*H90/12,2)</f>
        <v>-17241.439999999999</v>
      </c>
      <c r="J90" s="13">
        <f t="shared" si="19"/>
        <v>-156472.29</v>
      </c>
      <c r="K90" s="13">
        <f t="shared" si="16"/>
        <v>-2810354.03</v>
      </c>
      <c r="L90" s="4">
        <f t="shared" si="14"/>
        <v>519</v>
      </c>
    </row>
    <row r="91" spans="1:12">
      <c r="A91" s="4">
        <f t="shared" si="17"/>
        <v>520</v>
      </c>
      <c r="B91" t="s">
        <v>457</v>
      </c>
      <c r="C91" s="21">
        <f t="shared" si="22"/>
        <v>2023</v>
      </c>
      <c r="D91" s="81" t="s">
        <v>450</v>
      </c>
      <c r="E91" s="81" t="s">
        <v>450</v>
      </c>
      <c r="F91" s="405">
        <v>0</v>
      </c>
      <c r="G91" s="405">
        <f t="shared" si="18"/>
        <v>-2653881.744629228</v>
      </c>
      <c r="H91" s="47">
        <v>8.0199999999999994E-2</v>
      </c>
      <c r="I91" s="13">
        <f t="shared" ref="I91" si="27">ROUND((F91/2+G90+J90)*H91/12,2)</f>
        <v>-18782.53</v>
      </c>
      <c r="J91" s="13">
        <f t="shared" si="19"/>
        <v>-175254.82</v>
      </c>
      <c r="K91" s="13">
        <f t="shared" si="16"/>
        <v>-2829136.56</v>
      </c>
      <c r="L91" s="4">
        <f t="shared" si="14"/>
        <v>520</v>
      </c>
    </row>
    <row r="92" spans="1:12">
      <c r="A92" s="4">
        <f t="shared" si="17"/>
        <v>521</v>
      </c>
      <c r="B92" t="s">
        <v>458</v>
      </c>
      <c r="C92" s="21">
        <f t="shared" si="22"/>
        <v>2023</v>
      </c>
      <c r="D92" s="81" t="s">
        <v>450</v>
      </c>
      <c r="E92" s="81" t="s">
        <v>450</v>
      </c>
      <c r="F92" s="405">
        <v>0</v>
      </c>
      <c r="G92" s="405">
        <f t="shared" si="18"/>
        <v>-2653881.744629228</v>
      </c>
      <c r="H92" s="47">
        <v>8.0199999999999994E-2</v>
      </c>
      <c r="I92" s="13">
        <f t="shared" ref="I92" si="28">ROUND((F92/2+G91+J90)*H92/12,2)</f>
        <v>-18782.53</v>
      </c>
      <c r="J92" s="13">
        <f t="shared" si="19"/>
        <v>-194037.35</v>
      </c>
      <c r="K92" s="13">
        <f t="shared" si="16"/>
        <v>-2847919.09</v>
      </c>
      <c r="L92" s="4">
        <f t="shared" si="14"/>
        <v>521</v>
      </c>
    </row>
    <row r="93" spans="1:12">
      <c r="A93" s="4">
        <f t="shared" si="17"/>
        <v>522</v>
      </c>
      <c r="B93" t="s">
        <v>459</v>
      </c>
      <c r="C93" s="21">
        <f t="shared" si="22"/>
        <v>2023</v>
      </c>
      <c r="D93" s="81" t="s">
        <v>450</v>
      </c>
      <c r="E93" s="81" t="s">
        <v>450</v>
      </c>
      <c r="F93" s="405">
        <v>0</v>
      </c>
      <c r="G93" s="405">
        <f t="shared" si="18"/>
        <v>-2653881.744629228</v>
      </c>
      <c r="H93" s="47">
        <v>8.0199999999999994E-2</v>
      </c>
      <c r="I93" s="13">
        <f t="shared" ref="I93" si="29">ROUND((F93/2+G92+J90)*H93/12,2)</f>
        <v>-18782.53</v>
      </c>
      <c r="J93" s="13">
        <f t="shared" si="19"/>
        <v>-212819.88</v>
      </c>
      <c r="K93" s="13">
        <f t="shared" si="16"/>
        <v>-2866701.62</v>
      </c>
      <c r="L93" s="4">
        <f t="shared" si="14"/>
        <v>522</v>
      </c>
    </row>
    <row r="94" spans="1:12">
      <c r="A94" s="4">
        <f t="shared" si="17"/>
        <v>523</v>
      </c>
      <c r="B94" t="s">
        <v>460</v>
      </c>
      <c r="C94" s="21">
        <f t="shared" si="22"/>
        <v>2023</v>
      </c>
      <c r="D94" s="81" t="s">
        <v>450</v>
      </c>
      <c r="E94" s="81" t="s">
        <v>450</v>
      </c>
      <c r="F94" s="405">
        <v>0</v>
      </c>
      <c r="G94" s="405">
        <f t="shared" si="18"/>
        <v>-2653881.744629228</v>
      </c>
      <c r="H94" s="47">
        <v>8.3500000000000005E-2</v>
      </c>
      <c r="I94" s="13">
        <f t="shared" ref="I94" si="30">ROUND((F94/2+G93+J93)*H94/12,2)</f>
        <v>-19947.47</v>
      </c>
      <c r="J94" s="13">
        <f t="shared" si="19"/>
        <v>-232767.35</v>
      </c>
      <c r="K94" s="13">
        <f t="shared" si="16"/>
        <v>-2886649.09</v>
      </c>
      <c r="L94" s="4">
        <f t="shared" si="14"/>
        <v>523</v>
      </c>
    </row>
    <row r="95" spans="1:12">
      <c r="A95" s="4">
        <f t="shared" si="17"/>
        <v>524</v>
      </c>
      <c r="B95" t="s">
        <v>461</v>
      </c>
      <c r="C95" s="21">
        <f t="shared" si="22"/>
        <v>2023</v>
      </c>
      <c r="D95" s="81" t="s">
        <v>450</v>
      </c>
      <c r="E95" s="81" t="s">
        <v>450</v>
      </c>
      <c r="F95" s="405">
        <v>0</v>
      </c>
      <c r="G95" s="405">
        <f t="shared" si="18"/>
        <v>-2653881.744629228</v>
      </c>
      <c r="H95" s="47">
        <v>8.3500000000000005E-2</v>
      </c>
      <c r="I95" s="13">
        <f t="shared" ref="I95" si="31">ROUND((F95/2+G94+J93)*H95/12,2)</f>
        <v>-19947.47</v>
      </c>
      <c r="J95" s="13">
        <f t="shared" si="19"/>
        <v>-252714.82</v>
      </c>
      <c r="K95" s="13">
        <f t="shared" si="16"/>
        <v>-2906596.56</v>
      </c>
      <c r="L95" s="4">
        <f t="shared" si="14"/>
        <v>524</v>
      </c>
    </row>
    <row r="96" spans="1:12">
      <c r="A96" s="4">
        <f t="shared" si="17"/>
        <v>525</v>
      </c>
      <c r="B96" t="s">
        <v>449</v>
      </c>
      <c r="C96" s="21">
        <f t="shared" si="22"/>
        <v>2023</v>
      </c>
      <c r="D96" s="81" t="s">
        <v>450</v>
      </c>
      <c r="E96" s="81" t="s">
        <v>450</v>
      </c>
      <c r="F96" s="405">
        <v>0</v>
      </c>
      <c r="G96" s="405">
        <f t="shared" si="18"/>
        <v>-2653881.744629228</v>
      </c>
      <c r="H96" s="47">
        <v>8.3500000000000005E-2</v>
      </c>
      <c r="I96" s="13">
        <f t="shared" ref="I96" si="32">ROUND((F96/2+G95+J93)*H96/12,2)</f>
        <v>-19947.47</v>
      </c>
      <c r="J96" s="13">
        <f t="shared" si="19"/>
        <v>-272662.29000000004</v>
      </c>
      <c r="K96" s="13">
        <f t="shared" si="16"/>
        <v>-2926544.03</v>
      </c>
      <c r="L96" s="4">
        <f t="shared" si="14"/>
        <v>525</v>
      </c>
    </row>
    <row r="97" spans="1:12">
      <c r="A97" s="3"/>
      <c r="B97" s="2"/>
    </row>
    <row r="98" spans="1:12">
      <c r="A98" s="4"/>
      <c r="B98" s="416" t="s">
        <v>419</v>
      </c>
      <c r="C98" s="426"/>
      <c r="D98" s="426"/>
      <c r="E98" s="426"/>
      <c r="F98" s="426"/>
      <c r="G98" s="426" t="s">
        <v>430</v>
      </c>
      <c r="H98" s="426"/>
      <c r="I98" s="426"/>
      <c r="J98" s="426"/>
      <c r="K98" s="427" t="s">
        <v>430</v>
      </c>
    </row>
    <row r="99" spans="1:12">
      <c r="B99" s="419" t="s">
        <v>354</v>
      </c>
      <c r="C99" s="4"/>
      <c r="D99" s="4" t="s">
        <v>462</v>
      </c>
      <c r="E99" s="4" t="s">
        <v>462</v>
      </c>
      <c r="F99" s="4"/>
      <c r="G99" s="4" t="s">
        <v>433</v>
      </c>
      <c r="H99" s="4"/>
      <c r="I99" s="4"/>
      <c r="J99" s="4"/>
      <c r="K99" s="422" t="s">
        <v>433</v>
      </c>
    </row>
    <row r="100" spans="1:12">
      <c r="A100" s="4"/>
      <c r="B100" s="419"/>
      <c r="C100" s="4"/>
      <c r="D100" s="4" t="s">
        <v>431</v>
      </c>
      <c r="E100" s="4" t="s">
        <v>432</v>
      </c>
      <c r="F100" s="4" t="s">
        <v>435</v>
      </c>
      <c r="G100" s="4" t="s">
        <v>436</v>
      </c>
      <c r="H100" s="4" t="s">
        <v>437</v>
      </c>
      <c r="I100" s="4" t="s">
        <v>431</v>
      </c>
      <c r="J100" s="4" t="s">
        <v>438</v>
      </c>
      <c r="K100" s="422" t="s">
        <v>439</v>
      </c>
    </row>
    <row r="101" spans="1:12">
      <c r="A101" s="4"/>
      <c r="B101" s="423" t="s">
        <v>440</v>
      </c>
      <c r="C101" s="424" t="s">
        <v>441</v>
      </c>
      <c r="D101" s="424" t="s">
        <v>442</v>
      </c>
      <c r="E101" s="424" t="s">
        <v>443</v>
      </c>
      <c r="F101" s="424" t="s">
        <v>444</v>
      </c>
      <c r="G101" s="424" t="s">
        <v>445</v>
      </c>
      <c r="H101" s="424" t="s">
        <v>446</v>
      </c>
      <c r="I101" s="424" t="s">
        <v>447</v>
      </c>
      <c r="J101" s="424" t="s">
        <v>447</v>
      </c>
      <c r="K101" s="425" t="s">
        <v>448</v>
      </c>
    </row>
    <row r="102" spans="1:12">
      <c r="A102" s="4">
        <f>A96+1</f>
        <v>526</v>
      </c>
      <c r="B102" t="s">
        <v>449</v>
      </c>
      <c r="C102" s="21">
        <f>C103-1</f>
        <v>2021</v>
      </c>
      <c r="D102" s="81" t="s">
        <v>450</v>
      </c>
      <c r="E102" s="81" t="s">
        <v>450</v>
      </c>
      <c r="F102" s="21" t="s">
        <v>450</v>
      </c>
      <c r="G102" s="40">
        <v>-541523.1019386556</v>
      </c>
      <c r="H102" s="21" t="s">
        <v>450</v>
      </c>
      <c r="I102" s="21" t="s">
        <v>450</v>
      </c>
      <c r="J102" s="40">
        <v>-4960.619999999999</v>
      </c>
      <c r="K102" s="13">
        <f>ROUND((G102+J102),2)</f>
        <v>-546483.72</v>
      </c>
      <c r="L102" s="4">
        <f t="shared" ref="L102:L126" si="33">A102</f>
        <v>526</v>
      </c>
    </row>
    <row r="103" spans="1:12">
      <c r="A103" s="4">
        <f>A102+1</f>
        <v>527</v>
      </c>
      <c r="B103" t="s">
        <v>451</v>
      </c>
      <c r="C103" s="21">
        <f>'1-DRR'!$K$2</f>
        <v>2022</v>
      </c>
      <c r="D103" s="395">
        <f>IF(E103="N/A","N/A",'3-ATA'!$C$49*'9-WholesaleRevenues'!C66)</f>
        <v>962989.71583497222</v>
      </c>
      <c r="E103" s="395">
        <f>IF('9-WholesaleRevenues'!C99="N/A","N/A",'9-WholesaleRevenues'!C99)</f>
        <v>1212051.6499999999</v>
      </c>
      <c r="F103" s="405">
        <f t="shared" ref="F103:F114" si="34">IF(E103="N/A",0,D103-E103)</f>
        <v>-249061.93416502769</v>
      </c>
      <c r="G103" s="405">
        <f>F103+G102</f>
        <v>-790585.03610368329</v>
      </c>
      <c r="H103" s="431">
        <f>$H$73</f>
        <v>3.2500000000000001E-2</v>
      </c>
      <c r="I103" s="13">
        <f>IF(E103="N/A",0,ROUND((F103/2+G102+J102)*H103/12,2))</f>
        <v>-1817.33</v>
      </c>
      <c r="J103" s="13">
        <f>I103+J102</f>
        <v>-6777.9499999999989</v>
      </c>
      <c r="K103" s="13">
        <f t="shared" ref="K103:K126" si="35">ROUND((G103+J103),2)</f>
        <v>-797362.99</v>
      </c>
      <c r="L103" s="4">
        <f t="shared" si="33"/>
        <v>527</v>
      </c>
    </row>
    <row r="104" spans="1:12">
      <c r="A104" s="4">
        <f t="shared" ref="A104:A126" si="36">A103+1</f>
        <v>528</v>
      </c>
      <c r="B104" t="s">
        <v>452</v>
      </c>
      <c r="C104" s="21">
        <f>'1-DRR'!$K$2</f>
        <v>2022</v>
      </c>
      <c r="D104" s="395">
        <f>IF(E104="N/A","N/A",'3-ATA'!$C$49*'9-WholesaleRevenues'!C67)</f>
        <v>933542.33813466982</v>
      </c>
      <c r="E104" s="395">
        <f>IF('9-WholesaleRevenues'!C100="N/A","N/A",'9-WholesaleRevenues'!C100)</f>
        <v>1212027.1399999999</v>
      </c>
      <c r="F104" s="405">
        <f t="shared" si="34"/>
        <v>-278484.80186533008</v>
      </c>
      <c r="G104" s="405">
        <f t="shared" ref="G104:G114" si="37">F104+G103</f>
        <v>-1069069.8379690135</v>
      </c>
      <c r="H104" s="431">
        <f>$H$74</f>
        <v>3.2500000000000001E-2</v>
      </c>
      <c r="I104" s="13">
        <f>IF(E104="N/A",0,ROUND((F104/2+G103+J102)*H104/12,2))</f>
        <v>-2531.7199999999998</v>
      </c>
      <c r="J104" s="13">
        <f>I104+J103</f>
        <v>-9309.6699999999983</v>
      </c>
      <c r="K104" s="13">
        <f t="shared" si="35"/>
        <v>-1078379.51</v>
      </c>
      <c r="L104" s="4">
        <f t="shared" si="33"/>
        <v>528</v>
      </c>
    </row>
    <row r="105" spans="1:12">
      <c r="A105" s="4">
        <f t="shared" si="36"/>
        <v>529</v>
      </c>
      <c r="B105" t="s">
        <v>453</v>
      </c>
      <c r="C105" s="21">
        <f>'1-DRR'!$K$2</f>
        <v>2022</v>
      </c>
      <c r="D105" s="395">
        <f>IF(E105="N/A","N/A",'3-ATA'!$C$49*'9-WholesaleRevenues'!C68)</f>
        <v>934635.03521895013</v>
      </c>
      <c r="E105" s="395">
        <f>IF('9-WholesaleRevenues'!C101="N/A","N/A",'9-WholesaleRevenues'!C101)</f>
        <v>1209826.6099999999</v>
      </c>
      <c r="F105" s="405">
        <f t="shared" si="34"/>
        <v>-275191.57478104974</v>
      </c>
      <c r="G105" s="405">
        <f t="shared" si="37"/>
        <v>-1344261.4127500632</v>
      </c>
      <c r="H105" s="431">
        <f>$H$75</f>
        <v>3.2500000000000001E-2</v>
      </c>
      <c r="I105" s="13">
        <f>IF(E105="N/A",0,ROUND((F105/2+G104+J102)*H105/12,2))</f>
        <v>-3281.49</v>
      </c>
      <c r="J105" s="13">
        <f>I105+J104</f>
        <v>-12591.159999999998</v>
      </c>
      <c r="K105" s="13">
        <f t="shared" si="35"/>
        <v>-1356852.57</v>
      </c>
      <c r="L105" s="4">
        <f t="shared" si="33"/>
        <v>529</v>
      </c>
    </row>
    <row r="106" spans="1:12">
      <c r="A106" s="4">
        <f t="shared" si="36"/>
        <v>530</v>
      </c>
      <c r="B106" t="s">
        <v>454</v>
      </c>
      <c r="C106" s="21">
        <f>'1-DRR'!$K$2</f>
        <v>2022</v>
      </c>
      <c r="D106" s="395">
        <f>IF(E106="N/A","N/A",'3-ATA'!$C$49*'9-WholesaleRevenues'!C69)</f>
        <v>964692.57810013229</v>
      </c>
      <c r="E106" s="395">
        <f>IF('9-WholesaleRevenues'!C102="N/A","N/A",'9-WholesaleRevenues'!C102)</f>
        <v>1211602.46</v>
      </c>
      <c r="F106" s="405">
        <f t="shared" si="34"/>
        <v>-246909.88189986767</v>
      </c>
      <c r="G106" s="405">
        <f t="shared" si="37"/>
        <v>-1591171.2946499309</v>
      </c>
      <c r="H106" s="431">
        <f>$H$76</f>
        <v>3.2500000000000001E-2</v>
      </c>
      <c r="I106" s="13">
        <f>IF(E106="N/A",0,ROUND((F106/2+G105+J105)*H106/12,2))</f>
        <v>-4009.17</v>
      </c>
      <c r="J106" s="13">
        <f t="shared" ref="J106:J126" si="38">I106+J105</f>
        <v>-16600.329999999998</v>
      </c>
      <c r="K106" s="13">
        <f t="shared" si="35"/>
        <v>-1607771.62</v>
      </c>
      <c r="L106" s="4">
        <f t="shared" si="33"/>
        <v>530</v>
      </c>
    </row>
    <row r="107" spans="1:12">
      <c r="A107" s="4">
        <f t="shared" si="36"/>
        <v>531</v>
      </c>
      <c r="B107" t="s">
        <v>455</v>
      </c>
      <c r="C107" s="21">
        <f>'1-DRR'!$K$2</f>
        <v>2022</v>
      </c>
      <c r="D107" s="395">
        <f>IF(E107="N/A","N/A",'3-ATA'!$C$49*'9-WholesaleRevenues'!C70)</f>
        <v>935326.23561824043</v>
      </c>
      <c r="E107" s="395">
        <f>IF('9-WholesaleRevenues'!C103="N/A","N/A",'9-WholesaleRevenues'!C103)</f>
        <v>671746.6</v>
      </c>
      <c r="F107" s="405">
        <f t="shared" si="34"/>
        <v>263579.63561824046</v>
      </c>
      <c r="G107" s="405">
        <f t="shared" si="37"/>
        <v>-1327591.6590316906</v>
      </c>
      <c r="H107" s="431">
        <f>$H$77</f>
        <v>3.2500000000000001E-2</v>
      </c>
      <c r="I107" s="13">
        <f>IF(E107="N/A",0,ROUND((F107/2+G106+J105)*H107/12,2))</f>
        <v>-3986.59</v>
      </c>
      <c r="J107" s="13">
        <f t="shared" si="38"/>
        <v>-20586.919999999998</v>
      </c>
      <c r="K107" s="13">
        <f t="shared" si="35"/>
        <v>-1348178.58</v>
      </c>
      <c r="L107" s="4">
        <f t="shared" si="33"/>
        <v>531</v>
      </c>
    </row>
    <row r="108" spans="1:12">
      <c r="A108" s="4">
        <f t="shared" si="36"/>
        <v>532</v>
      </c>
      <c r="B108" t="s">
        <v>456</v>
      </c>
      <c r="C108" s="21">
        <f>'1-DRR'!$K$2</f>
        <v>2022</v>
      </c>
      <c r="D108" s="395">
        <f>IF(E108="N/A","N/A",'3-ATA'!$C$49*'9-WholesaleRevenues'!C71)</f>
        <v>938147.46182311431</v>
      </c>
      <c r="E108" s="395">
        <f>IF('9-WholesaleRevenues'!C104="N/A","N/A",'9-WholesaleRevenues'!C104)</f>
        <v>703434.1</v>
      </c>
      <c r="F108" s="405">
        <f t="shared" si="34"/>
        <v>234713.36182311433</v>
      </c>
      <c r="G108" s="405">
        <f t="shared" si="37"/>
        <v>-1092878.2972085762</v>
      </c>
      <c r="H108" s="431">
        <f>$H$78</f>
        <v>3.2500000000000001E-2</v>
      </c>
      <c r="I108" s="13">
        <f>IF(E108="N/A",0,ROUND((F108/2+G107+J105)*H108/12,2))</f>
        <v>-3311.82</v>
      </c>
      <c r="J108" s="13">
        <f t="shared" si="38"/>
        <v>-23898.739999999998</v>
      </c>
      <c r="K108" s="13">
        <f t="shared" si="35"/>
        <v>-1116777.04</v>
      </c>
      <c r="L108" s="4">
        <f t="shared" si="33"/>
        <v>532</v>
      </c>
    </row>
    <row r="109" spans="1:12">
      <c r="A109" s="4">
        <f t="shared" si="36"/>
        <v>533</v>
      </c>
      <c r="B109" t="s">
        <v>457</v>
      </c>
      <c r="C109" s="21">
        <f>'1-DRR'!$K$2</f>
        <v>2022</v>
      </c>
      <c r="D109" s="395">
        <f>IF(E109="N/A","N/A",'3-ATA'!$C$49*'9-WholesaleRevenues'!C72)</f>
        <v>858783.87924109958</v>
      </c>
      <c r="E109" s="395">
        <f>IF('9-WholesaleRevenues'!C105="N/A","N/A",'9-WholesaleRevenues'!C105)</f>
        <v>629634.88</v>
      </c>
      <c r="F109" s="405">
        <f t="shared" si="34"/>
        <v>229148.99924109958</v>
      </c>
      <c r="G109" s="405">
        <f t="shared" si="37"/>
        <v>-863729.29796747665</v>
      </c>
      <c r="H109" s="431">
        <f>$H$79</f>
        <v>3.5999999999999997E-2</v>
      </c>
      <c r="I109" s="13">
        <f>IF(E109="N/A",0,ROUND((F109/2+G108+J108)*H109/12,2))</f>
        <v>-3006.61</v>
      </c>
      <c r="J109" s="13">
        <f t="shared" si="38"/>
        <v>-26905.35</v>
      </c>
      <c r="K109" s="13">
        <f t="shared" si="35"/>
        <v>-890634.65</v>
      </c>
      <c r="L109" s="4">
        <f t="shared" si="33"/>
        <v>533</v>
      </c>
    </row>
    <row r="110" spans="1:12">
      <c r="A110" s="4">
        <f t="shared" si="36"/>
        <v>534</v>
      </c>
      <c r="B110" t="s">
        <v>458</v>
      </c>
      <c r="C110" s="21">
        <f>'1-DRR'!$K$2</f>
        <v>2022</v>
      </c>
      <c r="D110" s="395">
        <f>IF(E110="N/A","N/A",'3-ATA'!$C$49*'9-WholesaleRevenues'!C73)</f>
        <v>894200.72481939907</v>
      </c>
      <c r="E110" s="395">
        <f>IF('9-WholesaleRevenues'!C106="N/A","N/A",'9-WholesaleRevenues'!C106)</f>
        <v>886418.45000000007</v>
      </c>
      <c r="F110" s="405">
        <f t="shared" si="34"/>
        <v>7782.2748193989974</v>
      </c>
      <c r="G110" s="405">
        <f t="shared" si="37"/>
        <v>-855947.02314807766</v>
      </c>
      <c r="H110" s="431">
        <f>$H$80</f>
        <v>3.5999999999999997E-2</v>
      </c>
      <c r="I110" s="13">
        <f>IF(E110="N/A",0,ROUND((F110/2+G109+J108)*H110/12,2))</f>
        <v>-2651.21</v>
      </c>
      <c r="J110" s="13">
        <f t="shared" si="38"/>
        <v>-29556.559999999998</v>
      </c>
      <c r="K110" s="13">
        <f t="shared" si="35"/>
        <v>-885503.58</v>
      </c>
      <c r="L110" s="4">
        <f t="shared" si="33"/>
        <v>534</v>
      </c>
    </row>
    <row r="111" spans="1:12">
      <c r="A111" s="4">
        <f t="shared" si="36"/>
        <v>535</v>
      </c>
      <c r="B111" t="s">
        <v>459</v>
      </c>
      <c r="C111" s="21">
        <f>'1-DRR'!$K$2</f>
        <v>2022</v>
      </c>
      <c r="D111" s="395">
        <f>IF(E111="N/A","N/A",'3-ATA'!$C$49*'9-WholesaleRevenues'!C74)</f>
        <v>983052.03035765118</v>
      </c>
      <c r="E111" s="395">
        <f>IF('9-WholesaleRevenues'!C107="N/A","N/A",'9-WholesaleRevenues'!C107)</f>
        <v>1549978.97</v>
      </c>
      <c r="F111" s="405">
        <f t="shared" si="34"/>
        <v>-566926.93964234879</v>
      </c>
      <c r="G111" s="405">
        <f t="shared" si="37"/>
        <v>-1422873.9627904263</v>
      </c>
      <c r="H111" s="431">
        <f>$H$81</f>
        <v>3.5999999999999997E-2</v>
      </c>
      <c r="I111" s="13">
        <f>IF(E111="N/A",0,ROUND((F111/2+G110+J108)*H111/12,2))</f>
        <v>-3489.93</v>
      </c>
      <c r="J111" s="13">
        <f t="shared" si="38"/>
        <v>-33046.49</v>
      </c>
      <c r="K111" s="13">
        <f t="shared" si="35"/>
        <v>-1455920.45</v>
      </c>
      <c r="L111" s="4">
        <f t="shared" si="33"/>
        <v>535</v>
      </c>
    </row>
    <row r="112" spans="1:12">
      <c r="A112" s="4">
        <f t="shared" si="36"/>
        <v>536</v>
      </c>
      <c r="B112" t="s">
        <v>460</v>
      </c>
      <c r="C112" s="21">
        <f>'1-DRR'!$K$2</f>
        <v>2022</v>
      </c>
      <c r="D112" s="395">
        <f>IF(E112="N/A","N/A",'3-ATA'!$C$49*'9-WholesaleRevenues'!C75)</f>
        <v>934335.92257299821</v>
      </c>
      <c r="E112" s="395">
        <f>IF('9-WholesaleRevenues'!C108="N/A","N/A",'9-WholesaleRevenues'!C108)</f>
        <v>1484872.61</v>
      </c>
      <c r="F112" s="405">
        <f t="shared" si="34"/>
        <v>-550536.68742700189</v>
      </c>
      <c r="G112" s="405">
        <f t="shared" si="37"/>
        <v>-1973410.6502174283</v>
      </c>
      <c r="H112" s="431">
        <f>$H$82</f>
        <v>4.9099999999999998E-2</v>
      </c>
      <c r="I112" s="13">
        <f>IF(E112="N/A",0,ROUND((F112/2+G111+J111)*H112/12,2))</f>
        <v>-7083.45</v>
      </c>
      <c r="J112" s="13">
        <f t="shared" si="38"/>
        <v>-40129.939999999995</v>
      </c>
      <c r="K112" s="13">
        <f t="shared" si="35"/>
        <v>-2013540.59</v>
      </c>
      <c r="L112" s="4">
        <f t="shared" si="33"/>
        <v>536</v>
      </c>
    </row>
    <row r="113" spans="1:12">
      <c r="A113" s="4">
        <f t="shared" si="36"/>
        <v>537</v>
      </c>
      <c r="B113" t="s">
        <v>461</v>
      </c>
      <c r="C113" s="21">
        <f>'1-DRR'!$K$2</f>
        <v>2022</v>
      </c>
      <c r="D113" s="395">
        <f>IF(E113="N/A","N/A",'3-ATA'!$C$49*'9-WholesaleRevenues'!C76)</f>
        <v>946649.28286197444</v>
      </c>
      <c r="E113" s="395">
        <f>IF('9-WholesaleRevenues'!C109="N/A","N/A",'9-WholesaleRevenues'!C109)</f>
        <v>1479024.9049999949</v>
      </c>
      <c r="F113" s="405">
        <f t="shared" si="34"/>
        <v>-532375.62213802047</v>
      </c>
      <c r="G113" s="405">
        <f t="shared" si="37"/>
        <v>-2505786.2723554489</v>
      </c>
      <c r="H113" s="431">
        <f>$H$83</f>
        <v>4.9099999999999998E-2</v>
      </c>
      <c r="I113" s="13">
        <f>IF(E113="N/A",0,ROUND((F113/2+G112+J111)*H113/12,2))</f>
        <v>-9298.91</v>
      </c>
      <c r="J113" s="13">
        <f t="shared" si="38"/>
        <v>-49428.849999999991</v>
      </c>
      <c r="K113" s="13">
        <f t="shared" si="35"/>
        <v>-2555215.12</v>
      </c>
      <c r="L113" s="4">
        <f t="shared" si="33"/>
        <v>537</v>
      </c>
    </row>
    <row r="114" spans="1:12">
      <c r="A114" s="4">
        <f t="shared" si="36"/>
        <v>538</v>
      </c>
      <c r="B114" t="s">
        <v>449</v>
      </c>
      <c r="C114" s="21">
        <f>'1-DRR'!$K$2</f>
        <v>2022</v>
      </c>
      <c r="D114" s="395">
        <f>IF(E114="N/A","N/A",'3-ATA'!$C$49*'9-WholesaleRevenues'!C77)</f>
        <v>964984.22715750348</v>
      </c>
      <c r="E114" s="395">
        <f>IF('9-WholesaleRevenues'!C110="N/A","N/A",'9-WholesaleRevenues'!C110)</f>
        <v>1503322.4149999947</v>
      </c>
      <c r="F114" s="405">
        <f t="shared" si="34"/>
        <v>-538338.1878424912</v>
      </c>
      <c r="G114" s="405">
        <f t="shared" si="37"/>
        <v>-3044124.46019794</v>
      </c>
      <c r="H114" s="431">
        <f>$H$84</f>
        <v>4.9099999999999998E-2</v>
      </c>
      <c r="I114" s="13">
        <f>IF(E114="N/A",0,ROUND((F114/2+G113+J111)*H114/12,2))</f>
        <v>-11489.41</v>
      </c>
      <c r="J114" s="13">
        <f t="shared" si="38"/>
        <v>-60918.259999999995</v>
      </c>
      <c r="K114" s="13">
        <f t="shared" si="35"/>
        <v>-3105042.72</v>
      </c>
      <c r="L114" s="4">
        <f t="shared" si="33"/>
        <v>538</v>
      </c>
    </row>
    <row r="115" spans="1:12">
      <c r="A115" s="4">
        <f t="shared" si="36"/>
        <v>539</v>
      </c>
      <c r="B115" t="s">
        <v>451</v>
      </c>
      <c r="C115" s="21">
        <f>C114+1</f>
        <v>2023</v>
      </c>
      <c r="D115" s="81" t="s">
        <v>450</v>
      </c>
      <c r="E115" s="81" t="s">
        <v>450</v>
      </c>
      <c r="F115" s="405">
        <v>0</v>
      </c>
      <c r="G115" s="405">
        <f>F115+G114</f>
        <v>-3044124.46019794</v>
      </c>
      <c r="H115" s="431">
        <f>$H$85</f>
        <v>6.3100000000000003E-2</v>
      </c>
      <c r="I115" s="13">
        <f t="shared" ref="I115" si="39">ROUND((F115/2+G114+J114)*H115/12,2)</f>
        <v>-16327.35</v>
      </c>
      <c r="J115" s="13">
        <f t="shared" si="38"/>
        <v>-77245.61</v>
      </c>
      <c r="K115" s="13">
        <f t="shared" si="35"/>
        <v>-3121370.07</v>
      </c>
      <c r="L115" s="4">
        <f t="shared" si="33"/>
        <v>539</v>
      </c>
    </row>
    <row r="116" spans="1:12">
      <c r="A116" s="4">
        <f t="shared" si="36"/>
        <v>540</v>
      </c>
      <c r="B116" t="s">
        <v>452</v>
      </c>
      <c r="C116" s="21">
        <f>C115</f>
        <v>2023</v>
      </c>
      <c r="D116" s="81" t="s">
        <v>450</v>
      </c>
      <c r="E116" s="81" t="s">
        <v>450</v>
      </c>
      <c r="F116" s="405">
        <v>0</v>
      </c>
      <c r="G116" s="405">
        <f t="shared" ref="G116:G126" si="40">F116+G115</f>
        <v>-3044124.46019794</v>
      </c>
      <c r="H116" s="431">
        <f>$H$86</f>
        <v>6.3100000000000003E-2</v>
      </c>
      <c r="I116" s="13">
        <f t="shared" ref="I116" si="41">ROUND((F116/2+G115+J114)*H116/12,2)</f>
        <v>-16327.35</v>
      </c>
      <c r="J116" s="13">
        <f t="shared" si="38"/>
        <v>-93572.96</v>
      </c>
      <c r="K116" s="13">
        <f t="shared" si="35"/>
        <v>-3137697.42</v>
      </c>
      <c r="L116" s="4">
        <f t="shared" si="33"/>
        <v>540</v>
      </c>
    </row>
    <row r="117" spans="1:12">
      <c r="A117" s="4">
        <f t="shared" si="36"/>
        <v>541</v>
      </c>
      <c r="B117" t="s">
        <v>453</v>
      </c>
      <c r="C117" s="21">
        <f t="shared" ref="C117:C126" si="42">C116</f>
        <v>2023</v>
      </c>
      <c r="D117" s="81" t="s">
        <v>450</v>
      </c>
      <c r="E117" s="81" t="s">
        <v>450</v>
      </c>
      <c r="F117" s="405">
        <v>0</v>
      </c>
      <c r="G117" s="405">
        <f t="shared" si="40"/>
        <v>-3044124.46019794</v>
      </c>
      <c r="H117" s="431">
        <f>$H$87</f>
        <v>6.3100000000000003E-2</v>
      </c>
      <c r="I117" s="13">
        <f t="shared" ref="I117" si="43">ROUND((F117/2+G116+J114)*H117/12,2)</f>
        <v>-16327.35</v>
      </c>
      <c r="J117" s="13">
        <f t="shared" si="38"/>
        <v>-109900.31000000001</v>
      </c>
      <c r="K117" s="13">
        <f t="shared" si="35"/>
        <v>-3154024.77</v>
      </c>
      <c r="L117" s="4">
        <f t="shared" si="33"/>
        <v>541</v>
      </c>
    </row>
    <row r="118" spans="1:12">
      <c r="A118" s="4">
        <f t="shared" si="36"/>
        <v>542</v>
      </c>
      <c r="B118" t="s">
        <v>454</v>
      </c>
      <c r="C118" s="21">
        <f t="shared" si="42"/>
        <v>2023</v>
      </c>
      <c r="D118" s="81" t="s">
        <v>450</v>
      </c>
      <c r="E118" s="81" t="s">
        <v>450</v>
      </c>
      <c r="F118" s="405">
        <v>0</v>
      </c>
      <c r="G118" s="405">
        <f t="shared" si="40"/>
        <v>-3044124.46019794</v>
      </c>
      <c r="H118" s="431">
        <f>$H$88</f>
        <v>7.4999999999999997E-2</v>
      </c>
      <c r="I118" s="13">
        <f t="shared" ref="I118" si="44">ROUND((F118/2+G117+J117)*H118/12,2)</f>
        <v>-19712.650000000001</v>
      </c>
      <c r="J118" s="13">
        <f t="shared" si="38"/>
        <v>-129612.96000000002</v>
      </c>
      <c r="K118" s="13">
        <f t="shared" si="35"/>
        <v>-3173737.42</v>
      </c>
      <c r="L118" s="4">
        <f t="shared" si="33"/>
        <v>542</v>
      </c>
    </row>
    <row r="119" spans="1:12">
      <c r="A119" s="4">
        <f t="shared" si="36"/>
        <v>543</v>
      </c>
      <c r="B119" t="s">
        <v>455</v>
      </c>
      <c r="C119" s="21">
        <f t="shared" si="42"/>
        <v>2023</v>
      </c>
      <c r="D119" s="81" t="s">
        <v>450</v>
      </c>
      <c r="E119" s="81" t="s">
        <v>450</v>
      </c>
      <c r="F119" s="405">
        <v>0</v>
      </c>
      <c r="G119" s="405">
        <f t="shared" si="40"/>
        <v>-3044124.46019794</v>
      </c>
      <c r="H119" s="431">
        <f>$H$89</f>
        <v>7.4999999999999997E-2</v>
      </c>
      <c r="I119" s="13">
        <f t="shared" ref="I119" si="45">ROUND((F119/2+G118+J117)*H119/12,2)</f>
        <v>-19712.650000000001</v>
      </c>
      <c r="J119" s="13">
        <f t="shared" si="38"/>
        <v>-149325.61000000002</v>
      </c>
      <c r="K119" s="13">
        <f t="shared" si="35"/>
        <v>-3193450.07</v>
      </c>
      <c r="L119" s="4">
        <f t="shared" si="33"/>
        <v>543</v>
      </c>
    </row>
    <row r="120" spans="1:12">
      <c r="A120" s="4">
        <f t="shared" si="36"/>
        <v>544</v>
      </c>
      <c r="B120" t="s">
        <v>456</v>
      </c>
      <c r="C120" s="21">
        <f t="shared" si="42"/>
        <v>2023</v>
      </c>
      <c r="D120" s="81" t="s">
        <v>450</v>
      </c>
      <c r="E120" s="81" t="s">
        <v>450</v>
      </c>
      <c r="F120" s="405">
        <v>0</v>
      </c>
      <c r="G120" s="405">
        <f t="shared" si="40"/>
        <v>-3044124.46019794</v>
      </c>
      <c r="H120" s="431">
        <f>$H$90</f>
        <v>7.4999999999999997E-2</v>
      </c>
      <c r="I120" s="13">
        <f t="shared" ref="I120" si="46">ROUND((F120/2+G119+J117)*H120/12,2)</f>
        <v>-19712.650000000001</v>
      </c>
      <c r="J120" s="13">
        <f t="shared" si="38"/>
        <v>-169038.26</v>
      </c>
      <c r="K120" s="13">
        <f t="shared" si="35"/>
        <v>-3213162.72</v>
      </c>
      <c r="L120" s="4">
        <f t="shared" si="33"/>
        <v>544</v>
      </c>
    </row>
    <row r="121" spans="1:12">
      <c r="A121" s="4">
        <f t="shared" si="36"/>
        <v>545</v>
      </c>
      <c r="B121" t="s">
        <v>457</v>
      </c>
      <c r="C121" s="21">
        <f t="shared" si="42"/>
        <v>2023</v>
      </c>
      <c r="D121" s="81" t="s">
        <v>450</v>
      </c>
      <c r="E121" s="81" t="s">
        <v>450</v>
      </c>
      <c r="F121" s="405">
        <v>0</v>
      </c>
      <c r="G121" s="405">
        <f t="shared" si="40"/>
        <v>-3044124.46019794</v>
      </c>
      <c r="H121" s="431">
        <f>$H$91</f>
        <v>8.0199999999999994E-2</v>
      </c>
      <c r="I121" s="13">
        <f t="shared" ref="I121" si="47">ROUND((F121/2+G120+J120)*H121/12,2)</f>
        <v>-21474.639999999999</v>
      </c>
      <c r="J121" s="13">
        <f t="shared" si="38"/>
        <v>-190512.90000000002</v>
      </c>
      <c r="K121" s="13">
        <f t="shared" si="35"/>
        <v>-3234637.36</v>
      </c>
      <c r="L121" s="4">
        <f t="shared" si="33"/>
        <v>545</v>
      </c>
    </row>
    <row r="122" spans="1:12">
      <c r="A122" s="4">
        <f t="shared" si="36"/>
        <v>546</v>
      </c>
      <c r="B122" t="s">
        <v>458</v>
      </c>
      <c r="C122" s="21">
        <f t="shared" si="42"/>
        <v>2023</v>
      </c>
      <c r="D122" s="81" t="s">
        <v>450</v>
      </c>
      <c r="E122" s="81" t="s">
        <v>450</v>
      </c>
      <c r="F122" s="405">
        <v>0</v>
      </c>
      <c r="G122" s="405">
        <f t="shared" si="40"/>
        <v>-3044124.46019794</v>
      </c>
      <c r="H122" s="431">
        <f>$H$92</f>
        <v>8.0199999999999994E-2</v>
      </c>
      <c r="I122" s="13">
        <f t="shared" ref="I122" si="48">ROUND((F122/2+G121+J120)*H122/12,2)</f>
        <v>-21474.639999999999</v>
      </c>
      <c r="J122" s="13">
        <f t="shared" si="38"/>
        <v>-211987.54000000004</v>
      </c>
      <c r="K122" s="13">
        <f t="shared" si="35"/>
        <v>-3256112</v>
      </c>
      <c r="L122" s="4">
        <f t="shared" si="33"/>
        <v>546</v>
      </c>
    </row>
    <row r="123" spans="1:12">
      <c r="A123" s="4">
        <f t="shared" si="36"/>
        <v>547</v>
      </c>
      <c r="B123" t="s">
        <v>459</v>
      </c>
      <c r="C123" s="21">
        <f t="shared" si="42"/>
        <v>2023</v>
      </c>
      <c r="D123" s="81" t="s">
        <v>450</v>
      </c>
      <c r="E123" s="81" t="s">
        <v>450</v>
      </c>
      <c r="F123" s="405">
        <v>0</v>
      </c>
      <c r="G123" s="405">
        <f t="shared" si="40"/>
        <v>-3044124.46019794</v>
      </c>
      <c r="H123" s="431">
        <f>$H$93</f>
        <v>8.0199999999999994E-2</v>
      </c>
      <c r="I123" s="13">
        <f t="shared" ref="I123" si="49">ROUND((F123/2+G122+J120)*H123/12,2)</f>
        <v>-21474.639999999999</v>
      </c>
      <c r="J123" s="13">
        <f t="shared" si="38"/>
        <v>-233462.18000000005</v>
      </c>
      <c r="K123" s="13">
        <f t="shared" si="35"/>
        <v>-3277586.64</v>
      </c>
      <c r="L123" s="4">
        <f t="shared" si="33"/>
        <v>547</v>
      </c>
    </row>
    <row r="124" spans="1:12">
      <c r="A124" s="4">
        <f t="shared" si="36"/>
        <v>548</v>
      </c>
      <c r="B124" t="s">
        <v>460</v>
      </c>
      <c r="C124" s="21">
        <f t="shared" si="42"/>
        <v>2023</v>
      </c>
      <c r="D124" s="81" t="s">
        <v>450</v>
      </c>
      <c r="E124" s="81" t="s">
        <v>450</v>
      </c>
      <c r="F124" s="405">
        <v>0</v>
      </c>
      <c r="G124" s="405">
        <f t="shared" si="40"/>
        <v>-3044124.46019794</v>
      </c>
      <c r="H124" s="431">
        <f>$H$94</f>
        <v>8.3500000000000005E-2</v>
      </c>
      <c r="I124" s="13">
        <f t="shared" ref="I124" si="50">ROUND((F124/2+G123+J123)*H124/12,2)</f>
        <v>-22806.54</v>
      </c>
      <c r="J124" s="13">
        <f t="shared" si="38"/>
        <v>-256268.72000000006</v>
      </c>
      <c r="K124" s="13">
        <f t="shared" si="35"/>
        <v>-3300393.18</v>
      </c>
      <c r="L124" s="4">
        <f t="shared" si="33"/>
        <v>548</v>
      </c>
    </row>
    <row r="125" spans="1:12">
      <c r="A125" s="4">
        <f t="shared" si="36"/>
        <v>549</v>
      </c>
      <c r="B125" t="s">
        <v>461</v>
      </c>
      <c r="C125" s="21">
        <f t="shared" si="42"/>
        <v>2023</v>
      </c>
      <c r="D125" s="81" t="s">
        <v>450</v>
      </c>
      <c r="E125" s="81" t="s">
        <v>450</v>
      </c>
      <c r="F125" s="405">
        <v>0</v>
      </c>
      <c r="G125" s="405">
        <f t="shared" si="40"/>
        <v>-3044124.46019794</v>
      </c>
      <c r="H125" s="431">
        <f>$H$95</f>
        <v>8.3500000000000005E-2</v>
      </c>
      <c r="I125" s="13">
        <f t="shared" ref="I125" si="51">ROUND((F125/2+G124+J123)*H125/12,2)</f>
        <v>-22806.54</v>
      </c>
      <c r="J125" s="13">
        <f t="shared" si="38"/>
        <v>-279075.26000000007</v>
      </c>
      <c r="K125" s="13">
        <f t="shared" si="35"/>
        <v>-3323199.72</v>
      </c>
      <c r="L125" s="4">
        <f t="shared" si="33"/>
        <v>549</v>
      </c>
    </row>
    <row r="126" spans="1:12">
      <c r="A126" s="4">
        <f t="shared" si="36"/>
        <v>550</v>
      </c>
      <c r="B126" t="s">
        <v>449</v>
      </c>
      <c r="C126" s="21">
        <f t="shared" si="42"/>
        <v>2023</v>
      </c>
      <c r="D126" s="81" t="s">
        <v>450</v>
      </c>
      <c r="E126" s="81" t="s">
        <v>450</v>
      </c>
      <c r="F126" s="405">
        <v>0</v>
      </c>
      <c r="G126" s="405">
        <f t="shared" si="40"/>
        <v>-3044124.46019794</v>
      </c>
      <c r="H126" s="431">
        <f>$H$96</f>
        <v>8.3500000000000005E-2</v>
      </c>
      <c r="I126" s="13">
        <f t="shared" ref="I126" si="52">ROUND((F126/2+G125+J123)*H126/12,2)</f>
        <v>-22806.54</v>
      </c>
      <c r="J126" s="13">
        <f t="shared" si="38"/>
        <v>-301881.80000000005</v>
      </c>
      <c r="K126" s="13">
        <f t="shared" si="35"/>
        <v>-3346006.26</v>
      </c>
      <c r="L126" s="4">
        <f t="shared" si="33"/>
        <v>550</v>
      </c>
    </row>
    <row r="127" spans="1:12">
      <c r="A127" s="4"/>
      <c r="C127" s="21"/>
      <c r="D127" s="81"/>
      <c r="E127" s="81"/>
      <c r="F127" s="405"/>
      <c r="G127" s="405"/>
      <c r="H127" s="406"/>
      <c r="I127" s="13"/>
      <c r="J127" s="13"/>
      <c r="K127" s="13"/>
      <c r="L127" s="4"/>
    </row>
    <row r="128" spans="1:12">
      <c r="A128" s="3" t="s">
        <v>92</v>
      </c>
      <c r="B128" s="416" t="s">
        <v>419</v>
      </c>
      <c r="C128" s="417" t="s">
        <v>124</v>
      </c>
      <c r="D128" s="417" t="s">
        <v>125</v>
      </c>
      <c r="E128" s="417" t="s">
        <v>126</v>
      </c>
      <c r="F128" s="417" t="s">
        <v>127</v>
      </c>
      <c r="G128" s="417" t="s">
        <v>420</v>
      </c>
      <c r="H128" s="417" t="s">
        <v>421</v>
      </c>
      <c r="I128" s="417" t="s">
        <v>422</v>
      </c>
      <c r="J128" s="417" t="s">
        <v>423</v>
      </c>
      <c r="K128" s="418" t="s">
        <v>424</v>
      </c>
      <c r="L128" s="3" t="str">
        <f t="shared" ref="L128:L129" si="53">A128</f>
        <v>Line</v>
      </c>
    </row>
    <row r="129" spans="1:12">
      <c r="A129" s="4">
        <f>A67+100</f>
        <v>600</v>
      </c>
      <c r="B129" s="419" t="s">
        <v>463</v>
      </c>
      <c r="C129" s="4"/>
      <c r="D129" s="18" t="s">
        <v>103</v>
      </c>
      <c r="E129" s="18" t="s">
        <v>425</v>
      </c>
      <c r="F129" s="21" t="str">
        <f>""&amp;D128&amp;" - "&amp;E128&amp;""</f>
        <v>Col 2 - Col 3</v>
      </c>
      <c r="G129" s="21" t="s">
        <v>426</v>
      </c>
      <c r="H129" s="21" t="s">
        <v>427</v>
      </c>
      <c r="I129" s="21" t="s">
        <v>428</v>
      </c>
      <c r="J129" s="21" t="s">
        <v>429</v>
      </c>
      <c r="K129" s="420" t="str">
        <f>""&amp;G128&amp;" + "&amp;J128&amp;""</f>
        <v>Col 5 + Col 8</v>
      </c>
      <c r="L129" s="4">
        <f t="shared" si="53"/>
        <v>600</v>
      </c>
    </row>
    <row r="130" spans="1:12">
      <c r="A130" s="4"/>
      <c r="B130" s="421"/>
      <c r="C130" s="4"/>
      <c r="D130" s="4"/>
      <c r="E130" s="4"/>
      <c r="F130" s="4"/>
      <c r="G130" s="4" t="s">
        <v>430</v>
      </c>
      <c r="H130" s="4"/>
      <c r="I130" s="4"/>
      <c r="J130" s="4"/>
      <c r="K130" s="422" t="s">
        <v>430</v>
      </c>
    </row>
    <row r="131" spans="1:12">
      <c r="B131" s="421"/>
      <c r="C131" s="4"/>
      <c r="D131" s="4" t="s">
        <v>434</v>
      </c>
      <c r="E131" s="4" t="s">
        <v>434</v>
      </c>
      <c r="F131" s="4"/>
      <c r="G131" s="4" t="s">
        <v>433</v>
      </c>
      <c r="H131" s="4"/>
      <c r="I131" s="4"/>
      <c r="J131" s="4"/>
      <c r="K131" s="422" t="s">
        <v>433</v>
      </c>
    </row>
    <row r="132" spans="1:12">
      <c r="A132" s="4"/>
      <c r="B132" s="419"/>
      <c r="C132" s="4"/>
      <c r="D132" s="4" t="s">
        <v>431</v>
      </c>
      <c r="E132" s="4" t="s">
        <v>432</v>
      </c>
      <c r="F132" s="4" t="s">
        <v>435</v>
      </c>
      <c r="G132" s="4" t="s">
        <v>436</v>
      </c>
      <c r="H132" s="4" t="s">
        <v>437</v>
      </c>
      <c r="I132" s="4" t="s">
        <v>431</v>
      </c>
      <c r="J132" s="4" t="s">
        <v>438</v>
      </c>
      <c r="K132" s="422" t="s">
        <v>439</v>
      </c>
    </row>
    <row r="133" spans="1:12">
      <c r="A133" s="4"/>
      <c r="B133" s="423" t="s">
        <v>440</v>
      </c>
      <c r="C133" s="424" t="s">
        <v>441</v>
      </c>
      <c r="D133" s="424" t="s">
        <v>442</v>
      </c>
      <c r="E133" s="424" t="s">
        <v>443</v>
      </c>
      <c r="F133" s="424" t="s">
        <v>444</v>
      </c>
      <c r="G133" s="424" t="s">
        <v>445</v>
      </c>
      <c r="H133" s="424" t="s">
        <v>446</v>
      </c>
      <c r="I133" s="424" t="s">
        <v>447</v>
      </c>
      <c r="J133" s="424" t="s">
        <v>447</v>
      </c>
      <c r="K133" s="425" t="s">
        <v>448</v>
      </c>
    </row>
    <row r="134" spans="1:12">
      <c r="A134" s="4">
        <f>A129+1</f>
        <v>601</v>
      </c>
      <c r="B134" t="s">
        <v>449</v>
      </c>
      <c r="C134" s="21">
        <f>C135-1</f>
        <v>2021</v>
      </c>
      <c r="D134" s="81" t="s">
        <v>450</v>
      </c>
      <c r="E134" s="81" t="s">
        <v>450</v>
      </c>
      <c r="F134" s="21" t="s">
        <v>450</v>
      </c>
      <c r="G134" s="40"/>
      <c r="H134" s="21" t="s">
        <v>450</v>
      </c>
      <c r="I134" s="21" t="s">
        <v>450</v>
      </c>
      <c r="J134" s="40"/>
      <c r="K134" s="13">
        <f>ROUND((G134+J134),2)</f>
        <v>0</v>
      </c>
      <c r="L134" s="4">
        <f t="shared" ref="L134:L158" si="54">A134</f>
        <v>601</v>
      </c>
    </row>
    <row r="135" spans="1:12">
      <c r="A135" s="4">
        <f>A134+1</f>
        <v>602</v>
      </c>
      <c r="B135" t="s">
        <v>451</v>
      </c>
      <c r="C135" s="21">
        <f>'1-DRR'!$K$2</f>
        <v>2022</v>
      </c>
      <c r="D135" s="395" t="e">
        <f>IF(E135="N/A","N/A",($D$42*'9-WholesaleRevenues'!E14))</f>
        <v>#DIV/0!</v>
      </c>
      <c r="E135" s="395">
        <f>IF('9-WholesaleRevenues'!E48="N/A","N/A",'9-WholesaleRevenues'!E48)</f>
        <v>0</v>
      </c>
      <c r="F135" s="405" t="e">
        <f t="shared" ref="F135:F146" si="55">IF(E135="N/A",0,D135-E135)</f>
        <v>#DIV/0!</v>
      </c>
      <c r="G135" s="405" t="e">
        <f>F135+G134</f>
        <v>#DIV/0!</v>
      </c>
      <c r="H135" s="431">
        <f>$H$73</f>
        <v>3.2500000000000001E-2</v>
      </c>
      <c r="I135" s="13" t="e">
        <f>IF(E135="N/A",0,ROUND((F135/2+G134+J134)*H135/12,2))</f>
        <v>#DIV/0!</v>
      </c>
      <c r="J135" s="13" t="e">
        <f>I135+J134</f>
        <v>#DIV/0!</v>
      </c>
      <c r="K135" s="13" t="e">
        <f t="shared" ref="K135:K158" si="56">ROUND((G135+J135),2)</f>
        <v>#DIV/0!</v>
      </c>
      <c r="L135" s="4">
        <f t="shared" si="54"/>
        <v>602</v>
      </c>
    </row>
    <row r="136" spans="1:12">
      <c r="A136" s="4">
        <f t="shared" ref="A136:A158" si="57">A135+1</f>
        <v>603</v>
      </c>
      <c r="B136" t="s">
        <v>452</v>
      </c>
      <c r="C136" s="21">
        <f>'1-DRR'!$K$2</f>
        <v>2022</v>
      </c>
      <c r="D136" s="395" t="e">
        <f>IF(E136="N/A","N/A",($D$42*'9-WholesaleRevenues'!E15))</f>
        <v>#DIV/0!</v>
      </c>
      <c r="E136" s="395">
        <f>IF('9-WholesaleRevenues'!E49="N/A","N/A",'9-WholesaleRevenues'!E49)</f>
        <v>0</v>
      </c>
      <c r="F136" s="405" t="e">
        <f t="shared" si="55"/>
        <v>#DIV/0!</v>
      </c>
      <c r="G136" s="405" t="e">
        <f t="shared" ref="G136:G146" si="58">F136+G135</f>
        <v>#DIV/0!</v>
      </c>
      <c r="H136" s="431">
        <f>$H$74</f>
        <v>3.2500000000000001E-2</v>
      </c>
      <c r="I136" s="13" t="e">
        <f>IF(E136="N/A",0,ROUND((F136/2+G135+J134)*H136/12,2))</f>
        <v>#DIV/0!</v>
      </c>
      <c r="J136" s="13" t="e">
        <f>I136+J135</f>
        <v>#DIV/0!</v>
      </c>
      <c r="K136" s="13" t="e">
        <f t="shared" si="56"/>
        <v>#DIV/0!</v>
      </c>
      <c r="L136" s="4">
        <f t="shared" si="54"/>
        <v>603</v>
      </c>
    </row>
    <row r="137" spans="1:12">
      <c r="A137" s="4">
        <f t="shared" si="57"/>
        <v>604</v>
      </c>
      <c r="B137" t="s">
        <v>453</v>
      </c>
      <c r="C137" s="21">
        <f>'1-DRR'!$K$2</f>
        <v>2022</v>
      </c>
      <c r="D137" s="395" t="e">
        <f>IF(E137="N/A","N/A",($D$42*'9-WholesaleRevenues'!E16))</f>
        <v>#DIV/0!</v>
      </c>
      <c r="E137" s="395">
        <f>IF('9-WholesaleRevenues'!E50="N/A","N/A",'9-WholesaleRevenues'!E50)</f>
        <v>0</v>
      </c>
      <c r="F137" s="405" t="e">
        <f t="shared" si="55"/>
        <v>#DIV/0!</v>
      </c>
      <c r="G137" s="405" t="e">
        <f t="shared" si="58"/>
        <v>#DIV/0!</v>
      </c>
      <c r="H137" s="431">
        <f>$H$75</f>
        <v>3.2500000000000001E-2</v>
      </c>
      <c r="I137" s="13" t="e">
        <f>IF(E137="N/A",0,ROUND((F137/2+G136+J134)*H137/12,2))</f>
        <v>#DIV/0!</v>
      </c>
      <c r="J137" s="13" t="e">
        <f>I137+J136</f>
        <v>#DIV/0!</v>
      </c>
      <c r="K137" s="13" t="e">
        <f t="shared" si="56"/>
        <v>#DIV/0!</v>
      </c>
      <c r="L137" s="4">
        <f t="shared" si="54"/>
        <v>604</v>
      </c>
    </row>
    <row r="138" spans="1:12">
      <c r="A138" s="4">
        <f t="shared" si="57"/>
        <v>605</v>
      </c>
      <c r="B138" t="s">
        <v>454</v>
      </c>
      <c r="C138" s="21">
        <f>'1-DRR'!$K$2</f>
        <v>2022</v>
      </c>
      <c r="D138" s="395" t="e">
        <f>IF(E138="N/A","N/A",($D$42*'9-WholesaleRevenues'!E17))</f>
        <v>#DIV/0!</v>
      </c>
      <c r="E138" s="395">
        <f>IF('9-WholesaleRevenues'!E51="N/A","N/A",'9-WholesaleRevenues'!E51)</f>
        <v>0</v>
      </c>
      <c r="F138" s="405" t="e">
        <f t="shared" si="55"/>
        <v>#DIV/0!</v>
      </c>
      <c r="G138" s="405" t="e">
        <f t="shared" si="58"/>
        <v>#DIV/0!</v>
      </c>
      <c r="H138" s="431">
        <f>$H$76</f>
        <v>3.2500000000000001E-2</v>
      </c>
      <c r="I138" s="13" t="e">
        <f>IF(E138="N/A",0,ROUND((F138/2+G137+J137)*H138/12,2))</f>
        <v>#DIV/0!</v>
      </c>
      <c r="J138" s="13" t="e">
        <f t="shared" ref="J138:J158" si="59">I138+J137</f>
        <v>#DIV/0!</v>
      </c>
      <c r="K138" s="13" t="e">
        <f t="shared" si="56"/>
        <v>#DIV/0!</v>
      </c>
      <c r="L138" s="4">
        <f t="shared" si="54"/>
        <v>605</v>
      </c>
    </row>
    <row r="139" spans="1:12">
      <c r="A139" s="4">
        <f t="shared" si="57"/>
        <v>606</v>
      </c>
      <c r="B139" t="s">
        <v>455</v>
      </c>
      <c r="C139" s="21">
        <f>'1-DRR'!$K$2</f>
        <v>2022</v>
      </c>
      <c r="D139" s="395" t="e">
        <f>IF(E139="N/A","N/A",($D$42*'9-WholesaleRevenues'!E18))</f>
        <v>#DIV/0!</v>
      </c>
      <c r="E139" s="395">
        <f>IF('9-WholesaleRevenues'!E52="N/A","N/A",'9-WholesaleRevenues'!E52)</f>
        <v>0</v>
      </c>
      <c r="F139" s="405" t="e">
        <f t="shared" si="55"/>
        <v>#DIV/0!</v>
      </c>
      <c r="G139" s="405" t="e">
        <f t="shared" si="58"/>
        <v>#DIV/0!</v>
      </c>
      <c r="H139" s="431">
        <f>$H$77</f>
        <v>3.2500000000000001E-2</v>
      </c>
      <c r="I139" s="13" t="e">
        <f>IF(E139="N/A",0,ROUND((F139/2+G138+J137)*H139/12,2))</f>
        <v>#DIV/0!</v>
      </c>
      <c r="J139" s="13" t="e">
        <f t="shared" si="59"/>
        <v>#DIV/0!</v>
      </c>
      <c r="K139" s="13" t="e">
        <f t="shared" si="56"/>
        <v>#DIV/0!</v>
      </c>
      <c r="L139" s="4">
        <f t="shared" si="54"/>
        <v>606</v>
      </c>
    </row>
    <row r="140" spans="1:12">
      <c r="A140" s="4">
        <f t="shared" si="57"/>
        <v>607</v>
      </c>
      <c r="B140" t="s">
        <v>456</v>
      </c>
      <c r="C140" s="21">
        <f>'1-DRR'!$K$2</f>
        <v>2022</v>
      </c>
      <c r="D140" s="395" t="e">
        <f>IF(E140="N/A","N/A",($D$42*'9-WholesaleRevenues'!E19))</f>
        <v>#DIV/0!</v>
      </c>
      <c r="E140" s="395">
        <f>IF('9-WholesaleRevenues'!E53="N/A","N/A",'9-WholesaleRevenues'!E53)</f>
        <v>0</v>
      </c>
      <c r="F140" s="405" t="e">
        <f t="shared" si="55"/>
        <v>#DIV/0!</v>
      </c>
      <c r="G140" s="405" t="e">
        <f t="shared" si="58"/>
        <v>#DIV/0!</v>
      </c>
      <c r="H140" s="431">
        <f>$H$78</f>
        <v>3.2500000000000001E-2</v>
      </c>
      <c r="I140" s="13" t="e">
        <f>IF(E140="N/A",0,ROUND((F140/2+G139+J137)*H140/12,2))</f>
        <v>#DIV/0!</v>
      </c>
      <c r="J140" s="13" t="e">
        <f t="shared" si="59"/>
        <v>#DIV/0!</v>
      </c>
      <c r="K140" s="13" t="e">
        <f t="shared" si="56"/>
        <v>#DIV/0!</v>
      </c>
      <c r="L140" s="4">
        <f t="shared" si="54"/>
        <v>607</v>
      </c>
    </row>
    <row r="141" spans="1:12">
      <c r="A141" s="4">
        <f t="shared" si="57"/>
        <v>608</v>
      </c>
      <c r="B141" t="s">
        <v>457</v>
      </c>
      <c r="C141" s="21">
        <f>'1-DRR'!$K$2</f>
        <v>2022</v>
      </c>
      <c r="D141" s="395" t="e">
        <f>IF(E141="N/A","N/A",($D$42*'9-WholesaleRevenues'!E20))</f>
        <v>#DIV/0!</v>
      </c>
      <c r="E141" s="395">
        <f>IF('9-WholesaleRevenues'!E54="N/A","N/A",'9-WholesaleRevenues'!E54)</f>
        <v>0</v>
      </c>
      <c r="F141" s="405" t="e">
        <f t="shared" si="55"/>
        <v>#DIV/0!</v>
      </c>
      <c r="G141" s="405" t="e">
        <f t="shared" si="58"/>
        <v>#DIV/0!</v>
      </c>
      <c r="H141" s="431">
        <f>$H$79</f>
        <v>3.5999999999999997E-2</v>
      </c>
      <c r="I141" s="13" t="e">
        <f>IF(E141="N/A",0,ROUND((F141/2+G140+J140)*H141/12,2))</f>
        <v>#DIV/0!</v>
      </c>
      <c r="J141" s="13" t="e">
        <f t="shared" si="59"/>
        <v>#DIV/0!</v>
      </c>
      <c r="K141" s="13" t="e">
        <f t="shared" si="56"/>
        <v>#DIV/0!</v>
      </c>
      <c r="L141" s="4">
        <f t="shared" si="54"/>
        <v>608</v>
      </c>
    </row>
    <row r="142" spans="1:12">
      <c r="A142" s="4">
        <f t="shared" si="57"/>
        <v>609</v>
      </c>
      <c r="B142" t="s">
        <v>458</v>
      </c>
      <c r="C142" s="21">
        <f>'1-DRR'!$K$2</f>
        <v>2022</v>
      </c>
      <c r="D142" s="395" t="e">
        <f>IF(E142="N/A","N/A",($D$42*'9-WholesaleRevenues'!E21))</f>
        <v>#DIV/0!</v>
      </c>
      <c r="E142" s="395">
        <f>IF('9-WholesaleRevenues'!E55="N/A","N/A",'9-WholesaleRevenues'!E55)</f>
        <v>0</v>
      </c>
      <c r="F142" s="405" t="e">
        <f t="shared" si="55"/>
        <v>#DIV/0!</v>
      </c>
      <c r="G142" s="405" t="e">
        <f t="shared" si="58"/>
        <v>#DIV/0!</v>
      </c>
      <c r="H142" s="431">
        <f>$H$80</f>
        <v>3.5999999999999997E-2</v>
      </c>
      <c r="I142" s="13" t="e">
        <f>IF(E142="N/A",0,ROUND((F142/2+G141+J140)*H142/12,2))</f>
        <v>#DIV/0!</v>
      </c>
      <c r="J142" s="13" t="e">
        <f t="shared" si="59"/>
        <v>#DIV/0!</v>
      </c>
      <c r="K142" s="13" t="e">
        <f t="shared" si="56"/>
        <v>#DIV/0!</v>
      </c>
      <c r="L142" s="4">
        <f t="shared" si="54"/>
        <v>609</v>
      </c>
    </row>
    <row r="143" spans="1:12">
      <c r="A143" s="4">
        <f t="shared" si="57"/>
        <v>610</v>
      </c>
      <c r="B143" t="s">
        <v>459</v>
      </c>
      <c r="C143" s="21">
        <f>'1-DRR'!$K$2</f>
        <v>2022</v>
      </c>
      <c r="D143" s="395" t="e">
        <f>IF(E143="N/A","N/A",($D$42*'9-WholesaleRevenues'!E22))</f>
        <v>#DIV/0!</v>
      </c>
      <c r="E143" s="395">
        <f>IF('9-WholesaleRevenues'!E56="N/A","N/A",'9-WholesaleRevenues'!E56)</f>
        <v>0</v>
      </c>
      <c r="F143" s="405" t="e">
        <f t="shared" si="55"/>
        <v>#DIV/0!</v>
      </c>
      <c r="G143" s="405" t="e">
        <f t="shared" si="58"/>
        <v>#DIV/0!</v>
      </c>
      <c r="H143" s="431">
        <f>$H$81</f>
        <v>3.5999999999999997E-2</v>
      </c>
      <c r="I143" s="13" t="e">
        <f>IF(E143="N/A",0,ROUND((F143/2+G142+J140)*H143/12,2))</f>
        <v>#DIV/0!</v>
      </c>
      <c r="J143" s="13" t="e">
        <f t="shared" si="59"/>
        <v>#DIV/0!</v>
      </c>
      <c r="K143" s="13" t="e">
        <f t="shared" si="56"/>
        <v>#DIV/0!</v>
      </c>
      <c r="L143" s="4">
        <f t="shared" si="54"/>
        <v>610</v>
      </c>
    </row>
    <row r="144" spans="1:12">
      <c r="A144" s="4">
        <f t="shared" si="57"/>
        <v>611</v>
      </c>
      <c r="B144" t="s">
        <v>460</v>
      </c>
      <c r="C144" s="21">
        <f>'1-DRR'!$K$2</f>
        <v>2022</v>
      </c>
      <c r="D144" s="395" t="e">
        <f>IF(E144="N/A","N/A",($D$42*'9-WholesaleRevenues'!E23))</f>
        <v>#DIV/0!</v>
      </c>
      <c r="E144" s="395">
        <f>IF('9-WholesaleRevenues'!E57="N/A","N/A",'9-WholesaleRevenues'!E57)</f>
        <v>0</v>
      </c>
      <c r="F144" s="405" t="e">
        <f t="shared" si="55"/>
        <v>#DIV/0!</v>
      </c>
      <c r="G144" s="405" t="e">
        <f t="shared" si="58"/>
        <v>#DIV/0!</v>
      </c>
      <c r="H144" s="431">
        <f>$H$82</f>
        <v>4.9099999999999998E-2</v>
      </c>
      <c r="I144" s="13" t="e">
        <f>IF(E144="N/A",0,ROUND((F144/2+G143+J143)*H144/12,2))</f>
        <v>#DIV/0!</v>
      </c>
      <c r="J144" s="13" t="e">
        <f t="shared" si="59"/>
        <v>#DIV/0!</v>
      </c>
      <c r="K144" s="13" t="e">
        <f t="shared" si="56"/>
        <v>#DIV/0!</v>
      </c>
      <c r="L144" s="4">
        <f t="shared" si="54"/>
        <v>611</v>
      </c>
    </row>
    <row r="145" spans="1:12">
      <c r="A145" s="4">
        <f t="shared" si="57"/>
        <v>612</v>
      </c>
      <c r="B145" t="s">
        <v>461</v>
      </c>
      <c r="C145" s="21">
        <f>'1-DRR'!$K$2</f>
        <v>2022</v>
      </c>
      <c r="D145" s="395" t="e">
        <f>IF(E145="N/A","N/A",($D$42*'9-WholesaleRevenues'!E24))</f>
        <v>#DIV/0!</v>
      </c>
      <c r="E145" s="395">
        <f>IF('9-WholesaleRevenues'!E58="N/A","N/A",'9-WholesaleRevenues'!E58)</f>
        <v>0</v>
      </c>
      <c r="F145" s="405" t="e">
        <f t="shared" si="55"/>
        <v>#DIV/0!</v>
      </c>
      <c r="G145" s="405" t="e">
        <f t="shared" si="58"/>
        <v>#DIV/0!</v>
      </c>
      <c r="H145" s="431">
        <f>$H$83</f>
        <v>4.9099999999999998E-2</v>
      </c>
      <c r="I145" s="13" t="e">
        <f>IF(E145="N/A",0,ROUND((F145/2+G144+J143)*H145/12,2))</f>
        <v>#DIV/0!</v>
      </c>
      <c r="J145" s="13" t="e">
        <f t="shared" si="59"/>
        <v>#DIV/0!</v>
      </c>
      <c r="K145" s="13" t="e">
        <f t="shared" si="56"/>
        <v>#DIV/0!</v>
      </c>
      <c r="L145" s="4">
        <f t="shared" si="54"/>
        <v>612</v>
      </c>
    </row>
    <row r="146" spans="1:12">
      <c r="A146" s="4">
        <f t="shared" si="57"/>
        <v>613</v>
      </c>
      <c r="B146" t="s">
        <v>449</v>
      </c>
      <c r="C146" s="21">
        <f>'1-DRR'!$K$2</f>
        <v>2022</v>
      </c>
      <c r="D146" s="395" t="e">
        <f>IF(E146="N/A","N/A",($D$42*'9-WholesaleRevenues'!E25))</f>
        <v>#DIV/0!</v>
      </c>
      <c r="E146" s="395">
        <f>IF('9-WholesaleRevenues'!E59="N/A","N/A",'9-WholesaleRevenues'!E59)</f>
        <v>0</v>
      </c>
      <c r="F146" s="405" t="e">
        <f t="shared" si="55"/>
        <v>#DIV/0!</v>
      </c>
      <c r="G146" s="405" t="e">
        <f t="shared" si="58"/>
        <v>#DIV/0!</v>
      </c>
      <c r="H146" s="431">
        <f>$H$84</f>
        <v>4.9099999999999998E-2</v>
      </c>
      <c r="I146" s="13" t="e">
        <f>IF(E146="N/A",0,ROUND((F146/2+G145+J143)*H146/12,2))</f>
        <v>#DIV/0!</v>
      </c>
      <c r="J146" s="13" t="e">
        <f t="shared" si="59"/>
        <v>#DIV/0!</v>
      </c>
      <c r="K146" s="13" t="e">
        <f t="shared" si="56"/>
        <v>#DIV/0!</v>
      </c>
      <c r="L146" s="4">
        <f t="shared" si="54"/>
        <v>613</v>
      </c>
    </row>
    <row r="147" spans="1:12">
      <c r="A147" s="4">
        <f t="shared" si="57"/>
        <v>614</v>
      </c>
      <c r="B147" t="s">
        <v>451</v>
      </c>
      <c r="C147" s="21">
        <f>C146+1</f>
        <v>2023</v>
      </c>
      <c r="D147" s="81" t="s">
        <v>450</v>
      </c>
      <c r="E147" s="81" t="s">
        <v>450</v>
      </c>
      <c r="F147" s="405">
        <v>0</v>
      </c>
      <c r="G147" s="405" t="e">
        <f>F147+G146</f>
        <v>#DIV/0!</v>
      </c>
      <c r="H147" s="431">
        <f>$H$85</f>
        <v>6.3100000000000003E-2</v>
      </c>
      <c r="I147" s="13" t="e">
        <f t="shared" ref="I147" si="60">ROUND((F147/2+G146+J146)*H147/12,2)</f>
        <v>#DIV/0!</v>
      </c>
      <c r="J147" s="13" t="e">
        <f t="shared" si="59"/>
        <v>#DIV/0!</v>
      </c>
      <c r="K147" s="13" t="e">
        <f t="shared" si="56"/>
        <v>#DIV/0!</v>
      </c>
      <c r="L147" s="4">
        <f t="shared" si="54"/>
        <v>614</v>
      </c>
    </row>
    <row r="148" spans="1:12">
      <c r="A148" s="4">
        <f t="shared" si="57"/>
        <v>615</v>
      </c>
      <c r="B148" t="s">
        <v>452</v>
      </c>
      <c r="C148" s="21">
        <f>C147</f>
        <v>2023</v>
      </c>
      <c r="D148" s="81" t="s">
        <v>450</v>
      </c>
      <c r="E148" s="81" t="s">
        <v>450</v>
      </c>
      <c r="F148" s="405">
        <v>0</v>
      </c>
      <c r="G148" s="405" t="e">
        <f t="shared" ref="G148:G158" si="61">F148+G147</f>
        <v>#DIV/0!</v>
      </c>
      <c r="H148" s="431">
        <f>$H$86</f>
        <v>6.3100000000000003E-2</v>
      </c>
      <c r="I148" s="13" t="e">
        <f t="shared" ref="I148" si="62">ROUND((F148/2+G147+J146)*H148/12,2)</f>
        <v>#DIV/0!</v>
      </c>
      <c r="J148" s="13" t="e">
        <f t="shared" si="59"/>
        <v>#DIV/0!</v>
      </c>
      <c r="K148" s="13" t="e">
        <f t="shared" si="56"/>
        <v>#DIV/0!</v>
      </c>
      <c r="L148" s="4">
        <f t="shared" si="54"/>
        <v>615</v>
      </c>
    </row>
    <row r="149" spans="1:12">
      <c r="A149" s="4">
        <f t="shared" si="57"/>
        <v>616</v>
      </c>
      <c r="B149" t="s">
        <v>453</v>
      </c>
      <c r="C149" s="21">
        <f t="shared" ref="C149:C158" si="63">C148</f>
        <v>2023</v>
      </c>
      <c r="D149" s="81" t="s">
        <v>450</v>
      </c>
      <c r="E149" s="81" t="s">
        <v>450</v>
      </c>
      <c r="F149" s="405">
        <v>0</v>
      </c>
      <c r="G149" s="405" t="e">
        <f t="shared" si="61"/>
        <v>#DIV/0!</v>
      </c>
      <c r="H149" s="431">
        <f>$H$87</f>
        <v>6.3100000000000003E-2</v>
      </c>
      <c r="I149" s="13" t="e">
        <f t="shared" ref="I149" si="64">ROUND((F149/2+G148+J146)*H149/12,2)</f>
        <v>#DIV/0!</v>
      </c>
      <c r="J149" s="13" t="e">
        <f t="shared" si="59"/>
        <v>#DIV/0!</v>
      </c>
      <c r="K149" s="13" t="e">
        <f t="shared" si="56"/>
        <v>#DIV/0!</v>
      </c>
      <c r="L149" s="4">
        <f t="shared" si="54"/>
        <v>616</v>
      </c>
    </row>
    <row r="150" spans="1:12">
      <c r="A150" s="4">
        <f t="shared" si="57"/>
        <v>617</v>
      </c>
      <c r="B150" t="s">
        <v>454</v>
      </c>
      <c r="C150" s="21">
        <f t="shared" si="63"/>
        <v>2023</v>
      </c>
      <c r="D150" s="81" t="s">
        <v>450</v>
      </c>
      <c r="E150" s="81" t="s">
        <v>450</v>
      </c>
      <c r="F150" s="405">
        <v>0</v>
      </c>
      <c r="G150" s="405" t="e">
        <f t="shared" si="61"/>
        <v>#DIV/0!</v>
      </c>
      <c r="H150" s="431">
        <f>$H$88</f>
        <v>7.4999999999999997E-2</v>
      </c>
      <c r="I150" s="13" t="e">
        <f t="shared" ref="I150" si="65">ROUND((F150/2+G149+J149)*H150/12,2)</f>
        <v>#DIV/0!</v>
      </c>
      <c r="J150" s="13" t="e">
        <f t="shared" si="59"/>
        <v>#DIV/0!</v>
      </c>
      <c r="K150" s="13" t="e">
        <f t="shared" si="56"/>
        <v>#DIV/0!</v>
      </c>
      <c r="L150" s="4">
        <f t="shared" si="54"/>
        <v>617</v>
      </c>
    </row>
    <row r="151" spans="1:12">
      <c r="A151" s="4">
        <f t="shared" si="57"/>
        <v>618</v>
      </c>
      <c r="B151" t="s">
        <v>455</v>
      </c>
      <c r="C151" s="21">
        <f t="shared" si="63"/>
        <v>2023</v>
      </c>
      <c r="D151" s="81" t="s">
        <v>450</v>
      </c>
      <c r="E151" s="81" t="s">
        <v>450</v>
      </c>
      <c r="F151" s="405">
        <v>0</v>
      </c>
      <c r="G151" s="405" t="e">
        <f t="shared" si="61"/>
        <v>#DIV/0!</v>
      </c>
      <c r="H151" s="431">
        <f>$H$89</f>
        <v>7.4999999999999997E-2</v>
      </c>
      <c r="I151" s="13" t="e">
        <f t="shared" ref="I151" si="66">ROUND((F151/2+G150+J149)*H151/12,2)</f>
        <v>#DIV/0!</v>
      </c>
      <c r="J151" s="13" t="e">
        <f t="shared" si="59"/>
        <v>#DIV/0!</v>
      </c>
      <c r="K151" s="13" t="e">
        <f t="shared" si="56"/>
        <v>#DIV/0!</v>
      </c>
      <c r="L151" s="4">
        <f t="shared" si="54"/>
        <v>618</v>
      </c>
    </row>
    <row r="152" spans="1:12">
      <c r="A152" s="4">
        <f t="shared" si="57"/>
        <v>619</v>
      </c>
      <c r="B152" t="s">
        <v>456</v>
      </c>
      <c r="C152" s="21">
        <f t="shared" si="63"/>
        <v>2023</v>
      </c>
      <c r="D152" s="81" t="s">
        <v>450</v>
      </c>
      <c r="E152" s="81" t="s">
        <v>450</v>
      </c>
      <c r="F152" s="405">
        <v>0</v>
      </c>
      <c r="G152" s="405" t="e">
        <f t="shared" si="61"/>
        <v>#DIV/0!</v>
      </c>
      <c r="H152" s="431">
        <f>$H$90</f>
        <v>7.4999999999999997E-2</v>
      </c>
      <c r="I152" s="13" t="e">
        <f t="shared" ref="I152" si="67">ROUND((F152/2+G151+J149)*H152/12,2)</f>
        <v>#DIV/0!</v>
      </c>
      <c r="J152" s="13" t="e">
        <f t="shared" si="59"/>
        <v>#DIV/0!</v>
      </c>
      <c r="K152" s="13" t="e">
        <f t="shared" si="56"/>
        <v>#DIV/0!</v>
      </c>
      <c r="L152" s="4">
        <f t="shared" si="54"/>
        <v>619</v>
      </c>
    </row>
    <row r="153" spans="1:12">
      <c r="A153" s="4">
        <f t="shared" si="57"/>
        <v>620</v>
      </c>
      <c r="B153" t="s">
        <v>457</v>
      </c>
      <c r="C153" s="21">
        <f t="shared" si="63"/>
        <v>2023</v>
      </c>
      <c r="D153" s="81" t="s">
        <v>450</v>
      </c>
      <c r="E153" s="81" t="s">
        <v>450</v>
      </c>
      <c r="F153" s="405">
        <v>0</v>
      </c>
      <c r="G153" s="405" t="e">
        <f t="shared" si="61"/>
        <v>#DIV/0!</v>
      </c>
      <c r="H153" s="431">
        <f>$H$91</f>
        <v>8.0199999999999994E-2</v>
      </c>
      <c r="I153" s="13" t="e">
        <f t="shared" ref="I153" si="68">ROUND((F153/2+G152+J152)*H153/12,2)</f>
        <v>#DIV/0!</v>
      </c>
      <c r="J153" s="13" t="e">
        <f t="shared" si="59"/>
        <v>#DIV/0!</v>
      </c>
      <c r="K153" s="13" t="e">
        <f t="shared" si="56"/>
        <v>#DIV/0!</v>
      </c>
      <c r="L153" s="4">
        <f t="shared" si="54"/>
        <v>620</v>
      </c>
    </row>
    <row r="154" spans="1:12">
      <c r="A154" s="4">
        <f t="shared" si="57"/>
        <v>621</v>
      </c>
      <c r="B154" t="s">
        <v>458</v>
      </c>
      <c r="C154" s="21">
        <f t="shared" si="63"/>
        <v>2023</v>
      </c>
      <c r="D154" s="81" t="s">
        <v>450</v>
      </c>
      <c r="E154" s="81" t="s">
        <v>450</v>
      </c>
      <c r="F154" s="405">
        <v>0</v>
      </c>
      <c r="G154" s="405" t="e">
        <f t="shared" si="61"/>
        <v>#DIV/0!</v>
      </c>
      <c r="H154" s="431">
        <f>$H$92</f>
        <v>8.0199999999999994E-2</v>
      </c>
      <c r="I154" s="13" t="e">
        <f t="shared" ref="I154" si="69">ROUND((F154/2+G153+J152)*H154/12,2)</f>
        <v>#DIV/0!</v>
      </c>
      <c r="J154" s="13" t="e">
        <f t="shared" si="59"/>
        <v>#DIV/0!</v>
      </c>
      <c r="K154" s="13" t="e">
        <f t="shared" si="56"/>
        <v>#DIV/0!</v>
      </c>
      <c r="L154" s="4">
        <f t="shared" si="54"/>
        <v>621</v>
      </c>
    </row>
    <row r="155" spans="1:12">
      <c r="A155" s="4">
        <f t="shared" si="57"/>
        <v>622</v>
      </c>
      <c r="B155" t="s">
        <v>459</v>
      </c>
      <c r="C155" s="21">
        <f t="shared" si="63"/>
        <v>2023</v>
      </c>
      <c r="D155" s="81" t="s">
        <v>450</v>
      </c>
      <c r="E155" s="81" t="s">
        <v>450</v>
      </c>
      <c r="F155" s="405">
        <v>0</v>
      </c>
      <c r="G155" s="405" t="e">
        <f t="shared" si="61"/>
        <v>#DIV/0!</v>
      </c>
      <c r="H155" s="431">
        <f>$H$93</f>
        <v>8.0199999999999994E-2</v>
      </c>
      <c r="I155" s="13" t="e">
        <f t="shared" ref="I155" si="70">ROUND((F155/2+G154+J152)*H155/12,2)</f>
        <v>#DIV/0!</v>
      </c>
      <c r="J155" s="13" t="e">
        <f t="shared" si="59"/>
        <v>#DIV/0!</v>
      </c>
      <c r="K155" s="13" t="e">
        <f t="shared" si="56"/>
        <v>#DIV/0!</v>
      </c>
      <c r="L155" s="4">
        <f t="shared" si="54"/>
        <v>622</v>
      </c>
    </row>
    <row r="156" spans="1:12">
      <c r="A156" s="4">
        <f t="shared" si="57"/>
        <v>623</v>
      </c>
      <c r="B156" t="s">
        <v>460</v>
      </c>
      <c r="C156" s="21">
        <f t="shared" si="63"/>
        <v>2023</v>
      </c>
      <c r="D156" s="81" t="s">
        <v>450</v>
      </c>
      <c r="E156" s="81" t="s">
        <v>450</v>
      </c>
      <c r="F156" s="405">
        <v>0</v>
      </c>
      <c r="G156" s="405" t="e">
        <f t="shared" si="61"/>
        <v>#DIV/0!</v>
      </c>
      <c r="H156" s="431">
        <f>$H$94</f>
        <v>8.3500000000000005E-2</v>
      </c>
      <c r="I156" s="13" t="e">
        <f t="shared" ref="I156" si="71">ROUND((F156/2+G155+J155)*H156/12,2)</f>
        <v>#DIV/0!</v>
      </c>
      <c r="J156" s="13" t="e">
        <f t="shared" si="59"/>
        <v>#DIV/0!</v>
      </c>
      <c r="K156" s="13" t="e">
        <f t="shared" si="56"/>
        <v>#DIV/0!</v>
      </c>
      <c r="L156" s="4">
        <f t="shared" si="54"/>
        <v>623</v>
      </c>
    </row>
    <row r="157" spans="1:12">
      <c r="A157" s="4">
        <f t="shared" si="57"/>
        <v>624</v>
      </c>
      <c r="B157" t="s">
        <v>461</v>
      </c>
      <c r="C157" s="21">
        <f t="shared" si="63"/>
        <v>2023</v>
      </c>
      <c r="D157" s="81" t="s">
        <v>450</v>
      </c>
      <c r="E157" s="81" t="s">
        <v>450</v>
      </c>
      <c r="F157" s="405">
        <v>0</v>
      </c>
      <c r="G157" s="405" t="e">
        <f t="shared" si="61"/>
        <v>#DIV/0!</v>
      </c>
      <c r="H157" s="431">
        <f>$H$95</f>
        <v>8.3500000000000005E-2</v>
      </c>
      <c r="I157" s="13" t="e">
        <f t="shared" ref="I157" si="72">ROUND((F157/2+G156+J155)*H157/12,2)</f>
        <v>#DIV/0!</v>
      </c>
      <c r="J157" s="13" t="e">
        <f t="shared" si="59"/>
        <v>#DIV/0!</v>
      </c>
      <c r="K157" s="13" t="e">
        <f t="shared" si="56"/>
        <v>#DIV/0!</v>
      </c>
      <c r="L157" s="4">
        <f t="shared" si="54"/>
        <v>624</v>
      </c>
    </row>
    <row r="158" spans="1:12">
      <c r="A158" s="4">
        <f t="shared" si="57"/>
        <v>625</v>
      </c>
      <c r="B158" t="s">
        <v>449</v>
      </c>
      <c r="C158" s="21">
        <f t="shared" si="63"/>
        <v>2023</v>
      </c>
      <c r="D158" s="81" t="s">
        <v>450</v>
      </c>
      <c r="E158" s="81" t="s">
        <v>450</v>
      </c>
      <c r="F158" s="405">
        <v>0</v>
      </c>
      <c r="G158" s="405" t="e">
        <f t="shared" si="61"/>
        <v>#DIV/0!</v>
      </c>
      <c r="H158" s="431">
        <f>$H$96</f>
        <v>8.3500000000000005E-2</v>
      </c>
      <c r="I158" s="13" t="e">
        <f t="shared" ref="I158" si="73">ROUND((F158/2+G157+J155)*H158/12,2)</f>
        <v>#DIV/0!</v>
      </c>
      <c r="J158" s="13" t="e">
        <f t="shared" si="59"/>
        <v>#DIV/0!</v>
      </c>
      <c r="K158" s="13" t="e">
        <f t="shared" si="56"/>
        <v>#DIV/0!</v>
      </c>
      <c r="L158" s="4">
        <f t="shared" si="54"/>
        <v>625</v>
      </c>
    </row>
    <row r="159" spans="1:12">
      <c r="A159" s="4"/>
      <c r="C159" s="21"/>
      <c r="D159" s="81"/>
      <c r="E159" s="81"/>
      <c r="F159" s="405"/>
      <c r="G159" s="405"/>
      <c r="H159" s="406"/>
      <c r="I159" s="13"/>
      <c r="J159" s="13"/>
      <c r="K159" s="13"/>
      <c r="L159" s="4"/>
    </row>
    <row r="160" spans="1:12">
      <c r="A160" s="4"/>
      <c r="B160" s="416" t="s">
        <v>419</v>
      </c>
      <c r="C160" s="426"/>
      <c r="D160" s="426"/>
      <c r="E160" s="426"/>
      <c r="F160" s="426"/>
      <c r="G160" s="426" t="s">
        <v>430</v>
      </c>
      <c r="H160" s="426"/>
      <c r="I160" s="426"/>
      <c r="J160" s="426"/>
      <c r="K160" s="427" t="s">
        <v>430</v>
      </c>
    </row>
    <row r="161" spans="1:12">
      <c r="B161" s="419" t="str">
        <f>B129</f>
        <v>PWRPA 1  (SA No. 30)</v>
      </c>
      <c r="C161" s="4"/>
      <c r="D161" s="4" t="s">
        <v>462</v>
      </c>
      <c r="E161" s="4" t="s">
        <v>462</v>
      </c>
      <c r="F161" s="4"/>
      <c r="G161" s="4" t="s">
        <v>433</v>
      </c>
      <c r="H161" s="4"/>
      <c r="I161" s="4"/>
      <c r="J161" s="4"/>
      <c r="K161" s="422" t="s">
        <v>433</v>
      </c>
    </row>
    <row r="162" spans="1:12">
      <c r="A162" s="4"/>
      <c r="B162" s="419"/>
      <c r="C162" s="4"/>
      <c r="D162" s="4" t="s">
        <v>431</v>
      </c>
      <c r="E162" s="4" t="s">
        <v>432</v>
      </c>
      <c r="F162" s="4" t="s">
        <v>435</v>
      </c>
      <c r="G162" s="4" t="s">
        <v>436</v>
      </c>
      <c r="H162" s="4" t="s">
        <v>437</v>
      </c>
      <c r="I162" s="4" t="s">
        <v>431</v>
      </c>
      <c r="J162" s="4" t="s">
        <v>438</v>
      </c>
      <c r="K162" s="422" t="s">
        <v>439</v>
      </c>
    </row>
    <row r="163" spans="1:12">
      <c r="A163" s="4"/>
      <c r="B163" s="423" t="s">
        <v>440</v>
      </c>
      <c r="C163" s="424" t="s">
        <v>441</v>
      </c>
      <c r="D163" s="424" t="s">
        <v>442</v>
      </c>
      <c r="E163" s="424" t="s">
        <v>443</v>
      </c>
      <c r="F163" s="424" t="s">
        <v>444</v>
      </c>
      <c r="G163" s="424" t="s">
        <v>445</v>
      </c>
      <c r="H163" s="424" t="s">
        <v>446</v>
      </c>
      <c r="I163" s="424" t="s">
        <v>447</v>
      </c>
      <c r="J163" s="424" t="s">
        <v>447</v>
      </c>
      <c r="K163" s="425" t="s">
        <v>448</v>
      </c>
    </row>
    <row r="164" spans="1:12">
      <c r="A164" s="4">
        <f>A158+1</f>
        <v>626</v>
      </c>
      <c r="B164" t="s">
        <v>449</v>
      </c>
      <c r="C164" s="21">
        <f>C165-1</f>
        <v>2021</v>
      </c>
      <c r="D164" s="81" t="s">
        <v>450</v>
      </c>
      <c r="E164" s="81" t="s">
        <v>450</v>
      </c>
      <c r="F164" s="21" t="s">
        <v>450</v>
      </c>
      <c r="G164" s="40"/>
      <c r="H164" s="21" t="s">
        <v>450</v>
      </c>
      <c r="I164" s="21" t="s">
        <v>450</v>
      </c>
      <c r="J164" s="40"/>
      <c r="K164" s="13">
        <f>ROUND((G164+J164),2)</f>
        <v>0</v>
      </c>
      <c r="L164" s="4">
        <f t="shared" ref="L164:L188" si="74">A164</f>
        <v>626</v>
      </c>
    </row>
    <row r="165" spans="1:12">
      <c r="A165" s="4">
        <f>A164+1</f>
        <v>627</v>
      </c>
      <c r="B165" t="s">
        <v>451</v>
      </c>
      <c r="C165" s="21">
        <f>'1-DRR'!$K$2</f>
        <v>2022</v>
      </c>
      <c r="D165" s="395" t="e">
        <f>IF(E165="N/A","N/A",'3-ATA'!$D$49*'9-WholesaleRevenues'!D66)</f>
        <v>#DIV/0!</v>
      </c>
      <c r="E165" s="395">
        <f>IF('9-WholesaleRevenues'!D99="N/A","N/A",'9-WholesaleRevenues'!D99)</f>
        <v>0</v>
      </c>
      <c r="F165" s="405" t="e">
        <f t="shared" ref="F165:F176" si="75">IF(E165="N/A",0,D165-E165)</f>
        <v>#DIV/0!</v>
      </c>
      <c r="G165" s="405" t="e">
        <f>F165+G164</f>
        <v>#DIV/0!</v>
      </c>
      <c r="H165" s="431">
        <f>$H$73</f>
        <v>3.2500000000000001E-2</v>
      </c>
      <c r="I165" s="13" t="e">
        <f>IF(E165="N/A",0,ROUND((F165/2+G164+J164)*H165/12,2))</f>
        <v>#DIV/0!</v>
      </c>
      <c r="J165" s="13" t="e">
        <f>I165+J164</f>
        <v>#DIV/0!</v>
      </c>
      <c r="K165" s="13" t="e">
        <f t="shared" ref="K165:K188" si="76">ROUND((G165+J165),2)</f>
        <v>#DIV/0!</v>
      </c>
      <c r="L165" s="4">
        <f t="shared" si="74"/>
        <v>627</v>
      </c>
    </row>
    <row r="166" spans="1:12">
      <c r="A166" s="4">
        <f t="shared" ref="A166:A188" si="77">A165+1</f>
        <v>628</v>
      </c>
      <c r="B166" t="s">
        <v>452</v>
      </c>
      <c r="C166" s="21">
        <f>'1-DRR'!$K$2</f>
        <v>2022</v>
      </c>
      <c r="D166" s="395" t="e">
        <f>IF(E166="N/A","N/A",'3-ATA'!$D$49*'9-WholesaleRevenues'!D67)</f>
        <v>#DIV/0!</v>
      </c>
      <c r="E166" s="395">
        <f>IF('9-WholesaleRevenues'!D100="N/A","N/A",'9-WholesaleRevenues'!D100)</f>
        <v>0</v>
      </c>
      <c r="F166" s="405" t="e">
        <f t="shared" si="75"/>
        <v>#DIV/0!</v>
      </c>
      <c r="G166" s="405" t="e">
        <f t="shared" ref="G166:G176" si="78">F166+G165</f>
        <v>#DIV/0!</v>
      </c>
      <c r="H166" s="431">
        <f>$H$74</f>
        <v>3.2500000000000001E-2</v>
      </c>
      <c r="I166" s="13" t="e">
        <f>IF(E166="N/A",0,ROUND((F166/2+G165+J164)*H166/12,2))</f>
        <v>#DIV/0!</v>
      </c>
      <c r="J166" s="13" t="e">
        <f>I166+J165</f>
        <v>#DIV/0!</v>
      </c>
      <c r="K166" s="13" t="e">
        <f t="shared" si="76"/>
        <v>#DIV/0!</v>
      </c>
      <c r="L166" s="4">
        <f t="shared" si="74"/>
        <v>628</v>
      </c>
    </row>
    <row r="167" spans="1:12">
      <c r="A167" s="4">
        <f t="shared" si="77"/>
        <v>629</v>
      </c>
      <c r="B167" t="s">
        <v>453</v>
      </c>
      <c r="C167" s="21">
        <f>'1-DRR'!$K$2</f>
        <v>2022</v>
      </c>
      <c r="D167" s="395" t="e">
        <f>IF(E167="N/A","N/A",'3-ATA'!$D$49*'9-WholesaleRevenues'!D68)</f>
        <v>#DIV/0!</v>
      </c>
      <c r="E167" s="395">
        <f>IF('9-WholesaleRevenues'!D101="N/A","N/A",'9-WholesaleRevenues'!D101)</f>
        <v>0</v>
      </c>
      <c r="F167" s="405" t="e">
        <f t="shared" si="75"/>
        <v>#DIV/0!</v>
      </c>
      <c r="G167" s="405" t="e">
        <f t="shared" si="78"/>
        <v>#DIV/0!</v>
      </c>
      <c r="H167" s="431">
        <f>$H$75</f>
        <v>3.2500000000000001E-2</v>
      </c>
      <c r="I167" s="13" t="e">
        <f>IF(E167="N/A",0,ROUND((F167/2+G166+J164)*H167/12,2))</f>
        <v>#DIV/0!</v>
      </c>
      <c r="J167" s="13" t="e">
        <f>I167+J166</f>
        <v>#DIV/0!</v>
      </c>
      <c r="K167" s="13" t="e">
        <f t="shared" si="76"/>
        <v>#DIV/0!</v>
      </c>
      <c r="L167" s="4">
        <f t="shared" si="74"/>
        <v>629</v>
      </c>
    </row>
    <row r="168" spans="1:12">
      <c r="A168" s="4">
        <f t="shared" si="77"/>
        <v>630</v>
      </c>
      <c r="B168" t="s">
        <v>454</v>
      </c>
      <c r="C168" s="21">
        <f>'1-DRR'!$K$2</f>
        <v>2022</v>
      </c>
      <c r="D168" s="395" t="e">
        <f>IF(E168="N/A","N/A",'3-ATA'!$D$49*'9-WholesaleRevenues'!D69)</f>
        <v>#DIV/0!</v>
      </c>
      <c r="E168" s="395">
        <f>IF('9-WholesaleRevenues'!D102="N/A","N/A",'9-WholesaleRevenues'!D102)</f>
        <v>0</v>
      </c>
      <c r="F168" s="405" t="e">
        <f t="shared" si="75"/>
        <v>#DIV/0!</v>
      </c>
      <c r="G168" s="405" t="e">
        <f t="shared" si="78"/>
        <v>#DIV/0!</v>
      </c>
      <c r="H168" s="431">
        <f>$H$76</f>
        <v>3.2500000000000001E-2</v>
      </c>
      <c r="I168" s="13" t="e">
        <f>IF(E168="N/A",0,ROUND((F168/2+G167+J167)*H168/12,2))</f>
        <v>#DIV/0!</v>
      </c>
      <c r="J168" s="13" t="e">
        <f t="shared" ref="J168:J188" si="79">I168+J167</f>
        <v>#DIV/0!</v>
      </c>
      <c r="K168" s="13" t="e">
        <f t="shared" si="76"/>
        <v>#DIV/0!</v>
      </c>
      <c r="L168" s="4">
        <f t="shared" si="74"/>
        <v>630</v>
      </c>
    </row>
    <row r="169" spans="1:12">
      <c r="A169" s="4">
        <f t="shared" si="77"/>
        <v>631</v>
      </c>
      <c r="B169" t="s">
        <v>455</v>
      </c>
      <c r="C169" s="21">
        <f>'1-DRR'!$K$2</f>
        <v>2022</v>
      </c>
      <c r="D169" s="395" t="e">
        <f>IF(E169="N/A","N/A",'3-ATA'!$D$49*'9-WholesaleRevenues'!D70)</f>
        <v>#DIV/0!</v>
      </c>
      <c r="E169" s="395">
        <f>IF('9-WholesaleRevenues'!D103="N/A","N/A",'9-WholesaleRevenues'!D103)</f>
        <v>0</v>
      </c>
      <c r="F169" s="405" t="e">
        <f t="shared" si="75"/>
        <v>#DIV/0!</v>
      </c>
      <c r="G169" s="405" t="e">
        <f t="shared" si="78"/>
        <v>#DIV/0!</v>
      </c>
      <c r="H169" s="431">
        <f>$H$77</f>
        <v>3.2500000000000001E-2</v>
      </c>
      <c r="I169" s="13" t="e">
        <f>IF(E169="N/A",0,ROUND((F169/2+G168+J167)*H169/12,2))</f>
        <v>#DIV/0!</v>
      </c>
      <c r="J169" s="13" t="e">
        <f t="shared" si="79"/>
        <v>#DIV/0!</v>
      </c>
      <c r="K169" s="13" t="e">
        <f t="shared" si="76"/>
        <v>#DIV/0!</v>
      </c>
      <c r="L169" s="4">
        <f t="shared" si="74"/>
        <v>631</v>
      </c>
    </row>
    <row r="170" spans="1:12">
      <c r="A170" s="4">
        <f t="shared" si="77"/>
        <v>632</v>
      </c>
      <c r="B170" t="s">
        <v>456</v>
      </c>
      <c r="C170" s="21">
        <f>'1-DRR'!$K$2</f>
        <v>2022</v>
      </c>
      <c r="D170" s="395" t="e">
        <f>IF(E170="N/A","N/A",'3-ATA'!$D$49*'9-WholesaleRevenues'!D71)</f>
        <v>#DIV/0!</v>
      </c>
      <c r="E170" s="395">
        <f>IF('9-WholesaleRevenues'!D104="N/A","N/A",'9-WholesaleRevenues'!D104)</f>
        <v>0</v>
      </c>
      <c r="F170" s="405" t="e">
        <f t="shared" si="75"/>
        <v>#DIV/0!</v>
      </c>
      <c r="G170" s="405" t="e">
        <f t="shared" si="78"/>
        <v>#DIV/0!</v>
      </c>
      <c r="H170" s="431">
        <f>$H$78</f>
        <v>3.2500000000000001E-2</v>
      </c>
      <c r="I170" s="13" t="e">
        <f>IF(E170="N/A",0,ROUND((F170/2+G169+J167)*H170/12,2))</f>
        <v>#DIV/0!</v>
      </c>
      <c r="J170" s="13" t="e">
        <f t="shared" si="79"/>
        <v>#DIV/0!</v>
      </c>
      <c r="K170" s="13" t="e">
        <f t="shared" si="76"/>
        <v>#DIV/0!</v>
      </c>
      <c r="L170" s="4">
        <f t="shared" si="74"/>
        <v>632</v>
      </c>
    </row>
    <row r="171" spans="1:12">
      <c r="A171" s="4">
        <f t="shared" si="77"/>
        <v>633</v>
      </c>
      <c r="B171" t="s">
        <v>457</v>
      </c>
      <c r="C171" s="21">
        <f>'1-DRR'!$K$2</f>
        <v>2022</v>
      </c>
      <c r="D171" s="395" t="e">
        <f>IF(E171="N/A","N/A",'3-ATA'!$D$49*'9-WholesaleRevenues'!D72)</f>
        <v>#DIV/0!</v>
      </c>
      <c r="E171" s="395">
        <f>IF('9-WholesaleRevenues'!D105="N/A","N/A",'9-WholesaleRevenues'!D105)</f>
        <v>0</v>
      </c>
      <c r="F171" s="405" t="e">
        <f t="shared" si="75"/>
        <v>#DIV/0!</v>
      </c>
      <c r="G171" s="405" t="e">
        <f t="shared" si="78"/>
        <v>#DIV/0!</v>
      </c>
      <c r="H171" s="431">
        <f>$H$79</f>
        <v>3.5999999999999997E-2</v>
      </c>
      <c r="I171" s="13" t="e">
        <f>IF(E171="N/A",0,ROUND((F171/2+G170+J170)*H171/12,2))</f>
        <v>#DIV/0!</v>
      </c>
      <c r="J171" s="13" t="e">
        <f t="shared" si="79"/>
        <v>#DIV/0!</v>
      </c>
      <c r="K171" s="13" t="e">
        <f t="shared" si="76"/>
        <v>#DIV/0!</v>
      </c>
      <c r="L171" s="4">
        <f t="shared" si="74"/>
        <v>633</v>
      </c>
    </row>
    <row r="172" spans="1:12">
      <c r="A172" s="4">
        <f t="shared" si="77"/>
        <v>634</v>
      </c>
      <c r="B172" t="s">
        <v>458</v>
      </c>
      <c r="C172" s="21">
        <f>'1-DRR'!$K$2</f>
        <v>2022</v>
      </c>
      <c r="D172" s="395" t="e">
        <f>IF(E172="N/A","N/A",'3-ATA'!$D$49*'9-WholesaleRevenues'!D73)</f>
        <v>#DIV/0!</v>
      </c>
      <c r="E172" s="395">
        <f>IF('9-WholesaleRevenues'!D106="N/A","N/A",'9-WholesaleRevenues'!D106)</f>
        <v>0</v>
      </c>
      <c r="F172" s="405" t="e">
        <f t="shared" si="75"/>
        <v>#DIV/0!</v>
      </c>
      <c r="G172" s="405" t="e">
        <f t="shared" si="78"/>
        <v>#DIV/0!</v>
      </c>
      <c r="H172" s="431">
        <f>$H$80</f>
        <v>3.5999999999999997E-2</v>
      </c>
      <c r="I172" s="13" t="e">
        <f>IF(E172="N/A",0,ROUND((F172/2+G171+J170)*H172/12,2))</f>
        <v>#DIV/0!</v>
      </c>
      <c r="J172" s="13" t="e">
        <f t="shared" si="79"/>
        <v>#DIV/0!</v>
      </c>
      <c r="K172" s="13" t="e">
        <f t="shared" si="76"/>
        <v>#DIV/0!</v>
      </c>
      <c r="L172" s="4">
        <f t="shared" si="74"/>
        <v>634</v>
      </c>
    </row>
    <row r="173" spans="1:12">
      <c r="A173" s="4">
        <f t="shared" si="77"/>
        <v>635</v>
      </c>
      <c r="B173" t="s">
        <v>459</v>
      </c>
      <c r="C173" s="21">
        <f>'1-DRR'!$K$2</f>
        <v>2022</v>
      </c>
      <c r="D173" s="395" t="e">
        <f>IF(E173="N/A","N/A",'3-ATA'!$D$49*'9-WholesaleRevenues'!D74)</f>
        <v>#DIV/0!</v>
      </c>
      <c r="E173" s="395">
        <f>IF('9-WholesaleRevenues'!D107="N/A","N/A",'9-WholesaleRevenues'!D107)</f>
        <v>0</v>
      </c>
      <c r="F173" s="405" t="e">
        <f t="shared" si="75"/>
        <v>#DIV/0!</v>
      </c>
      <c r="G173" s="405" t="e">
        <f t="shared" si="78"/>
        <v>#DIV/0!</v>
      </c>
      <c r="H173" s="431">
        <f>$H$81</f>
        <v>3.5999999999999997E-2</v>
      </c>
      <c r="I173" s="13" t="e">
        <f>IF(E173="N/A",0,ROUND((F173/2+G172+J170)*H173/12,2))</f>
        <v>#DIV/0!</v>
      </c>
      <c r="J173" s="13" t="e">
        <f t="shared" si="79"/>
        <v>#DIV/0!</v>
      </c>
      <c r="K173" s="13" t="e">
        <f t="shared" si="76"/>
        <v>#DIV/0!</v>
      </c>
      <c r="L173" s="4">
        <f t="shared" si="74"/>
        <v>635</v>
      </c>
    </row>
    <row r="174" spans="1:12">
      <c r="A174" s="4">
        <f t="shared" si="77"/>
        <v>636</v>
      </c>
      <c r="B174" t="s">
        <v>460</v>
      </c>
      <c r="C174" s="21">
        <f>'1-DRR'!$K$2</f>
        <v>2022</v>
      </c>
      <c r="D174" s="395" t="e">
        <f>IF(E174="N/A","N/A",'3-ATA'!$D$49*'9-WholesaleRevenues'!D75)</f>
        <v>#DIV/0!</v>
      </c>
      <c r="E174" s="395">
        <f>IF('9-WholesaleRevenues'!D108="N/A","N/A",'9-WholesaleRevenues'!D108)</f>
        <v>0</v>
      </c>
      <c r="F174" s="405" t="e">
        <f t="shared" si="75"/>
        <v>#DIV/0!</v>
      </c>
      <c r="G174" s="405" t="e">
        <f t="shared" si="78"/>
        <v>#DIV/0!</v>
      </c>
      <c r="H174" s="431">
        <f>$H$82</f>
        <v>4.9099999999999998E-2</v>
      </c>
      <c r="I174" s="13" t="e">
        <f>IF(E174="N/A",0,ROUND((F174/2+G173+J173)*H174/12,2))</f>
        <v>#DIV/0!</v>
      </c>
      <c r="J174" s="13" t="e">
        <f t="shared" si="79"/>
        <v>#DIV/0!</v>
      </c>
      <c r="K174" s="13" t="e">
        <f t="shared" si="76"/>
        <v>#DIV/0!</v>
      </c>
      <c r="L174" s="4">
        <f t="shared" si="74"/>
        <v>636</v>
      </c>
    </row>
    <row r="175" spans="1:12">
      <c r="A175" s="4">
        <f t="shared" si="77"/>
        <v>637</v>
      </c>
      <c r="B175" t="s">
        <v>461</v>
      </c>
      <c r="C175" s="21">
        <f>'1-DRR'!$K$2</f>
        <v>2022</v>
      </c>
      <c r="D175" s="395" t="e">
        <f>IF(E175="N/A","N/A",'3-ATA'!$D$49*'9-WholesaleRevenues'!D76)</f>
        <v>#DIV/0!</v>
      </c>
      <c r="E175" s="395">
        <f>IF('9-WholesaleRevenues'!D109="N/A","N/A",'9-WholesaleRevenues'!D109)</f>
        <v>0</v>
      </c>
      <c r="F175" s="405" t="e">
        <f t="shared" si="75"/>
        <v>#DIV/0!</v>
      </c>
      <c r="G175" s="405" t="e">
        <f t="shared" si="78"/>
        <v>#DIV/0!</v>
      </c>
      <c r="H175" s="431">
        <f>$H$83</f>
        <v>4.9099999999999998E-2</v>
      </c>
      <c r="I175" s="13" t="e">
        <f>IF(E175="N/A",0,ROUND((F175/2+G174+J173)*H175/12,2))</f>
        <v>#DIV/0!</v>
      </c>
      <c r="J175" s="13" t="e">
        <f t="shared" si="79"/>
        <v>#DIV/0!</v>
      </c>
      <c r="K175" s="13" t="e">
        <f t="shared" si="76"/>
        <v>#DIV/0!</v>
      </c>
      <c r="L175" s="4">
        <f t="shared" si="74"/>
        <v>637</v>
      </c>
    </row>
    <row r="176" spans="1:12">
      <c r="A176" s="4">
        <f t="shared" si="77"/>
        <v>638</v>
      </c>
      <c r="B176" t="s">
        <v>449</v>
      </c>
      <c r="C176" s="21">
        <f>'1-DRR'!$K$2</f>
        <v>2022</v>
      </c>
      <c r="D176" s="395" t="e">
        <f>IF(E176="N/A","N/A",'3-ATA'!$D$49*'9-WholesaleRevenues'!D77)</f>
        <v>#DIV/0!</v>
      </c>
      <c r="E176" s="395">
        <f>IF('9-WholesaleRevenues'!D110="N/A","N/A",'9-WholesaleRevenues'!D110)</f>
        <v>0</v>
      </c>
      <c r="F176" s="405" t="e">
        <f t="shared" si="75"/>
        <v>#DIV/0!</v>
      </c>
      <c r="G176" s="405" t="e">
        <f t="shared" si="78"/>
        <v>#DIV/0!</v>
      </c>
      <c r="H176" s="431">
        <f>$H$84</f>
        <v>4.9099999999999998E-2</v>
      </c>
      <c r="I176" s="13" t="e">
        <f>IF(E176="N/A",0,ROUND((F176/2+G175+J173)*H176/12,2))</f>
        <v>#DIV/0!</v>
      </c>
      <c r="J176" s="13" t="e">
        <f t="shared" si="79"/>
        <v>#DIV/0!</v>
      </c>
      <c r="K176" s="13" t="e">
        <f t="shared" si="76"/>
        <v>#DIV/0!</v>
      </c>
      <c r="L176" s="4">
        <f t="shared" si="74"/>
        <v>638</v>
      </c>
    </row>
    <row r="177" spans="1:12">
      <c r="A177" s="4">
        <f t="shared" si="77"/>
        <v>639</v>
      </c>
      <c r="B177" t="s">
        <v>451</v>
      </c>
      <c r="C177" s="21">
        <f>C176+1</f>
        <v>2023</v>
      </c>
      <c r="D177" s="81" t="s">
        <v>450</v>
      </c>
      <c r="E177" s="81" t="s">
        <v>450</v>
      </c>
      <c r="F177" s="405">
        <v>0</v>
      </c>
      <c r="G177" s="405" t="e">
        <f>F177+G176</f>
        <v>#DIV/0!</v>
      </c>
      <c r="H177" s="431">
        <f>$H$85</f>
        <v>6.3100000000000003E-2</v>
      </c>
      <c r="I177" s="13" t="e">
        <f t="shared" ref="I177" si="80">ROUND((F177/2+G176+J176)*H177/12,2)</f>
        <v>#DIV/0!</v>
      </c>
      <c r="J177" s="13" t="e">
        <f t="shared" si="79"/>
        <v>#DIV/0!</v>
      </c>
      <c r="K177" s="13" t="e">
        <f t="shared" si="76"/>
        <v>#DIV/0!</v>
      </c>
      <c r="L177" s="4">
        <f t="shared" si="74"/>
        <v>639</v>
      </c>
    </row>
    <row r="178" spans="1:12">
      <c r="A178" s="4">
        <f t="shared" si="77"/>
        <v>640</v>
      </c>
      <c r="B178" t="s">
        <v>452</v>
      </c>
      <c r="C178" s="21">
        <f>C177</f>
        <v>2023</v>
      </c>
      <c r="D178" s="81" t="s">
        <v>450</v>
      </c>
      <c r="E178" s="81" t="s">
        <v>450</v>
      </c>
      <c r="F178" s="405">
        <v>0</v>
      </c>
      <c r="G178" s="405" t="e">
        <f t="shared" ref="G178:G188" si="81">F178+G177</f>
        <v>#DIV/0!</v>
      </c>
      <c r="H178" s="431">
        <f>$H$86</f>
        <v>6.3100000000000003E-2</v>
      </c>
      <c r="I178" s="13" t="e">
        <f t="shared" ref="I178" si="82">ROUND((F178/2+G177+J176)*H178/12,2)</f>
        <v>#DIV/0!</v>
      </c>
      <c r="J178" s="13" t="e">
        <f t="shared" si="79"/>
        <v>#DIV/0!</v>
      </c>
      <c r="K178" s="13" t="e">
        <f t="shared" si="76"/>
        <v>#DIV/0!</v>
      </c>
      <c r="L178" s="4">
        <f t="shared" si="74"/>
        <v>640</v>
      </c>
    </row>
    <row r="179" spans="1:12">
      <c r="A179" s="4">
        <f t="shared" si="77"/>
        <v>641</v>
      </c>
      <c r="B179" t="s">
        <v>453</v>
      </c>
      <c r="C179" s="21">
        <f t="shared" ref="C179:C188" si="83">C178</f>
        <v>2023</v>
      </c>
      <c r="D179" s="81" t="s">
        <v>450</v>
      </c>
      <c r="E179" s="81" t="s">
        <v>450</v>
      </c>
      <c r="F179" s="405">
        <v>0</v>
      </c>
      <c r="G179" s="405" t="e">
        <f t="shared" si="81"/>
        <v>#DIV/0!</v>
      </c>
      <c r="H179" s="431">
        <f>$H$87</f>
        <v>6.3100000000000003E-2</v>
      </c>
      <c r="I179" s="13" t="e">
        <f t="shared" ref="I179" si="84">ROUND((F179/2+G178+J176)*H179/12,2)</f>
        <v>#DIV/0!</v>
      </c>
      <c r="J179" s="13" t="e">
        <f t="shared" si="79"/>
        <v>#DIV/0!</v>
      </c>
      <c r="K179" s="13" t="e">
        <f t="shared" si="76"/>
        <v>#DIV/0!</v>
      </c>
      <c r="L179" s="4">
        <f t="shared" si="74"/>
        <v>641</v>
      </c>
    </row>
    <row r="180" spans="1:12">
      <c r="A180" s="4">
        <f t="shared" si="77"/>
        <v>642</v>
      </c>
      <c r="B180" t="s">
        <v>454</v>
      </c>
      <c r="C180" s="21">
        <f t="shared" si="83"/>
        <v>2023</v>
      </c>
      <c r="D180" s="81" t="s">
        <v>450</v>
      </c>
      <c r="E180" s="81" t="s">
        <v>450</v>
      </c>
      <c r="F180" s="405">
        <v>0</v>
      </c>
      <c r="G180" s="405" t="e">
        <f t="shared" si="81"/>
        <v>#DIV/0!</v>
      </c>
      <c r="H180" s="431">
        <f>$H$88</f>
        <v>7.4999999999999997E-2</v>
      </c>
      <c r="I180" s="13" t="e">
        <f t="shared" ref="I180" si="85">ROUND((F180/2+G179+J179)*H180/12,2)</f>
        <v>#DIV/0!</v>
      </c>
      <c r="J180" s="13" t="e">
        <f t="shared" si="79"/>
        <v>#DIV/0!</v>
      </c>
      <c r="K180" s="13" t="e">
        <f t="shared" si="76"/>
        <v>#DIV/0!</v>
      </c>
      <c r="L180" s="4">
        <f t="shared" si="74"/>
        <v>642</v>
      </c>
    </row>
    <row r="181" spans="1:12">
      <c r="A181" s="4">
        <f t="shared" si="77"/>
        <v>643</v>
      </c>
      <c r="B181" t="s">
        <v>455</v>
      </c>
      <c r="C181" s="21">
        <f t="shared" si="83"/>
        <v>2023</v>
      </c>
      <c r="D181" s="81" t="s">
        <v>450</v>
      </c>
      <c r="E181" s="81" t="s">
        <v>450</v>
      </c>
      <c r="F181" s="405">
        <v>0</v>
      </c>
      <c r="G181" s="405" t="e">
        <f t="shared" si="81"/>
        <v>#DIV/0!</v>
      </c>
      <c r="H181" s="431">
        <f>$H$89</f>
        <v>7.4999999999999997E-2</v>
      </c>
      <c r="I181" s="13" t="e">
        <f t="shared" ref="I181" si="86">ROUND((F181/2+G180+J179)*H181/12,2)</f>
        <v>#DIV/0!</v>
      </c>
      <c r="J181" s="13" t="e">
        <f t="shared" si="79"/>
        <v>#DIV/0!</v>
      </c>
      <c r="K181" s="13" t="e">
        <f t="shared" si="76"/>
        <v>#DIV/0!</v>
      </c>
      <c r="L181" s="4">
        <f t="shared" si="74"/>
        <v>643</v>
      </c>
    </row>
    <row r="182" spans="1:12">
      <c r="A182" s="4">
        <f t="shared" si="77"/>
        <v>644</v>
      </c>
      <c r="B182" t="s">
        <v>456</v>
      </c>
      <c r="C182" s="21">
        <f t="shared" si="83"/>
        <v>2023</v>
      </c>
      <c r="D182" s="81" t="s">
        <v>450</v>
      </c>
      <c r="E182" s="81" t="s">
        <v>450</v>
      </c>
      <c r="F182" s="405">
        <v>0</v>
      </c>
      <c r="G182" s="405" t="e">
        <f t="shared" si="81"/>
        <v>#DIV/0!</v>
      </c>
      <c r="H182" s="431">
        <f>$H$90</f>
        <v>7.4999999999999997E-2</v>
      </c>
      <c r="I182" s="13" t="e">
        <f t="shared" ref="I182" si="87">ROUND((F182/2+G181+J179)*H182/12,2)</f>
        <v>#DIV/0!</v>
      </c>
      <c r="J182" s="13" t="e">
        <f t="shared" si="79"/>
        <v>#DIV/0!</v>
      </c>
      <c r="K182" s="13" t="e">
        <f t="shared" si="76"/>
        <v>#DIV/0!</v>
      </c>
      <c r="L182" s="4">
        <f t="shared" si="74"/>
        <v>644</v>
      </c>
    </row>
    <row r="183" spans="1:12">
      <c r="A183" s="4">
        <f t="shared" si="77"/>
        <v>645</v>
      </c>
      <c r="B183" t="s">
        <v>457</v>
      </c>
      <c r="C183" s="21">
        <f t="shared" si="83"/>
        <v>2023</v>
      </c>
      <c r="D183" s="81" t="s">
        <v>450</v>
      </c>
      <c r="E183" s="81" t="s">
        <v>450</v>
      </c>
      <c r="F183" s="405">
        <v>0</v>
      </c>
      <c r="G183" s="405" t="e">
        <f t="shared" si="81"/>
        <v>#DIV/0!</v>
      </c>
      <c r="H183" s="431">
        <f>$H$91</f>
        <v>8.0199999999999994E-2</v>
      </c>
      <c r="I183" s="13" t="e">
        <f t="shared" ref="I183" si="88">ROUND((F183/2+G182+J182)*H183/12,2)</f>
        <v>#DIV/0!</v>
      </c>
      <c r="J183" s="13" t="e">
        <f t="shared" si="79"/>
        <v>#DIV/0!</v>
      </c>
      <c r="K183" s="13" t="e">
        <f t="shared" si="76"/>
        <v>#DIV/0!</v>
      </c>
      <c r="L183" s="4">
        <f t="shared" si="74"/>
        <v>645</v>
      </c>
    </row>
    <row r="184" spans="1:12">
      <c r="A184" s="4">
        <f t="shared" si="77"/>
        <v>646</v>
      </c>
      <c r="B184" t="s">
        <v>458</v>
      </c>
      <c r="C184" s="21">
        <f t="shared" si="83"/>
        <v>2023</v>
      </c>
      <c r="D184" s="81" t="s">
        <v>450</v>
      </c>
      <c r="E184" s="81" t="s">
        <v>450</v>
      </c>
      <c r="F184" s="405">
        <v>0</v>
      </c>
      <c r="G184" s="405" t="e">
        <f t="shared" si="81"/>
        <v>#DIV/0!</v>
      </c>
      <c r="H184" s="431">
        <f>$H$92</f>
        <v>8.0199999999999994E-2</v>
      </c>
      <c r="I184" s="13" t="e">
        <f t="shared" ref="I184" si="89">ROUND((F184/2+G183+J182)*H184/12,2)</f>
        <v>#DIV/0!</v>
      </c>
      <c r="J184" s="13" t="e">
        <f t="shared" si="79"/>
        <v>#DIV/0!</v>
      </c>
      <c r="K184" s="13" t="e">
        <f t="shared" si="76"/>
        <v>#DIV/0!</v>
      </c>
      <c r="L184" s="4">
        <f t="shared" si="74"/>
        <v>646</v>
      </c>
    </row>
    <row r="185" spans="1:12">
      <c r="A185" s="4">
        <f t="shared" si="77"/>
        <v>647</v>
      </c>
      <c r="B185" t="s">
        <v>459</v>
      </c>
      <c r="C185" s="21">
        <f t="shared" si="83"/>
        <v>2023</v>
      </c>
      <c r="D185" s="81" t="s">
        <v>450</v>
      </c>
      <c r="E185" s="81" t="s">
        <v>450</v>
      </c>
      <c r="F185" s="405">
        <v>0</v>
      </c>
      <c r="G185" s="405" t="e">
        <f t="shared" si="81"/>
        <v>#DIV/0!</v>
      </c>
      <c r="H185" s="431">
        <f>$H$93</f>
        <v>8.0199999999999994E-2</v>
      </c>
      <c r="I185" s="13" t="e">
        <f t="shared" ref="I185" si="90">ROUND((F185/2+G184+J182)*H185/12,2)</f>
        <v>#DIV/0!</v>
      </c>
      <c r="J185" s="13" t="e">
        <f t="shared" si="79"/>
        <v>#DIV/0!</v>
      </c>
      <c r="K185" s="13" t="e">
        <f t="shared" si="76"/>
        <v>#DIV/0!</v>
      </c>
      <c r="L185" s="4">
        <f t="shared" si="74"/>
        <v>647</v>
      </c>
    </row>
    <row r="186" spans="1:12">
      <c r="A186" s="4">
        <f t="shared" si="77"/>
        <v>648</v>
      </c>
      <c r="B186" t="s">
        <v>460</v>
      </c>
      <c r="C186" s="21">
        <f t="shared" si="83"/>
        <v>2023</v>
      </c>
      <c r="D186" s="81" t="s">
        <v>450</v>
      </c>
      <c r="E186" s="81" t="s">
        <v>450</v>
      </c>
      <c r="F186" s="405">
        <v>0</v>
      </c>
      <c r="G186" s="405" t="e">
        <f t="shared" si="81"/>
        <v>#DIV/0!</v>
      </c>
      <c r="H186" s="431">
        <f>$H$94</f>
        <v>8.3500000000000005E-2</v>
      </c>
      <c r="I186" s="13" t="e">
        <f t="shared" ref="I186" si="91">ROUND((F186/2+G185+J185)*H186/12,2)</f>
        <v>#DIV/0!</v>
      </c>
      <c r="J186" s="13" t="e">
        <f t="shared" si="79"/>
        <v>#DIV/0!</v>
      </c>
      <c r="K186" s="13" t="e">
        <f t="shared" si="76"/>
        <v>#DIV/0!</v>
      </c>
      <c r="L186" s="4">
        <f t="shared" si="74"/>
        <v>648</v>
      </c>
    </row>
    <row r="187" spans="1:12">
      <c r="A187" s="4">
        <f t="shared" si="77"/>
        <v>649</v>
      </c>
      <c r="B187" t="s">
        <v>461</v>
      </c>
      <c r="C187" s="21">
        <f t="shared" si="83"/>
        <v>2023</v>
      </c>
      <c r="D187" s="81" t="s">
        <v>450</v>
      </c>
      <c r="E187" s="81" t="s">
        <v>450</v>
      </c>
      <c r="F187" s="405">
        <v>0</v>
      </c>
      <c r="G187" s="405" t="e">
        <f t="shared" si="81"/>
        <v>#DIV/0!</v>
      </c>
      <c r="H187" s="431">
        <f>$H$95</f>
        <v>8.3500000000000005E-2</v>
      </c>
      <c r="I187" s="13" t="e">
        <f t="shared" ref="I187" si="92">ROUND((F187/2+G186+J185)*H187/12,2)</f>
        <v>#DIV/0!</v>
      </c>
      <c r="J187" s="13" t="e">
        <f t="shared" si="79"/>
        <v>#DIV/0!</v>
      </c>
      <c r="K187" s="13" t="e">
        <f t="shared" si="76"/>
        <v>#DIV/0!</v>
      </c>
      <c r="L187" s="4">
        <f t="shared" si="74"/>
        <v>649</v>
      </c>
    </row>
    <row r="188" spans="1:12">
      <c r="A188" s="4">
        <f t="shared" si="77"/>
        <v>650</v>
      </c>
      <c r="B188" t="s">
        <v>449</v>
      </c>
      <c r="C188" s="21">
        <f t="shared" si="83"/>
        <v>2023</v>
      </c>
      <c r="D188" s="81" t="s">
        <v>450</v>
      </c>
      <c r="E188" s="81" t="s">
        <v>450</v>
      </c>
      <c r="F188" s="405">
        <v>0</v>
      </c>
      <c r="G188" s="405" t="e">
        <f t="shared" si="81"/>
        <v>#DIV/0!</v>
      </c>
      <c r="H188" s="431">
        <f>$H$96</f>
        <v>8.3500000000000005E-2</v>
      </c>
      <c r="I188" s="13" t="e">
        <f t="shared" ref="I188" si="93">ROUND((F188/2+G187+J185)*H188/12,2)</f>
        <v>#DIV/0!</v>
      </c>
      <c r="J188" s="13" t="e">
        <f t="shared" si="79"/>
        <v>#DIV/0!</v>
      </c>
      <c r="K188" s="13" t="e">
        <f t="shared" si="76"/>
        <v>#DIV/0!</v>
      </c>
      <c r="L188" s="4">
        <f t="shared" si="74"/>
        <v>650</v>
      </c>
    </row>
    <row r="189" spans="1:12">
      <c r="A189" s="3"/>
      <c r="B189" s="2"/>
    </row>
    <row r="190" spans="1:12">
      <c r="A190" s="3" t="s">
        <v>92</v>
      </c>
      <c r="B190" s="416" t="s">
        <v>419</v>
      </c>
      <c r="C190" s="417" t="s">
        <v>124</v>
      </c>
      <c r="D190" s="417" t="s">
        <v>125</v>
      </c>
      <c r="E190" s="417" t="s">
        <v>126</v>
      </c>
      <c r="F190" s="417" t="s">
        <v>127</v>
      </c>
      <c r="G190" s="417" t="s">
        <v>420</v>
      </c>
      <c r="H190" s="417" t="s">
        <v>421</v>
      </c>
      <c r="I190" s="417" t="s">
        <v>422</v>
      </c>
      <c r="J190" s="417" t="s">
        <v>423</v>
      </c>
      <c r="K190" s="418" t="s">
        <v>424</v>
      </c>
      <c r="L190" s="3" t="str">
        <f t="shared" ref="L190:L191" si="94">A190</f>
        <v>Line</v>
      </c>
    </row>
    <row r="191" spans="1:12">
      <c r="A191" s="4">
        <f>A129+100</f>
        <v>700</v>
      </c>
      <c r="B191" s="419" t="s">
        <v>464</v>
      </c>
      <c r="C191" s="4"/>
      <c r="D191" s="18" t="s">
        <v>103</v>
      </c>
      <c r="E191" s="18" t="s">
        <v>425</v>
      </c>
      <c r="F191" s="21" t="str">
        <f>""&amp;D190&amp;" - "&amp;E190&amp;""</f>
        <v>Col 2 - Col 3</v>
      </c>
      <c r="G191" s="21" t="s">
        <v>426</v>
      </c>
      <c r="H191" s="21" t="s">
        <v>427</v>
      </c>
      <c r="I191" s="21" t="s">
        <v>428</v>
      </c>
      <c r="J191" s="21" t="s">
        <v>429</v>
      </c>
      <c r="K191" s="420" t="str">
        <f>""&amp;G190&amp;" + "&amp;J190&amp;""</f>
        <v>Col 5 + Col 8</v>
      </c>
      <c r="L191" s="4">
        <f t="shared" si="94"/>
        <v>700</v>
      </c>
    </row>
    <row r="192" spans="1:12">
      <c r="A192" s="4"/>
      <c r="B192" s="421"/>
      <c r="C192" s="4"/>
      <c r="D192" s="4"/>
      <c r="E192" s="4"/>
      <c r="F192" s="4"/>
      <c r="G192" s="4" t="s">
        <v>430</v>
      </c>
      <c r="H192" s="4"/>
      <c r="I192" s="4"/>
      <c r="J192" s="4"/>
      <c r="K192" s="422" t="s">
        <v>430</v>
      </c>
    </row>
    <row r="193" spans="1:12">
      <c r="B193" s="421"/>
      <c r="C193" s="4"/>
      <c r="D193" s="4" t="s">
        <v>434</v>
      </c>
      <c r="E193" s="4" t="s">
        <v>434</v>
      </c>
      <c r="F193" s="4"/>
      <c r="G193" s="4" t="s">
        <v>433</v>
      </c>
      <c r="H193" s="4"/>
      <c r="I193" s="4"/>
      <c r="J193" s="4"/>
      <c r="K193" s="422" t="s">
        <v>433</v>
      </c>
    </row>
    <row r="194" spans="1:12">
      <c r="A194" s="4"/>
      <c r="B194" s="419"/>
      <c r="C194" s="4"/>
      <c r="D194" s="4" t="s">
        <v>431</v>
      </c>
      <c r="E194" s="4" t="s">
        <v>432</v>
      </c>
      <c r="F194" s="4" t="s">
        <v>435</v>
      </c>
      <c r="G194" s="4" t="s">
        <v>436</v>
      </c>
      <c r="H194" s="4" t="s">
        <v>437</v>
      </c>
      <c r="I194" s="4" t="s">
        <v>431</v>
      </c>
      <c r="J194" s="4" t="s">
        <v>438</v>
      </c>
      <c r="K194" s="422" t="s">
        <v>439</v>
      </c>
    </row>
    <row r="195" spans="1:12">
      <c r="A195" s="4"/>
      <c r="B195" s="423" t="s">
        <v>440</v>
      </c>
      <c r="C195" s="424" t="s">
        <v>441</v>
      </c>
      <c r="D195" s="424" t="s">
        <v>442</v>
      </c>
      <c r="E195" s="424" t="s">
        <v>443</v>
      </c>
      <c r="F195" s="424" t="s">
        <v>444</v>
      </c>
      <c r="G195" s="424" t="s">
        <v>445</v>
      </c>
      <c r="H195" s="424" t="s">
        <v>446</v>
      </c>
      <c r="I195" s="424" t="s">
        <v>447</v>
      </c>
      <c r="J195" s="424" t="s">
        <v>447</v>
      </c>
      <c r="K195" s="425" t="s">
        <v>448</v>
      </c>
    </row>
    <row r="196" spans="1:12">
      <c r="A196" s="4">
        <f>A191+1</f>
        <v>701</v>
      </c>
      <c r="B196" t="s">
        <v>449</v>
      </c>
      <c r="C196" s="21">
        <f>C197-1</f>
        <v>2021</v>
      </c>
      <c r="D196" s="81" t="s">
        <v>450</v>
      </c>
      <c r="E196" s="81" t="s">
        <v>450</v>
      </c>
      <c r="F196" s="21" t="s">
        <v>450</v>
      </c>
      <c r="G196" s="40">
        <v>-2776.3865963070421</v>
      </c>
      <c r="H196" s="21" t="s">
        <v>450</v>
      </c>
      <c r="I196" s="21" t="s">
        <v>450</v>
      </c>
      <c r="J196" s="40">
        <v>-29.920000000000073</v>
      </c>
      <c r="K196" s="13">
        <f>ROUND((G196+J196),2)</f>
        <v>-2806.31</v>
      </c>
      <c r="L196" s="4">
        <f t="shared" ref="L196:L220" si="95">A196</f>
        <v>701</v>
      </c>
    </row>
    <row r="197" spans="1:12">
      <c r="A197" s="4">
        <f>A196+1</f>
        <v>702</v>
      </c>
      <c r="B197" t="s">
        <v>451</v>
      </c>
      <c r="C197" s="21">
        <f>'1-DRR'!$K$2</f>
        <v>2022</v>
      </c>
      <c r="D197" s="395">
        <f>IF(E197="N/A","N/A",($E$42*'9-WholesaleRevenues'!F14))</f>
        <v>43594.954119818824</v>
      </c>
      <c r="E197" s="395">
        <f>IF('9-WholesaleRevenues'!F48="N/A","N/A",'9-WholesaleRevenues'!F48)</f>
        <v>63821.25</v>
      </c>
      <c r="F197" s="405">
        <f t="shared" ref="F197:F208" si="96">IF(E197="N/A",0,D197-E197)</f>
        <v>-20226.295880181176</v>
      </c>
      <c r="G197" s="405">
        <f>F197+G196</f>
        <v>-23002.682476488219</v>
      </c>
      <c r="H197" s="431">
        <f>$H$73</f>
        <v>3.2500000000000001E-2</v>
      </c>
      <c r="I197" s="13">
        <f>IF(E197="N/A",0,ROUND((F197/2+G196+J196)*H197/12,2))</f>
        <v>-34.99</v>
      </c>
      <c r="J197" s="13">
        <f>I197+J196</f>
        <v>-64.910000000000082</v>
      </c>
      <c r="K197" s="13">
        <f t="shared" ref="K197:K220" si="97">ROUND((G197+J197),2)</f>
        <v>-23067.59</v>
      </c>
      <c r="L197" s="4">
        <f t="shared" si="95"/>
        <v>702</v>
      </c>
    </row>
    <row r="198" spans="1:12">
      <c r="A198" s="4">
        <f t="shared" ref="A198:A220" si="98">A197+1</f>
        <v>703</v>
      </c>
      <c r="B198" t="s">
        <v>452</v>
      </c>
      <c r="C198" s="21">
        <f>'1-DRR'!$K$2</f>
        <v>2022</v>
      </c>
      <c r="D198" s="395">
        <f>IF(E198="N/A","N/A",($E$42*'9-WholesaleRevenues'!F15))</f>
        <v>40131.126315750771</v>
      </c>
      <c r="E198" s="395">
        <f>IF('9-WholesaleRevenues'!F49="N/A","N/A",'9-WholesaleRevenues'!F49)</f>
        <v>63821.25</v>
      </c>
      <c r="F198" s="405">
        <f t="shared" si="96"/>
        <v>-23690.123684249229</v>
      </c>
      <c r="G198" s="405">
        <f t="shared" ref="G198:G208" si="99">F198+G197</f>
        <v>-46692.806160737447</v>
      </c>
      <c r="H198" s="431">
        <f>$H$74</f>
        <v>3.2500000000000001E-2</v>
      </c>
      <c r="I198" s="13">
        <f>IF(E198="N/A",0,ROUND((F198/2+G197+J196)*H198/12,2))</f>
        <v>-94.46</v>
      </c>
      <c r="J198" s="13">
        <f>I198+J197</f>
        <v>-159.37000000000006</v>
      </c>
      <c r="K198" s="13">
        <f t="shared" si="97"/>
        <v>-46852.18</v>
      </c>
      <c r="L198" s="4">
        <f t="shared" si="95"/>
        <v>703</v>
      </c>
    </row>
    <row r="199" spans="1:12">
      <c r="A199" s="4">
        <f t="shared" si="98"/>
        <v>704</v>
      </c>
      <c r="B199" t="s">
        <v>453</v>
      </c>
      <c r="C199" s="21">
        <f>'1-DRR'!$K$2</f>
        <v>2022</v>
      </c>
      <c r="D199" s="395">
        <f>IF(E199="N/A","N/A",($E$42*'9-WholesaleRevenues'!F16))</f>
        <v>41870.286719466945</v>
      </c>
      <c r="E199" s="395">
        <f>IF('9-WholesaleRevenues'!F50="N/A","N/A",'9-WholesaleRevenues'!F50)</f>
        <v>63821.25</v>
      </c>
      <c r="F199" s="405">
        <f t="shared" si="96"/>
        <v>-21950.963280533055</v>
      </c>
      <c r="G199" s="405">
        <f t="shared" si="99"/>
        <v>-68643.769441270502</v>
      </c>
      <c r="H199" s="431">
        <f>$H$75</f>
        <v>3.2500000000000001E-2</v>
      </c>
      <c r="I199" s="13">
        <f>IF(E199="N/A",0,ROUND((F199/2+G198+J196)*H199/12,2))</f>
        <v>-156.27000000000001</v>
      </c>
      <c r="J199" s="13">
        <f>I199+J198</f>
        <v>-315.6400000000001</v>
      </c>
      <c r="K199" s="13">
        <f t="shared" si="97"/>
        <v>-68959.41</v>
      </c>
      <c r="L199" s="4">
        <f t="shared" si="95"/>
        <v>704</v>
      </c>
    </row>
    <row r="200" spans="1:12">
      <c r="A200" s="4">
        <f t="shared" si="98"/>
        <v>705</v>
      </c>
      <c r="B200" t="s">
        <v>454</v>
      </c>
      <c r="C200" s="21">
        <f>'1-DRR'!$K$2</f>
        <v>2022</v>
      </c>
      <c r="D200" s="395">
        <f>IF(E200="N/A","N/A",($E$42*'9-WholesaleRevenues'!F17))</f>
        <v>43638.433129911726</v>
      </c>
      <c r="E200" s="395">
        <f>IF('9-WholesaleRevenues'!F51="N/A","N/A",'9-WholesaleRevenues'!F51)</f>
        <v>63821.25</v>
      </c>
      <c r="F200" s="405">
        <f t="shared" si="96"/>
        <v>-20182.816870088274</v>
      </c>
      <c r="G200" s="405">
        <f t="shared" si="99"/>
        <v>-88826.586311358784</v>
      </c>
      <c r="H200" s="431">
        <f>$H$76</f>
        <v>3.2500000000000001E-2</v>
      </c>
      <c r="I200" s="13">
        <f>IF(E200="N/A",0,ROUND((F200/2+G199+J199)*H200/12,2))</f>
        <v>-214.1</v>
      </c>
      <c r="J200" s="13">
        <f t="shared" ref="J200:J220" si="100">I200+J199</f>
        <v>-529.74000000000012</v>
      </c>
      <c r="K200" s="13">
        <f t="shared" si="97"/>
        <v>-89356.33</v>
      </c>
      <c r="L200" s="4">
        <f t="shared" si="95"/>
        <v>705</v>
      </c>
    </row>
    <row r="201" spans="1:12">
      <c r="A201" s="4">
        <f t="shared" si="98"/>
        <v>706</v>
      </c>
      <c r="B201" t="s">
        <v>455</v>
      </c>
      <c r="C201" s="21">
        <f>'1-DRR'!$K$2</f>
        <v>2022</v>
      </c>
      <c r="D201" s="395">
        <f>IF(E201="N/A","N/A",($E$42*'9-WholesaleRevenues'!F18))</f>
        <v>41580.426652180919</v>
      </c>
      <c r="E201" s="395">
        <f>IF('9-WholesaleRevenues'!F52="N/A","N/A",'9-WholesaleRevenues'!F52)</f>
        <v>41465.656999999999</v>
      </c>
      <c r="F201" s="405">
        <f t="shared" si="96"/>
        <v>114.76965218091937</v>
      </c>
      <c r="G201" s="405">
        <f t="shared" si="99"/>
        <v>-88711.816659177857</v>
      </c>
      <c r="H201" s="431">
        <f>$H$77</f>
        <v>3.2500000000000001E-2</v>
      </c>
      <c r="I201" s="13">
        <f>IF(E201="N/A",0,ROUND((F201/2+G200+J199)*H201/12,2))</f>
        <v>-241.27</v>
      </c>
      <c r="J201" s="13">
        <f t="shared" si="100"/>
        <v>-771.0100000000001</v>
      </c>
      <c r="K201" s="13">
        <f t="shared" si="97"/>
        <v>-89482.83</v>
      </c>
      <c r="L201" s="4">
        <f t="shared" si="95"/>
        <v>706</v>
      </c>
    </row>
    <row r="202" spans="1:12">
      <c r="A202" s="4">
        <f t="shared" si="98"/>
        <v>707</v>
      </c>
      <c r="B202" t="s">
        <v>456</v>
      </c>
      <c r="C202" s="21">
        <f>'1-DRR'!$K$2</f>
        <v>2022</v>
      </c>
      <c r="D202" s="395">
        <f>IF(E202="N/A","N/A",($E$42*'9-WholesaleRevenues'!F19))</f>
        <v>43826.842173647645</v>
      </c>
      <c r="E202" s="395">
        <f>IF('9-WholesaleRevenues'!F53="N/A","N/A",'9-WholesaleRevenues'!F53)</f>
        <v>43705.871999999996</v>
      </c>
      <c r="F202" s="405">
        <f t="shared" si="96"/>
        <v>120.97017364764906</v>
      </c>
      <c r="G202" s="405">
        <f t="shared" si="99"/>
        <v>-88590.846485530201</v>
      </c>
      <c r="H202" s="431">
        <f>$H$78</f>
        <v>3.2500000000000001E-2</v>
      </c>
      <c r="I202" s="13">
        <f>IF(E202="N/A",0,ROUND((F202/2+G201+J199)*H202/12,2))</f>
        <v>-240.95</v>
      </c>
      <c r="J202" s="13">
        <f t="shared" si="100"/>
        <v>-1011.96</v>
      </c>
      <c r="K202" s="13">
        <f t="shared" si="97"/>
        <v>-89602.81</v>
      </c>
      <c r="L202" s="4">
        <f t="shared" si="95"/>
        <v>707</v>
      </c>
    </row>
    <row r="203" spans="1:12">
      <c r="A203" s="4">
        <f t="shared" si="98"/>
        <v>708</v>
      </c>
      <c r="B203" t="s">
        <v>457</v>
      </c>
      <c r="C203" s="21">
        <f>'1-DRR'!$K$2</f>
        <v>2022</v>
      </c>
      <c r="D203" s="395">
        <f>IF(E203="N/A","N/A",($E$42*'9-WholesaleRevenues'!F20))</f>
        <v>50102.312630390181</v>
      </c>
      <c r="E203" s="395">
        <f>IF('9-WholesaleRevenues'!F54="N/A","N/A",'9-WholesaleRevenues'!F54)</f>
        <v>50050.739000000001</v>
      </c>
      <c r="F203" s="405">
        <f t="shared" si="96"/>
        <v>51.57363039017946</v>
      </c>
      <c r="G203" s="405">
        <f t="shared" si="99"/>
        <v>-88539.272855140021</v>
      </c>
      <c r="H203" s="431">
        <f>$H$79</f>
        <v>3.5999999999999997E-2</v>
      </c>
      <c r="I203" s="13">
        <f>IF(E203="N/A",0,ROUND((F203/2+G202+J202)*H203/12,2))</f>
        <v>-268.73</v>
      </c>
      <c r="J203" s="13">
        <f t="shared" si="100"/>
        <v>-1280.69</v>
      </c>
      <c r="K203" s="13">
        <f t="shared" si="97"/>
        <v>-89819.96</v>
      </c>
      <c r="L203" s="4">
        <f t="shared" si="95"/>
        <v>708</v>
      </c>
    </row>
    <row r="204" spans="1:12">
      <c r="A204" s="4">
        <f t="shared" si="98"/>
        <v>709</v>
      </c>
      <c r="B204" t="s">
        <v>458</v>
      </c>
      <c r="C204" s="21">
        <f>'1-DRR'!$K$2</f>
        <v>2022</v>
      </c>
      <c r="D204" s="395">
        <f>IF(E204="N/A","N/A",($E$42*'9-WholesaleRevenues'!F21))</f>
        <v>51044.357849069776</v>
      </c>
      <c r="E204" s="395">
        <f>IF('9-WholesaleRevenues'!F55="N/A","N/A",'9-WholesaleRevenues'!F55)</f>
        <v>50990.184000000001</v>
      </c>
      <c r="F204" s="405">
        <f t="shared" si="96"/>
        <v>54.173849069775315</v>
      </c>
      <c r="G204" s="405">
        <f t="shared" si="99"/>
        <v>-88485.099006070246</v>
      </c>
      <c r="H204" s="431">
        <f>$H$80</f>
        <v>3.5999999999999997E-2</v>
      </c>
      <c r="I204" s="13">
        <f>IF(E204="N/A",0,ROUND((F204/2+G203+J202)*H204/12,2))</f>
        <v>-268.57</v>
      </c>
      <c r="J204" s="13">
        <f t="shared" si="100"/>
        <v>-1549.26</v>
      </c>
      <c r="K204" s="13">
        <f t="shared" si="97"/>
        <v>-90034.36</v>
      </c>
      <c r="L204" s="4">
        <f t="shared" si="95"/>
        <v>709</v>
      </c>
    </row>
    <row r="205" spans="1:12">
      <c r="A205" s="4">
        <f t="shared" si="98"/>
        <v>710</v>
      </c>
      <c r="B205" t="s">
        <v>459</v>
      </c>
      <c r="C205" s="21">
        <f>'1-DRR'!$K$2</f>
        <v>2022</v>
      </c>
      <c r="D205" s="395">
        <f>IF(E205="N/A","N/A",($E$42*'9-WholesaleRevenues'!F22))</f>
        <v>51928.431054292167</v>
      </c>
      <c r="E205" s="395">
        <f>IF('9-WholesaleRevenues'!F56="N/A","N/A",'9-WholesaleRevenues'!F56)</f>
        <v>51871.816999999995</v>
      </c>
      <c r="F205" s="405">
        <f t="shared" si="96"/>
        <v>56.614054292171204</v>
      </c>
      <c r="G205" s="405">
        <f t="shared" si="99"/>
        <v>-88428.484951778082</v>
      </c>
      <c r="H205" s="431">
        <f>$H$81</f>
        <v>3.5999999999999997E-2</v>
      </c>
      <c r="I205" s="13">
        <f>IF(E205="N/A",0,ROUND((F205/2+G204+J202)*H205/12,2))</f>
        <v>-268.41000000000003</v>
      </c>
      <c r="J205" s="13">
        <f t="shared" si="100"/>
        <v>-1817.67</v>
      </c>
      <c r="K205" s="13">
        <f t="shared" si="97"/>
        <v>-90246.15</v>
      </c>
      <c r="L205" s="4">
        <f t="shared" si="95"/>
        <v>710</v>
      </c>
    </row>
    <row r="206" spans="1:12">
      <c r="A206" s="4">
        <f t="shared" si="98"/>
        <v>711</v>
      </c>
      <c r="B206" t="s">
        <v>460</v>
      </c>
      <c r="C206" s="21">
        <f>'1-DRR'!$K$2</f>
        <v>2022</v>
      </c>
      <c r="D206" s="395">
        <f>IF(E206="N/A","N/A",($E$42*'9-WholesaleRevenues'!F23))</f>
        <v>47971.841135837865</v>
      </c>
      <c r="E206" s="395">
        <f>IF('9-WholesaleRevenues'!F57="N/A","N/A",'9-WholesaleRevenues'!F57)</f>
        <v>47926.148000000001</v>
      </c>
      <c r="F206" s="405">
        <f t="shared" si="96"/>
        <v>45.693135837864247</v>
      </c>
      <c r="G206" s="405">
        <f t="shared" si="99"/>
        <v>-88382.791815940218</v>
      </c>
      <c r="H206" s="431">
        <f>$H$82</f>
        <v>4.9099999999999998E-2</v>
      </c>
      <c r="I206" s="13">
        <f>IF(E206="N/A",0,ROUND((F206/2+G205+J205)*H206/12,2))</f>
        <v>-369.16</v>
      </c>
      <c r="J206" s="13">
        <f t="shared" si="100"/>
        <v>-2186.83</v>
      </c>
      <c r="K206" s="13">
        <f t="shared" si="97"/>
        <v>-90569.62</v>
      </c>
      <c r="L206" s="4">
        <f t="shared" si="95"/>
        <v>711</v>
      </c>
    </row>
    <row r="207" spans="1:12">
      <c r="A207" s="4">
        <f t="shared" si="98"/>
        <v>712</v>
      </c>
      <c r="B207" t="s">
        <v>461</v>
      </c>
      <c r="C207" s="21">
        <f>'1-DRR'!$K$2</f>
        <v>2022</v>
      </c>
      <c r="D207" s="395">
        <f>IF(E207="N/A","N/A",($E$42*'9-WholesaleRevenues'!F24))</f>
        <v>38551.38894904191</v>
      </c>
      <c r="E207" s="395">
        <f>IF('9-WholesaleRevenues'!F58="N/A","N/A",'9-WholesaleRevenues'!F58)</f>
        <v>38531.697999999997</v>
      </c>
      <c r="F207" s="405">
        <f t="shared" si="96"/>
        <v>19.690949041912972</v>
      </c>
      <c r="G207" s="405">
        <f t="shared" si="99"/>
        <v>-88363.100866898312</v>
      </c>
      <c r="H207" s="431">
        <f>$H$83</f>
        <v>4.9099999999999998E-2</v>
      </c>
      <c r="I207" s="13">
        <f>IF(E207="N/A",0,ROUND((F207/2+G206+J205)*H207/12,2))</f>
        <v>-369.03</v>
      </c>
      <c r="J207" s="13">
        <f t="shared" si="100"/>
        <v>-2555.8599999999997</v>
      </c>
      <c r="K207" s="13">
        <f t="shared" si="97"/>
        <v>-90918.96</v>
      </c>
      <c r="L207" s="4">
        <f t="shared" si="95"/>
        <v>712</v>
      </c>
    </row>
    <row r="208" spans="1:12">
      <c r="A208" s="4">
        <f t="shared" si="98"/>
        <v>713</v>
      </c>
      <c r="B208" t="s">
        <v>449</v>
      </c>
      <c r="C208" s="21">
        <f>'1-DRR'!$K$2</f>
        <v>2022</v>
      </c>
      <c r="D208" s="395">
        <f>IF(E208="N/A","N/A",($E$42*'9-WholesaleRevenues'!F25))</f>
        <v>34464.362000308894</v>
      </c>
      <c r="E208" s="395">
        <f>IF('9-WholesaleRevenues'!F59="N/A","N/A",'9-WholesaleRevenues'!F59)</f>
        <v>34455.951999999997</v>
      </c>
      <c r="F208" s="405">
        <f t="shared" si="96"/>
        <v>8.410000308896997</v>
      </c>
      <c r="G208" s="405">
        <f t="shared" si="99"/>
        <v>-88354.690866589415</v>
      </c>
      <c r="H208" s="431">
        <f>$H$84</f>
        <v>4.9099999999999998E-2</v>
      </c>
      <c r="I208" s="13">
        <f>IF(E208="N/A",0,ROUND((F208/2+G207+J205)*H208/12,2))</f>
        <v>-368.97</v>
      </c>
      <c r="J208" s="13">
        <f t="shared" si="100"/>
        <v>-2924.83</v>
      </c>
      <c r="K208" s="13">
        <f t="shared" si="97"/>
        <v>-91279.52</v>
      </c>
      <c r="L208" s="4">
        <f t="shared" si="95"/>
        <v>713</v>
      </c>
    </row>
    <row r="209" spans="1:12">
      <c r="A209" s="4">
        <f t="shared" si="98"/>
        <v>714</v>
      </c>
      <c r="B209" t="s">
        <v>451</v>
      </c>
      <c r="C209" s="21">
        <f>C208+1</f>
        <v>2023</v>
      </c>
      <c r="D209" s="81" t="s">
        <v>450</v>
      </c>
      <c r="E209" s="81" t="s">
        <v>450</v>
      </c>
      <c r="F209" s="405">
        <v>0</v>
      </c>
      <c r="G209" s="405">
        <f>F209+G208</f>
        <v>-88354.690866589415</v>
      </c>
      <c r="H209" s="431">
        <f>$H$85</f>
        <v>6.3100000000000003E-2</v>
      </c>
      <c r="I209" s="13">
        <f t="shared" ref="I209" si="101">ROUND((F209/2+G208+J208)*H209/12,2)</f>
        <v>-479.98</v>
      </c>
      <c r="J209" s="13">
        <f t="shared" si="100"/>
        <v>-3404.81</v>
      </c>
      <c r="K209" s="13">
        <f t="shared" si="97"/>
        <v>-91759.5</v>
      </c>
      <c r="L209" s="4">
        <f t="shared" si="95"/>
        <v>714</v>
      </c>
    </row>
    <row r="210" spans="1:12">
      <c r="A210" s="4">
        <f t="shared" si="98"/>
        <v>715</v>
      </c>
      <c r="B210" t="s">
        <v>452</v>
      </c>
      <c r="C210" s="21">
        <f>C209</f>
        <v>2023</v>
      </c>
      <c r="D210" s="81" t="s">
        <v>450</v>
      </c>
      <c r="E210" s="81" t="s">
        <v>450</v>
      </c>
      <c r="F210" s="405">
        <v>0</v>
      </c>
      <c r="G210" s="405">
        <f t="shared" ref="G210:G220" si="102">F210+G209</f>
        <v>-88354.690866589415</v>
      </c>
      <c r="H210" s="431">
        <f>$H$86</f>
        <v>6.3100000000000003E-2</v>
      </c>
      <c r="I210" s="13">
        <f t="shared" ref="I210" si="103">ROUND((F210/2+G209+J208)*H210/12,2)</f>
        <v>-479.98</v>
      </c>
      <c r="J210" s="13">
        <f t="shared" si="100"/>
        <v>-3884.79</v>
      </c>
      <c r="K210" s="13">
        <f t="shared" si="97"/>
        <v>-92239.48</v>
      </c>
      <c r="L210" s="4">
        <f t="shared" si="95"/>
        <v>715</v>
      </c>
    </row>
    <row r="211" spans="1:12">
      <c r="A211" s="4">
        <f t="shared" si="98"/>
        <v>716</v>
      </c>
      <c r="B211" t="s">
        <v>453</v>
      </c>
      <c r="C211" s="21">
        <f t="shared" ref="C211:C220" si="104">C210</f>
        <v>2023</v>
      </c>
      <c r="D211" s="81" t="s">
        <v>450</v>
      </c>
      <c r="E211" s="81" t="s">
        <v>450</v>
      </c>
      <c r="F211" s="405">
        <v>0</v>
      </c>
      <c r="G211" s="405">
        <f t="shared" si="102"/>
        <v>-88354.690866589415</v>
      </c>
      <c r="H211" s="431">
        <f>$H$87</f>
        <v>6.3100000000000003E-2</v>
      </c>
      <c r="I211" s="13">
        <f t="shared" ref="I211" si="105">ROUND((F211/2+G210+J208)*H211/12,2)</f>
        <v>-479.98</v>
      </c>
      <c r="J211" s="13">
        <f t="shared" si="100"/>
        <v>-4364.7700000000004</v>
      </c>
      <c r="K211" s="13">
        <f t="shared" si="97"/>
        <v>-92719.46</v>
      </c>
      <c r="L211" s="4">
        <f t="shared" si="95"/>
        <v>716</v>
      </c>
    </row>
    <row r="212" spans="1:12">
      <c r="A212" s="4">
        <f t="shared" si="98"/>
        <v>717</v>
      </c>
      <c r="B212" t="s">
        <v>454</v>
      </c>
      <c r="C212" s="21">
        <f t="shared" si="104"/>
        <v>2023</v>
      </c>
      <c r="D212" s="81" t="s">
        <v>450</v>
      </c>
      <c r="E212" s="81" t="s">
        <v>450</v>
      </c>
      <c r="F212" s="405">
        <v>0</v>
      </c>
      <c r="G212" s="405">
        <f t="shared" si="102"/>
        <v>-88354.690866589415</v>
      </c>
      <c r="H212" s="431">
        <f>$H$88</f>
        <v>7.4999999999999997E-2</v>
      </c>
      <c r="I212" s="13">
        <f t="shared" ref="I212" si="106">ROUND((F212/2+G211+J211)*H212/12,2)</f>
        <v>-579.5</v>
      </c>
      <c r="J212" s="13">
        <f t="shared" si="100"/>
        <v>-4944.2700000000004</v>
      </c>
      <c r="K212" s="13">
        <f t="shared" si="97"/>
        <v>-93298.96</v>
      </c>
      <c r="L212" s="4">
        <f t="shared" si="95"/>
        <v>717</v>
      </c>
    </row>
    <row r="213" spans="1:12">
      <c r="A213" s="4">
        <f t="shared" si="98"/>
        <v>718</v>
      </c>
      <c r="B213" t="s">
        <v>455</v>
      </c>
      <c r="C213" s="21">
        <f t="shared" si="104"/>
        <v>2023</v>
      </c>
      <c r="D213" s="81" t="s">
        <v>450</v>
      </c>
      <c r="E213" s="81" t="s">
        <v>450</v>
      </c>
      <c r="F213" s="405">
        <v>0</v>
      </c>
      <c r="G213" s="405">
        <f t="shared" si="102"/>
        <v>-88354.690866589415</v>
      </c>
      <c r="H213" s="431">
        <f>$H$89</f>
        <v>7.4999999999999997E-2</v>
      </c>
      <c r="I213" s="13">
        <f t="shared" ref="I213" si="107">ROUND((F213/2+G212+J211)*H213/12,2)</f>
        <v>-579.5</v>
      </c>
      <c r="J213" s="13">
        <f t="shared" si="100"/>
        <v>-5523.77</v>
      </c>
      <c r="K213" s="13">
        <f t="shared" si="97"/>
        <v>-93878.46</v>
      </c>
      <c r="L213" s="4">
        <f t="shared" si="95"/>
        <v>718</v>
      </c>
    </row>
    <row r="214" spans="1:12">
      <c r="A214" s="4">
        <f t="shared" si="98"/>
        <v>719</v>
      </c>
      <c r="B214" t="s">
        <v>456</v>
      </c>
      <c r="C214" s="21">
        <f t="shared" si="104"/>
        <v>2023</v>
      </c>
      <c r="D214" s="81" t="s">
        <v>450</v>
      </c>
      <c r="E214" s="81" t="s">
        <v>450</v>
      </c>
      <c r="F214" s="405">
        <v>0</v>
      </c>
      <c r="G214" s="405">
        <f t="shared" si="102"/>
        <v>-88354.690866589415</v>
      </c>
      <c r="H214" s="431">
        <f>$H$90</f>
        <v>7.4999999999999997E-2</v>
      </c>
      <c r="I214" s="13">
        <f t="shared" ref="I214" si="108">ROUND((F214/2+G213+J211)*H214/12,2)</f>
        <v>-579.5</v>
      </c>
      <c r="J214" s="13">
        <f t="shared" si="100"/>
        <v>-6103.27</v>
      </c>
      <c r="K214" s="13">
        <f t="shared" si="97"/>
        <v>-94457.96</v>
      </c>
      <c r="L214" s="4">
        <f t="shared" si="95"/>
        <v>719</v>
      </c>
    </row>
    <row r="215" spans="1:12">
      <c r="A215" s="4">
        <f t="shared" si="98"/>
        <v>720</v>
      </c>
      <c r="B215" t="s">
        <v>457</v>
      </c>
      <c r="C215" s="21">
        <f t="shared" si="104"/>
        <v>2023</v>
      </c>
      <c r="D215" s="81" t="s">
        <v>450</v>
      </c>
      <c r="E215" s="81" t="s">
        <v>450</v>
      </c>
      <c r="F215" s="405">
        <v>0</v>
      </c>
      <c r="G215" s="405">
        <f t="shared" si="102"/>
        <v>-88354.690866589415</v>
      </c>
      <c r="H215" s="431">
        <f>$H$91</f>
        <v>8.0199999999999994E-2</v>
      </c>
      <c r="I215" s="13">
        <f t="shared" ref="I215" si="109">ROUND((F215/2+G214+J214)*H215/12,2)</f>
        <v>-631.29</v>
      </c>
      <c r="J215" s="13">
        <f t="shared" si="100"/>
        <v>-6734.56</v>
      </c>
      <c r="K215" s="13">
        <f t="shared" si="97"/>
        <v>-95089.25</v>
      </c>
      <c r="L215" s="4">
        <f t="shared" si="95"/>
        <v>720</v>
      </c>
    </row>
    <row r="216" spans="1:12">
      <c r="A216" s="4">
        <f t="shared" si="98"/>
        <v>721</v>
      </c>
      <c r="B216" t="s">
        <v>458</v>
      </c>
      <c r="C216" s="21">
        <f t="shared" si="104"/>
        <v>2023</v>
      </c>
      <c r="D216" s="81" t="s">
        <v>450</v>
      </c>
      <c r="E216" s="81" t="s">
        <v>450</v>
      </c>
      <c r="F216" s="405">
        <v>0</v>
      </c>
      <c r="G216" s="405">
        <f t="shared" si="102"/>
        <v>-88354.690866589415</v>
      </c>
      <c r="H216" s="431">
        <f>$H$92</f>
        <v>8.0199999999999994E-2</v>
      </c>
      <c r="I216" s="13">
        <f t="shared" ref="I216" si="110">ROUND((F216/2+G215+J214)*H216/12,2)</f>
        <v>-631.29</v>
      </c>
      <c r="J216" s="13">
        <f t="shared" si="100"/>
        <v>-7365.85</v>
      </c>
      <c r="K216" s="13">
        <f t="shared" si="97"/>
        <v>-95720.54</v>
      </c>
      <c r="L216" s="4">
        <f t="shared" si="95"/>
        <v>721</v>
      </c>
    </row>
    <row r="217" spans="1:12">
      <c r="A217" s="4">
        <f t="shared" si="98"/>
        <v>722</v>
      </c>
      <c r="B217" t="s">
        <v>459</v>
      </c>
      <c r="C217" s="21">
        <f t="shared" si="104"/>
        <v>2023</v>
      </c>
      <c r="D217" s="81" t="s">
        <v>450</v>
      </c>
      <c r="E217" s="81" t="s">
        <v>450</v>
      </c>
      <c r="F217" s="405">
        <v>0</v>
      </c>
      <c r="G217" s="405">
        <f t="shared" si="102"/>
        <v>-88354.690866589415</v>
      </c>
      <c r="H217" s="431">
        <f>$H$93</f>
        <v>8.0199999999999994E-2</v>
      </c>
      <c r="I217" s="13">
        <f t="shared" ref="I217" si="111">ROUND((F217/2+G216+J214)*H217/12,2)</f>
        <v>-631.29</v>
      </c>
      <c r="J217" s="13">
        <f t="shared" si="100"/>
        <v>-7997.14</v>
      </c>
      <c r="K217" s="13">
        <f t="shared" si="97"/>
        <v>-96351.83</v>
      </c>
      <c r="L217" s="4">
        <f t="shared" si="95"/>
        <v>722</v>
      </c>
    </row>
    <row r="218" spans="1:12">
      <c r="A218" s="4">
        <f t="shared" si="98"/>
        <v>723</v>
      </c>
      <c r="B218" t="s">
        <v>460</v>
      </c>
      <c r="C218" s="21">
        <f t="shared" si="104"/>
        <v>2023</v>
      </c>
      <c r="D218" s="81" t="s">
        <v>450</v>
      </c>
      <c r="E218" s="81" t="s">
        <v>450</v>
      </c>
      <c r="F218" s="405">
        <v>0</v>
      </c>
      <c r="G218" s="405">
        <f t="shared" si="102"/>
        <v>-88354.690866589415</v>
      </c>
      <c r="H218" s="431">
        <f>$H$94</f>
        <v>8.3500000000000005E-2</v>
      </c>
      <c r="I218" s="13">
        <f t="shared" ref="I218" si="112">ROUND((F218/2+G217+J217)*H218/12,2)</f>
        <v>-670.45</v>
      </c>
      <c r="J218" s="13">
        <f t="shared" si="100"/>
        <v>-8667.59</v>
      </c>
      <c r="K218" s="13">
        <f t="shared" si="97"/>
        <v>-97022.28</v>
      </c>
      <c r="L218" s="4">
        <f t="shared" si="95"/>
        <v>723</v>
      </c>
    </row>
    <row r="219" spans="1:12">
      <c r="A219" s="4">
        <f t="shared" si="98"/>
        <v>724</v>
      </c>
      <c r="B219" t="s">
        <v>461</v>
      </c>
      <c r="C219" s="21">
        <f t="shared" si="104"/>
        <v>2023</v>
      </c>
      <c r="D219" s="81" t="s">
        <v>450</v>
      </c>
      <c r="E219" s="81" t="s">
        <v>450</v>
      </c>
      <c r="F219" s="405">
        <v>0</v>
      </c>
      <c r="G219" s="405">
        <f t="shared" si="102"/>
        <v>-88354.690866589415</v>
      </c>
      <c r="H219" s="431">
        <f>$H$95</f>
        <v>8.3500000000000005E-2</v>
      </c>
      <c r="I219" s="13">
        <f t="shared" ref="I219" si="113">ROUND((F219/2+G218+J217)*H219/12,2)</f>
        <v>-670.45</v>
      </c>
      <c r="J219" s="13">
        <f t="shared" si="100"/>
        <v>-9338.0400000000009</v>
      </c>
      <c r="K219" s="13">
        <f t="shared" si="97"/>
        <v>-97692.73</v>
      </c>
      <c r="L219" s="4">
        <f t="shared" si="95"/>
        <v>724</v>
      </c>
    </row>
    <row r="220" spans="1:12">
      <c r="A220" s="4">
        <f t="shared" si="98"/>
        <v>725</v>
      </c>
      <c r="B220" t="s">
        <v>449</v>
      </c>
      <c r="C220" s="21">
        <f t="shared" si="104"/>
        <v>2023</v>
      </c>
      <c r="D220" s="81" t="s">
        <v>450</v>
      </c>
      <c r="E220" s="81" t="s">
        <v>450</v>
      </c>
      <c r="F220" s="405">
        <v>0</v>
      </c>
      <c r="G220" s="405">
        <f t="shared" si="102"/>
        <v>-88354.690866589415</v>
      </c>
      <c r="H220" s="431">
        <f>$H$96</f>
        <v>8.3500000000000005E-2</v>
      </c>
      <c r="I220" s="13">
        <f t="shared" ref="I220" si="114">ROUND((F220/2+G219+J217)*H220/12,2)</f>
        <v>-670.45</v>
      </c>
      <c r="J220" s="13">
        <f t="shared" si="100"/>
        <v>-10008.490000000002</v>
      </c>
      <c r="K220" s="13">
        <f t="shared" si="97"/>
        <v>-98363.18</v>
      </c>
      <c r="L220" s="4">
        <f t="shared" si="95"/>
        <v>725</v>
      </c>
    </row>
    <row r="221" spans="1:12">
      <c r="A221" s="3"/>
      <c r="B221" s="2"/>
    </row>
    <row r="222" spans="1:12">
      <c r="A222" s="3" t="s">
        <v>92</v>
      </c>
      <c r="B222" s="416" t="s">
        <v>419</v>
      </c>
      <c r="C222" s="417" t="s">
        <v>124</v>
      </c>
      <c r="D222" s="417" t="s">
        <v>125</v>
      </c>
      <c r="E222" s="417" t="s">
        <v>126</v>
      </c>
      <c r="F222" s="417" t="s">
        <v>127</v>
      </c>
      <c r="G222" s="417" t="s">
        <v>420</v>
      </c>
      <c r="H222" s="417" t="s">
        <v>421</v>
      </c>
      <c r="I222" s="417" t="s">
        <v>422</v>
      </c>
      <c r="J222" s="417" t="s">
        <v>423</v>
      </c>
      <c r="K222" s="418" t="s">
        <v>424</v>
      </c>
      <c r="L222" s="3" t="str">
        <f t="shared" ref="L222:L223" si="115">A222</f>
        <v>Line</v>
      </c>
    </row>
    <row r="223" spans="1:12">
      <c r="A223" s="4">
        <f>A191+100</f>
        <v>800</v>
      </c>
      <c r="B223" s="419" t="s">
        <v>465</v>
      </c>
      <c r="C223" s="4"/>
      <c r="D223" s="18" t="s">
        <v>103</v>
      </c>
      <c r="E223" s="18" t="s">
        <v>425</v>
      </c>
      <c r="F223" s="21" t="str">
        <f>""&amp;D222&amp;" - "&amp;E222&amp;""</f>
        <v>Col 2 - Col 3</v>
      </c>
      <c r="G223" s="21" t="s">
        <v>426</v>
      </c>
      <c r="H223" s="21" t="s">
        <v>427</v>
      </c>
      <c r="I223" s="21" t="s">
        <v>428</v>
      </c>
      <c r="J223" s="21" t="s">
        <v>429</v>
      </c>
      <c r="K223" s="420" t="str">
        <f>""&amp;G222&amp;" + "&amp;J222&amp;""</f>
        <v>Col 5 + Col 8</v>
      </c>
      <c r="L223" s="4">
        <f t="shared" si="115"/>
        <v>800</v>
      </c>
    </row>
    <row r="224" spans="1:12">
      <c r="A224" s="4"/>
      <c r="B224" s="421"/>
      <c r="C224" s="4"/>
      <c r="D224" s="4"/>
      <c r="E224" s="4"/>
      <c r="F224" s="4"/>
      <c r="G224" s="4" t="s">
        <v>430</v>
      </c>
      <c r="H224" s="4"/>
      <c r="I224" s="4"/>
      <c r="J224" s="4"/>
      <c r="K224" s="422" t="s">
        <v>430</v>
      </c>
    </row>
    <row r="225" spans="1:12">
      <c r="B225" s="421"/>
      <c r="C225" s="4"/>
      <c r="D225" s="4" t="s">
        <v>434</v>
      </c>
      <c r="E225" s="4" t="s">
        <v>434</v>
      </c>
      <c r="F225" s="4"/>
      <c r="G225" s="4" t="s">
        <v>433</v>
      </c>
      <c r="H225" s="4"/>
      <c r="I225" s="4"/>
      <c r="J225" s="4"/>
      <c r="K225" s="422" t="s">
        <v>433</v>
      </c>
    </row>
    <row r="226" spans="1:12">
      <c r="A226" s="4"/>
      <c r="B226" s="419"/>
      <c r="C226" s="4"/>
      <c r="D226" s="4" t="s">
        <v>431</v>
      </c>
      <c r="E226" s="4" t="s">
        <v>432</v>
      </c>
      <c r="F226" s="4" t="s">
        <v>435</v>
      </c>
      <c r="G226" s="4" t="s">
        <v>436</v>
      </c>
      <c r="H226" s="4" t="s">
        <v>437</v>
      </c>
      <c r="I226" s="4" t="s">
        <v>431</v>
      </c>
      <c r="J226" s="4" t="s">
        <v>438</v>
      </c>
      <c r="K226" s="422" t="s">
        <v>439</v>
      </c>
    </row>
    <row r="227" spans="1:12">
      <c r="A227" s="4"/>
      <c r="B227" s="423" t="s">
        <v>440</v>
      </c>
      <c r="C227" s="424" t="s">
        <v>441</v>
      </c>
      <c r="D227" s="424" t="s">
        <v>442</v>
      </c>
      <c r="E227" s="424" t="s">
        <v>443</v>
      </c>
      <c r="F227" s="424" t="s">
        <v>444</v>
      </c>
      <c r="G227" s="424" t="s">
        <v>445</v>
      </c>
      <c r="H227" s="424" t="s">
        <v>446</v>
      </c>
      <c r="I227" s="424" t="s">
        <v>447</v>
      </c>
      <c r="J227" s="424" t="s">
        <v>447</v>
      </c>
      <c r="K227" s="425" t="s">
        <v>448</v>
      </c>
    </row>
    <row r="228" spans="1:12">
      <c r="A228" s="4">
        <f>A223+1</f>
        <v>801</v>
      </c>
      <c r="B228" t="s">
        <v>449</v>
      </c>
      <c r="C228" s="21">
        <f>C229-1</f>
        <v>2021</v>
      </c>
      <c r="D228" s="81" t="s">
        <v>450</v>
      </c>
      <c r="E228" s="81" t="s">
        <v>450</v>
      </c>
      <c r="F228" s="21" t="s">
        <v>450</v>
      </c>
      <c r="G228" s="40">
        <v>-537.94839644667081</v>
      </c>
      <c r="H228" s="21" t="s">
        <v>450</v>
      </c>
      <c r="I228" s="21" t="s">
        <v>450</v>
      </c>
      <c r="J228" s="40">
        <v>-5</v>
      </c>
      <c r="K228" s="13">
        <f>ROUND((G228+J228),2)</f>
        <v>-542.95000000000005</v>
      </c>
      <c r="L228" s="4">
        <f t="shared" ref="L228:L252" si="116">A228</f>
        <v>801</v>
      </c>
    </row>
    <row r="229" spans="1:12">
      <c r="A229" s="4">
        <f>A228+1</f>
        <v>802</v>
      </c>
      <c r="B229" t="s">
        <v>451</v>
      </c>
      <c r="C229" s="21">
        <f>'1-DRR'!$K$2</f>
        <v>2022</v>
      </c>
      <c r="D229" s="395">
        <f>IF(E229="N/A","N/A",($F$42*'9-WholesaleRevenues'!G14))</f>
        <v>11503.708966961956</v>
      </c>
      <c r="E229" s="395">
        <f>IF('9-WholesaleRevenues'!G48="N/A","N/A",'9-WholesaleRevenues'!G48)</f>
        <v>14167.11</v>
      </c>
      <c r="F229" s="405">
        <f t="shared" ref="F229:F240" si="117">IF(E229="N/A",0,D229-E229)</f>
        <v>-2663.4010330380443</v>
      </c>
      <c r="G229" s="405">
        <f>F229+G228</f>
        <v>-3201.3494294847151</v>
      </c>
      <c r="H229" s="431">
        <f>$H$73</f>
        <v>3.2500000000000001E-2</v>
      </c>
      <c r="I229" s="13">
        <f>IF(E229="N/A",0,ROUND((F229/2+G228+J228)*H229/12,2))</f>
        <v>-5.08</v>
      </c>
      <c r="J229" s="13">
        <f>I229+J228</f>
        <v>-10.08</v>
      </c>
      <c r="K229" s="13">
        <f t="shared" ref="K229:K252" si="118">ROUND((G229+J229),2)</f>
        <v>-3211.43</v>
      </c>
      <c r="L229" s="4">
        <f t="shared" si="116"/>
        <v>802</v>
      </c>
    </row>
    <row r="230" spans="1:12">
      <c r="A230" s="4">
        <f t="shared" ref="A230:A252" si="119">A229+1</f>
        <v>803</v>
      </c>
      <c r="B230" t="s">
        <v>452</v>
      </c>
      <c r="C230" s="21">
        <f>'1-DRR'!$K$2</f>
        <v>2022</v>
      </c>
      <c r="D230" s="395">
        <f>IF(E230="N/A","N/A",($F$42*'9-WholesaleRevenues'!G15))</f>
        <v>11503.708966961956</v>
      </c>
      <c r="E230" s="395">
        <f>IF('9-WholesaleRevenues'!G49="N/A","N/A",'9-WholesaleRevenues'!G49)</f>
        <v>14167.11</v>
      </c>
      <c r="F230" s="405">
        <f t="shared" si="117"/>
        <v>-2663.4010330380443</v>
      </c>
      <c r="G230" s="405">
        <f t="shared" ref="G230:G240" si="120">F230+G229</f>
        <v>-5864.7504625227593</v>
      </c>
      <c r="H230" s="431">
        <f>$H$74</f>
        <v>3.2500000000000001E-2</v>
      </c>
      <c r="I230" s="13">
        <f>IF(E230="N/A",0,ROUND((F230/2+G229+J228)*H230/12,2))</f>
        <v>-12.29</v>
      </c>
      <c r="J230" s="13">
        <f>I230+J229</f>
        <v>-22.369999999999997</v>
      </c>
      <c r="K230" s="13">
        <f t="shared" si="118"/>
        <v>-5887.12</v>
      </c>
      <c r="L230" s="4">
        <f t="shared" si="116"/>
        <v>803</v>
      </c>
    </row>
    <row r="231" spans="1:12">
      <c r="A231" s="4">
        <f t="shared" si="119"/>
        <v>804</v>
      </c>
      <c r="B231" t="s">
        <v>453</v>
      </c>
      <c r="C231" s="21">
        <f>'1-DRR'!$K$2</f>
        <v>2022</v>
      </c>
      <c r="D231" s="395">
        <f>IF(E231="N/A","N/A",($F$42*'9-WholesaleRevenues'!G16))</f>
        <v>11503.708966961956</v>
      </c>
      <c r="E231" s="395">
        <f>IF('9-WholesaleRevenues'!G50="N/A","N/A",'9-WholesaleRevenues'!G50)</f>
        <v>14167.11</v>
      </c>
      <c r="F231" s="405">
        <f t="shared" si="117"/>
        <v>-2663.4010330380443</v>
      </c>
      <c r="G231" s="405">
        <f t="shared" si="120"/>
        <v>-8528.1514955608036</v>
      </c>
      <c r="H231" s="431">
        <f>$H$75</f>
        <v>3.2500000000000001E-2</v>
      </c>
      <c r="I231" s="13">
        <f>IF(E231="N/A",0,ROUND((F231/2+G230+J228)*H231/12,2))</f>
        <v>-19.5</v>
      </c>
      <c r="J231" s="13">
        <f>I231+J230</f>
        <v>-41.87</v>
      </c>
      <c r="K231" s="13">
        <f t="shared" si="118"/>
        <v>-8570.02</v>
      </c>
      <c r="L231" s="4">
        <f t="shared" si="116"/>
        <v>804</v>
      </c>
    </row>
    <row r="232" spans="1:12">
      <c r="A232" s="4">
        <f t="shared" si="119"/>
        <v>805</v>
      </c>
      <c r="B232" t="s">
        <v>454</v>
      </c>
      <c r="C232" s="21">
        <f>'1-DRR'!$K$2</f>
        <v>2022</v>
      </c>
      <c r="D232" s="395">
        <f>IF(E232="N/A","N/A",($F$42*'9-WholesaleRevenues'!G17))</f>
        <v>11503.708966961956</v>
      </c>
      <c r="E232" s="395">
        <f>IF('9-WholesaleRevenues'!G51="N/A","N/A",'9-WholesaleRevenues'!G51)</f>
        <v>14167.11</v>
      </c>
      <c r="F232" s="405">
        <f t="shared" si="117"/>
        <v>-2663.4010330380443</v>
      </c>
      <c r="G232" s="405">
        <f t="shared" si="120"/>
        <v>-11191.552528598848</v>
      </c>
      <c r="H232" s="431">
        <f>$H$76</f>
        <v>3.2500000000000001E-2</v>
      </c>
      <c r="I232" s="13">
        <f>IF(E232="N/A",0,ROUND((F232/2+G231+J231)*H232/12,2))</f>
        <v>-26.82</v>
      </c>
      <c r="J232" s="13">
        <f t="shared" ref="J232:J252" si="121">I232+J231</f>
        <v>-68.69</v>
      </c>
      <c r="K232" s="13">
        <f t="shared" si="118"/>
        <v>-11260.24</v>
      </c>
      <c r="L232" s="4">
        <f t="shared" si="116"/>
        <v>805</v>
      </c>
    </row>
    <row r="233" spans="1:12">
      <c r="A233" s="4">
        <f t="shared" si="119"/>
        <v>806</v>
      </c>
      <c r="B233" t="s">
        <v>455</v>
      </c>
      <c r="C233" s="21">
        <f>'1-DRR'!$K$2</f>
        <v>2022</v>
      </c>
      <c r="D233" s="395">
        <f>IF(E233="N/A","N/A",($F$42*'9-WholesaleRevenues'!G18))</f>
        <v>10495.164619173511</v>
      </c>
      <c r="E233" s="395">
        <f>IF('9-WholesaleRevenues'!G52="N/A","N/A",'9-WholesaleRevenues'!G52)</f>
        <v>10483.505999999999</v>
      </c>
      <c r="F233" s="405">
        <f t="shared" si="117"/>
        <v>11.658619173511397</v>
      </c>
      <c r="G233" s="405">
        <f t="shared" si="120"/>
        <v>-11179.893909425336</v>
      </c>
      <c r="H233" s="431">
        <f>$H$77</f>
        <v>3.2500000000000001E-2</v>
      </c>
      <c r="I233" s="13">
        <f>IF(E233="N/A",0,ROUND((F233/2+G232+J231)*H233/12,2))</f>
        <v>-30.41</v>
      </c>
      <c r="J233" s="13">
        <f t="shared" si="121"/>
        <v>-99.1</v>
      </c>
      <c r="K233" s="13">
        <f t="shared" si="118"/>
        <v>-11278.99</v>
      </c>
      <c r="L233" s="4">
        <f t="shared" si="116"/>
        <v>806</v>
      </c>
    </row>
    <row r="234" spans="1:12">
      <c r="A234" s="4">
        <f t="shared" si="119"/>
        <v>807</v>
      </c>
      <c r="B234" t="s">
        <v>456</v>
      </c>
      <c r="C234" s="21">
        <f>'1-DRR'!$K$2</f>
        <v>2022</v>
      </c>
      <c r="D234" s="395">
        <f>IF(E234="N/A","N/A",($F$42*'9-WholesaleRevenues'!G19))</f>
        <v>10101.201983318648</v>
      </c>
      <c r="E234" s="395">
        <f>IF('9-WholesaleRevenues'!G53="N/A","N/A",'9-WholesaleRevenues'!G53)</f>
        <v>10089.981</v>
      </c>
      <c r="F234" s="405">
        <f t="shared" si="117"/>
        <v>11.220983318647995</v>
      </c>
      <c r="G234" s="405">
        <f t="shared" si="120"/>
        <v>-11168.672926106688</v>
      </c>
      <c r="H234" s="431">
        <f>$H$78</f>
        <v>3.2500000000000001E-2</v>
      </c>
      <c r="I234" s="13">
        <f>IF(E234="N/A",0,ROUND((F234/2+G233+J231)*H234/12,2))</f>
        <v>-30.38</v>
      </c>
      <c r="J234" s="13">
        <f t="shared" si="121"/>
        <v>-129.47999999999999</v>
      </c>
      <c r="K234" s="13">
        <f t="shared" si="118"/>
        <v>-11298.15</v>
      </c>
      <c r="L234" s="4">
        <f t="shared" si="116"/>
        <v>807</v>
      </c>
    </row>
    <row r="235" spans="1:12">
      <c r="A235" s="4">
        <f t="shared" si="119"/>
        <v>808</v>
      </c>
      <c r="B235" t="s">
        <v>457</v>
      </c>
      <c r="C235" s="21">
        <f>'1-DRR'!$K$2</f>
        <v>2022</v>
      </c>
      <c r="D235" s="395">
        <f>IF(E235="N/A","N/A",($F$42*'9-WholesaleRevenues'!G20))</f>
        <v>10747.300706120621</v>
      </c>
      <c r="E235" s="395">
        <f>IF('9-WholesaleRevenues'!G54="N/A","N/A",'9-WholesaleRevenues'!G54)</f>
        <v>10735.361999999999</v>
      </c>
      <c r="F235" s="405">
        <f t="shared" si="117"/>
        <v>11.938706120621646</v>
      </c>
      <c r="G235" s="405">
        <f t="shared" si="120"/>
        <v>-11156.734219986067</v>
      </c>
      <c r="H235" s="431">
        <f>$H$79</f>
        <v>3.5999999999999997E-2</v>
      </c>
      <c r="I235" s="13">
        <f>IF(E235="N/A",0,ROUND((F235/2+G234+J234)*H235/12,2))</f>
        <v>-33.880000000000003</v>
      </c>
      <c r="J235" s="13">
        <f t="shared" si="121"/>
        <v>-163.35999999999999</v>
      </c>
      <c r="K235" s="13">
        <f t="shared" si="118"/>
        <v>-11320.09</v>
      </c>
      <c r="L235" s="4">
        <f t="shared" si="116"/>
        <v>808</v>
      </c>
    </row>
    <row r="236" spans="1:12">
      <c r="A236" s="4">
        <f t="shared" si="119"/>
        <v>809</v>
      </c>
      <c r="B236" t="s">
        <v>458</v>
      </c>
      <c r="C236" s="21">
        <f>'1-DRR'!$K$2</f>
        <v>2022</v>
      </c>
      <c r="D236" s="395">
        <f>IF(E236="N/A","N/A",($F$42*'9-WholesaleRevenues'!G21))</f>
        <v>9518.137282253454</v>
      </c>
      <c r="E236" s="395">
        <f>IF('9-WholesaleRevenues'!G55="N/A","N/A",'9-WholesaleRevenues'!G55)</f>
        <v>9507.5640000000003</v>
      </c>
      <c r="F236" s="405">
        <f t="shared" si="117"/>
        <v>10.573282253453726</v>
      </c>
      <c r="G236" s="405">
        <f t="shared" si="120"/>
        <v>-11146.160937732613</v>
      </c>
      <c r="H236" s="431">
        <f>$H$80</f>
        <v>3.5999999999999997E-2</v>
      </c>
      <c r="I236" s="13">
        <f>IF(E236="N/A",0,ROUND((F236/2+G235+J234)*H236/12,2))</f>
        <v>-33.840000000000003</v>
      </c>
      <c r="J236" s="13">
        <f t="shared" si="121"/>
        <v>-197.2</v>
      </c>
      <c r="K236" s="13">
        <f t="shared" si="118"/>
        <v>-11343.36</v>
      </c>
      <c r="L236" s="4">
        <f t="shared" si="116"/>
        <v>809</v>
      </c>
    </row>
    <row r="237" spans="1:12">
      <c r="A237" s="4">
        <f t="shared" si="119"/>
        <v>810</v>
      </c>
      <c r="B237" t="s">
        <v>459</v>
      </c>
      <c r="C237" s="21">
        <f>'1-DRR'!$K$2</f>
        <v>2022</v>
      </c>
      <c r="D237" s="395">
        <f>IF(E237="N/A","N/A",($F$42*'9-WholesaleRevenues'!G22))</f>
        <v>10053.926467016065</v>
      </c>
      <c r="E237" s="395">
        <f>IF('9-WholesaleRevenues'!G56="N/A","N/A",'9-WholesaleRevenues'!G56)</f>
        <v>10042.758</v>
      </c>
      <c r="F237" s="405">
        <f t="shared" si="117"/>
        <v>11.168467016064824</v>
      </c>
      <c r="G237" s="405">
        <f t="shared" si="120"/>
        <v>-11134.992470716548</v>
      </c>
      <c r="H237" s="431">
        <f>$H$81</f>
        <v>3.5999999999999997E-2</v>
      </c>
      <c r="I237" s="13">
        <f>IF(E237="N/A",0,ROUND((F237/2+G236+J234)*H237/12,2))</f>
        <v>-33.81</v>
      </c>
      <c r="J237" s="13">
        <f t="shared" si="121"/>
        <v>-231.01</v>
      </c>
      <c r="K237" s="13">
        <f t="shared" si="118"/>
        <v>-11366</v>
      </c>
      <c r="L237" s="4">
        <f t="shared" si="116"/>
        <v>810</v>
      </c>
    </row>
    <row r="238" spans="1:12">
      <c r="A238" s="4">
        <f t="shared" si="119"/>
        <v>811</v>
      </c>
      <c r="B238" t="s">
        <v>460</v>
      </c>
      <c r="C238" s="21">
        <f>'1-DRR'!$K$2</f>
        <v>2022</v>
      </c>
      <c r="D238" s="395">
        <f>IF(E238="N/A","N/A",($F$42*'9-WholesaleRevenues'!G23))</f>
        <v>9644.205325727009</v>
      </c>
      <c r="E238" s="395">
        <f>IF('9-WholesaleRevenues'!G57="N/A","N/A",'9-WholesaleRevenues'!G57)</f>
        <v>9633.4920000000002</v>
      </c>
      <c r="F238" s="405">
        <f t="shared" si="117"/>
        <v>10.713325727008851</v>
      </c>
      <c r="G238" s="405">
        <f t="shared" si="120"/>
        <v>-11124.279144989539</v>
      </c>
      <c r="H238" s="431">
        <f>$H$82</f>
        <v>4.9099999999999998E-2</v>
      </c>
      <c r="I238" s="13">
        <f>IF(E238="N/A",0,ROUND((F238/2+G237+J237)*H238/12,2))</f>
        <v>-46.48</v>
      </c>
      <c r="J238" s="13">
        <f t="shared" si="121"/>
        <v>-277.49</v>
      </c>
      <c r="K238" s="13">
        <f t="shared" si="118"/>
        <v>-11401.77</v>
      </c>
      <c r="L238" s="4">
        <f t="shared" si="116"/>
        <v>811</v>
      </c>
    </row>
    <row r="239" spans="1:12">
      <c r="A239" s="4">
        <f t="shared" si="119"/>
        <v>812</v>
      </c>
      <c r="B239" t="s">
        <v>461</v>
      </c>
      <c r="C239" s="21">
        <f>'1-DRR'!$K$2</f>
        <v>2022</v>
      </c>
      <c r="D239" s="395">
        <f>IF(E239="N/A","N/A",($F$42*'9-WholesaleRevenues'!G24))</f>
        <v>10668.508178949649</v>
      </c>
      <c r="E239" s="395">
        <f>IF('9-WholesaleRevenues'!G58="N/A","N/A",'9-WholesaleRevenues'!G58)</f>
        <v>10656.656999999999</v>
      </c>
      <c r="F239" s="405">
        <f t="shared" si="117"/>
        <v>11.851178949649693</v>
      </c>
      <c r="G239" s="405">
        <f t="shared" si="120"/>
        <v>-11112.42796603989</v>
      </c>
      <c r="H239" s="431">
        <f>$H$83</f>
        <v>4.9099999999999998E-2</v>
      </c>
      <c r="I239" s="13">
        <f>IF(E239="N/A",0,ROUND((F239/2+G238+J237)*H239/12,2))</f>
        <v>-46.44</v>
      </c>
      <c r="J239" s="13">
        <f t="shared" si="121"/>
        <v>-323.93</v>
      </c>
      <c r="K239" s="13">
        <f t="shared" si="118"/>
        <v>-11436.36</v>
      </c>
      <c r="L239" s="4">
        <f t="shared" si="116"/>
        <v>812</v>
      </c>
    </row>
    <row r="240" spans="1:12">
      <c r="A240" s="4">
        <f t="shared" si="119"/>
        <v>813</v>
      </c>
      <c r="B240" t="s">
        <v>449</v>
      </c>
      <c r="C240" s="21">
        <f>'1-DRR'!$K$2</f>
        <v>2022</v>
      </c>
      <c r="D240" s="395">
        <f>IF(E240="N/A","N/A",($F$42*'9-WholesaleRevenues'!G25))</f>
        <v>12622.562852789762</v>
      </c>
      <c r="E240" s="395">
        <f>IF('9-WholesaleRevenues'!G59="N/A","N/A",'9-WholesaleRevenues'!G59)</f>
        <v>12608.540999999999</v>
      </c>
      <c r="F240" s="405">
        <f t="shared" si="117"/>
        <v>14.021852789763216</v>
      </c>
      <c r="G240" s="405">
        <f t="shared" si="120"/>
        <v>-11098.406113250127</v>
      </c>
      <c r="H240" s="431">
        <f>$H$84</f>
        <v>4.9099999999999998E-2</v>
      </c>
      <c r="I240" s="13">
        <f>IF(E240="N/A",0,ROUND((F240/2+G239+J237)*H240/12,2))</f>
        <v>-46.38</v>
      </c>
      <c r="J240" s="13">
        <f t="shared" si="121"/>
        <v>-370.31</v>
      </c>
      <c r="K240" s="13">
        <f t="shared" si="118"/>
        <v>-11468.72</v>
      </c>
      <c r="L240" s="4">
        <f t="shared" si="116"/>
        <v>813</v>
      </c>
    </row>
    <row r="241" spans="1:12">
      <c r="A241" s="4">
        <f t="shared" si="119"/>
        <v>814</v>
      </c>
      <c r="B241" t="s">
        <v>451</v>
      </c>
      <c r="C241" s="21">
        <f>C240+1</f>
        <v>2023</v>
      </c>
      <c r="D241" s="81" t="s">
        <v>450</v>
      </c>
      <c r="E241" s="81" t="s">
        <v>450</v>
      </c>
      <c r="F241" s="405">
        <v>0</v>
      </c>
      <c r="G241" s="405">
        <f>F241+G240</f>
        <v>-11098.406113250127</v>
      </c>
      <c r="H241" s="431">
        <f>$H$85</f>
        <v>6.3100000000000003E-2</v>
      </c>
      <c r="I241" s="13">
        <f t="shared" ref="I241" si="122">ROUND((F241/2+G240+J240)*H241/12,2)</f>
        <v>-60.31</v>
      </c>
      <c r="J241" s="13">
        <f t="shared" si="121"/>
        <v>-430.62</v>
      </c>
      <c r="K241" s="13">
        <f t="shared" si="118"/>
        <v>-11529.03</v>
      </c>
      <c r="L241" s="4">
        <f t="shared" si="116"/>
        <v>814</v>
      </c>
    </row>
    <row r="242" spans="1:12">
      <c r="A242" s="4">
        <f t="shared" si="119"/>
        <v>815</v>
      </c>
      <c r="B242" t="s">
        <v>452</v>
      </c>
      <c r="C242" s="21">
        <f>C241</f>
        <v>2023</v>
      </c>
      <c r="D242" s="81" t="s">
        <v>450</v>
      </c>
      <c r="E242" s="81" t="s">
        <v>450</v>
      </c>
      <c r="F242" s="405">
        <v>0</v>
      </c>
      <c r="G242" s="405">
        <f t="shared" ref="G242:G252" si="123">F242+G241</f>
        <v>-11098.406113250127</v>
      </c>
      <c r="H242" s="431">
        <f>$H$86</f>
        <v>6.3100000000000003E-2</v>
      </c>
      <c r="I242" s="13">
        <f t="shared" ref="I242" si="124">ROUND((F242/2+G241+J240)*H242/12,2)</f>
        <v>-60.31</v>
      </c>
      <c r="J242" s="13">
        <f t="shared" si="121"/>
        <v>-490.93</v>
      </c>
      <c r="K242" s="13">
        <f t="shared" si="118"/>
        <v>-11589.34</v>
      </c>
      <c r="L242" s="4">
        <f t="shared" si="116"/>
        <v>815</v>
      </c>
    </row>
    <row r="243" spans="1:12">
      <c r="A243" s="4">
        <f t="shared" si="119"/>
        <v>816</v>
      </c>
      <c r="B243" t="s">
        <v>453</v>
      </c>
      <c r="C243" s="21">
        <f t="shared" ref="C243:C252" si="125">C242</f>
        <v>2023</v>
      </c>
      <c r="D243" s="81" t="s">
        <v>450</v>
      </c>
      <c r="E243" s="81" t="s">
        <v>450</v>
      </c>
      <c r="F243" s="405">
        <v>0</v>
      </c>
      <c r="G243" s="405">
        <f t="shared" si="123"/>
        <v>-11098.406113250127</v>
      </c>
      <c r="H243" s="431">
        <f>$H$87</f>
        <v>6.3100000000000003E-2</v>
      </c>
      <c r="I243" s="13">
        <f t="shared" ref="I243" si="126">ROUND((F243/2+G242+J240)*H243/12,2)</f>
        <v>-60.31</v>
      </c>
      <c r="J243" s="13">
        <f t="shared" si="121"/>
        <v>-551.24</v>
      </c>
      <c r="K243" s="13">
        <f t="shared" si="118"/>
        <v>-11649.65</v>
      </c>
      <c r="L243" s="4">
        <f t="shared" si="116"/>
        <v>816</v>
      </c>
    </row>
    <row r="244" spans="1:12">
      <c r="A244" s="4">
        <f t="shared" si="119"/>
        <v>817</v>
      </c>
      <c r="B244" t="s">
        <v>454</v>
      </c>
      <c r="C244" s="21">
        <f t="shared" si="125"/>
        <v>2023</v>
      </c>
      <c r="D244" s="81" t="s">
        <v>450</v>
      </c>
      <c r="E244" s="81" t="s">
        <v>450</v>
      </c>
      <c r="F244" s="405">
        <v>0</v>
      </c>
      <c r="G244" s="405">
        <f t="shared" si="123"/>
        <v>-11098.406113250127</v>
      </c>
      <c r="H244" s="431">
        <f>$H$88</f>
        <v>7.4999999999999997E-2</v>
      </c>
      <c r="I244" s="13">
        <f t="shared" ref="I244" si="127">ROUND((F244/2+G243+J243)*H244/12,2)</f>
        <v>-72.81</v>
      </c>
      <c r="J244" s="13">
        <f t="shared" si="121"/>
        <v>-624.04999999999995</v>
      </c>
      <c r="K244" s="13">
        <f t="shared" si="118"/>
        <v>-11722.46</v>
      </c>
      <c r="L244" s="4">
        <f t="shared" si="116"/>
        <v>817</v>
      </c>
    </row>
    <row r="245" spans="1:12">
      <c r="A245" s="4">
        <f t="shared" si="119"/>
        <v>818</v>
      </c>
      <c r="B245" t="s">
        <v>455</v>
      </c>
      <c r="C245" s="21">
        <f t="shared" si="125"/>
        <v>2023</v>
      </c>
      <c r="D245" s="81" t="s">
        <v>450</v>
      </c>
      <c r="E245" s="81" t="s">
        <v>450</v>
      </c>
      <c r="F245" s="405">
        <v>0</v>
      </c>
      <c r="G245" s="405">
        <f t="shared" si="123"/>
        <v>-11098.406113250127</v>
      </c>
      <c r="H245" s="431">
        <f>$H$89</f>
        <v>7.4999999999999997E-2</v>
      </c>
      <c r="I245" s="13">
        <f t="shared" ref="I245" si="128">ROUND((F245/2+G244+J243)*H245/12,2)</f>
        <v>-72.81</v>
      </c>
      <c r="J245" s="13">
        <f t="shared" si="121"/>
        <v>-696.8599999999999</v>
      </c>
      <c r="K245" s="13">
        <f t="shared" si="118"/>
        <v>-11795.27</v>
      </c>
      <c r="L245" s="4">
        <f t="shared" si="116"/>
        <v>818</v>
      </c>
    </row>
    <row r="246" spans="1:12">
      <c r="A246" s="4">
        <f t="shared" si="119"/>
        <v>819</v>
      </c>
      <c r="B246" t="s">
        <v>456</v>
      </c>
      <c r="C246" s="21">
        <f t="shared" si="125"/>
        <v>2023</v>
      </c>
      <c r="D246" s="81" t="s">
        <v>450</v>
      </c>
      <c r="E246" s="81" t="s">
        <v>450</v>
      </c>
      <c r="F246" s="405">
        <v>0</v>
      </c>
      <c r="G246" s="405">
        <f t="shared" si="123"/>
        <v>-11098.406113250127</v>
      </c>
      <c r="H246" s="431">
        <f>$H$90</f>
        <v>7.4999999999999997E-2</v>
      </c>
      <c r="I246" s="13">
        <f t="shared" ref="I246" si="129">ROUND((F246/2+G245+J243)*H246/12,2)</f>
        <v>-72.81</v>
      </c>
      <c r="J246" s="13">
        <f t="shared" si="121"/>
        <v>-769.66999999999985</v>
      </c>
      <c r="K246" s="13">
        <f t="shared" si="118"/>
        <v>-11868.08</v>
      </c>
      <c r="L246" s="4">
        <f t="shared" si="116"/>
        <v>819</v>
      </c>
    </row>
    <row r="247" spans="1:12">
      <c r="A247" s="4">
        <f t="shared" si="119"/>
        <v>820</v>
      </c>
      <c r="B247" t="s">
        <v>457</v>
      </c>
      <c r="C247" s="21">
        <f t="shared" si="125"/>
        <v>2023</v>
      </c>
      <c r="D247" s="81" t="s">
        <v>450</v>
      </c>
      <c r="E247" s="81" t="s">
        <v>450</v>
      </c>
      <c r="F247" s="405">
        <v>0</v>
      </c>
      <c r="G247" s="405">
        <f t="shared" si="123"/>
        <v>-11098.406113250127</v>
      </c>
      <c r="H247" s="431">
        <f>$H$91</f>
        <v>8.0199999999999994E-2</v>
      </c>
      <c r="I247" s="13">
        <f t="shared" ref="I247" si="130">ROUND((F247/2+G246+J246)*H247/12,2)</f>
        <v>-79.319999999999993</v>
      </c>
      <c r="J247" s="13">
        <f t="shared" si="121"/>
        <v>-848.98999999999978</v>
      </c>
      <c r="K247" s="13">
        <f t="shared" si="118"/>
        <v>-11947.4</v>
      </c>
      <c r="L247" s="4">
        <f t="shared" si="116"/>
        <v>820</v>
      </c>
    </row>
    <row r="248" spans="1:12">
      <c r="A248" s="4">
        <f t="shared" si="119"/>
        <v>821</v>
      </c>
      <c r="B248" t="s">
        <v>458</v>
      </c>
      <c r="C248" s="21">
        <f t="shared" si="125"/>
        <v>2023</v>
      </c>
      <c r="D248" s="81" t="s">
        <v>450</v>
      </c>
      <c r="E248" s="81" t="s">
        <v>450</v>
      </c>
      <c r="F248" s="405">
        <v>0</v>
      </c>
      <c r="G248" s="405">
        <f t="shared" si="123"/>
        <v>-11098.406113250127</v>
      </c>
      <c r="H248" s="431">
        <f>$H$92</f>
        <v>8.0199999999999994E-2</v>
      </c>
      <c r="I248" s="13">
        <f t="shared" ref="I248" si="131">ROUND((F248/2+G247+J246)*H248/12,2)</f>
        <v>-79.319999999999993</v>
      </c>
      <c r="J248" s="13">
        <f t="shared" si="121"/>
        <v>-928.30999999999972</v>
      </c>
      <c r="K248" s="13">
        <f t="shared" si="118"/>
        <v>-12026.72</v>
      </c>
      <c r="L248" s="4">
        <f t="shared" si="116"/>
        <v>821</v>
      </c>
    </row>
    <row r="249" spans="1:12">
      <c r="A249" s="4">
        <f t="shared" si="119"/>
        <v>822</v>
      </c>
      <c r="B249" t="s">
        <v>459</v>
      </c>
      <c r="C249" s="21">
        <f t="shared" si="125"/>
        <v>2023</v>
      </c>
      <c r="D249" s="81" t="s">
        <v>450</v>
      </c>
      <c r="E249" s="81" t="s">
        <v>450</v>
      </c>
      <c r="F249" s="405">
        <v>0</v>
      </c>
      <c r="G249" s="405">
        <f t="shared" si="123"/>
        <v>-11098.406113250127</v>
      </c>
      <c r="H249" s="431">
        <f>$H$93</f>
        <v>8.0199999999999994E-2</v>
      </c>
      <c r="I249" s="13">
        <f t="shared" ref="I249" si="132">ROUND((F249/2+G248+J246)*H249/12,2)</f>
        <v>-79.319999999999993</v>
      </c>
      <c r="J249" s="13">
        <f t="shared" si="121"/>
        <v>-1007.6299999999997</v>
      </c>
      <c r="K249" s="13">
        <f t="shared" si="118"/>
        <v>-12106.04</v>
      </c>
      <c r="L249" s="4">
        <f t="shared" si="116"/>
        <v>822</v>
      </c>
    </row>
    <row r="250" spans="1:12">
      <c r="A250" s="4">
        <f t="shared" si="119"/>
        <v>823</v>
      </c>
      <c r="B250" t="s">
        <v>460</v>
      </c>
      <c r="C250" s="21">
        <f t="shared" si="125"/>
        <v>2023</v>
      </c>
      <c r="D250" s="81" t="s">
        <v>450</v>
      </c>
      <c r="E250" s="81" t="s">
        <v>450</v>
      </c>
      <c r="F250" s="405">
        <v>0</v>
      </c>
      <c r="G250" s="405">
        <f t="shared" si="123"/>
        <v>-11098.406113250127</v>
      </c>
      <c r="H250" s="431">
        <f>$H$94</f>
        <v>8.3500000000000005E-2</v>
      </c>
      <c r="I250" s="13">
        <f t="shared" ref="I250" si="133">ROUND((F250/2+G249+J249)*H250/12,2)</f>
        <v>-84.24</v>
      </c>
      <c r="J250" s="13">
        <f t="shared" si="121"/>
        <v>-1091.8699999999997</v>
      </c>
      <c r="K250" s="13">
        <f t="shared" si="118"/>
        <v>-12190.28</v>
      </c>
      <c r="L250" s="4">
        <f t="shared" si="116"/>
        <v>823</v>
      </c>
    </row>
    <row r="251" spans="1:12">
      <c r="A251" s="4">
        <f t="shared" si="119"/>
        <v>824</v>
      </c>
      <c r="B251" t="s">
        <v>461</v>
      </c>
      <c r="C251" s="21">
        <f t="shared" si="125"/>
        <v>2023</v>
      </c>
      <c r="D251" s="81" t="s">
        <v>450</v>
      </c>
      <c r="E251" s="81" t="s">
        <v>450</v>
      </c>
      <c r="F251" s="405">
        <v>0</v>
      </c>
      <c r="G251" s="405">
        <f t="shared" si="123"/>
        <v>-11098.406113250127</v>
      </c>
      <c r="H251" s="431">
        <f>$H$95</f>
        <v>8.3500000000000005E-2</v>
      </c>
      <c r="I251" s="13">
        <f t="shared" ref="I251" si="134">ROUND((F251/2+G250+J249)*H251/12,2)</f>
        <v>-84.24</v>
      </c>
      <c r="J251" s="13">
        <f t="shared" si="121"/>
        <v>-1176.1099999999997</v>
      </c>
      <c r="K251" s="13">
        <f t="shared" si="118"/>
        <v>-12274.52</v>
      </c>
      <c r="L251" s="4">
        <f t="shared" si="116"/>
        <v>824</v>
      </c>
    </row>
    <row r="252" spans="1:12">
      <c r="A252" s="4">
        <f t="shared" si="119"/>
        <v>825</v>
      </c>
      <c r="B252" t="s">
        <v>449</v>
      </c>
      <c r="C252" s="21">
        <f t="shared" si="125"/>
        <v>2023</v>
      </c>
      <c r="D252" s="81" t="s">
        <v>450</v>
      </c>
      <c r="E252" s="81" t="s">
        <v>450</v>
      </c>
      <c r="F252" s="405">
        <v>0</v>
      </c>
      <c r="G252" s="405">
        <f t="shared" si="123"/>
        <v>-11098.406113250127</v>
      </c>
      <c r="H252" s="431">
        <f>$H$96</f>
        <v>8.3500000000000005E-2</v>
      </c>
      <c r="I252" s="13">
        <f t="shared" ref="I252" si="135">ROUND((F252/2+G251+J249)*H252/12,2)</f>
        <v>-84.24</v>
      </c>
      <c r="J252" s="13">
        <f t="shared" si="121"/>
        <v>-1260.3499999999997</v>
      </c>
      <c r="K252" s="13">
        <f t="shared" si="118"/>
        <v>-12358.76</v>
      </c>
      <c r="L252" s="4">
        <f t="shared" si="116"/>
        <v>825</v>
      </c>
    </row>
    <row r="253" spans="1:12">
      <c r="A253" s="3"/>
      <c r="B253" s="2"/>
    </row>
    <row r="254" spans="1:12">
      <c r="A254" s="3" t="s">
        <v>92</v>
      </c>
      <c r="B254" s="416" t="s">
        <v>419</v>
      </c>
      <c r="C254" s="417" t="s">
        <v>124</v>
      </c>
      <c r="D254" s="417" t="s">
        <v>125</v>
      </c>
      <c r="E254" s="417" t="s">
        <v>126</v>
      </c>
      <c r="F254" s="417" t="s">
        <v>127</v>
      </c>
      <c r="G254" s="417" t="s">
        <v>420</v>
      </c>
      <c r="H254" s="417" t="s">
        <v>421</v>
      </c>
      <c r="I254" s="417" t="s">
        <v>422</v>
      </c>
      <c r="J254" s="417" t="s">
        <v>423</v>
      </c>
      <c r="K254" s="418" t="s">
        <v>424</v>
      </c>
      <c r="L254" s="3" t="str">
        <f t="shared" ref="L254:L255" si="136">A254</f>
        <v>Line</v>
      </c>
    </row>
    <row r="255" spans="1:12">
      <c r="A255" s="4">
        <f>A223+100</f>
        <v>900</v>
      </c>
      <c r="B255" s="419" t="s">
        <v>466</v>
      </c>
      <c r="C255" s="4"/>
      <c r="D255" s="18" t="s">
        <v>103</v>
      </c>
      <c r="E255" s="18" t="s">
        <v>425</v>
      </c>
      <c r="F255" s="21" t="str">
        <f>""&amp;D254&amp;" - "&amp;E254&amp;""</f>
        <v>Col 2 - Col 3</v>
      </c>
      <c r="G255" s="21" t="s">
        <v>426</v>
      </c>
      <c r="H255" s="21" t="s">
        <v>427</v>
      </c>
      <c r="I255" s="21" t="s">
        <v>428</v>
      </c>
      <c r="J255" s="21" t="s">
        <v>429</v>
      </c>
      <c r="K255" s="420" t="str">
        <f>""&amp;G254&amp;" + "&amp;J254&amp;""</f>
        <v>Col 5 + Col 8</v>
      </c>
      <c r="L255" s="4">
        <f t="shared" si="136"/>
        <v>900</v>
      </c>
    </row>
    <row r="256" spans="1:12">
      <c r="A256" s="4"/>
      <c r="B256" s="421"/>
      <c r="C256" s="4"/>
      <c r="D256" s="4"/>
      <c r="E256" s="4"/>
      <c r="F256" s="4"/>
      <c r="G256" s="4" t="s">
        <v>430</v>
      </c>
      <c r="H256" s="4"/>
      <c r="I256" s="4"/>
      <c r="J256" s="4"/>
      <c r="K256" s="422" t="s">
        <v>430</v>
      </c>
    </row>
    <row r="257" spans="1:12">
      <c r="B257" s="421"/>
      <c r="C257" s="4"/>
      <c r="D257" s="4" t="s">
        <v>434</v>
      </c>
      <c r="E257" s="4" t="s">
        <v>434</v>
      </c>
      <c r="F257" s="4"/>
      <c r="G257" s="4" t="s">
        <v>433</v>
      </c>
      <c r="H257" s="4"/>
      <c r="I257" s="4"/>
      <c r="J257" s="4"/>
      <c r="K257" s="422" t="s">
        <v>433</v>
      </c>
    </row>
    <row r="258" spans="1:12">
      <c r="A258" s="4"/>
      <c r="B258" s="419"/>
      <c r="C258" s="4"/>
      <c r="D258" s="4" t="s">
        <v>431</v>
      </c>
      <c r="E258" s="4" t="s">
        <v>432</v>
      </c>
      <c r="F258" s="4" t="s">
        <v>435</v>
      </c>
      <c r="G258" s="4" t="s">
        <v>436</v>
      </c>
      <c r="H258" s="4" t="s">
        <v>437</v>
      </c>
      <c r="I258" s="4" t="s">
        <v>431</v>
      </c>
      <c r="J258" s="4" t="s">
        <v>438</v>
      </c>
      <c r="K258" s="422" t="s">
        <v>439</v>
      </c>
    </row>
    <row r="259" spans="1:12">
      <c r="A259" s="4"/>
      <c r="B259" s="423" t="s">
        <v>440</v>
      </c>
      <c r="C259" s="424" t="s">
        <v>441</v>
      </c>
      <c r="D259" s="424" t="s">
        <v>442</v>
      </c>
      <c r="E259" s="424" t="s">
        <v>443</v>
      </c>
      <c r="F259" s="424" t="s">
        <v>444</v>
      </c>
      <c r="G259" s="424" t="s">
        <v>445</v>
      </c>
      <c r="H259" s="424" t="s">
        <v>446</v>
      </c>
      <c r="I259" s="424" t="s">
        <v>447</v>
      </c>
      <c r="J259" s="424" t="s">
        <v>447</v>
      </c>
      <c r="K259" s="425" t="s">
        <v>448</v>
      </c>
    </row>
    <row r="260" spans="1:12">
      <c r="A260" s="4">
        <f>A255+1</f>
        <v>901</v>
      </c>
      <c r="B260" t="s">
        <v>449</v>
      </c>
      <c r="C260" s="21">
        <f>C261-1</f>
        <v>2021</v>
      </c>
      <c r="D260" s="81" t="s">
        <v>450</v>
      </c>
      <c r="E260" s="81" t="s">
        <v>450</v>
      </c>
      <c r="F260" s="21" t="s">
        <v>450</v>
      </c>
      <c r="G260" s="40">
        <v>323214.74070741422</v>
      </c>
      <c r="H260" s="21" t="s">
        <v>450</v>
      </c>
      <c r="I260" s="21" t="s">
        <v>450</v>
      </c>
      <c r="J260" s="40">
        <v>3577.5400000000081</v>
      </c>
      <c r="K260" s="13">
        <f>ROUND((G260+J260),2)</f>
        <v>326792.28000000003</v>
      </c>
      <c r="L260" s="4">
        <f t="shared" ref="L260:L284" si="137">A260</f>
        <v>901</v>
      </c>
    </row>
    <row r="261" spans="1:12">
      <c r="A261" s="4">
        <f>A260+1</f>
        <v>902</v>
      </c>
      <c r="B261" t="s">
        <v>451</v>
      </c>
      <c r="C261" s="21">
        <f>'1-DRR'!$K$2</f>
        <v>2022</v>
      </c>
      <c r="D261" s="395">
        <f>IF(E261="N/A","N/A",($G$42*'9-WholesaleRevenues'!H14))</f>
        <v>820371.50693927996</v>
      </c>
      <c r="E261" s="395">
        <f>IF('9-WholesaleRevenues'!H48="N/A","N/A",'9-WholesaleRevenues'!H48)</f>
        <v>1978263.98</v>
      </c>
      <c r="F261" s="405">
        <f t="shared" ref="F261:F272" si="138">IF(E261="N/A",0,D261-E261)</f>
        <v>-1157892.4730607201</v>
      </c>
      <c r="G261" s="405">
        <f>F261+G260</f>
        <v>-834677.73235330591</v>
      </c>
      <c r="H261" s="431">
        <f>$H$73</f>
        <v>3.2500000000000001E-2</v>
      </c>
      <c r="I261" s="13">
        <f>IF(E261="N/A",0,ROUND((F261/2+G260+J260)*H261/12,2))</f>
        <v>-682.92</v>
      </c>
      <c r="J261" s="13">
        <f>I261+J260</f>
        <v>2894.6200000000081</v>
      </c>
      <c r="K261" s="13">
        <f t="shared" ref="K261:K284" si="139">ROUND((G261+J261),2)</f>
        <v>-831783.11</v>
      </c>
      <c r="L261" s="4">
        <f t="shared" si="137"/>
        <v>902</v>
      </c>
    </row>
    <row r="262" spans="1:12">
      <c r="A262" s="4">
        <f t="shared" ref="A262:A284" si="140">A261+1</f>
        <v>903</v>
      </c>
      <c r="B262" t="s">
        <v>452</v>
      </c>
      <c r="C262" s="21">
        <f>'1-DRR'!$K$2</f>
        <v>2022</v>
      </c>
      <c r="D262" s="395">
        <f>IF(E262="N/A","N/A",($G$42*'9-WholesaleRevenues'!H15))</f>
        <v>1242870.1312729858</v>
      </c>
      <c r="E262" s="395">
        <f>IF('9-WholesaleRevenues'!H49="N/A","N/A",'9-WholesaleRevenues'!H49)</f>
        <v>1978263.98</v>
      </c>
      <c r="F262" s="405">
        <f t="shared" si="138"/>
        <v>-735393.84872701415</v>
      </c>
      <c r="G262" s="405">
        <f t="shared" ref="G262:G272" si="141">F262+G261</f>
        <v>-1570071.5810803201</v>
      </c>
      <c r="H262" s="431">
        <f>$H$74</f>
        <v>3.2500000000000001E-2</v>
      </c>
      <c r="I262" s="13">
        <f>IF(E262="N/A",0,ROUND((F262/2+G261+J260)*H262/12,2))</f>
        <v>-3246.74</v>
      </c>
      <c r="J262" s="13">
        <f>I262+J261</f>
        <v>-352.11999999999171</v>
      </c>
      <c r="K262" s="13">
        <f t="shared" si="139"/>
        <v>-1570423.7</v>
      </c>
      <c r="L262" s="4">
        <f t="shared" si="137"/>
        <v>903</v>
      </c>
    </row>
    <row r="263" spans="1:12">
      <c r="A263" s="4">
        <f t="shared" si="140"/>
        <v>904</v>
      </c>
      <c r="B263" t="s">
        <v>453</v>
      </c>
      <c r="C263" s="21">
        <f>'1-DRR'!$K$2</f>
        <v>2022</v>
      </c>
      <c r="D263" s="395">
        <f>IF(E263="N/A","N/A",($G$42*'9-WholesaleRevenues'!H16))</f>
        <v>1343892.1750162118</v>
      </c>
      <c r="E263" s="395">
        <f>IF('9-WholesaleRevenues'!H50="N/A","N/A",'9-WholesaleRevenues'!H50)</f>
        <v>1978263.98</v>
      </c>
      <c r="F263" s="405">
        <f t="shared" si="138"/>
        <v>-634371.80498378817</v>
      </c>
      <c r="G263" s="405">
        <f t="shared" si="141"/>
        <v>-2204443.3860641085</v>
      </c>
      <c r="H263" s="431">
        <f>$H$75</f>
        <v>3.2500000000000001E-2</v>
      </c>
      <c r="I263" s="13">
        <f>IF(E263="N/A",0,ROUND((F263/2+G262+J260)*H263/12,2))</f>
        <v>-5101.63</v>
      </c>
      <c r="J263" s="13">
        <f>I263+J262</f>
        <v>-5453.7499999999918</v>
      </c>
      <c r="K263" s="13">
        <f t="shared" si="139"/>
        <v>-2209897.14</v>
      </c>
      <c r="L263" s="4">
        <f t="shared" si="137"/>
        <v>904</v>
      </c>
    </row>
    <row r="264" spans="1:12">
      <c r="A264" s="4">
        <f t="shared" si="140"/>
        <v>905</v>
      </c>
      <c r="B264" t="s">
        <v>454</v>
      </c>
      <c r="C264" s="21">
        <f>'1-DRR'!$K$2</f>
        <v>2022</v>
      </c>
      <c r="D264" s="395">
        <f>IF(E264="N/A","N/A",($G$42*'9-WholesaleRevenues'!H17))</f>
        <v>1559826.4992326808</v>
      </c>
      <c r="E264" s="395">
        <f>IF('9-WholesaleRevenues'!H51="N/A","N/A",'9-WholesaleRevenues'!H51)</f>
        <v>1978263.98</v>
      </c>
      <c r="F264" s="405">
        <f t="shared" si="138"/>
        <v>-418437.48076731921</v>
      </c>
      <c r="G264" s="405">
        <f t="shared" si="141"/>
        <v>-2622880.8668314274</v>
      </c>
      <c r="H264" s="431">
        <f>$H$76</f>
        <v>3.2500000000000001E-2</v>
      </c>
      <c r="I264" s="13">
        <f>IF(E264="N/A",0,ROUND((F264/2+G263+J263)*H264/12,2))</f>
        <v>-6551.77</v>
      </c>
      <c r="J264" s="13">
        <f t="shared" ref="J264:J284" si="142">I264+J263</f>
        <v>-12005.519999999993</v>
      </c>
      <c r="K264" s="13">
        <f t="shared" si="139"/>
        <v>-2634886.39</v>
      </c>
      <c r="L264" s="4">
        <f t="shared" si="137"/>
        <v>905</v>
      </c>
    </row>
    <row r="265" spans="1:12">
      <c r="A265" s="4">
        <f t="shared" si="140"/>
        <v>906</v>
      </c>
      <c r="B265" t="s">
        <v>455</v>
      </c>
      <c r="C265" s="21">
        <f>'1-DRR'!$K$2</f>
        <v>2022</v>
      </c>
      <c r="D265" s="395">
        <f>IF(E265="N/A","N/A",($G$42*'9-WholesaleRevenues'!H18))</f>
        <v>1643509.2898375038</v>
      </c>
      <c r="E265" s="395">
        <f>IF('9-WholesaleRevenues'!H52="N/A","N/A",'9-WholesaleRevenues'!H52)</f>
        <v>1693450.5</v>
      </c>
      <c r="F265" s="405">
        <f t="shared" si="138"/>
        <v>-49941.210162496194</v>
      </c>
      <c r="G265" s="405">
        <f t="shared" si="141"/>
        <v>-2672822.0769939236</v>
      </c>
      <c r="H265" s="431">
        <f>$H$77</f>
        <v>3.2500000000000001E-2</v>
      </c>
      <c r="I265" s="13">
        <f>IF(E265="N/A",0,ROUND((F265/2+G264+J263)*H265/12,2))</f>
        <v>-7186.03</v>
      </c>
      <c r="J265" s="13">
        <f t="shared" si="142"/>
        <v>-19191.549999999992</v>
      </c>
      <c r="K265" s="13">
        <f t="shared" si="139"/>
        <v>-2692013.63</v>
      </c>
      <c r="L265" s="4">
        <f t="shared" si="137"/>
        <v>906</v>
      </c>
    </row>
    <row r="266" spans="1:12">
      <c r="A266" s="4">
        <f t="shared" si="140"/>
        <v>907</v>
      </c>
      <c r="B266" t="s">
        <v>456</v>
      </c>
      <c r="C266" s="21">
        <f>'1-DRR'!$K$2</f>
        <v>2022</v>
      </c>
      <c r="D266" s="395">
        <f>IF(E266="N/A","N/A",($G$42*'9-WholesaleRevenues'!H19))</f>
        <v>1724037.348710425</v>
      </c>
      <c r="E266" s="395">
        <f>IF('9-WholesaleRevenues'!H53="N/A","N/A",'9-WholesaleRevenues'!H53)</f>
        <v>1689800.81</v>
      </c>
      <c r="F266" s="405">
        <f t="shared" si="138"/>
        <v>34236.538710424909</v>
      </c>
      <c r="G266" s="405">
        <f t="shared" si="141"/>
        <v>-2638585.538283499</v>
      </c>
      <c r="H266" s="431">
        <f>$H$78</f>
        <v>3.2500000000000001E-2</v>
      </c>
      <c r="I266" s="13">
        <f>IF(E266="N/A",0,ROUND((F266/2+G265+J263)*H266/12,2))</f>
        <v>-7207.3</v>
      </c>
      <c r="J266" s="13">
        <f t="shared" si="142"/>
        <v>-26398.849999999991</v>
      </c>
      <c r="K266" s="13">
        <f t="shared" si="139"/>
        <v>-2664984.39</v>
      </c>
      <c r="L266" s="4">
        <f t="shared" si="137"/>
        <v>907</v>
      </c>
    </row>
    <row r="267" spans="1:12">
      <c r="A267" s="4">
        <f t="shared" si="140"/>
        <v>908</v>
      </c>
      <c r="B267" t="s">
        <v>457</v>
      </c>
      <c r="C267" s="21">
        <f>'1-DRR'!$K$2</f>
        <v>2022</v>
      </c>
      <c r="D267" s="395">
        <f>IF(E267="N/A","N/A",($G$42*'9-WholesaleRevenues'!H20))</f>
        <v>1611232.1465208032</v>
      </c>
      <c r="E267" s="395">
        <f>IF('9-WholesaleRevenues'!H54="N/A","N/A",'9-WholesaleRevenues'!H54)</f>
        <v>1499418.85</v>
      </c>
      <c r="F267" s="405">
        <f t="shared" si="138"/>
        <v>111813.29652080312</v>
      </c>
      <c r="G267" s="405">
        <f t="shared" si="141"/>
        <v>-2526772.2417626958</v>
      </c>
      <c r="H267" s="431">
        <f>$H$79</f>
        <v>3.5999999999999997E-2</v>
      </c>
      <c r="I267" s="13">
        <f>IF(E267="N/A",0,ROUND((F267/2+G266+J266)*H267/12,2))</f>
        <v>-7827.23</v>
      </c>
      <c r="J267" s="13">
        <f t="shared" si="142"/>
        <v>-34226.079999999987</v>
      </c>
      <c r="K267" s="13">
        <f t="shared" si="139"/>
        <v>-2560998.3199999998</v>
      </c>
      <c r="L267" s="4">
        <f t="shared" si="137"/>
        <v>908</v>
      </c>
    </row>
    <row r="268" spans="1:12">
      <c r="A268" s="4">
        <f t="shared" si="140"/>
        <v>909</v>
      </c>
      <c r="B268" t="s">
        <v>458</v>
      </c>
      <c r="C268" s="21">
        <f>'1-DRR'!$K$2</f>
        <v>2022</v>
      </c>
      <c r="D268" s="395">
        <f>IF(E268="N/A","N/A",($G$42*'9-WholesaleRevenues'!H21))</f>
        <v>1494424.672731007</v>
      </c>
      <c r="E268" s="395">
        <f>IF('9-WholesaleRevenues'!H55="N/A","N/A",'9-WholesaleRevenues'!H55)</f>
        <v>1470060.92</v>
      </c>
      <c r="F268" s="405">
        <f t="shared" si="138"/>
        <v>24363.752731007058</v>
      </c>
      <c r="G268" s="405">
        <f t="shared" si="141"/>
        <v>-2502408.4890316888</v>
      </c>
      <c r="H268" s="431">
        <f>$H$80</f>
        <v>3.5999999999999997E-2</v>
      </c>
      <c r="I268" s="13">
        <f>IF(E268="N/A",0,ROUND((F268/2+G267+J266)*H268/12,2))</f>
        <v>-7622.97</v>
      </c>
      <c r="J268" s="13">
        <f t="shared" si="142"/>
        <v>-41849.049999999988</v>
      </c>
      <c r="K268" s="13">
        <f t="shared" si="139"/>
        <v>-2544257.54</v>
      </c>
      <c r="L268" s="4">
        <f t="shared" si="137"/>
        <v>909</v>
      </c>
    </row>
    <row r="269" spans="1:12">
      <c r="A269" s="4">
        <f t="shared" si="140"/>
        <v>910</v>
      </c>
      <c r="B269" t="s">
        <v>459</v>
      </c>
      <c r="C269" s="21">
        <f>'1-DRR'!$K$2</f>
        <v>2022</v>
      </c>
      <c r="D269" s="395">
        <f>IF(E269="N/A","N/A",($G$42*'9-WholesaleRevenues'!H22))</f>
        <v>1393226.058181891</v>
      </c>
      <c r="E269" s="395">
        <f>IF('9-WholesaleRevenues'!H56="N/A","N/A",'9-WholesaleRevenues'!H56)</f>
        <v>1442394.3800000001</v>
      </c>
      <c r="F269" s="405">
        <f t="shared" si="138"/>
        <v>-49168.321818109136</v>
      </c>
      <c r="G269" s="405">
        <f t="shared" si="141"/>
        <v>-2551576.8108497979</v>
      </c>
      <c r="H269" s="431">
        <f>$H$81</f>
        <v>3.5999999999999997E-2</v>
      </c>
      <c r="I269" s="13">
        <f>IF(E269="N/A",0,ROUND((F269/2+G268+J266)*H269/12,2))</f>
        <v>-7660.17</v>
      </c>
      <c r="J269" s="13">
        <f t="shared" si="142"/>
        <v>-49509.219999999987</v>
      </c>
      <c r="K269" s="13">
        <f t="shared" si="139"/>
        <v>-2601086.0299999998</v>
      </c>
      <c r="L269" s="4">
        <f t="shared" si="137"/>
        <v>910</v>
      </c>
    </row>
    <row r="270" spans="1:12">
      <c r="A270" s="4">
        <f t="shared" si="140"/>
        <v>911</v>
      </c>
      <c r="B270" t="s">
        <v>460</v>
      </c>
      <c r="C270" s="21">
        <f>'1-DRR'!$K$2</f>
        <v>2022</v>
      </c>
      <c r="D270" s="395">
        <f>IF(E270="N/A","N/A",($G$42*'9-WholesaleRevenues'!H23))</f>
        <v>1372108.1897974415</v>
      </c>
      <c r="E270" s="395">
        <f>IF('9-WholesaleRevenues'!H57="N/A","N/A",'9-WholesaleRevenues'!H57)</f>
        <v>1467906.72</v>
      </c>
      <c r="F270" s="405">
        <f t="shared" si="138"/>
        <v>-95798.530202558497</v>
      </c>
      <c r="G270" s="405">
        <f t="shared" si="141"/>
        <v>-2647375.3410523562</v>
      </c>
      <c r="H270" s="431">
        <f>$H$82</f>
        <v>4.9099999999999998E-2</v>
      </c>
      <c r="I270" s="13">
        <f>IF(E270="N/A",0,ROUND((F270/2+G269+J269)*H270/12,2))</f>
        <v>-10838.76</v>
      </c>
      <c r="J270" s="13">
        <f t="shared" si="142"/>
        <v>-60347.979999999989</v>
      </c>
      <c r="K270" s="13">
        <f t="shared" si="139"/>
        <v>-2707723.32</v>
      </c>
      <c r="L270" s="4">
        <f t="shared" si="137"/>
        <v>911</v>
      </c>
    </row>
    <row r="271" spans="1:12">
      <c r="A271" s="4">
        <f t="shared" si="140"/>
        <v>912</v>
      </c>
      <c r="B271" t="s">
        <v>461</v>
      </c>
      <c r="C271" s="21">
        <f>'1-DRR'!$K$2</f>
        <v>2022</v>
      </c>
      <c r="D271" s="395">
        <f>IF(E271="N/A","N/A",($G$42*'9-WholesaleRevenues'!H24))</f>
        <v>1071102.0513031476</v>
      </c>
      <c r="E271" s="395">
        <f>IF('9-WholesaleRevenues'!H58="N/A","N/A",'9-WholesaleRevenues'!H58)</f>
        <v>1116280.83</v>
      </c>
      <c r="F271" s="405">
        <f t="shared" si="138"/>
        <v>-45178.778696852503</v>
      </c>
      <c r="G271" s="405">
        <f t="shared" si="141"/>
        <v>-2692554.1197492089</v>
      </c>
      <c r="H271" s="431">
        <f>$H$83</f>
        <v>4.9099999999999998E-2</v>
      </c>
      <c r="I271" s="13">
        <f>IF(E271="N/A",0,ROUND((F271/2+G270+J269)*H271/12,2))</f>
        <v>-11127.18</v>
      </c>
      <c r="J271" s="13">
        <f t="shared" si="142"/>
        <v>-71475.159999999989</v>
      </c>
      <c r="K271" s="13">
        <f t="shared" si="139"/>
        <v>-2764029.28</v>
      </c>
      <c r="L271" s="4">
        <f t="shared" si="137"/>
        <v>912</v>
      </c>
    </row>
    <row r="272" spans="1:12">
      <c r="A272" s="4">
        <f t="shared" si="140"/>
        <v>913</v>
      </c>
      <c r="B272" t="s">
        <v>449</v>
      </c>
      <c r="C272" s="21">
        <f>'1-DRR'!$K$2</f>
        <v>2022</v>
      </c>
      <c r="D272" s="395">
        <f>IF(E272="N/A","N/A",($G$42*'9-WholesaleRevenues'!H25))</f>
        <v>714087.65318053053</v>
      </c>
      <c r="E272" s="395">
        <f>IF('9-WholesaleRevenues'!H59="N/A","N/A",'9-WholesaleRevenues'!H59)</f>
        <v>790756.95</v>
      </c>
      <c r="F272" s="405">
        <f t="shared" si="138"/>
        <v>-76669.296819469426</v>
      </c>
      <c r="G272" s="405">
        <f t="shared" si="141"/>
        <v>-2769223.4165686783</v>
      </c>
      <c r="H272" s="431">
        <f>$H$84</f>
        <v>4.9099999999999998E-2</v>
      </c>
      <c r="I272" s="13">
        <f>IF(E272="N/A",0,ROUND((F272/2+G271+J269)*H272/12,2))</f>
        <v>-11376.46</v>
      </c>
      <c r="J272" s="13">
        <f t="shared" si="142"/>
        <v>-82851.62</v>
      </c>
      <c r="K272" s="13">
        <f t="shared" si="139"/>
        <v>-2852075.04</v>
      </c>
      <c r="L272" s="4">
        <f t="shared" si="137"/>
        <v>913</v>
      </c>
    </row>
    <row r="273" spans="1:12">
      <c r="A273" s="4">
        <f t="shared" si="140"/>
        <v>914</v>
      </c>
      <c r="B273" t="s">
        <v>451</v>
      </c>
      <c r="C273" s="21">
        <f>C272+1</f>
        <v>2023</v>
      </c>
      <c r="D273" s="81" t="s">
        <v>450</v>
      </c>
      <c r="E273" s="81" t="s">
        <v>450</v>
      </c>
      <c r="F273" s="405">
        <v>0</v>
      </c>
      <c r="G273" s="405">
        <f>F273+G272</f>
        <v>-2769223.4165686783</v>
      </c>
      <c r="H273" s="431">
        <f>$H$85</f>
        <v>6.3100000000000003E-2</v>
      </c>
      <c r="I273" s="13">
        <f t="shared" ref="I273" si="143">ROUND((F273/2+G272+J272)*H273/12,2)</f>
        <v>-14997.16</v>
      </c>
      <c r="J273" s="13">
        <f t="shared" si="142"/>
        <v>-97848.78</v>
      </c>
      <c r="K273" s="13">
        <f t="shared" si="139"/>
        <v>-2867072.2</v>
      </c>
      <c r="L273" s="4">
        <f t="shared" si="137"/>
        <v>914</v>
      </c>
    </row>
    <row r="274" spans="1:12">
      <c r="A274" s="4">
        <f t="shared" si="140"/>
        <v>915</v>
      </c>
      <c r="B274" t="s">
        <v>452</v>
      </c>
      <c r="C274" s="21">
        <f>C273</f>
        <v>2023</v>
      </c>
      <c r="D274" s="81" t="s">
        <v>450</v>
      </c>
      <c r="E274" s="81" t="s">
        <v>450</v>
      </c>
      <c r="F274" s="405">
        <v>0</v>
      </c>
      <c r="G274" s="405">
        <f t="shared" ref="G274:G284" si="144">F274+G273</f>
        <v>-2769223.4165686783</v>
      </c>
      <c r="H274" s="431">
        <f>$H$86</f>
        <v>6.3100000000000003E-2</v>
      </c>
      <c r="I274" s="13">
        <f t="shared" ref="I274" si="145">ROUND((F274/2+G273+J272)*H274/12,2)</f>
        <v>-14997.16</v>
      </c>
      <c r="J274" s="13">
        <f t="shared" si="142"/>
        <v>-112845.94</v>
      </c>
      <c r="K274" s="13">
        <f t="shared" si="139"/>
        <v>-2882069.36</v>
      </c>
      <c r="L274" s="4">
        <f t="shared" si="137"/>
        <v>915</v>
      </c>
    </row>
    <row r="275" spans="1:12">
      <c r="A275" s="4">
        <f t="shared" si="140"/>
        <v>916</v>
      </c>
      <c r="B275" t="s">
        <v>453</v>
      </c>
      <c r="C275" s="21">
        <f t="shared" ref="C275:C284" si="146">C274</f>
        <v>2023</v>
      </c>
      <c r="D275" s="81" t="s">
        <v>450</v>
      </c>
      <c r="E275" s="81" t="s">
        <v>450</v>
      </c>
      <c r="F275" s="405">
        <v>0</v>
      </c>
      <c r="G275" s="405">
        <f t="shared" si="144"/>
        <v>-2769223.4165686783</v>
      </c>
      <c r="H275" s="431">
        <f>$H$87</f>
        <v>6.3100000000000003E-2</v>
      </c>
      <c r="I275" s="13">
        <f t="shared" ref="I275" si="147">ROUND((F275/2+G274+J272)*H275/12,2)</f>
        <v>-14997.16</v>
      </c>
      <c r="J275" s="13">
        <f t="shared" si="142"/>
        <v>-127843.1</v>
      </c>
      <c r="K275" s="13">
        <f t="shared" si="139"/>
        <v>-2897066.52</v>
      </c>
      <c r="L275" s="4">
        <f t="shared" si="137"/>
        <v>916</v>
      </c>
    </row>
    <row r="276" spans="1:12">
      <c r="A276" s="4">
        <f t="shared" si="140"/>
        <v>917</v>
      </c>
      <c r="B276" t="s">
        <v>454</v>
      </c>
      <c r="C276" s="21">
        <f t="shared" si="146"/>
        <v>2023</v>
      </c>
      <c r="D276" s="81" t="s">
        <v>450</v>
      </c>
      <c r="E276" s="81" t="s">
        <v>450</v>
      </c>
      <c r="F276" s="405">
        <v>0</v>
      </c>
      <c r="G276" s="405">
        <f t="shared" si="144"/>
        <v>-2769223.4165686783</v>
      </c>
      <c r="H276" s="431">
        <f>$H$88</f>
        <v>7.4999999999999997E-2</v>
      </c>
      <c r="I276" s="13">
        <f t="shared" ref="I276" si="148">ROUND((F276/2+G275+J275)*H276/12,2)</f>
        <v>-18106.669999999998</v>
      </c>
      <c r="J276" s="13">
        <f t="shared" si="142"/>
        <v>-145949.77000000002</v>
      </c>
      <c r="K276" s="13">
        <f t="shared" si="139"/>
        <v>-2915173.19</v>
      </c>
      <c r="L276" s="4">
        <f t="shared" si="137"/>
        <v>917</v>
      </c>
    </row>
    <row r="277" spans="1:12">
      <c r="A277" s="4">
        <f t="shared" si="140"/>
        <v>918</v>
      </c>
      <c r="B277" t="s">
        <v>455</v>
      </c>
      <c r="C277" s="21">
        <f t="shared" si="146"/>
        <v>2023</v>
      </c>
      <c r="D277" s="81" t="s">
        <v>450</v>
      </c>
      <c r="E277" s="81" t="s">
        <v>450</v>
      </c>
      <c r="F277" s="405">
        <v>0</v>
      </c>
      <c r="G277" s="405">
        <f t="shared" si="144"/>
        <v>-2769223.4165686783</v>
      </c>
      <c r="H277" s="431">
        <f>$H$89</f>
        <v>7.4999999999999997E-2</v>
      </c>
      <c r="I277" s="13">
        <f t="shared" ref="I277" si="149">ROUND((F277/2+G276+J275)*H277/12,2)</f>
        <v>-18106.669999999998</v>
      </c>
      <c r="J277" s="13">
        <f t="shared" si="142"/>
        <v>-164056.44</v>
      </c>
      <c r="K277" s="13">
        <f t="shared" si="139"/>
        <v>-2933279.86</v>
      </c>
      <c r="L277" s="4">
        <f t="shared" si="137"/>
        <v>918</v>
      </c>
    </row>
    <row r="278" spans="1:12">
      <c r="A278" s="4">
        <f t="shared" si="140"/>
        <v>919</v>
      </c>
      <c r="B278" t="s">
        <v>456</v>
      </c>
      <c r="C278" s="21">
        <f t="shared" si="146"/>
        <v>2023</v>
      </c>
      <c r="D278" s="81" t="s">
        <v>450</v>
      </c>
      <c r="E278" s="81" t="s">
        <v>450</v>
      </c>
      <c r="F278" s="405">
        <v>0</v>
      </c>
      <c r="G278" s="405">
        <f t="shared" si="144"/>
        <v>-2769223.4165686783</v>
      </c>
      <c r="H278" s="431">
        <f>$H$90</f>
        <v>7.4999999999999997E-2</v>
      </c>
      <c r="I278" s="13">
        <f t="shared" ref="I278" si="150">ROUND((F278/2+G277+J275)*H278/12,2)</f>
        <v>-18106.669999999998</v>
      </c>
      <c r="J278" s="13">
        <f t="shared" si="142"/>
        <v>-182163.11</v>
      </c>
      <c r="K278" s="13">
        <f t="shared" si="139"/>
        <v>-2951386.53</v>
      </c>
      <c r="L278" s="4">
        <f t="shared" si="137"/>
        <v>919</v>
      </c>
    </row>
    <row r="279" spans="1:12">
      <c r="A279" s="4">
        <f t="shared" si="140"/>
        <v>920</v>
      </c>
      <c r="B279" t="s">
        <v>457</v>
      </c>
      <c r="C279" s="21">
        <f t="shared" si="146"/>
        <v>2023</v>
      </c>
      <c r="D279" s="81" t="s">
        <v>450</v>
      </c>
      <c r="E279" s="81" t="s">
        <v>450</v>
      </c>
      <c r="F279" s="405">
        <v>0</v>
      </c>
      <c r="G279" s="405">
        <f t="shared" si="144"/>
        <v>-2769223.4165686783</v>
      </c>
      <c r="H279" s="431">
        <f>$H$91</f>
        <v>8.0199999999999994E-2</v>
      </c>
      <c r="I279" s="13">
        <f t="shared" ref="I279" si="151">ROUND((F279/2+G278+J278)*H279/12,2)</f>
        <v>-19725.099999999999</v>
      </c>
      <c r="J279" s="13">
        <f t="shared" si="142"/>
        <v>-201888.21</v>
      </c>
      <c r="K279" s="13">
        <f t="shared" si="139"/>
        <v>-2971111.63</v>
      </c>
      <c r="L279" s="4">
        <f t="shared" si="137"/>
        <v>920</v>
      </c>
    </row>
    <row r="280" spans="1:12">
      <c r="A280" s="4">
        <f t="shared" si="140"/>
        <v>921</v>
      </c>
      <c r="B280" t="s">
        <v>458</v>
      </c>
      <c r="C280" s="21">
        <f t="shared" si="146"/>
        <v>2023</v>
      </c>
      <c r="D280" s="81" t="s">
        <v>450</v>
      </c>
      <c r="E280" s="81" t="s">
        <v>450</v>
      </c>
      <c r="F280" s="405">
        <v>0</v>
      </c>
      <c r="G280" s="405">
        <f t="shared" si="144"/>
        <v>-2769223.4165686783</v>
      </c>
      <c r="H280" s="431">
        <f>$H$92</f>
        <v>8.0199999999999994E-2</v>
      </c>
      <c r="I280" s="13">
        <f t="shared" ref="I280" si="152">ROUND((F280/2+G279+J278)*H280/12,2)</f>
        <v>-19725.099999999999</v>
      </c>
      <c r="J280" s="13">
        <f t="shared" si="142"/>
        <v>-221613.31</v>
      </c>
      <c r="K280" s="13">
        <f t="shared" si="139"/>
        <v>-2990836.73</v>
      </c>
      <c r="L280" s="4">
        <f t="shared" si="137"/>
        <v>921</v>
      </c>
    </row>
    <row r="281" spans="1:12">
      <c r="A281" s="4">
        <f t="shared" si="140"/>
        <v>922</v>
      </c>
      <c r="B281" t="s">
        <v>459</v>
      </c>
      <c r="C281" s="21">
        <f t="shared" si="146"/>
        <v>2023</v>
      </c>
      <c r="D281" s="81" t="s">
        <v>450</v>
      </c>
      <c r="E281" s="81" t="s">
        <v>450</v>
      </c>
      <c r="F281" s="405">
        <v>0</v>
      </c>
      <c r="G281" s="405">
        <f t="shared" si="144"/>
        <v>-2769223.4165686783</v>
      </c>
      <c r="H281" s="431">
        <f>$H$93</f>
        <v>8.0199999999999994E-2</v>
      </c>
      <c r="I281" s="13">
        <f t="shared" ref="I281" si="153">ROUND((F281/2+G280+J278)*H281/12,2)</f>
        <v>-19725.099999999999</v>
      </c>
      <c r="J281" s="13">
        <f t="shared" si="142"/>
        <v>-241338.41</v>
      </c>
      <c r="K281" s="13">
        <f t="shared" si="139"/>
        <v>-3010561.83</v>
      </c>
      <c r="L281" s="4">
        <f t="shared" si="137"/>
        <v>922</v>
      </c>
    </row>
    <row r="282" spans="1:12">
      <c r="A282" s="4">
        <f t="shared" si="140"/>
        <v>923</v>
      </c>
      <c r="B282" t="s">
        <v>460</v>
      </c>
      <c r="C282" s="21">
        <f t="shared" si="146"/>
        <v>2023</v>
      </c>
      <c r="D282" s="81" t="s">
        <v>450</v>
      </c>
      <c r="E282" s="81" t="s">
        <v>450</v>
      </c>
      <c r="F282" s="405">
        <v>0</v>
      </c>
      <c r="G282" s="405">
        <f t="shared" si="144"/>
        <v>-2769223.4165686783</v>
      </c>
      <c r="H282" s="431">
        <f>$H$94</f>
        <v>8.3500000000000005E-2</v>
      </c>
      <c r="I282" s="13">
        <f t="shared" ref="I282" si="154">ROUND((F282/2+G281+J281)*H282/12,2)</f>
        <v>-20948.490000000002</v>
      </c>
      <c r="J282" s="13">
        <f t="shared" si="142"/>
        <v>-262286.90000000002</v>
      </c>
      <c r="K282" s="13">
        <f t="shared" si="139"/>
        <v>-3031510.32</v>
      </c>
      <c r="L282" s="4">
        <f t="shared" si="137"/>
        <v>923</v>
      </c>
    </row>
    <row r="283" spans="1:12">
      <c r="A283" s="4">
        <f t="shared" si="140"/>
        <v>924</v>
      </c>
      <c r="B283" t="s">
        <v>461</v>
      </c>
      <c r="C283" s="21">
        <f t="shared" si="146"/>
        <v>2023</v>
      </c>
      <c r="D283" s="81" t="s">
        <v>450</v>
      </c>
      <c r="E283" s="81" t="s">
        <v>450</v>
      </c>
      <c r="F283" s="405">
        <v>0</v>
      </c>
      <c r="G283" s="405">
        <f t="shared" si="144"/>
        <v>-2769223.4165686783</v>
      </c>
      <c r="H283" s="431">
        <f>$H$95</f>
        <v>8.3500000000000005E-2</v>
      </c>
      <c r="I283" s="13">
        <f t="shared" ref="I283" si="155">ROUND((F283/2+G282+J281)*H283/12,2)</f>
        <v>-20948.490000000002</v>
      </c>
      <c r="J283" s="13">
        <f t="shared" si="142"/>
        <v>-283235.39</v>
      </c>
      <c r="K283" s="13">
        <f t="shared" si="139"/>
        <v>-3052458.81</v>
      </c>
      <c r="L283" s="4">
        <f t="shared" si="137"/>
        <v>924</v>
      </c>
    </row>
    <row r="284" spans="1:12">
      <c r="A284" s="4">
        <f t="shared" si="140"/>
        <v>925</v>
      </c>
      <c r="B284" t="s">
        <v>449</v>
      </c>
      <c r="C284" s="21">
        <f t="shared" si="146"/>
        <v>2023</v>
      </c>
      <c r="D284" s="81" t="s">
        <v>450</v>
      </c>
      <c r="E284" s="81" t="s">
        <v>450</v>
      </c>
      <c r="F284" s="405">
        <v>0</v>
      </c>
      <c r="G284" s="405">
        <f t="shared" si="144"/>
        <v>-2769223.4165686783</v>
      </c>
      <c r="H284" s="431">
        <f>$H$96</f>
        <v>8.3500000000000005E-2</v>
      </c>
      <c r="I284" s="13">
        <f t="shared" ref="I284" si="156">ROUND((F284/2+G283+J281)*H284/12,2)</f>
        <v>-20948.490000000002</v>
      </c>
      <c r="J284" s="13">
        <f t="shared" si="142"/>
        <v>-304183.88</v>
      </c>
      <c r="K284" s="13">
        <f t="shared" si="139"/>
        <v>-3073407.3</v>
      </c>
      <c r="L284" s="4">
        <f t="shared" si="137"/>
        <v>925</v>
      </c>
    </row>
    <row r="285" spans="1:12">
      <c r="A285" s="4"/>
      <c r="C285" s="21"/>
      <c r="D285" s="81"/>
      <c r="E285" s="81"/>
      <c r="F285" s="405"/>
      <c r="G285" s="405"/>
      <c r="H285" s="406"/>
      <c r="I285" s="13"/>
      <c r="J285" s="13"/>
      <c r="K285" s="13"/>
      <c r="L285" s="4"/>
    </row>
    <row r="286" spans="1:12">
      <c r="A286" s="4"/>
      <c r="B286" s="416" t="s">
        <v>419</v>
      </c>
      <c r="C286" s="426"/>
      <c r="D286" s="426"/>
      <c r="E286" s="426"/>
      <c r="F286" s="426"/>
      <c r="G286" s="426" t="s">
        <v>430</v>
      </c>
      <c r="H286" s="426"/>
      <c r="I286" s="426"/>
      <c r="J286" s="426"/>
      <c r="K286" s="427" t="s">
        <v>430</v>
      </c>
    </row>
    <row r="287" spans="1:12">
      <c r="B287" s="419" t="str">
        <f>B255</f>
        <v>WAPA (SA No. 17)</v>
      </c>
      <c r="C287" s="4"/>
      <c r="D287" s="4" t="s">
        <v>462</v>
      </c>
      <c r="E287" s="4" t="s">
        <v>462</v>
      </c>
      <c r="F287" s="4"/>
      <c r="G287" s="4" t="s">
        <v>433</v>
      </c>
      <c r="H287" s="4"/>
      <c r="I287" s="4"/>
      <c r="J287" s="4"/>
      <c r="K287" s="422" t="s">
        <v>433</v>
      </c>
    </row>
    <row r="288" spans="1:12">
      <c r="A288" s="4"/>
      <c r="B288" s="419"/>
      <c r="C288" s="4"/>
      <c r="D288" s="4" t="s">
        <v>431</v>
      </c>
      <c r="E288" s="4" t="s">
        <v>432</v>
      </c>
      <c r="F288" s="4" t="s">
        <v>435</v>
      </c>
      <c r="G288" s="4" t="s">
        <v>436</v>
      </c>
      <c r="H288" s="4" t="s">
        <v>437</v>
      </c>
      <c r="I288" s="4" t="s">
        <v>431</v>
      </c>
      <c r="J288" s="4" t="s">
        <v>438</v>
      </c>
      <c r="K288" s="422" t="s">
        <v>439</v>
      </c>
    </row>
    <row r="289" spans="1:12">
      <c r="A289" s="4"/>
      <c r="B289" s="423" t="s">
        <v>440</v>
      </c>
      <c r="C289" s="424" t="s">
        <v>441</v>
      </c>
      <c r="D289" s="424" t="s">
        <v>442</v>
      </c>
      <c r="E289" s="424" t="s">
        <v>443</v>
      </c>
      <c r="F289" s="424" t="s">
        <v>444</v>
      </c>
      <c r="G289" s="424" t="s">
        <v>445</v>
      </c>
      <c r="H289" s="424" t="s">
        <v>446</v>
      </c>
      <c r="I289" s="424" t="s">
        <v>447</v>
      </c>
      <c r="J289" s="424" t="s">
        <v>447</v>
      </c>
      <c r="K289" s="425" t="s">
        <v>448</v>
      </c>
    </row>
    <row r="290" spans="1:12">
      <c r="A290" s="4">
        <f>A284+1</f>
        <v>926</v>
      </c>
      <c r="B290" t="s">
        <v>449</v>
      </c>
      <c r="C290" s="21">
        <f>C291-1</f>
        <v>2021</v>
      </c>
      <c r="D290" s="81" t="s">
        <v>450</v>
      </c>
      <c r="E290" s="81" t="s">
        <v>450</v>
      </c>
      <c r="F290" s="21" t="s">
        <v>450</v>
      </c>
      <c r="G290" s="40">
        <v>-673259.15329659544</v>
      </c>
      <c r="H290" s="21" t="s">
        <v>450</v>
      </c>
      <c r="I290" s="21" t="s">
        <v>450</v>
      </c>
      <c r="J290" s="40">
        <v>-7412.8600000000151</v>
      </c>
      <c r="K290" s="13">
        <f>ROUND((G290+J290),2)</f>
        <v>-680672.01</v>
      </c>
      <c r="L290" s="4">
        <f t="shared" ref="L290:L314" si="157">A290</f>
        <v>926</v>
      </c>
    </row>
    <row r="291" spans="1:12">
      <c r="A291" s="4">
        <f>A290+1</f>
        <v>927</v>
      </c>
      <c r="B291" t="s">
        <v>451</v>
      </c>
      <c r="C291" s="21">
        <f>'1-DRR'!$K$2</f>
        <v>2022</v>
      </c>
      <c r="D291" s="395">
        <f>IF(E291="N/A","N/A",'3-ATA'!$E$49*'9-WholesaleRevenues'!E66)</f>
        <v>665347.21341043571</v>
      </c>
      <c r="E291" s="395">
        <f>IF('9-WholesaleRevenues'!E99="N/A","N/A",'9-WholesaleRevenues'!E99)</f>
        <v>1209032.47</v>
      </c>
      <c r="F291" s="405">
        <f t="shared" ref="F291:F302" si="158">IF(E291="N/A",0,D291-E291)</f>
        <v>-543685.25658956426</v>
      </c>
      <c r="G291" s="405">
        <f>F291+G290</f>
        <v>-1216944.4098861597</v>
      </c>
      <c r="H291" s="431">
        <f>$H$73</f>
        <v>3.2500000000000001E-2</v>
      </c>
      <c r="I291" s="13">
        <f>IF(E291="N/A",0,ROUND((F291/2+G290+J290)*H291/12,2))</f>
        <v>-2579.73</v>
      </c>
      <c r="J291" s="13">
        <f>I291+J290</f>
        <v>-9992.5900000000147</v>
      </c>
      <c r="K291" s="13">
        <f t="shared" ref="K291:K314" si="159">ROUND((G291+J291),2)</f>
        <v>-1226937</v>
      </c>
      <c r="L291" s="4">
        <f t="shared" si="157"/>
        <v>927</v>
      </c>
    </row>
    <row r="292" spans="1:12">
      <c r="A292" s="4">
        <f t="shared" ref="A292:A313" si="160">A291+1</f>
        <v>928</v>
      </c>
      <c r="B292" t="s">
        <v>452</v>
      </c>
      <c r="C292" s="21">
        <f>'1-DRR'!$K$2</f>
        <v>2022</v>
      </c>
      <c r="D292" s="395">
        <f>IF(E292="N/A","N/A",'3-ATA'!$E$49*'9-WholesaleRevenues'!E67)</f>
        <v>806709.35142694868</v>
      </c>
      <c r="E292" s="395">
        <f>IF('9-WholesaleRevenues'!E100="N/A","N/A",'9-WholesaleRevenues'!E100)</f>
        <v>1209032.47</v>
      </c>
      <c r="F292" s="405">
        <f t="shared" si="158"/>
        <v>-402323.1185730513</v>
      </c>
      <c r="G292" s="405">
        <f t="shared" ref="G292:G302" si="161">F292+G291</f>
        <v>-1619267.5284592109</v>
      </c>
      <c r="H292" s="431">
        <f>$H$74</f>
        <v>3.2500000000000001E-2</v>
      </c>
      <c r="I292" s="13">
        <f>IF(E292="N/A",0,ROUND((F292/2+G291+J290)*H292/12,2))</f>
        <v>-3860.78</v>
      </c>
      <c r="J292" s="13">
        <f>I292+J291</f>
        <v>-13853.370000000015</v>
      </c>
      <c r="K292" s="13">
        <f t="shared" si="159"/>
        <v>-1633120.9</v>
      </c>
      <c r="L292" s="4">
        <f t="shared" si="157"/>
        <v>928</v>
      </c>
    </row>
    <row r="293" spans="1:12">
      <c r="A293" s="4">
        <f t="shared" si="160"/>
        <v>929</v>
      </c>
      <c r="B293" t="s">
        <v>453</v>
      </c>
      <c r="C293" s="21">
        <f>'1-DRR'!$K$2</f>
        <v>2022</v>
      </c>
      <c r="D293" s="395">
        <f>IF(E293="N/A","N/A",'3-ATA'!$E$49*'9-WholesaleRevenues'!E68)</f>
        <v>905576.58300336904</v>
      </c>
      <c r="E293" s="395">
        <f>IF('9-WholesaleRevenues'!E101="N/A","N/A",'9-WholesaleRevenues'!E101)</f>
        <v>1209032.47</v>
      </c>
      <c r="F293" s="405">
        <f t="shared" si="158"/>
        <v>-303455.88699663093</v>
      </c>
      <c r="G293" s="405">
        <f t="shared" si="161"/>
        <v>-1922723.4154558419</v>
      </c>
      <c r="H293" s="431">
        <f>$H$75</f>
        <v>3.2500000000000001E-2</v>
      </c>
      <c r="I293" s="13">
        <f>IF(E293="N/A",0,ROUND((F293/2+G292+J290)*H293/12,2))</f>
        <v>-4816.5200000000004</v>
      </c>
      <c r="J293" s="13">
        <f>I293+J292</f>
        <v>-18669.890000000014</v>
      </c>
      <c r="K293" s="13">
        <f t="shared" si="159"/>
        <v>-1941393.31</v>
      </c>
      <c r="L293" s="4">
        <f t="shared" si="157"/>
        <v>929</v>
      </c>
    </row>
    <row r="294" spans="1:12">
      <c r="A294" s="4">
        <f t="shared" si="160"/>
        <v>930</v>
      </c>
      <c r="B294" t="s">
        <v>454</v>
      </c>
      <c r="C294" s="21">
        <f>'1-DRR'!$K$2</f>
        <v>2022</v>
      </c>
      <c r="D294" s="395">
        <f>IF(E294="N/A","N/A",'3-ATA'!$E$49*'9-WholesaleRevenues'!E69)</f>
        <v>950640.68722911598</v>
      </c>
      <c r="E294" s="395">
        <f>IF('9-WholesaleRevenues'!E102="N/A","N/A",'9-WholesaleRevenues'!E102)</f>
        <v>1209032.47</v>
      </c>
      <c r="F294" s="405">
        <f t="shared" si="158"/>
        <v>-258391.78277088399</v>
      </c>
      <c r="G294" s="405">
        <f t="shared" si="161"/>
        <v>-2181115.1982267257</v>
      </c>
      <c r="H294" s="431">
        <f>$H$76</f>
        <v>3.2500000000000001E-2</v>
      </c>
      <c r="I294" s="13">
        <f>IF(E294="N/A",0,ROUND((F294/2+G293+J293)*H294/12,2))</f>
        <v>-5607.85</v>
      </c>
      <c r="J294" s="13">
        <f t="shared" ref="J294:J313" si="162">I294+J293</f>
        <v>-24277.740000000013</v>
      </c>
      <c r="K294" s="13">
        <f t="shared" si="159"/>
        <v>-2205392.94</v>
      </c>
      <c r="L294" s="4">
        <f t="shared" si="157"/>
        <v>930</v>
      </c>
    </row>
    <row r="295" spans="1:12">
      <c r="A295" s="4">
        <f t="shared" si="160"/>
        <v>931</v>
      </c>
      <c r="B295" t="s">
        <v>455</v>
      </c>
      <c r="C295" s="21">
        <f>'1-DRR'!$K$2</f>
        <v>2022</v>
      </c>
      <c r="D295" s="395">
        <f>IF(E295="N/A","N/A",'3-ATA'!$E$49*'9-WholesaleRevenues'!E70)</f>
        <v>1039531.1799590539</v>
      </c>
      <c r="E295" s="395">
        <f>IF('9-WholesaleRevenues'!E103="N/A","N/A",'9-WholesaleRevenues'!E103)</f>
        <v>879309.17</v>
      </c>
      <c r="F295" s="405">
        <f t="shared" si="158"/>
        <v>160222.00995905383</v>
      </c>
      <c r="G295" s="405">
        <f t="shared" si="161"/>
        <v>-2020893.188267672</v>
      </c>
      <c r="H295" s="431">
        <f>$H$77</f>
        <v>3.2500000000000001E-2</v>
      </c>
      <c r="I295" s="13">
        <f>IF(E295="N/A",0,ROUND((F295/2+G294+J293)*H295/12,2))</f>
        <v>-5740.78</v>
      </c>
      <c r="J295" s="13">
        <f t="shared" si="162"/>
        <v>-30018.520000000011</v>
      </c>
      <c r="K295" s="13">
        <f t="shared" si="159"/>
        <v>-2050911.71</v>
      </c>
      <c r="L295" s="4">
        <f t="shared" si="157"/>
        <v>931</v>
      </c>
    </row>
    <row r="296" spans="1:12">
      <c r="A296" s="4">
        <f t="shared" si="160"/>
        <v>932</v>
      </c>
      <c r="B296" t="s">
        <v>456</v>
      </c>
      <c r="C296" s="21">
        <f>'1-DRR'!$K$2</f>
        <v>2022</v>
      </c>
      <c r="D296" s="395">
        <f>IF(E296="N/A","N/A",'3-ATA'!$E$49*'9-WholesaleRevenues'!E71)</f>
        <v>1048382.7226950309</v>
      </c>
      <c r="E296" s="395">
        <f>IF('9-WholesaleRevenues'!E104="N/A","N/A",'9-WholesaleRevenues'!E104)</f>
        <v>887029.2</v>
      </c>
      <c r="F296" s="405">
        <f t="shared" si="158"/>
        <v>161353.5226950309</v>
      </c>
      <c r="G296" s="405">
        <f t="shared" si="161"/>
        <v>-1859539.665572641</v>
      </c>
      <c r="H296" s="431">
        <f>$H$78</f>
        <v>3.2500000000000001E-2</v>
      </c>
      <c r="I296" s="13">
        <f>IF(E296="N/A",0,ROUND((F296/2+G295+J293)*H296/12,2))</f>
        <v>-5305.32</v>
      </c>
      <c r="J296" s="13">
        <f t="shared" si="162"/>
        <v>-35323.840000000011</v>
      </c>
      <c r="K296" s="13">
        <f t="shared" si="159"/>
        <v>-1894863.51</v>
      </c>
      <c r="L296" s="4">
        <f t="shared" si="157"/>
        <v>932</v>
      </c>
    </row>
    <row r="297" spans="1:12">
      <c r="A297" s="4">
        <f t="shared" si="160"/>
        <v>933</v>
      </c>
      <c r="B297" t="s">
        <v>457</v>
      </c>
      <c r="C297" s="21">
        <f>'1-DRR'!$K$2</f>
        <v>2022</v>
      </c>
      <c r="D297" s="395">
        <f>IF(E297="N/A","N/A",'3-ATA'!$E$49*'9-WholesaleRevenues'!E72)</f>
        <v>1052639.7146464435</v>
      </c>
      <c r="E297" s="395">
        <f>IF('9-WholesaleRevenues'!E105="N/A","N/A",'9-WholesaleRevenues'!E105)</f>
        <v>908647.83</v>
      </c>
      <c r="F297" s="405">
        <f t="shared" si="158"/>
        <v>143991.88464644353</v>
      </c>
      <c r="G297" s="405">
        <f t="shared" si="161"/>
        <v>-1715547.7809261973</v>
      </c>
      <c r="H297" s="431">
        <f>$H$79</f>
        <v>3.5999999999999997E-2</v>
      </c>
      <c r="I297" s="13">
        <f>IF(E297="N/A",0,ROUND((F297/2+G296+J296)*H297/12,2))</f>
        <v>-5468.6</v>
      </c>
      <c r="J297" s="13">
        <f t="shared" si="162"/>
        <v>-40792.44000000001</v>
      </c>
      <c r="K297" s="13">
        <f t="shared" si="159"/>
        <v>-1756340.22</v>
      </c>
      <c r="L297" s="4">
        <f t="shared" si="157"/>
        <v>933</v>
      </c>
    </row>
    <row r="298" spans="1:12">
      <c r="A298" s="4">
        <f t="shared" si="160"/>
        <v>934</v>
      </c>
      <c r="B298" t="s">
        <v>458</v>
      </c>
      <c r="C298" s="21">
        <f>'1-DRR'!$K$2</f>
        <v>2022</v>
      </c>
      <c r="D298" s="395">
        <f>IF(E298="N/A","N/A",'3-ATA'!$E$49*'9-WholesaleRevenues'!E73)</f>
        <v>1042587.9627259272</v>
      </c>
      <c r="E298" s="395">
        <f>IF('9-WholesaleRevenues'!E106="N/A","N/A",'9-WholesaleRevenues'!E106)</f>
        <v>839456.72</v>
      </c>
      <c r="F298" s="405">
        <f t="shared" si="158"/>
        <v>203131.24272592727</v>
      </c>
      <c r="G298" s="405">
        <f t="shared" si="161"/>
        <v>-1512416.5382002699</v>
      </c>
      <c r="H298" s="431">
        <f>$H$80</f>
        <v>3.5999999999999997E-2</v>
      </c>
      <c r="I298" s="13">
        <f>IF(E298="N/A",0,ROUND((F298/2+G297+J296)*H298/12,2))</f>
        <v>-4947.92</v>
      </c>
      <c r="J298" s="13">
        <f t="shared" si="162"/>
        <v>-45740.360000000008</v>
      </c>
      <c r="K298" s="13">
        <f t="shared" si="159"/>
        <v>-1558156.9</v>
      </c>
      <c r="L298" s="4">
        <f t="shared" si="157"/>
        <v>934</v>
      </c>
    </row>
    <row r="299" spans="1:12">
      <c r="A299" s="4">
        <f t="shared" si="160"/>
        <v>935</v>
      </c>
      <c r="B299" t="s">
        <v>459</v>
      </c>
      <c r="C299" s="21">
        <f>'1-DRR'!$K$2</f>
        <v>2022</v>
      </c>
      <c r="D299" s="395">
        <f>IF(E299="N/A","N/A",'3-ATA'!$E$49*'9-WholesaleRevenues'!E74)</f>
        <v>1007050.5189024606</v>
      </c>
      <c r="E299" s="395">
        <f>IF('9-WholesaleRevenues'!E107="N/A","N/A",'9-WholesaleRevenues'!E107)</f>
        <v>1459739.62</v>
      </c>
      <c r="F299" s="405">
        <f t="shared" si="158"/>
        <v>-452689.10109753953</v>
      </c>
      <c r="G299" s="405">
        <f t="shared" si="161"/>
        <v>-1965105.6392978095</v>
      </c>
      <c r="H299" s="431">
        <f>$H$81</f>
        <v>3.5999999999999997E-2</v>
      </c>
      <c r="I299" s="13">
        <f>IF(E299="N/A",0,ROUND((F299/2+G298+J296)*H299/12,2))</f>
        <v>-5322.25</v>
      </c>
      <c r="J299" s="13">
        <f t="shared" si="162"/>
        <v>-51062.610000000008</v>
      </c>
      <c r="K299" s="13">
        <f t="shared" si="159"/>
        <v>-2016168.25</v>
      </c>
      <c r="L299" s="4">
        <f t="shared" si="157"/>
        <v>935</v>
      </c>
    </row>
    <row r="300" spans="1:12">
      <c r="A300" s="4">
        <f t="shared" si="160"/>
        <v>936</v>
      </c>
      <c r="B300" t="s">
        <v>460</v>
      </c>
      <c r="C300" s="21">
        <f>'1-DRR'!$K$2</f>
        <v>2022</v>
      </c>
      <c r="D300" s="395">
        <f>IF(E300="N/A","N/A",'3-ATA'!$E$49*'9-WholesaleRevenues'!E75)</f>
        <v>894962.2330276001</v>
      </c>
      <c r="E300" s="395">
        <f>IF('9-WholesaleRevenues'!E108="N/A","N/A",'9-WholesaleRevenues'!E108)</f>
        <v>1292546.08</v>
      </c>
      <c r="F300" s="405">
        <f t="shared" si="158"/>
        <v>-397583.84697239997</v>
      </c>
      <c r="G300" s="405">
        <f t="shared" si="161"/>
        <v>-2362689.4862702093</v>
      </c>
      <c r="H300" s="431">
        <f>$H$82</f>
        <v>4.9099999999999998E-2</v>
      </c>
      <c r="I300" s="13">
        <f>IF(E300="N/A",0,ROUND((F300/2+G299+J299)*H300/12,2))</f>
        <v>-9062.8799999999992</v>
      </c>
      <c r="J300" s="13">
        <f t="shared" si="162"/>
        <v>-60125.490000000005</v>
      </c>
      <c r="K300" s="13">
        <f t="shared" si="159"/>
        <v>-2422814.98</v>
      </c>
      <c r="L300" s="4">
        <f t="shared" si="157"/>
        <v>936</v>
      </c>
    </row>
    <row r="301" spans="1:12">
      <c r="A301" s="4">
        <f t="shared" si="160"/>
        <v>937</v>
      </c>
      <c r="B301" t="s">
        <v>461</v>
      </c>
      <c r="C301" s="21">
        <f>'1-DRR'!$K$2</f>
        <v>2022</v>
      </c>
      <c r="D301" s="395">
        <f>IF(E301="N/A","N/A",'3-ATA'!$E$49*'9-WholesaleRevenues'!E76)</f>
        <v>782686.41446765536</v>
      </c>
      <c r="E301" s="395">
        <f>IF('9-WholesaleRevenues'!E109="N/A","N/A",'9-WholesaleRevenues'!E109)</f>
        <v>1189669.1200000001</v>
      </c>
      <c r="F301" s="405">
        <f t="shared" si="158"/>
        <v>-406982.70553234476</v>
      </c>
      <c r="G301" s="405">
        <f t="shared" si="161"/>
        <v>-2769672.1918025538</v>
      </c>
      <c r="H301" s="431">
        <f>$H$83</f>
        <v>4.9099999999999998E-2</v>
      </c>
      <c r="I301" s="13">
        <f>IF(E301="N/A",0,ROUND((F301/2+G300+J299)*H301/12,2))</f>
        <v>-10708.89</v>
      </c>
      <c r="J301" s="13">
        <f t="shared" si="162"/>
        <v>-70834.38</v>
      </c>
      <c r="K301" s="13">
        <f t="shared" si="159"/>
        <v>-2840506.57</v>
      </c>
      <c r="L301" s="4">
        <f t="shared" si="157"/>
        <v>937</v>
      </c>
    </row>
    <row r="302" spans="1:12">
      <c r="A302" s="4">
        <f t="shared" si="160"/>
        <v>938</v>
      </c>
      <c r="B302" t="s">
        <v>449</v>
      </c>
      <c r="C302" s="21">
        <f>'1-DRR'!$K$2</f>
        <v>2022</v>
      </c>
      <c r="D302" s="395">
        <f>IF(E302="N/A","N/A",'3-ATA'!$E$49*'9-WholesaleRevenues'!E77)</f>
        <v>710692.61666380905</v>
      </c>
      <c r="E302" s="395">
        <f>IF('9-WholesaleRevenues'!E110="N/A","N/A",'9-WholesaleRevenues'!E110)</f>
        <v>1014964.02</v>
      </c>
      <c r="F302" s="405">
        <f t="shared" si="158"/>
        <v>-304271.40333619097</v>
      </c>
      <c r="G302" s="405">
        <f t="shared" si="161"/>
        <v>-3073943.5951387449</v>
      </c>
      <c r="H302" s="431">
        <f>$H$84</f>
        <v>4.9099999999999998E-2</v>
      </c>
      <c r="I302" s="13">
        <f>IF(E302="N/A",0,ROUND((F302/2+G301+J299)*H302/12,2))</f>
        <v>-12164</v>
      </c>
      <c r="J302" s="13">
        <f t="shared" si="162"/>
        <v>-82998.38</v>
      </c>
      <c r="K302" s="13">
        <f t="shared" si="159"/>
        <v>-3156941.98</v>
      </c>
      <c r="L302" s="4">
        <f t="shared" si="157"/>
        <v>938</v>
      </c>
    </row>
    <row r="303" spans="1:12">
      <c r="A303" s="4">
        <f t="shared" si="160"/>
        <v>939</v>
      </c>
      <c r="B303" t="s">
        <v>451</v>
      </c>
      <c r="C303" s="21">
        <f>C302+1</f>
        <v>2023</v>
      </c>
      <c r="D303" s="81" t="s">
        <v>450</v>
      </c>
      <c r="E303" s="81" t="s">
        <v>450</v>
      </c>
      <c r="F303" s="405">
        <v>0</v>
      </c>
      <c r="G303" s="405">
        <f>F303+G302</f>
        <v>-3073943.5951387449</v>
      </c>
      <c r="H303" s="431">
        <f>$H$85</f>
        <v>6.3100000000000003E-2</v>
      </c>
      <c r="I303" s="13">
        <f t="shared" ref="I303" si="163">ROUND((F303/2+G302+J302)*H303/12,2)</f>
        <v>-16600.25</v>
      </c>
      <c r="J303" s="13">
        <f t="shared" si="162"/>
        <v>-99598.63</v>
      </c>
      <c r="K303" s="13">
        <f t="shared" si="159"/>
        <v>-3173542.23</v>
      </c>
      <c r="L303" s="4">
        <f t="shared" si="157"/>
        <v>939</v>
      </c>
    </row>
    <row r="304" spans="1:12">
      <c r="A304" s="4">
        <f t="shared" si="160"/>
        <v>940</v>
      </c>
      <c r="B304" t="s">
        <v>452</v>
      </c>
      <c r="C304" s="21">
        <f>C303</f>
        <v>2023</v>
      </c>
      <c r="D304" s="81" t="s">
        <v>450</v>
      </c>
      <c r="E304" s="81" t="s">
        <v>450</v>
      </c>
      <c r="F304" s="405">
        <v>0</v>
      </c>
      <c r="G304" s="405">
        <f t="shared" ref="G304:G313" si="164">F304+G303</f>
        <v>-3073943.5951387449</v>
      </c>
      <c r="H304" s="431">
        <f>$H$86</f>
        <v>6.3100000000000003E-2</v>
      </c>
      <c r="I304" s="13">
        <f t="shared" ref="I304" si="165">ROUND((F304/2+G303+J302)*H304/12,2)</f>
        <v>-16600.25</v>
      </c>
      <c r="J304" s="13">
        <f t="shared" si="162"/>
        <v>-116198.88</v>
      </c>
      <c r="K304" s="13">
        <f t="shared" si="159"/>
        <v>-3190142.48</v>
      </c>
      <c r="L304" s="4">
        <f t="shared" si="157"/>
        <v>940</v>
      </c>
    </row>
    <row r="305" spans="1:12">
      <c r="A305" s="4">
        <f t="shared" si="160"/>
        <v>941</v>
      </c>
      <c r="B305" t="s">
        <v>453</v>
      </c>
      <c r="C305" s="21">
        <f t="shared" ref="C305:C313" si="166">C304</f>
        <v>2023</v>
      </c>
      <c r="D305" s="81" t="s">
        <v>450</v>
      </c>
      <c r="E305" s="81" t="s">
        <v>450</v>
      </c>
      <c r="F305" s="405">
        <v>0</v>
      </c>
      <c r="G305" s="405">
        <f t="shared" si="164"/>
        <v>-3073943.5951387449</v>
      </c>
      <c r="H305" s="431">
        <f>$H$87</f>
        <v>6.3100000000000003E-2</v>
      </c>
      <c r="I305" s="13">
        <f t="shared" ref="I305" si="167">ROUND((F305/2+G304+J302)*H305/12,2)</f>
        <v>-16600.25</v>
      </c>
      <c r="J305" s="13">
        <f t="shared" si="162"/>
        <v>-132799.13</v>
      </c>
      <c r="K305" s="13">
        <f t="shared" si="159"/>
        <v>-3206742.73</v>
      </c>
      <c r="L305" s="4">
        <f t="shared" si="157"/>
        <v>941</v>
      </c>
    </row>
    <row r="306" spans="1:12">
      <c r="A306" s="4">
        <f t="shared" si="160"/>
        <v>942</v>
      </c>
      <c r="B306" t="s">
        <v>454</v>
      </c>
      <c r="C306" s="21">
        <f t="shared" si="166"/>
        <v>2023</v>
      </c>
      <c r="D306" s="81" t="s">
        <v>450</v>
      </c>
      <c r="E306" s="81" t="s">
        <v>450</v>
      </c>
      <c r="F306" s="405">
        <v>0</v>
      </c>
      <c r="G306" s="405">
        <f t="shared" si="164"/>
        <v>-3073943.5951387449</v>
      </c>
      <c r="H306" s="431">
        <f>$H$88</f>
        <v>7.4999999999999997E-2</v>
      </c>
      <c r="I306" s="13">
        <f t="shared" ref="I306" si="168">ROUND((F306/2+G305+J305)*H306/12,2)</f>
        <v>-20042.14</v>
      </c>
      <c r="J306" s="13">
        <f t="shared" si="162"/>
        <v>-152841.27000000002</v>
      </c>
      <c r="K306" s="13">
        <f t="shared" si="159"/>
        <v>-3226784.87</v>
      </c>
      <c r="L306" s="4">
        <f t="shared" si="157"/>
        <v>942</v>
      </c>
    </row>
    <row r="307" spans="1:12">
      <c r="A307" s="4">
        <f t="shared" si="160"/>
        <v>943</v>
      </c>
      <c r="B307" t="s">
        <v>455</v>
      </c>
      <c r="C307" s="21">
        <f t="shared" si="166"/>
        <v>2023</v>
      </c>
      <c r="D307" s="81" t="s">
        <v>450</v>
      </c>
      <c r="E307" s="81" t="s">
        <v>450</v>
      </c>
      <c r="F307" s="405">
        <v>0</v>
      </c>
      <c r="G307" s="405">
        <f t="shared" si="164"/>
        <v>-3073943.5951387449</v>
      </c>
      <c r="H307" s="431">
        <f>$H$89</f>
        <v>7.4999999999999997E-2</v>
      </c>
      <c r="I307" s="13">
        <f t="shared" ref="I307" si="169">ROUND((F307/2+G306+J305)*H307/12,2)</f>
        <v>-20042.14</v>
      </c>
      <c r="J307" s="13">
        <f t="shared" si="162"/>
        <v>-172883.41000000003</v>
      </c>
      <c r="K307" s="13">
        <f t="shared" si="159"/>
        <v>-3246827.01</v>
      </c>
      <c r="L307" s="4">
        <f t="shared" si="157"/>
        <v>943</v>
      </c>
    </row>
    <row r="308" spans="1:12">
      <c r="A308" s="4">
        <f t="shared" si="160"/>
        <v>944</v>
      </c>
      <c r="B308" t="s">
        <v>456</v>
      </c>
      <c r="C308" s="21">
        <f t="shared" si="166"/>
        <v>2023</v>
      </c>
      <c r="D308" s="81" t="s">
        <v>450</v>
      </c>
      <c r="E308" s="81" t="s">
        <v>450</v>
      </c>
      <c r="F308" s="405">
        <v>0</v>
      </c>
      <c r="G308" s="405">
        <f t="shared" si="164"/>
        <v>-3073943.5951387449</v>
      </c>
      <c r="H308" s="431">
        <f>$H$90</f>
        <v>7.4999999999999997E-2</v>
      </c>
      <c r="I308" s="13">
        <f t="shared" ref="I308" si="170">ROUND((F308/2+G307+J305)*H308/12,2)</f>
        <v>-20042.14</v>
      </c>
      <c r="J308" s="13">
        <f t="shared" si="162"/>
        <v>-192925.55000000005</v>
      </c>
      <c r="K308" s="13">
        <f t="shared" si="159"/>
        <v>-3266869.15</v>
      </c>
      <c r="L308" s="4">
        <f t="shared" si="157"/>
        <v>944</v>
      </c>
    </row>
    <row r="309" spans="1:12">
      <c r="A309" s="4">
        <f t="shared" si="160"/>
        <v>945</v>
      </c>
      <c r="B309" t="s">
        <v>457</v>
      </c>
      <c r="C309" s="21">
        <f t="shared" si="166"/>
        <v>2023</v>
      </c>
      <c r="D309" s="81" t="s">
        <v>450</v>
      </c>
      <c r="E309" s="81" t="s">
        <v>450</v>
      </c>
      <c r="F309" s="405">
        <v>0</v>
      </c>
      <c r="G309" s="405">
        <f t="shared" si="164"/>
        <v>-3073943.5951387449</v>
      </c>
      <c r="H309" s="431">
        <f>$H$91</f>
        <v>8.0199999999999994E-2</v>
      </c>
      <c r="I309" s="13">
        <f t="shared" ref="I309" si="171">ROUND((F309/2+G308+J308)*H309/12,2)</f>
        <v>-21833.58</v>
      </c>
      <c r="J309" s="13">
        <f t="shared" si="162"/>
        <v>-214759.13000000006</v>
      </c>
      <c r="K309" s="13">
        <f t="shared" si="159"/>
        <v>-3288702.73</v>
      </c>
      <c r="L309" s="4">
        <f t="shared" si="157"/>
        <v>945</v>
      </c>
    </row>
    <row r="310" spans="1:12">
      <c r="A310" s="4">
        <f t="shared" si="160"/>
        <v>946</v>
      </c>
      <c r="B310" t="s">
        <v>458</v>
      </c>
      <c r="C310" s="21">
        <f t="shared" si="166"/>
        <v>2023</v>
      </c>
      <c r="D310" s="81" t="s">
        <v>450</v>
      </c>
      <c r="E310" s="81" t="s">
        <v>450</v>
      </c>
      <c r="F310" s="405">
        <v>0</v>
      </c>
      <c r="G310" s="405">
        <f t="shared" si="164"/>
        <v>-3073943.5951387449</v>
      </c>
      <c r="H310" s="431">
        <f>$H$92</f>
        <v>8.0199999999999994E-2</v>
      </c>
      <c r="I310" s="13">
        <f t="shared" ref="I310" si="172">ROUND((F310/2+G309+J308)*H310/12,2)</f>
        <v>-21833.58</v>
      </c>
      <c r="J310" s="13">
        <f t="shared" si="162"/>
        <v>-236592.71000000008</v>
      </c>
      <c r="K310" s="13">
        <f t="shared" si="159"/>
        <v>-3310536.31</v>
      </c>
      <c r="L310" s="4">
        <f t="shared" si="157"/>
        <v>946</v>
      </c>
    </row>
    <row r="311" spans="1:12">
      <c r="A311" s="4">
        <f t="shared" si="160"/>
        <v>947</v>
      </c>
      <c r="B311" t="s">
        <v>459</v>
      </c>
      <c r="C311" s="21">
        <f t="shared" si="166"/>
        <v>2023</v>
      </c>
      <c r="D311" s="81" t="s">
        <v>450</v>
      </c>
      <c r="E311" s="81" t="s">
        <v>450</v>
      </c>
      <c r="F311" s="405">
        <v>0</v>
      </c>
      <c r="G311" s="405">
        <f t="shared" si="164"/>
        <v>-3073943.5951387449</v>
      </c>
      <c r="H311" s="431">
        <f>$H$93</f>
        <v>8.0199999999999994E-2</v>
      </c>
      <c r="I311" s="13">
        <f t="shared" ref="I311" si="173">ROUND((F311/2+G310+J308)*H311/12,2)</f>
        <v>-21833.58</v>
      </c>
      <c r="J311" s="13">
        <f t="shared" si="162"/>
        <v>-258426.2900000001</v>
      </c>
      <c r="K311" s="13">
        <f t="shared" si="159"/>
        <v>-3332369.89</v>
      </c>
      <c r="L311" s="4">
        <f t="shared" si="157"/>
        <v>947</v>
      </c>
    </row>
    <row r="312" spans="1:12">
      <c r="A312" s="4">
        <f t="shared" si="160"/>
        <v>948</v>
      </c>
      <c r="B312" t="s">
        <v>460</v>
      </c>
      <c r="C312" s="21">
        <f t="shared" si="166"/>
        <v>2023</v>
      </c>
      <c r="D312" s="81" t="s">
        <v>450</v>
      </c>
      <c r="E312" s="81" t="s">
        <v>450</v>
      </c>
      <c r="F312" s="405">
        <v>0</v>
      </c>
      <c r="G312" s="405">
        <f t="shared" si="164"/>
        <v>-3073943.5951387449</v>
      </c>
      <c r="H312" s="431">
        <f>$H$94</f>
        <v>8.3500000000000005E-2</v>
      </c>
      <c r="I312" s="13">
        <f t="shared" ref="I312" si="174">ROUND((F312/2+G311+J311)*H312/12,2)</f>
        <v>-23187.74</v>
      </c>
      <c r="J312" s="13">
        <f t="shared" si="162"/>
        <v>-281614.03000000009</v>
      </c>
      <c r="K312" s="13">
        <f t="shared" si="159"/>
        <v>-3355557.63</v>
      </c>
      <c r="L312" s="4">
        <f t="shared" si="157"/>
        <v>948</v>
      </c>
    </row>
    <row r="313" spans="1:12">
      <c r="A313" s="4">
        <f t="shared" si="160"/>
        <v>949</v>
      </c>
      <c r="B313" t="s">
        <v>461</v>
      </c>
      <c r="C313" s="21">
        <f t="shared" si="166"/>
        <v>2023</v>
      </c>
      <c r="D313" s="81" t="s">
        <v>450</v>
      </c>
      <c r="E313" s="81" t="s">
        <v>450</v>
      </c>
      <c r="F313" s="405">
        <v>0</v>
      </c>
      <c r="G313" s="405">
        <f t="shared" si="164"/>
        <v>-3073943.5951387449</v>
      </c>
      <c r="H313" s="431">
        <f>$H$95</f>
        <v>8.3500000000000005E-2</v>
      </c>
      <c r="I313" s="13">
        <f t="shared" ref="I313" si="175">ROUND((F313/2+G312+J311)*H313/12,2)</f>
        <v>-23187.74</v>
      </c>
      <c r="J313" s="13">
        <f t="shared" si="162"/>
        <v>-304801.77000000008</v>
      </c>
      <c r="K313" s="13">
        <f t="shared" si="159"/>
        <v>-3378745.37</v>
      </c>
      <c r="L313" s="4">
        <f t="shared" si="157"/>
        <v>949</v>
      </c>
    </row>
    <row r="314" spans="1:12">
      <c r="A314" s="4">
        <f>A313+1</f>
        <v>950</v>
      </c>
      <c r="B314" t="s">
        <v>449</v>
      </c>
      <c r="C314" s="21">
        <f>C313</f>
        <v>2023</v>
      </c>
      <c r="D314" s="81" t="s">
        <v>450</v>
      </c>
      <c r="E314" s="81" t="s">
        <v>450</v>
      </c>
      <c r="F314" s="405">
        <v>0</v>
      </c>
      <c r="G314" s="405">
        <f>F314+G313</f>
        <v>-3073943.5951387449</v>
      </c>
      <c r="H314" s="431">
        <f>$H$96</f>
        <v>8.3500000000000005E-2</v>
      </c>
      <c r="I314" s="13">
        <f>ROUND((F314/2+G313+J311)*H314/12,2)</f>
        <v>-23187.74</v>
      </c>
      <c r="J314" s="13">
        <f>I314+J313</f>
        <v>-327989.51000000007</v>
      </c>
      <c r="K314" s="13">
        <f t="shared" si="159"/>
        <v>-3401933.11</v>
      </c>
      <c r="L314" s="4">
        <f t="shared" si="157"/>
        <v>950</v>
      </c>
    </row>
    <row r="315" spans="1:12">
      <c r="A315" s="4"/>
      <c r="C315" s="21"/>
      <c r="D315" s="81"/>
      <c r="E315" s="81"/>
      <c r="F315" s="405"/>
      <c r="G315" s="405"/>
      <c r="H315" s="406"/>
      <c r="I315" s="13"/>
      <c r="J315" s="13"/>
      <c r="K315" s="13"/>
      <c r="L315" s="4"/>
    </row>
    <row r="316" spans="1:12">
      <c r="A316" s="3" t="s">
        <v>92</v>
      </c>
      <c r="B316" s="416" t="s">
        <v>419</v>
      </c>
      <c r="C316" s="417" t="s">
        <v>124</v>
      </c>
      <c r="D316" s="417" t="s">
        <v>125</v>
      </c>
      <c r="E316" s="417" t="s">
        <v>126</v>
      </c>
      <c r="F316" s="417" t="s">
        <v>127</v>
      </c>
      <c r="G316" s="417" t="s">
        <v>420</v>
      </c>
      <c r="H316" s="417" t="s">
        <v>421</v>
      </c>
      <c r="I316" s="417" t="s">
        <v>422</v>
      </c>
      <c r="J316" s="417" t="s">
        <v>423</v>
      </c>
      <c r="K316" s="418" t="s">
        <v>424</v>
      </c>
      <c r="L316" s="3" t="str">
        <f t="shared" ref="L316:L317" si="176">A316</f>
        <v>Line</v>
      </c>
    </row>
    <row r="317" spans="1:12">
      <c r="A317" s="4">
        <f>A255+100</f>
        <v>1000</v>
      </c>
      <c r="B317" s="419" t="s">
        <v>467</v>
      </c>
      <c r="C317" s="4"/>
      <c r="D317" s="18" t="s">
        <v>103</v>
      </c>
      <c r="E317" s="18" t="s">
        <v>425</v>
      </c>
      <c r="F317" s="21" t="str">
        <f>""&amp;D316&amp;" - "&amp;E316&amp;""</f>
        <v>Col 2 - Col 3</v>
      </c>
      <c r="G317" s="21" t="s">
        <v>426</v>
      </c>
      <c r="H317" s="21" t="s">
        <v>427</v>
      </c>
      <c r="I317" s="21" t="s">
        <v>428</v>
      </c>
      <c r="J317" s="21" t="s">
        <v>429</v>
      </c>
      <c r="K317" s="420" t="str">
        <f>""&amp;G316&amp;" + "&amp;J316&amp;""</f>
        <v>Col 5 + Col 8</v>
      </c>
      <c r="L317" s="4">
        <f t="shared" si="176"/>
        <v>1000</v>
      </c>
    </row>
    <row r="318" spans="1:12">
      <c r="A318" s="4"/>
      <c r="B318" s="421"/>
      <c r="C318" s="4"/>
      <c r="D318" s="4"/>
      <c r="E318" s="4"/>
      <c r="F318" s="4"/>
      <c r="G318" s="4" t="s">
        <v>430</v>
      </c>
      <c r="H318" s="4"/>
      <c r="I318" s="4"/>
      <c r="J318" s="4"/>
      <c r="K318" s="422" t="s">
        <v>430</v>
      </c>
    </row>
    <row r="319" spans="1:12">
      <c r="B319" s="421"/>
      <c r="C319" s="4"/>
      <c r="D319" s="4" t="s">
        <v>434</v>
      </c>
      <c r="E319" s="4" t="s">
        <v>434</v>
      </c>
      <c r="F319" s="4"/>
      <c r="G319" s="4" t="s">
        <v>433</v>
      </c>
      <c r="H319" s="4"/>
      <c r="I319" s="4"/>
      <c r="J319" s="4"/>
      <c r="K319" s="422" t="s">
        <v>433</v>
      </c>
    </row>
    <row r="320" spans="1:12">
      <c r="A320" s="4"/>
      <c r="B320" s="419"/>
      <c r="C320" s="4"/>
      <c r="D320" s="4" t="s">
        <v>431</v>
      </c>
      <c r="E320" s="4" t="s">
        <v>432</v>
      </c>
      <c r="F320" s="4" t="s">
        <v>435</v>
      </c>
      <c r="G320" s="4" t="s">
        <v>436</v>
      </c>
      <c r="H320" s="4" t="s">
        <v>437</v>
      </c>
      <c r="I320" s="4" t="s">
        <v>431</v>
      </c>
      <c r="J320" s="4" t="s">
        <v>438</v>
      </c>
      <c r="K320" s="422" t="s">
        <v>439</v>
      </c>
    </row>
    <row r="321" spans="1:12">
      <c r="A321" s="4"/>
      <c r="B321" s="423" t="s">
        <v>440</v>
      </c>
      <c r="C321" s="424" t="s">
        <v>441</v>
      </c>
      <c r="D321" s="424" t="s">
        <v>442</v>
      </c>
      <c r="E321" s="424" t="s">
        <v>443</v>
      </c>
      <c r="F321" s="424" t="s">
        <v>444</v>
      </c>
      <c r="G321" s="424" t="s">
        <v>445</v>
      </c>
      <c r="H321" s="424" t="s">
        <v>446</v>
      </c>
      <c r="I321" s="424" t="s">
        <v>447</v>
      </c>
      <c r="J321" s="424" t="s">
        <v>447</v>
      </c>
      <c r="K321" s="425" t="s">
        <v>448</v>
      </c>
    </row>
    <row r="322" spans="1:12">
      <c r="A322" s="4">
        <f>A317+1</f>
        <v>1001</v>
      </c>
      <c r="B322" t="s">
        <v>449</v>
      </c>
      <c r="C322" s="21">
        <f>C323-1</f>
        <v>2021</v>
      </c>
      <c r="D322" s="81" t="s">
        <v>450</v>
      </c>
      <c r="E322" s="81" t="s">
        <v>450</v>
      </c>
      <c r="F322" s="21" t="s">
        <v>450</v>
      </c>
      <c r="G322" s="40">
        <v>-54.207386762248461</v>
      </c>
      <c r="H322" s="21" t="s">
        <v>450</v>
      </c>
      <c r="I322" s="21" t="s">
        <v>450</v>
      </c>
      <c r="J322" s="40">
        <v>-0.48000000000000043</v>
      </c>
      <c r="K322" s="13">
        <f>ROUND((G322+J322),2)</f>
        <v>-54.69</v>
      </c>
      <c r="L322" s="4">
        <f t="shared" ref="L322:L346" si="177">A322</f>
        <v>1001</v>
      </c>
    </row>
    <row r="323" spans="1:12">
      <c r="A323" s="4">
        <f>A322+1</f>
        <v>1002</v>
      </c>
      <c r="B323" t="s">
        <v>451</v>
      </c>
      <c r="C323" s="21">
        <f>'1-DRR'!$K$2</f>
        <v>2022</v>
      </c>
      <c r="D323" s="395">
        <f>IF(E323="N/A","N/A",($H$42*'9-WholesaleRevenues'!I14))</f>
        <v>1836.1227865394269</v>
      </c>
      <c r="E323" s="395">
        <f>IF('9-WholesaleRevenues'!I48="N/A","N/A",'9-WholesaleRevenues'!I48)</f>
        <v>1342</v>
      </c>
      <c r="F323" s="405">
        <f t="shared" ref="F323:F334" si="178">IF(E323="N/A",0,D323-E323)</f>
        <v>494.1227865394269</v>
      </c>
      <c r="G323" s="405">
        <f>F323+G322</f>
        <v>439.91539977717844</v>
      </c>
      <c r="H323" s="431">
        <f>$H$73</f>
        <v>3.2500000000000001E-2</v>
      </c>
      <c r="I323" s="13">
        <f>IF(E323="N/A",0,ROUND((F323/2+G322+J322)*H323/12,2))</f>
        <v>0.52</v>
      </c>
      <c r="J323" s="13">
        <f>I323+J322</f>
        <v>3.9999999999999591E-2</v>
      </c>
      <c r="K323" s="13">
        <f t="shared" ref="K323:K346" si="179">ROUND((G323+J323),2)</f>
        <v>439.96</v>
      </c>
      <c r="L323" s="4">
        <f t="shared" si="177"/>
        <v>1002</v>
      </c>
    </row>
    <row r="324" spans="1:12">
      <c r="A324" s="4">
        <f t="shared" ref="A324:A346" si="180">A323+1</f>
        <v>1003</v>
      </c>
      <c r="B324" t="s">
        <v>452</v>
      </c>
      <c r="C324" s="21">
        <f>'1-DRR'!$K$2</f>
        <v>2022</v>
      </c>
      <c r="D324" s="395">
        <f>IF(E324="N/A","N/A",($H$42*'9-WholesaleRevenues'!I15))</f>
        <v>1836.1227865394269</v>
      </c>
      <c r="E324" s="395">
        <f>IF('9-WholesaleRevenues'!I49="N/A","N/A",'9-WholesaleRevenues'!I49)</f>
        <v>1342</v>
      </c>
      <c r="F324" s="405">
        <f t="shared" si="178"/>
        <v>494.1227865394269</v>
      </c>
      <c r="G324" s="405">
        <f t="shared" ref="G324:G334" si="181">F324+G323</f>
        <v>934.03818631660533</v>
      </c>
      <c r="H324" s="431">
        <f>$H$74</f>
        <v>3.2500000000000001E-2</v>
      </c>
      <c r="I324" s="13">
        <f>IF(E324="N/A",0,ROUND((F324/2+G323+J322)*H324/12,2))</f>
        <v>1.86</v>
      </c>
      <c r="J324" s="13">
        <f>I324+J323</f>
        <v>1.8999999999999997</v>
      </c>
      <c r="K324" s="13">
        <f t="shared" si="179"/>
        <v>935.94</v>
      </c>
      <c r="L324" s="4">
        <f t="shared" si="177"/>
        <v>1003</v>
      </c>
    </row>
    <row r="325" spans="1:12">
      <c r="A325" s="4">
        <f t="shared" si="180"/>
        <v>1004</v>
      </c>
      <c r="B325" t="s">
        <v>453</v>
      </c>
      <c r="C325" s="21">
        <f>'1-DRR'!$K$2</f>
        <v>2022</v>
      </c>
      <c r="D325" s="395">
        <f>IF(E325="N/A","N/A",($H$42*'9-WholesaleRevenues'!I16))</f>
        <v>1836.1227865394269</v>
      </c>
      <c r="E325" s="395">
        <f>IF('9-WholesaleRevenues'!I50="N/A","N/A",'9-WholesaleRevenues'!I50)</f>
        <v>1342</v>
      </c>
      <c r="F325" s="405">
        <f t="shared" si="178"/>
        <v>494.1227865394269</v>
      </c>
      <c r="G325" s="405">
        <f t="shared" si="181"/>
        <v>1428.1609728560322</v>
      </c>
      <c r="H325" s="431">
        <f>$H$75</f>
        <v>3.2500000000000001E-2</v>
      </c>
      <c r="I325" s="13">
        <f>IF(E325="N/A",0,ROUND((F325/2+G324+J322)*H325/12,2))</f>
        <v>3.2</v>
      </c>
      <c r="J325" s="13">
        <f>I325+J324</f>
        <v>5.0999999999999996</v>
      </c>
      <c r="K325" s="13">
        <f t="shared" si="179"/>
        <v>1433.26</v>
      </c>
      <c r="L325" s="4">
        <f t="shared" si="177"/>
        <v>1004</v>
      </c>
    </row>
    <row r="326" spans="1:12">
      <c r="A326" s="4">
        <f t="shared" si="180"/>
        <v>1005</v>
      </c>
      <c r="B326" t="s">
        <v>454</v>
      </c>
      <c r="C326" s="21">
        <f>'1-DRR'!$K$2</f>
        <v>2022</v>
      </c>
      <c r="D326" s="395">
        <f>IF(E326="N/A","N/A",($H$42*'9-WholesaleRevenues'!I17))</f>
        <v>1836.1227865394269</v>
      </c>
      <c r="E326" s="395">
        <f>IF('9-WholesaleRevenues'!I51="N/A","N/A",'9-WholesaleRevenues'!I51)</f>
        <v>1342</v>
      </c>
      <c r="F326" s="405">
        <f t="shared" si="178"/>
        <v>494.1227865394269</v>
      </c>
      <c r="G326" s="405">
        <f t="shared" si="181"/>
        <v>1922.2837593954591</v>
      </c>
      <c r="H326" s="431">
        <f>$H$76</f>
        <v>3.2500000000000001E-2</v>
      </c>
      <c r="I326" s="13">
        <f>IF(E326="N/A",0,ROUND((F326/2+G325+J325)*H326/12,2))</f>
        <v>4.55</v>
      </c>
      <c r="J326" s="13">
        <f t="shared" ref="J326:J346" si="182">I326+J325</f>
        <v>9.6499999999999986</v>
      </c>
      <c r="K326" s="13">
        <f t="shared" si="179"/>
        <v>1931.93</v>
      </c>
      <c r="L326" s="4">
        <f t="shared" si="177"/>
        <v>1005</v>
      </c>
    </row>
    <row r="327" spans="1:12">
      <c r="A327" s="4">
        <f t="shared" si="180"/>
        <v>1006</v>
      </c>
      <c r="B327" t="s">
        <v>455</v>
      </c>
      <c r="C327" s="21">
        <f>'1-DRR'!$K$2</f>
        <v>2022</v>
      </c>
      <c r="D327" s="395">
        <f>IF(E327="N/A","N/A",($H$42*'9-WholesaleRevenues'!I18))</f>
        <v>954.78384900050196</v>
      </c>
      <c r="E327" s="395">
        <f>IF('9-WholesaleRevenues'!I52="N/A","N/A",'9-WholesaleRevenues'!I52)</f>
        <v>960.85600000000011</v>
      </c>
      <c r="F327" s="405">
        <f t="shared" si="178"/>
        <v>-6.0721509994981488</v>
      </c>
      <c r="G327" s="405">
        <f t="shared" si="181"/>
        <v>1916.2116083959609</v>
      </c>
      <c r="H327" s="431">
        <f>$H$77</f>
        <v>3.2500000000000001E-2</v>
      </c>
      <c r="I327" s="13">
        <f>IF(E327="N/A",0,ROUND((F327/2+G326+J325)*H327/12,2))</f>
        <v>5.21</v>
      </c>
      <c r="J327" s="13">
        <f t="shared" si="182"/>
        <v>14.86</v>
      </c>
      <c r="K327" s="13">
        <f t="shared" si="179"/>
        <v>1931.07</v>
      </c>
      <c r="L327" s="4">
        <f t="shared" si="177"/>
        <v>1006</v>
      </c>
    </row>
    <row r="328" spans="1:12">
      <c r="A328" s="4">
        <f t="shared" si="180"/>
        <v>1007</v>
      </c>
      <c r="B328" t="s">
        <v>456</v>
      </c>
      <c r="C328" s="21">
        <f>'1-DRR'!$K$2</f>
        <v>2022</v>
      </c>
      <c r="D328" s="395">
        <f>IF(E328="N/A","N/A",($H$42*'9-WholesaleRevenues'!I19))</f>
        <v>1028.2287604620792</v>
      </c>
      <c r="E328" s="395">
        <f>IF('9-WholesaleRevenues'!I53="N/A","N/A",'9-WholesaleRevenues'!I53)</f>
        <v>1034.768</v>
      </c>
      <c r="F328" s="405">
        <f t="shared" si="178"/>
        <v>-6.539239537920821</v>
      </c>
      <c r="G328" s="405">
        <f t="shared" si="181"/>
        <v>1909.67236885804</v>
      </c>
      <c r="H328" s="431">
        <f>$H$78</f>
        <v>3.2500000000000001E-2</v>
      </c>
      <c r="I328" s="13">
        <f>IF(E328="N/A",0,ROUND((F328/2+G327+J325)*H328/12,2))</f>
        <v>5.19</v>
      </c>
      <c r="J328" s="13">
        <f t="shared" si="182"/>
        <v>20.05</v>
      </c>
      <c r="K328" s="13">
        <f t="shared" si="179"/>
        <v>1929.72</v>
      </c>
      <c r="L328" s="4">
        <f t="shared" si="177"/>
        <v>1007</v>
      </c>
    </row>
    <row r="329" spans="1:12">
      <c r="A329" s="4">
        <f t="shared" si="180"/>
        <v>1008</v>
      </c>
      <c r="B329" t="s">
        <v>457</v>
      </c>
      <c r="C329" s="21">
        <f>'1-DRR'!$K$2</f>
        <v>2022</v>
      </c>
      <c r="D329" s="395">
        <f>IF(E329="N/A","N/A",($H$42*'9-WholesaleRevenues'!I20))</f>
        <v>1064.9512161928676</v>
      </c>
      <c r="E329" s="395">
        <f>IF('9-WholesaleRevenues'!I54="N/A","N/A",'9-WholesaleRevenues'!I54)</f>
        <v>1071.7240000000002</v>
      </c>
      <c r="F329" s="405">
        <f t="shared" si="178"/>
        <v>-6.772783807132555</v>
      </c>
      <c r="G329" s="405">
        <f t="shared" si="181"/>
        <v>1902.8995850509075</v>
      </c>
      <c r="H329" s="431">
        <f>$H$79</f>
        <v>3.5999999999999997E-2</v>
      </c>
      <c r="I329" s="13">
        <f>IF(E329="N/A",0,ROUND((F329/2+G328+J328)*H329/12,2))</f>
        <v>5.78</v>
      </c>
      <c r="J329" s="13">
        <f t="shared" si="182"/>
        <v>25.830000000000002</v>
      </c>
      <c r="K329" s="13">
        <f t="shared" si="179"/>
        <v>1928.73</v>
      </c>
      <c r="L329" s="4">
        <f t="shared" si="177"/>
        <v>1008</v>
      </c>
    </row>
    <row r="330" spans="1:12">
      <c r="A330" s="4">
        <f t="shared" si="180"/>
        <v>1009</v>
      </c>
      <c r="B330" t="s">
        <v>458</v>
      </c>
      <c r="C330" s="21">
        <f>'1-DRR'!$K$2</f>
        <v>2022</v>
      </c>
      <c r="D330" s="395">
        <f>IF(E330="N/A","N/A",($H$42*'9-WholesaleRevenues'!I21))</f>
        <v>1028.2287604620792</v>
      </c>
      <c r="E330" s="395">
        <f>IF('9-WholesaleRevenues'!I55="N/A","N/A",'9-WholesaleRevenues'!I55)</f>
        <v>1034.768</v>
      </c>
      <c r="F330" s="405">
        <f t="shared" si="178"/>
        <v>-6.539239537920821</v>
      </c>
      <c r="G330" s="405">
        <f t="shared" si="181"/>
        <v>1896.3603455129867</v>
      </c>
      <c r="H330" s="431">
        <f>$H$80</f>
        <v>3.5999999999999997E-2</v>
      </c>
      <c r="I330" s="13">
        <f>IF(E330="N/A",0,ROUND((F330/2+G329+J328)*H330/12,2))</f>
        <v>5.76</v>
      </c>
      <c r="J330" s="13">
        <f t="shared" si="182"/>
        <v>31.590000000000003</v>
      </c>
      <c r="K330" s="13">
        <f t="shared" si="179"/>
        <v>1927.95</v>
      </c>
      <c r="L330" s="4">
        <f t="shared" si="177"/>
        <v>1009</v>
      </c>
    </row>
    <row r="331" spans="1:12">
      <c r="A331" s="4">
        <f t="shared" si="180"/>
        <v>1010</v>
      </c>
      <c r="B331" t="s">
        <v>459</v>
      </c>
      <c r="C331" s="21">
        <f>'1-DRR'!$K$2</f>
        <v>2022</v>
      </c>
      <c r="D331" s="395">
        <f>IF(E331="N/A","N/A",($H$42*'9-WholesaleRevenues'!I22))</f>
        <v>1046.5899883274733</v>
      </c>
      <c r="E331" s="395">
        <f>IF('9-WholesaleRevenues'!I56="N/A","N/A",'9-WholesaleRevenues'!I56)</f>
        <v>1053.2460000000001</v>
      </c>
      <c r="F331" s="405">
        <f t="shared" si="178"/>
        <v>-6.6560116725268017</v>
      </c>
      <c r="G331" s="405">
        <f t="shared" si="181"/>
        <v>1889.7043338404599</v>
      </c>
      <c r="H331" s="431">
        <f>$H$81</f>
        <v>3.5999999999999997E-2</v>
      </c>
      <c r="I331" s="13">
        <f>IF(E331="N/A",0,ROUND((F331/2+G330+J328)*H331/12,2))</f>
        <v>5.74</v>
      </c>
      <c r="J331" s="13">
        <f t="shared" si="182"/>
        <v>37.330000000000005</v>
      </c>
      <c r="K331" s="13">
        <f t="shared" si="179"/>
        <v>1927.03</v>
      </c>
      <c r="L331" s="4">
        <f t="shared" si="177"/>
        <v>1010</v>
      </c>
    </row>
    <row r="332" spans="1:12">
      <c r="A332" s="4">
        <f t="shared" si="180"/>
        <v>1011</v>
      </c>
      <c r="B332" t="s">
        <v>460</v>
      </c>
      <c r="C332" s="21">
        <f>'1-DRR'!$K$2</f>
        <v>2022</v>
      </c>
      <c r="D332" s="395">
        <f>IF(E332="N/A","N/A",($H$42*'9-WholesaleRevenues'!I23))</f>
        <v>1046.5899883274733</v>
      </c>
      <c r="E332" s="395">
        <f>IF('9-WholesaleRevenues'!I57="N/A","N/A",'9-WholesaleRevenues'!I57)</f>
        <v>1053.2460000000001</v>
      </c>
      <c r="F332" s="405">
        <f t="shared" si="178"/>
        <v>-6.6560116725268017</v>
      </c>
      <c r="G332" s="405">
        <f t="shared" si="181"/>
        <v>1883.0483221679331</v>
      </c>
      <c r="H332" s="431">
        <f>$H$82</f>
        <v>4.9099999999999998E-2</v>
      </c>
      <c r="I332" s="13">
        <f>IF(E332="N/A",0,ROUND((F332/2+G331+J331)*H332/12,2))</f>
        <v>7.87</v>
      </c>
      <c r="J332" s="13">
        <f t="shared" si="182"/>
        <v>45.2</v>
      </c>
      <c r="K332" s="13">
        <f t="shared" si="179"/>
        <v>1928.25</v>
      </c>
      <c r="L332" s="4">
        <f t="shared" si="177"/>
        <v>1011</v>
      </c>
    </row>
    <row r="333" spans="1:12">
      <c r="A333" s="4">
        <f t="shared" si="180"/>
        <v>1012</v>
      </c>
      <c r="B333" t="s">
        <v>461</v>
      </c>
      <c r="C333" s="21">
        <f>'1-DRR'!$K$2</f>
        <v>2022</v>
      </c>
      <c r="D333" s="395">
        <f>IF(E333="N/A","N/A",($H$42*'9-WholesaleRevenues'!I24))</f>
        <v>1266.9247227122046</v>
      </c>
      <c r="E333" s="395">
        <f>IF('9-WholesaleRevenues'!I58="N/A","N/A",'9-WholesaleRevenues'!I58)</f>
        <v>1274.9820000000002</v>
      </c>
      <c r="F333" s="405">
        <f t="shared" si="178"/>
        <v>-8.057277287795614</v>
      </c>
      <c r="G333" s="405">
        <f t="shared" si="181"/>
        <v>1874.9910448801375</v>
      </c>
      <c r="H333" s="431">
        <f>$H$83</f>
        <v>4.9099999999999998E-2</v>
      </c>
      <c r="I333" s="13">
        <f>IF(E333="N/A",0,ROUND((F333/2+G332+J331)*H333/12,2))</f>
        <v>7.84</v>
      </c>
      <c r="J333" s="13">
        <f t="shared" si="182"/>
        <v>53.040000000000006</v>
      </c>
      <c r="K333" s="13">
        <f t="shared" si="179"/>
        <v>1928.03</v>
      </c>
      <c r="L333" s="4">
        <f t="shared" si="177"/>
        <v>1012</v>
      </c>
    </row>
    <row r="334" spans="1:12">
      <c r="A334" s="4">
        <f t="shared" si="180"/>
        <v>1013</v>
      </c>
      <c r="B334" t="s">
        <v>449</v>
      </c>
      <c r="C334" s="21">
        <f>'1-DRR'!$K$2</f>
        <v>2022</v>
      </c>
      <c r="D334" s="395">
        <f>IF(E334="N/A","N/A",($H$42*'9-WholesaleRevenues'!I25))</f>
        <v>1432.1757735007529</v>
      </c>
      <c r="E334" s="395">
        <f>IF('9-WholesaleRevenues'!I59="N/A","N/A",'9-WholesaleRevenues'!I59)</f>
        <v>1441.2840000000001</v>
      </c>
      <c r="F334" s="405">
        <f t="shared" si="178"/>
        <v>-9.1082264992471664</v>
      </c>
      <c r="G334" s="405">
        <f t="shared" si="181"/>
        <v>1865.8828183808903</v>
      </c>
      <c r="H334" s="431">
        <f>$H$84</f>
        <v>4.9099999999999998E-2</v>
      </c>
      <c r="I334" s="13">
        <f>IF(E334="N/A",0,ROUND((F334/2+G333+J331)*H334/12,2))</f>
        <v>7.81</v>
      </c>
      <c r="J334" s="13">
        <f t="shared" si="182"/>
        <v>60.850000000000009</v>
      </c>
      <c r="K334" s="13">
        <f t="shared" si="179"/>
        <v>1926.73</v>
      </c>
      <c r="L334" s="4">
        <f t="shared" si="177"/>
        <v>1013</v>
      </c>
    </row>
    <row r="335" spans="1:12">
      <c r="A335" s="4">
        <f t="shared" si="180"/>
        <v>1014</v>
      </c>
      <c r="B335" t="s">
        <v>451</v>
      </c>
      <c r="C335" s="21">
        <f>C334+1</f>
        <v>2023</v>
      </c>
      <c r="D335" s="81" t="s">
        <v>450</v>
      </c>
      <c r="E335" s="81" t="s">
        <v>450</v>
      </c>
      <c r="F335" s="405">
        <v>0</v>
      </c>
      <c r="G335" s="405">
        <f>F335+G334</f>
        <v>1865.8828183808903</v>
      </c>
      <c r="H335" s="431">
        <f>$H$85</f>
        <v>6.3100000000000003E-2</v>
      </c>
      <c r="I335" s="13">
        <f t="shared" ref="I335" si="183">ROUND((F335/2+G334+J334)*H335/12,2)</f>
        <v>10.130000000000001</v>
      </c>
      <c r="J335" s="13">
        <f t="shared" si="182"/>
        <v>70.98</v>
      </c>
      <c r="K335" s="13">
        <f t="shared" si="179"/>
        <v>1936.86</v>
      </c>
      <c r="L335" s="4">
        <f t="shared" si="177"/>
        <v>1014</v>
      </c>
    </row>
    <row r="336" spans="1:12">
      <c r="A336" s="4">
        <f t="shared" si="180"/>
        <v>1015</v>
      </c>
      <c r="B336" t="s">
        <v>452</v>
      </c>
      <c r="C336" s="21">
        <f>C335</f>
        <v>2023</v>
      </c>
      <c r="D336" s="81" t="s">
        <v>450</v>
      </c>
      <c r="E336" s="81" t="s">
        <v>450</v>
      </c>
      <c r="F336" s="405">
        <v>0</v>
      </c>
      <c r="G336" s="405">
        <f t="shared" ref="G336:G346" si="184">F336+G335</f>
        <v>1865.8828183808903</v>
      </c>
      <c r="H336" s="431">
        <f>$H$86</f>
        <v>6.3100000000000003E-2</v>
      </c>
      <c r="I336" s="13">
        <f t="shared" ref="I336" si="185">ROUND((F336/2+G335+J334)*H336/12,2)</f>
        <v>10.130000000000001</v>
      </c>
      <c r="J336" s="13">
        <f t="shared" si="182"/>
        <v>81.11</v>
      </c>
      <c r="K336" s="13">
        <f t="shared" si="179"/>
        <v>1946.99</v>
      </c>
      <c r="L336" s="4">
        <f t="shared" si="177"/>
        <v>1015</v>
      </c>
    </row>
    <row r="337" spans="1:12">
      <c r="A337" s="4">
        <f t="shared" si="180"/>
        <v>1016</v>
      </c>
      <c r="B337" t="s">
        <v>453</v>
      </c>
      <c r="C337" s="21">
        <f t="shared" ref="C337:C346" si="186">C336</f>
        <v>2023</v>
      </c>
      <c r="D337" s="81" t="s">
        <v>450</v>
      </c>
      <c r="E337" s="81" t="s">
        <v>450</v>
      </c>
      <c r="F337" s="405">
        <v>0</v>
      </c>
      <c r="G337" s="405">
        <f t="shared" si="184"/>
        <v>1865.8828183808903</v>
      </c>
      <c r="H337" s="431">
        <f>$H$87</f>
        <v>6.3100000000000003E-2</v>
      </c>
      <c r="I337" s="13">
        <f t="shared" ref="I337" si="187">ROUND((F337/2+G336+J334)*H337/12,2)</f>
        <v>10.130000000000001</v>
      </c>
      <c r="J337" s="13">
        <f t="shared" si="182"/>
        <v>91.24</v>
      </c>
      <c r="K337" s="13">
        <f t="shared" si="179"/>
        <v>1957.12</v>
      </c>
      <c r="L337" s="4">
        <f t="shared" si="177"/>
        <v>1016</v>
      </c>
    </row>
    <row r="338" spans="1:12">
      <c r="A338" s="4">
        <f t="shared" si="180"/>
        <v>1017</v>
      </c>
      <c r="B338" t="s">
        <v>454</v>
      </c>
      <c r="C338" s="21">
        <f t="shared" si="186"/>
        <v>2023</v>
      </c>
      <c r="D338" s="81" t="s">
        <v>450</v>
      </c>
      <c r="E338" s="81" t="s">
        <v>450</v>
      </c>
      <c r="F338" s="405">
        <v>0</v>
      </c>
      <c r="G338" s="405">
        <f t="shared" si="184"/>
        <v>1865.8828183808903</v>
      </c>
      <c r="H338" s="431">
        <f>$H$88</f>
        <v>7.4999999999999997E-2</v>
      </c>
      <c r="I338" s="13">
        <f t="shared" ref="I338" si="188">ROUND((F338/2+G337+J337)*H338/12,2)</f>
        <v>12.23</v>
      </c>
      <c r="J338" s="13">
        <f t="shared" si="182"/>
        <v>103.47</v>
      </c>
      <c r="K338" s="13">
        <f t="shared" si="179"/>
        <v>1969.35</v>
      </c>
      <c r="L338" s="4">
        <f t="shared" si="177"/>
        <v>1017</v>
      </c>
    </row>
    <row r="339" spans="1:12">
      <c r="A339" s="4">
        <f t="shared" si="180"/>
        <v>1018</v>
      </c>
      <c r="B339" t="s">
        <v>455</v>
      </c>
      <c r="C339" s="21">
        <f t="shared" si="186"/>
        <v>2023</v>
      </c>
      <c r="D339" s="81" t="s">
        <v>450</v>
      </c>
      <c r="E339" s="81" t="s">
        <v>450</v>
      </c>
      <c r="F339" s="405">
        <v>0</v>
      </c>
      <c r="G339" s="405">
        <f t="shared" si="184"/>
        <v>1865.8828183808903</v>
      </c>
      <c r="H339" s="431">
        <f>$H$89</f>
        <v>7.4999999999999997E-2</v>
      </c>
      <c r="I339" s="13">
        <f t="shared" ref="I339" si="189">ROUND((F339/2+G338+J337)*H339/12,2)</f>
        <v>12.23</v>
      </c>
      <c r="J339" s="13">
        <f t="shared" si="182"/>
        <v>115.7</v>
      </c>
      <c r="K339" s="13">
        <f t="shared" si="179"/>
        <v>1981.58</v>
      </c>
      <c r="L339" s="4">
        <f t="shared" si="177"/>
        <v>1018</v>
      </c>
    </row>
    <row r="340" spans="1:12">
      <c r="A340" s="4">
        <f t="shared" si="180"/>
        <v>1019</v>
      </c>
      <c r="B340" t="s">
        <v>456</v>
      </c>
      <c r="C340" s="21">
        <f t="shared" si="186"/>
        <v>2023</v>
      </c>
      <c r="D340" s="81" t="s">
        <v>450</v>
      </c>
      <c r="E340" s="81" t="s">
        <v>450</v>
      </c>
      <c r="F340" s="405">
        <v>0</v>
      </c>
      <c r="G340" s="405">
        <f t="shared" si="184"/>
        <v>1865.8828183808903</v>
      </c>
      <c r="H340" s="431">
        <f>$H$90</f>
        <v>7.4999999999999997E-2</v>
      </c>
      <c r="I340" s="13">
        <f t="shared" ref="I340" si="190">ROUND((F340/2+G339+J337)*H340/12,2)</f>
        <v>12.23</v>
      </c>
      <c r="J340" s="13">
        <f t="shared" si="182"/>
        <v>127.93</v>
      </c>
      <c r="K340" s="13">
        <f t="shared" si="179"/>
        <v>1993.81</v>
      </c>
      <c r="L340" s="4">
        <f t="shared" si="177"/>
        <v>1019</v>
      </c>
    </row>
    <row r="341" spans="1:12">
      <c r="A341" s="4">
        <f t="shared" si="180"/>
        <v>1020</v>
      </c>
      <c r="B341" t="s">
        <v>457</v>
      </c>
      <c r="C341" s="21">
        <f t="shared" si="186"/>
        <v>2023</v>
      </c>
      <c r="D341" s="81" t="s">
        <v>450</v>
      </c>
      <c r="E341" s="81" t="s">
        <v>450</v>
      </c>
      <c r="F341" s="405">
        <v>0</v>
      </c>
      <c r="G341" s="405">
        <f t="shared" si="184"/>
        <v>1865.8828183808903</v>
      </c>
      <c r="H341" s="431">
        <f>$H$91</f>
        <v>8.0199999999999994E-2</v>
      </c>
      <c r="I341" s="13">
        <f t="shared" ref="I341" si="191">ROUND((F341/2+G340+J340)*H341/12,2)</f>
        <v>13.33</v>
      </c>
      <c r="J341" s="13">
        <f t="shared" si="182"/>
        <v>141.26000000000002</v>
      </c>
      <c r="K341" s="13">
        <f t="shared" si="179"/>
        <v>2007.14</v>
      </c>
      <c r="L341" s="4">
        <f t="shared" si="177"/>
        <v>1020</v>
      </c>
    </row>
    <row r="342" spans="1:12">
      <c r="A342" s="4">
        <f t="shared" si="180"/>
        <v>1021</v>
      </c>
      <c r="B342" t="s">
        <v>458</v>
      </c>
      <c r="C342" s="21">
        <f t="shared" si="186"/>
        <v>2023</v>
      </c>
      <c r="D342" s="81" t="s">
        <v>450</v>
      </c>
      <c r="E342" s="81" t="s">
        <v>450</v>
      </c>
      <c r="F342" s="405">
        <v>0</v>
      </c>
      <c r="G342" s="405">
        <f t="shared" si="184"/>
        <v>1865.8828183808903</v>
      </c>
      <c r="H342" s="431">
        <f>$H$92</f>
        <v>8.0199999999999994E-2</v>
      </c>
      <c r="I342" s="13">
        <f t="shared" ref="I342" si="192">ROUND((F342/2+G341+J340)*H342/12,2)</f>
        <v>13.33</v>
      </c>
      <c r="J342" s="13">
        <f t="shared" si="182"/>
        <v>154.59000000000003</v>
      </c>
      <c r="K342" s="13">
        <f t="shared" si="179"/>
        <v>2020.47</v>
      </c>
      <c r="L342" s="4">
        <f t="shared" si="177"/>
        <v>1021</v>
      </c>
    </row>
    <row r="343" spans="1:12">
      <c r="A343" s="4">
        <f t="shared" si="180"/>
        <v>1022</v>
      </c>
      <c r="B343" t="s">
        <v>459</v>
      </c>
      <c r="C343" s="21">
        <f t="shared" si="186"/>
        <v>2023</v>
      </c>
      <c r="D343" s="81" t="s">
        <v>450</v>
      </c>
      <c r="E343" s="81" t="s">
        <v>450</v>
      </c>
      <c r="F343" s="405">
        <v>0</v>
      </c>
      <c r="G343" s="405">
        <f t="shared" si="184"/>
        <v>1865.8828183808903</v>
      </c>
      <c r="H343" s="431">
        <f>$H$93</f>
        <v>8.0199999999999994E-2</v>
      </c>
      <c r="I343" s="13">
        <f t="shared" ref="I343" si="193">ROUND((F343/2+G342+J340)*H343/12,2)</f>
        <v>13.33</v>
      </c>
      <c r="J343" s="13">
        <f t="shared" si="182"/>
        <v>167.92000000000004</v>
      </c>
      <c r="K343" s="13">
        <f t="shared" si="179"/>
        <v>2033.8</v>
      </c>
      <c r="L343" s="4">
        <f t="shared" si="177"/>
        <v>1022</v>
      </c>
    </row>
    <row r="344" spans="1:12">
      <c r="A344" s="4">
        <f t="shared" si="180"/>
        <v>1023</v>
      </c>
      <c r="B344" t="s">
        <v>460</v>
      </c>
      <c r="C344" s="21">
        <f t="shared" si="186"/>
        <v>2023</v>
      </c>
      <c r="D344" s="81" t="s">
        <v>450</v>
      </c>
      <c r="E344" s="81" t="s">
        <v>450</v>
      </c>
      <c r="F344" s="405">
        <v>0</v>
      </c>
      <c r="G344" s="405">
        <f t="shared" si="184"/>
        <v>1865.8828183808903</v>
      </c>
      <c r="H344" s="431">
        <f>$H$94</f>
        <v>8.3500000000000005E-2</v>
      </c>
      <c r="I344" s="13">
        <f t="shared" ref="I344" si="194">ROUND((F344/2+G343+J343)*H344/12,2)</f>
        <v>14.15</v>
      </c>
      <c r="J344" s="13">
        <f t="shared" si="182"/>
        <v>182.07000000000005</v>
      </c>
      <c r="K344" s="13">
        <f t="shared" si="179"/>
        <v>2047.95</v>
      </c>
      <c r="L344" s="4">
        <f t="shared" si="177"/>
        <v>1023</v>
      </c>
    </row>
    <row r="345" spans="1:12">
      <c r="A345" s="4">
        <f t="shared" si="180"/>
        <v>1024</v>
      </c>
      <c r="B345" t="s">
        <v>461</v>
      </c>
      <c r="C345" s="21">
        <f t="shared" si="186"/>
        <v>2023</v>
      </c>
      <c r="D345" s="81" t="s">
        <v>450</v>
      </c>
      <c r="E345" s="81" t="s">
        <v>450</v>
      </c>
      <c r="F345" s="405">
        <v>0</v>
      </c>
      <c r="G345" s="405">
        <f t="shared" si="184"/>
        <v>1865.8828183808903</v>
      </c>
      <c r="H345" s="431">
        <f>$H$95</f>
        <v>8.3500000000000005E-2</v>
      </c>
      <c r="I345" s="13">
        <f t="shared" ref="I345" si="195">ROUND((F345/2+G344+J343)*H345/12,2)</f>
        <v>14.15</v>
      </c>
      <c r="J345" s="13">
        <f t="shared" si="182"/>
        <v>196.22000000000006</v>
      </c>
      <c r="K345" s="13">
        <f t="shared" si="179"/>
        <v>2062.1</v>
      </c>
      <c r="L345" s="4">
        <f t="shared" si="177"/>
        <v>1024</v>
      </c>
    </row>
    <row r="346" spans="1:12">
      <c r="A346" s="4">
        <f t="shared" si="180"/>
        <v>1025</v>
      </c>
      <c r="B346" t="s">
        <v>449</v>
      </c>
      <c r="C346" s="21">
        <f t="shared" si="186"/>
        <v>2023</v>
      </c>
      <c r="D346" s="81" t="s">
        <v>450</v>
      </c>
      <c r="E346" s="81" t="s">
        <v>450</v>
      </c>
      <c r="F346" s="405">
        <v>0</v>
      </c>
      <c r="G346" s="405">
        <f t="shared" si="184"/>
        <v>1865.8828183808903</v>
      </c>
      <c r="H346" s="431">
        <f>$H$96</f>
        <v>8.3500000000000005E-2</v>
      </c>
      <c r="I346" s="13">
        <f t="shared" ref="I346" si="196">ROUND((F346/2+G345+J343)*H346/12,2)</f>
        <v>14.15</v>
      </c>
      <c r="J346" s="13">
        <f t="shared" si="182"/>
        <v>210.37000000000006</v>
      </c>
      <c r="K346" s="13">
        <f t="shared" si="179"/>
        <v>2076.25</v>
      </c>
      <c r="L346" s="4">
        <f t="shared" si="177"/>
        <v>1025</v>
      </c>
    </row>
    <row r="347" spans="1:12">
      <c r="A347" s="4"/>
      <c r="C347" s="21"/>
      <c r="D347" s="81"/>
      <c r="E347" s="81"/>
      <c r="F347" s="405"/>
      <c r="G347" s="13"/>
      <c r="H347" s="13"/>
      <c r="I347" s="13"/>
      <c r="J347" s="4"/>
    </row>
    <row r="348" spans="1:12">
      <c r="A348" s="470" t="s">
        <v>119</v>
      </c>
      <c r="B348" s="359" t="s">
        <v>119</v>
      </c>
      <c r="C348" s="21"/>
      <c r="D348" s="81"/>
      <c r="E348" s="81"/>
      <c r="F348" s="405"/>
      <c r="G348" s="13"/>
      <c r="H348" s="13"/>
      <c r="I348" s="13"/>
      <c r="J348" s="4"/>
    </row>
    <row r="350" spans="1:12" ht="15" customHeight="1">
      <c r="B350" t="s">
        <v>468</v>
      </c>
    </row>
    <row r="351" spans="1:12" ht="15" customHeight="1">
      <c r="B351" t="s">
        <v>469</v>
      </c>
    </row>
    <row r="352" spans="1:12">
      <c r="B352" t="s">
        <v>470</v>
      </c>
    </row>
    <row r="353" spans="2:11">
      <c r="B353" t="s">
        <v>471</v>
      </c>
    </row>
    <row r="354" spans="2:11" ht="15" customHeight="1">
      <c r="B354" s="725" t="s">
        <v>472</v>
      </c>
      <c r="C354" s="725"/>
      <c r="D354" s="725"/>
      <c r="E354" s="725"/>
      <c r="F354" s="725"/>
      <c r="G354" s="725"/>
      <c r="H354" s="725"/>
      <c r="I354" s="725"/>
      <c r="J354" s="725"/>
      <c r="K354" s="725"/>
    </row>
    <row r="355" spans="2:11">
      <c r="B355" s="725"/>
      <c r="C355" s="725"/>
      <c r="D355" s="725"/>
      <c r="E355" s="725"/>
      <c r="F355" s="725"/>
      <c r="G355" s="725"/>
      <c r="H355" s="725"/>
      <c r="I355" s="725"/>
      <c r="J355" s="725"/>
      <c r="K355" s="725"/>
    </row>
    <row r="356" spans="2:11" ht="15" customHeight="1">
      <c r="B356" t="s">
        <v>473</v>
      </c>
    </row>
    <row r="357" spans="2:11" s="86" customFormat="1" ht="15" customHeight="1">
      <c r="B357" s="728" t="s">
        <v>474</v>
      </c>
      <c r="C357" s="728"/>
      <c r="D357" s="728"/>
      <c r="E357" s="728"/>
      <c r="F357" s="728"/>
      <c r="G357" s="728"/>
      <c r="H357" s="728"/>
      <c r="I357" s="728"/>
      <c r="J357" s="728"/>
    </row>
    <row r="358" spans="2:11" s="86" customFormat="1">
      <c r="B358" s="727" t="s">
        <v>475</v>
      </c>
      <c r="C358" s="727"/>
      <c r="D358" s="727"/>
      <c r="E358" s="727"/>
      <c r="F358" s="727"/>
      <c r="G358" s="727"/>
      <c r="H358" s="727"/>
      <c r="I358" s="727"/>
      <c r="J358" s="727"/>
    </row>
    <row r="359" spans="2:11" s="86" customFormat="1">
      <c r="B359" s="727"/>
      <c r="C359" s="727"/>
      <c r="D359" s="727"/>
      <c r="E359" s="727"/>
      <c r="F359" s="727"/>
      <c r="G359" s="727"/>
      <c r="H359" s="727"/>
      <c r="I359" s="727"/>
      <c r="J359" s="727"/>
    </row>
    <row r="360" spans="2:11">
      <c r="B360" s="724" t="s">
        <v>476</v>
      </c>
      <c r="C360" s="724"/>
      <c r="D360" s="724"/>
      <c r="E360" s="724"/>
      <c r="F360" s="724"/>
      <c r="G360" s="724"/>
      <c r="H360" s="724"/>
      <c r="I360" s="724"/>
      <c r="J360" s="724"/>
    </row>
    <row r="361" spans="2:11">
      <c r="B361" s="724"/>
      <c r="C361" s="724"/>
      <c r="D361" s="724"/>
      <c r="E361" s="724"/>
      <c r="F361" s="724"/>
      <c r="G361" s="724"/>
      <c r="H361" s="724"/>
      <c r="I361" s="724"/>
      <c r="J361" s="724"/>
    </row>
  </sheetData>
  <mergeCells count="6">
    <mergeCell ref="B360:J361"/>
    <mergeCell ref="B55:K56"/>
    <mergeCell ref="B354:K355"/>
    <mergeCell ref="B57:I57"/>
    <mergeCell ref="B358:J359"/>
    <mergeCell ref="B357:J357"/>
  </mergeCells>
  <phoneticPr fontId="104" type="noConversion"/>
  <printOptions horizontalCentered="1"/>
  <pageMargins left="1" right="1" top="1" bottom="1" header="0.5" footer="0.5"/>
  <pageSetup scale="50" fitToHeight="0" orientation="landscape" r:id="rId1"/>
  <headerFooter>
    <oddHeader xml:space="preserve">&amp;C&amp;"-,Bold"Pacific Gas and Electric Company
Formula Rate Model
Schedule &amp;A&amp;R&amp;10Docket No. ER20-2878-000, et al.
Annual Update RY2024
&amp;F
</oddHeader>
  </headerFooter>
  <rowBreaks count="7" manualBreakCount="7">
    <brk id="53" max="11" man="1"/>
    <brk id="65" max="11" man="1"/>
    <brk id="126" max="11" man="1"/>
    <brk id="188" max="11" man="1"/>
    <brk id="220" max="11" man="1"/>
    <brk id="252" max="11" man="1"/>
    <brk id="314" max="11" man="1"/>
  </rowBreaks>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4327-C010-4C42-AA49-7BF4687EF42B}">
  <sheetPr codeName="Sheet7">
    <pageSetUpPr fitToPage="1"/>
  </sheetPr>
  <dimension ref="A1:M54"/>
  <sheetViews>
    <sheetView view="pageBreakPreview" topLeftCell="A29" zoomScale="85" zoomScaleNormal="100" zoomScaleSheetLayoutView="85" zoomScalePageLayoutView="85" workbookViewId="0">
      <selection activeCell="D45" sqref="D45"/>
    </sheetView>
  </sheetViews>
  <sheetFormatPr defaultRowHeight="14.5"/>
  <cols>
    <col min="1" max="1" width="4.7265625" style="4" bestFit="1" customWidth="1"/>
    <col min="2" max="2" width="51" customWidth="1"/>
    <col min="3" max="3" width="24.453125" customWidth="1"/>
    <col min="4" max="4" width="19.54296875" bestFit="1" customWidth="1"/>
    <col min="5" max="5" width="25" bestFit="1" customWidth="1"/>
    <col min="6" max="6" width="22.81640625" bestFit="1" customWidth="1"/>
    <col min="7" max="7" width="17" bestFit="1" customWidth="1"/>
    <col min="8" max="8" width="19.81640625" bestFit="1" customWidth="1"/>
    <col min="9" max="9" width="15.54296875" bestFit="1" customWidth="1"/>
    <col min="10" max="10" width="39.54296875" bestFit="1" customWidth="1"/>
    <col min="11" max="11" width="4.7265625" style="4" bestFit="1" customWidth="1"/>
    <col min="14" max="14" width="11.81640625" bestFit="1" customWidth="1"/>
  </cols>
  <sheetData>
    <row r="1" spans="1:11">
      <c r="B1" s="2" t="s">
        <v>15</v>
      </c>
      <c r="J1" s="6" t="str">
        <f>CONCATENATE("Rate Year: ",'1-DRR'!$K$1)</f>
        <v>Rate Year: 2024</v>
      </c>
    </row>
    <row r="2" spans="1:11">
      <c r="B2" s="35" t="s">
        <v>122</v>
      </c>
    </row>
    <row r="4" spans="1:11">
      <c r="B4" s="41" t="s">
        <v>477</v>
      </c>
      <c r="C4" s="41"/>
      <c r="D4" s="41"/>
      <c r="E4" s="41"/>
      <c r="F4" s="41"/>
      <c r="G4" s="41"/>
      <c r="H4" s="41"/>
      <c r="I4" s="41"/>
      <c r="J4" s="41"/>
    </row>
    <row r="5" spans="1:11">
      <c r="E5" s="21"/>
    </row>
    <row r="6" spans="1:11">
      <c r="A6" s="3" t="s">
        <v>92</v>
      </c>
      <c r="C6" s="3" t="s">
        <v>478</v>
      </c>
      <c r="D6" s="3" t="s">
        <v>128</v>
      </c>
    </row>
    <row r="7" spans="1:11">
      <c r="A7" s="4">
        <v>100</v>
      </c>
      <c r="C7" s="478">
        <f>'1-DRR'!I121</f>
        <v>4163406906.8567924</v>
      </c>
      <c r="D7" s="21" t="s">
        <v>479</v>
      </c>
    </row>
    <row r="8" spans="1:11">
      <c r="K8" s="3" t="s">
        <v>92</v>
      </c>
    </row>
    <row r="9" spans="1:11" s="86" customFormat="1">
      <c r="A9" s="91"/>
      <c r="B9" s="8"/>
      <c r="C9" s="138" t="s">
        <v>368</v>
      </c>
      <c r="D9" s="80" t="s">
        <v>128</v>
      </c>
      <c r="K9" s="531"/>
    </row>
    <row r="10" spans="1:11" s="86" customFormat="1">
      <c r="A10" s="91" t="s">
        <v>480</v>
      </c>
      <c r="B10" s="8"/>
      <c r="C10" s="563">
        <v>-1000000</v>
      </c>
      <c r="D10" s="18" t="s">
        <v>425</v>
      </c>
      <c r="K10" s="531"/>
    </row>
    <row r="11" spans="1:11">
      <c r="K11" s="3"/>
    </row>
    <row r="12" spans="1:11" ht="29">
      <c r="A12" s="4">
        <f>A7+1</f>
        <v>101</v>
      </c>
      <c r="B12" s="295"/>
      <c r="C12" s="397" t="s">
        <v>354</v>
      </c>
      <c r="D12" s="397" t="s">
        <v>356</v>
      </c>
      <c r="E12" s="532" t="s">
        <v>357</v>
      </c>
      <c r="F12" s="397" t="s">
        <v>358</v>
      </c>
      <c r="G12" s="397" t="s">
        <v>359</v>
      </c>
      <c r="H12" s="398" t="s">
        <v>119</v>
      </c>
      <c r="I12" s="129" t="s">
        <v>128</v>
      </c>
      <c r="K12" s="4">
        <f>A12</f>
        <v>101</v>
      </c>
    </row>
    <row r="13" spans="1:11">
      <c r="A13" s="4">
        <f>A12+1</f>
        <v>102</v>
      </c>
      <c r="B13" s="6" t="s">
        <v>360</v>
      </c>
      <c r="C13" s="375">
        <f>'3-ATA'!C8</f>
        <v>4.2376483095440771E-3</v>
      </c>
      <c r="D13" s="375">
        <f>'3-ATA'!E8</f>
        <v>1.3897584486726396E-4</v>
      </c>
      <c r="E13" s="375">
        <f>'3-ATA'!F8</f>
        <v>3.4136661066752052E-5</v>
      </c>
      <c r="F13" s="375">
        <f>'3-ATA'!G8</f>
        <v>6.110715077240563E-3</v>
      </c>
      <c r="G13" s="375">
        <f>'3-ATA'!H8</f>
        <v>4.2617554390452005E-6</v>
      </c>
      <c r="H13" s="364">
        <f>'3-ATA'!I8</f>
        <v>0</v>
      </c>
      <c r="I13" t="s">
        <v>481</v>
      </c>
      <c r="K13" s="4">
        <f>A13</f>
        <v>102</v>
      </c>
    </row>
    <row r="14" spans="1:11">
      <c r="A14" s="4">
        <f t="shared" ref="A14:A19" si="0">A13+1</f>
        <v>103</v>
      </c>
      <c r="B14" s="6" t="s">
        <v>482</v>
      </c>
      <c r="C14" s="24">
        <f>C13*$C$7</f>
        <v>17643054.240785822</v>
      </c>
      <c r="D14" s="24">
        <f t="shared" ref="D14:G14" si="1">D13*$C$7</f>
        <v>578612.99240662483</v>
      </c>
      <c r="E14" s="24">
        <f t="shared" si="1"/>
        <v>142124.81046234485</v>
      </c>
      <c r="F14" s="24">
        <f t="shared" si="1"/>
        <v>25441393.358417299</v>
      </c>
      <c r="G14" s="24">
        <f t="shared" si="1"/>
        <v>17743.422030255289</v>
      </c>
      <c r="H14" s="24">
        <f>H13*$C$7</f>
        <v>0</v>
      </c>
      <c r="I14" t="s">
        <v>483</v>
      </c>
      <c r="K14" s="4">
        <f>A14</f>
        <v>103</v>
      </c>
    </row>
    <row r="15" spans="1:11" s="8" customFormat="1">
      <c r="A15" s="91" t="s">
        <v>484</v>
      </c>
      <c r="B15" s="90" t="s">
        <v>485</v>
      </c>
      <c r="C15" s="242">
        <f>C14/SUM($C$14:$G$14)*$C$10</f>
        <v>-402598.70150628203</v>
      </c>
      <c r="D15" s="242">
        <f>D14/SUM($C$14:$G$14)*$C$10</f>
        <v>-13203.430440011833</v>
      </c>
      <c r="E15" s="242">
        <f>E14/SUM($C$14:$G$14)*$C$10</f>
        <v>-3243.1609268474331</v>
      </c>
      <c r="F15" s="242">
        <f>F14/SUM($C$14:$G$14)*$C$10</f>
        <v>-580549.81812225864</v>
      </c>
      <c r="G15" s="242">
        <f>G14/SUM($C$14:$G$14)*$C$10</f>
        <v>-404.88900460017896</v>
      </c>
      <c r="H15" s="242">
        <v>0</v>
      </c>
      <c r="I15" s="8" t="s">
        <v>426</v>
      </c>
      <c r="K15" s="91" t="s">
        <v>484</v>
      </c>
    </row>
    <row r="16" spans="1:11">
      <c r="A16" s="4">
        <f>A14+1</f>
        <v>104</v>
      </c>
      <c r="B16" s="6" t="s">
        <v>486</v>
      </c>
      <c r="C16" s="24">
        <f>'3-ATA'!C59</f>
        <v>-2926544.03</v>
      </c>
      <c r="D16" s="24">
        <f>'3-ATA'!E59</f>
        <v>-98363.18</v>
      </c>
      <c r="E16" s="24">
        <f>'3-ATA'!F59</f>
        <v>-12358.76</v>
      </c>
      <c r="F16" s="24">
        <f>'3-ATA'!G59</f>
        <v>-3073407.3</v>
      </c>
      <c r="G16" s="24">
        <f>'3-ATA'!H59</f>
        <v>2076.25</v>
      </c>
      <c r="H16" s="24">
        <f>'3-ATA'!I59</f>
        <v>0</v>
      </c>
      <c r="I16" t="s">
        <v>487</v>
      </c>
      <c r="K16" s="4">
        <f>A16</f>
        <v>104</v>
      </c>
    </row>
    <row r="17" spans="1:13">
      <c r="A17" s="4">
        <f t="shared" si="0"/>
        <v>105</v>
      </c>
      <c r="B17" s="6" t="s">
        <v>488</v>
      </c>
      <c r="C17" s="24">
        <f>C14+C15+C16</f>
        <v>14313911.50927954</v>
      </c>
      <c r="D17" s="24">
        <f t="shared" ref="D17:H17" si="2">D14+D15+D16</f>
        <v>467046.38196661306</v>
      </c>
      <c r="E17" s="24">
        <f t="shared" si="2"/>
        <v>126522.88953549742</v>
      </c>
      <c r="F17" s="24">
        <f t="shared" si="2"/>
        <v>21787436.240295038</v>
      </c>
      <c r="G17" s="24">
        <f t="shared" si="2"/>
        <v>19414.78302565511</v>
      </c>
      <c r="H17" s="24">
        <f t="shared" si="2"/>
        <v>0</v>
      </c>
      <c r="I17" s="8" t="s">
        <v>489</v>
      </c>
      <c r="K17" s="4">
        <f>A17</f>
        <v>105</v>
      </c>
    </row>
    <row r="18" spans="1:13" s="8" customFormat="1">
      <c r="A18" s="91">
        <f t="shared" si="0"/>
        <v>106</v>
      </c>
      <c r="B18" s="535" t="s">
        <v>490</v>
      </c>
      <c r="C18" s="536">
        <f>'9-WholesaleRevenues'!D26+('9-WholesaleRevenues'!C78*'15-LossFactors'!$C$23/'15-LossFactors'!$C$21)</f>
        <v>1723971.0150777898</v>
      </c>
      <c r="D18" s="536">
        <f>'9-WholesaleRevenues'!F26</f>
        <v>36480</v>
      </c>
      <c r="E18" s="536">
        <f>'9-WholesaleRevenues'!G26</f>
        <v>8241</v>
      </c>
      <c r="F18" s="536">
        <f>'9-WholesaleRevenues'!H26+('9-WholesaleRevenues'!E78*'15-LossFactors'!$C$23/'15-LossFactors'!$C$21)</f>
        <v>1974869.0066285585</v>
      </c>
      <c r="G18" s="536">
        <f>'9-WholesaleRevenues'!I26</f>
        <v>883</v>
      </c>
      <c r="H18" s="536">
        <f>'8-DemandForAllocation'!M24</f>
        <v>0</v>
      </c>
      <c r="I18" s="537" t="s">
        <v>103</v>
      </c>
      <c r="K18" s="91">
        <f>A18</f>
        <v>106</v>
      </c>
    </row>
    <row r="19" spans="1:13">
      <c r="A19" s="4">
        <f t="shared" si="0"/>
        <v>107</v>
      </c>
      <c r="B19" s="6" t="s">
        <v>491</v>
      </c>
      <c r="C19" s="468">
        <f>C17/C18</f>
        <v>8.302872486886713</v>
      </c>
      <c r="D19" s="468">
        <f t="shared" ref="D19:G19" si="3">D17/D18</f>
        <v>12.802806523207595</v>
      </c>
      <c r="E19" s="468">
        <f t="shared" si="3"/>
        <v>15.352856393095186</v>
      </c>
      <c r="F19" s="468">
        <f t="shared" si="3"/>
        <v>11.032345014867564</v>
      </c>
      <c r="G19" s="468">
        <f t="shared" si="3"/>
        <v>21.987296744796275</v>
      </c>
      <c r="H19">
        <f>IF(H18=0,0,H17/H18)</f>
        <v>0</v>
      </c>
      <c r="I19" t="s">
        <v>492</v>
      </c>
      <c r="K19" s="4">
        <f>A19</f>
        <v>107</v>
      </c>
      <c r="M19" s="29"/>
    </row>
    <row r="21" spans="1:13">
      <c r="C21" s="3" t="s">
        <v>493</v>
      </c>
      <c r="F21" s="29"/>
    </row>
    <row r="22" spans="1:13">
      <c r="A22" s="4">
        <f>A19+1</f>
        <v>108</v>
      </c>
      <c r="C22" s="478">
        <f>'1-DRR'!J121</f>
        <v>2731003862.3862753</v>
      </c>
      <c r="K22" s="4">
        <f>A22</f>
        <v>108</v>
      </c>
    </row>
    <row r="23" spans="1:13">
      <c r="I23" s="4"/>
      <c r="K23"/>
    </row>
    <row r="24" spans="1:13" ht="29">
      <c r="B24" s="295"/>
      <c r="C24" s="397" t="s">
        <v>354</v>
      </c>
      <c r="D24" s="397" t="s">
        <v>358</v>
      </c>
      <c r="E24" s="129" t="s">
        <v>128</v>
      </c>
    </row>
    <row r="25" spans="1:13">
      <c r="A25" s="4">
        <f>A22+1</f>
        <v>109</v>
      </c>
      <c r="B25" s="6" t="s">
        <v>362</v>
      </c>
      <c r="C25" s="375">
        <f>'3-ATA'!C11</f>
        <v>1.5208221936570726E-3</v>
      </c>
      <c r="D25" s="375">
        <f>'3-ATA'!E11</f>
        <v>1.3541103804413403E-3</v>
      </c>
      <c r="E25" t="s">
        <v>494</v>
      </c>
      <c r="K25" s="4">
        <f t="shared" ref="K25:K31" si="4">A25</f>
        <v>109</v>
      </c>
    </row>
    <row r="26" spans="1:13">
      <c r="A26" s="4">
        <f>A25+1</f>
        <v>110</v>
      </c>
      <c r="B26" s="6" t="s">
        <v>495</v>
      </c>
      <c r="C26" s="24">
        <f>C25*$C$22</f>
        <v>4153371.284880233</v>
      </c>
      <c r="D26" s="24">
        <f t="shared" ref="D26" si="5">D25*$C$22</f>
        <v>3698080.6790826488</v>
      </c>
      <c r="E26" t="s">
        <v>496</v>
      </c>
      <c r="F26" s="24"/>
      <c r="G26" s="29"/>
      <c r="K26" s="4">
        <f t="shared" si="4"/>
        <v>110</v>
      </c>
    </row>
    <row r="27" spans="1:13">
      <c r="A27" s="4">
        <f t="shared" ref="A27:A31" si="6">A26+1</f>
        <v>111</v>
      </c>
      <c r="B27" s="6" t="s">
        <v>497</v>
      </c>
      <c r="C27" s="24">
        <f>'3-ATA'!C63</f>
        <v>-3346006.26</v>
      </c>
      <c r="D27" s="24">
        <f>'3-ATA'!E63</f>
        <v>-3401933.11</v>
      </c>
      <c r="E27" t="s">
        <v>498</v>
      </c>
      <c r="G27" s="29"/>
      <c r="K27" s="4">
        <f t="shared" si="4"/>
        <v>111</v>
      </c>
    </row>
    <row r="28" spans="1:13">
      <c r="A28" s="4">
        <f t="shared" si="6"/>
        <v>112</v>
      </c>
      <c r="B28" s="6" t="s">
        <v>499</v>
      </c>
      <c r="C28" s="24">
        <f>C17-(C19*'9-WholesaleRevenues'!D26)</f>
        <v>6349620.3650185326</v>
      </c>
      <c r="D28" s="24">
        <f>F17-(F19*'9-WholesaleRevenues'!H26)</f>
        <v>6800690.5753333885</v>
      </c>
      <c r="E28" t="s">
        <v>500</v>
      </c>
      <c r="F28" s="29"/>
      <c r="K28" s="4">
        <f t="shared" si="4"/>
        <v>112</v>
      </c>
    </row>
    <row r="29" spans="1:13">
      <c r="A29" s="4">
        <f t="shared" si="6"/>
        <v>113</v>
      </c>
      <c r="B29" s="6" t="s">
        <v>501</v>
      </c>
      <c r="C29" s="24">
        <f>C27+C26+C28</f>
        <v>7156985.3898987658</v>
      </c>
      <c r="D29" s="24">
        <f t="shared" ref="D29" si="7">D27+D26+D28</f>
        <v>7096838.1444160379</v>
      </c>
      <c r="E29" t="s">
        <v>502</v>
      </c>
      <c r="F29" s="19"/>
      <c r="K29" s="4">
        <f t="shared" si="4"/>
        <v>113</v>
      </c>
    </row>
    <row r="30" spans="1:13" s="8" customFormat="1">
      <c r="A30" s="91">
        <f t="shared" si="6"/>
        <v>114</v>
      </c>
      <c r="B30" s="535" t="s">
        <v>503</v>
      </c>
      <c r="C30" s="536">
        <f>'9-WholesaleRevenues'!C78</f>
        <v>721530.80234212056</v>
      </c>
      <c r="D30" s="536">
        <f>'9-WholesaleRevenues'!E78</f>
        <v>581595</v>
      </c>
      <c r="E30" s="537" t="s">
        <v>401</v>
      </c>
      <c r="K30" s="91">
        <f t="shared" si="4"/>
        <v>114</v>
      </c>
    </row>
    <row r="31" spans="1:13">
      <c r="A31" s="4">
        <f t="shared" si="6"/>
        <v>115</v>
      </c>
      <c r="B31" s="6" t="s">
        <v>504</v>
      </c>
      <c r="C31" s="468">
        <f>C29/C30</f>
        <v>9.919168199981037</v>
      </c>
      <c r="D31" s="468">
        <f t="shared" ref="D31" si="8">D29/D30</f>
        <v>12.202371314086328</v>
      </c>
      <c r="E31" t="s">
        <v>505</v>
      </c>
      <c r="K31" s="4">
        <f t="shared" si="4"/>
        <v>115</v>
      </c>
    </row>
    <row r="32" spans="1:13">
      <c r="B32" s="6"/>
      <c r="C32" s="2"/>
      <c r="D32" s="2"/>
      <c r="E32" s="2"/>
    </row>
    <row r="33" spans="1:11">
      <c r="C33" s="468"/>
      <c r="D33" s="468"/>
      <c r="E33" s="468"/>
      <c r="F33" s="481"/>
      <c r="I33" s="481"/>
      <c r="J33" s="29"/>
    </row>
    <row r="34" spans="1:11">
      <c r="B34" s="41" t="s">
        <v>506</v>
      </c>
      <c r="C34" s="41"/>
      <c r="D34" s="41"/>
      <c r="E34" s="41"/>
      <c r="F34" s="41"/>
      <c r="G34" s="41"/>
      <c r="H34" s="41"/>
      <c r="I34" s="41"/>
      <c r="J34" s="41"/>
    </row>
    <row r="35" spans="1:11">
      <c r="A35" s="3" t="s">
        <v>92</v>
      </c>
      <c r="C35" s="3" t="s">
        <v>507</v>
      </c>
      <c r="D35" s="3" t="s">
        <v>128</v>
      </c>
      <c r="K35" s="3" t="s">
        <v>92</v>
      </c>
    </row>
    <row r="36" spans="1:11">
      <c r="A36" s="4">
        <v>200</v>
      </c>
      <c r="B36" t="s">
        <v>508</v>
      </c>
      <c r="C36" s="29">
        <f>SUM(C14:G14)</f>
        <v>43822928.824102342</v>
      </c>
      <c r="D36" s="33" t="s">
        <v>509</v>
      </c>
      <c r="K36" s="4">
        <f t="shared" ref="K36:K38" si="9">A36</f>
        <v>200</v>
      </c>
    </row>
    <row r="37" spans="1:11">
      <c r="A37" s="4">
        <f>A36+1</f>
        <v>201</v>
      </c>
      <c r="B37" s="237" t="s">
        <v>510</v>
      </c>
      <c r="C37" s="321">
        <f>SUM(C18:G18)</f>
        <v>3744444.0217063483</v>
      </c>
      <c r="D37" s="479" t="s">
        <v>511</v>
      </c>
      <c r="K37" s="4">
        <f t="shared" si="9"/>
        <v>201</v>
      </c>
    </row>
    <row r="38" spans="1:11">
      <c r="A38" s="4">
        <f>A37+1</f>
        <v>202</v>
      </c>
      <c r="B38" s="2" t="s">
        <v>512</v>
      </c>
      <c r="C38" s="468">
        <f>C36/C37</f>
        <v>11.703454122978762</v>
      </c>
      <c r="D38" t="s">
        <v>513</v>
      </c>
      <c r="K38" s="4">
        <f t="shared" si="9"/>
        <v>202</v>
      </c>
    </row>
    <row r="40" spans="1:11">
      <c r="B40" s="41" t="s">
        <v>514</v>
      </c>
      <c r="C40" s="41"/>
      <c r="D40" s="41"/>
      <c r="E40" s="41"/>
      <c r="F40" s="41"/>
      <c r="G40" s="41"/>
      <c r="H40" s="41"/>
      <c r="I40" s="41"/>
      <c r="J40" s="41"/>
    </row>
    <row r="41" spans="1:11">
      <c r="B41" s="5" t="s">
        <v>515</v>
      </c>
      <c r="C41" s="5"/>
      <c r="D41" s="5"/>
      <c r="E41" s="5"/>
      <c r="F41" s="5"/>
      <c r="G41" s="5"/>
      <c r="H41" s="5"/>
      <c r="I41" s="5"/>
      <c r="J41" s="5"/>
    </row>
    <row r="42" spans="1:11">
      <c r="B42" s="2"/>
    </row>
    <row r="43" spans="1:11">
      <c r="A43" s="3" t="s">
        <v>92</v>
      </c>
      <c r="B43" s="7" t="s">
        <v>419</v>
      </c>
      <c r="C43" s="7" t="s">
        <v>516</v>
      </c>
      <c r="D43" s="7" t="s">
        <v>517</v>
      </c>
      <c r="K43" s="3" t="s">
        <v>92</v>
      </c>
    </row>
    <row r="44" spans="1:11">
      <c r="A44" s="4">
        <v>300</v>
      </c>
      <c r="B44" s="359"/>
      <c r="C44" s="359"/>
      <c r="D44" s="366"/>
      <c r="K44" s="4">
        <f>A44</f>
        <v>300</v>
      </c>
    </row>
    <row r="45" spans="1:11">
      <c r="A45" s="4">
        <f>A44+1</f>
        <v>301</v>
      </c>
      <c r="B45" s="359"/>
      <c r="C45" s="359"/>
      <c r="D45" s="366"/>
      <c r="K45" s="4">
        <f t="shared" ref="K45:K47" si="10">A45</f>
        <v>301</v>
      </c>
    </row>
    <row r="46" spans="1:11">
      <c r="A46" s="4">
        <f t="shared" ref="A46:A47" si="11">A45+1</f>
        <v>302</v>
      </c>
      <c r="B46" s="359"/>
      <c r="C46" s="359"/>
      <c r="D46" s="366"/>
      <c r="K46" s="4">
        <f t="shared" si="10"/>
        <v>302</v>
      </c>
    </row>
    <row r="47" spans="1:11">
      <c r="A47" s="4">
        <f t="shared" si="11"/>
        <v>303</v>
      </c>
      <c r="B47" s="359"/>
      <c r="C47" s="359"/>
      <c r="D47" s="366"/>
      <c r="K47" s="4">
        <f t="shared" si="10"/>
        <v>303</v>
      </c>
    </row>
    <row r="48" spans="1:11">
      <c r="A48" s="470" t="s">
        <v>119</v>
      </c>
      <c r="D48" s="367"/>
      <c r="K48" s="4" t="str">
        <f>A48</f>
        <v>…</v>
      </c>
    </row>
    <row r="50" spans="1:11" ht="15" customHeight="1">
      <c r="B50" s="724" t="s">
        <v>518</v>
      </c>
      <c r="C50" s="724"/>
      <c r="D50" s="724"/>
      <c r="E50" s="724"/>
      <c r="F50" s="724"/>
      <c r="G50" s="724"/>
      <c r="H50" s="724"/>
      <c r="I50" s="724"/>
      <c r="J50" s="724"/>
      <c r="K50" s="485"/>
    </row>
    <row r="51" spans="1:11">
      <c r="B51" s="724"/>
      <c r="C51" s="724"/>
      <c r="D51" s="724"/>
      <c r="E51" s="724"/>
      <c r="F51" s="724"/>
      <c r="G51" s="724"/>
      <c r="H51" s="724"/>
      <c r="I51" s="724"/>
      <c r="J51" s="724"/>
      <c r="K51" s="485"/>
    </row>
    <row r="52" spans="1:11" s="86" customFormat="1">
      <c r="A52" s="528"/>
      <c r="B52" s="728" t="s">
        <v>519</v>
      </c>
      <c r="C52" s="728"/>
      <c r="D52" s="728"/>
      <c r="E52" s="728"/>
      <c r="F52" s="728"/>
      <c r="G52" s="728"/>
      <c r="H52" s="728"/>
      <c r="I52" s="728"/>
      <c r="J52" s="728"/>
      <c r="K52" s="528"/>
    </row>
    <row r="53" spans="1:11" s="86" customFormat="1">
      <c r="A53" s="528"/>
      <c r="B53" s="727" t="s">
        <v>520</v>
      </c>
      <c r="C53" s="727"/>
      <c r="D53" s="727"/>
      <c r="E53" s="727"/>
      <c r="F53" s="727"/>
      <c r="G53" s="727"/>
      <c r="H53" s="727"/>
      <c r="I53" s="727"/>
      <c r="J53" s="727"/>
      <c r="K53" s="528"/>
    </row>
    <row r="54" spans="1:11" s="86" customFormat="1">
      <c r="A54" s="528"/>
      <c r="B54" s="727"/>
      <c r="C54" s="727"/>
      <c r="D54" s="727"/>
      <c r="E54" s="727"/>
      <c r="F54" s="727"/>
      <c r="G54" s="727"/>
      <c r="H54" s="727"/>
      <c r="I54" s="727"/>
      <c r="J54" s="727"/>
      <c r="K54" s="528"/>
    </row>
  </sheetData>
  <mergeCells count="3">
    <mergeCell ref="B50:J51"/>
    <mergeCell ref="B52:J52"/>
    <mergeCell ref="B53:J54"/>
  </mergeCells>
  <phoneticPr fontId="104" type="noConversion"/>
  <printOptions horizontalCentered="1"/>
  <pageMargins left="1" right="1" top="1" bottom="1" header="0.5" footer="0.5"/>
  <pageSetup scale="47"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L32"/>
  <sheetViews>
    <sheetView view="pageBreakPreview" topLeftCell="C1" zoomScale="85" zoomScaleNormal="100" zoomScaleSheetLayoutView="85" zoomScalePageLayoutView="70" workbookViewId="0">
      <selection activeCell="D45" sqref="D45"/>
    </sheetView>
  </sheetViews>
  <sheetFormatPr defaultColWidth="9.1796875" defaultRowHeight="14.5"/>
  <cols>
    <col min="1" max="1" width="4.81640625" style="60" bestFit="1" customWidth="1"/>
    <col min="2" max="2" width="50.1796875" style="62" customWidth="1"/>
    <col min="3" max="3" width="17.81640625" style="64" customWidth="1"/>
    <col min="4" max="4" width="17.81640625" style="60" bestFit="1" customWidth="1"/>
    <col min="5" max="5" width="21.7265625" style="60" customWidth="1"/>
    <col min="6" max="6" width="24" style="60" bestFit="1" customWidth="1"/>
    <col min="7" max="7" width="44.453125" style="60" customWidth="1"/>
    <col min="8" max="8" width="6.7265625" style="60" bestFit="1" customWidth="1"/>
    <col min="9" max="9" width="29.1796875" style="60" bestFit="1" customWidth="1"/>
    <col min="10" max="10" width="17.81640625" style="60" bestFit="1" customWidth="1"/>
    <col min="11" max="11" width="13.453125" style="60" customWidth="1"/>
    <col min="12" max="12" width="10" style="60" bestFit="1" customWidth="1"/>
    <col min="13" max="14" width="15.54296875" style="60" customWidth="1"/>
    <col min="15" max="15" width="13.453125" style="60" customWidth="1"/>
    <col min="16" max="16384" width="9.1796875" style="60"/>
  </cols>
  <sheetData>
    <row r="1" spans="1:10">
      <c r="B1" s="61" t="s">
        <v>21</v>
      </c>
      <c r="C1" s="62"/>
      <c r="D1" s="62"/>
      <c r="E1" s="62"/>
      <c r="F1" s="62"/>
      <c r="G1" s="6" t="str">
        <f>CONCATENATE("Prior Year: ",'1-DRR'!$K$2)</f>
        <v>Prior Year: 2022</v>
      </c>
      <c r="H1" s="62"/>
      <c r="J1" s="63"/>
    </row>
    <row r="2" spans="1:10">
      <c r="B2" s="35" t="s">
        <v>122</v>
      </c>
      <c r="C2" s="62"/>
      <c r="D2" s="62"/>
      <c r="E2" s="62"/>
      <c r="F2" s="62"/>
      <c r="H2" s="62"/>
      <c r="J2" s="63"/>
    </row>
    <row r="3" spans="1:10">
      <c r="A3" s="3"/>
      <c r="E3" s="3"/>
      <c r="F3" s="62"/>
      <c r="G3" s="62"/>
      <c r="H3" s="62"/>
      <c r="J3" s="63"/>
    </row>
    <row r="4" spans="1:10">
      <c r="B4" s="41" t="s">
        <v>521</v>
      </c>
      <c r="C4" s="41"/>
      <c r="D4" s="41"/>
      <c r="E4" s="41"/>
      <c r="F4" s="41"/>
      <c r="G4" s="41"/>
      <c r="H4" s="5"/>
      <c r="I4" s="62"/>
      <c r="J4" s="65"/>
    </row>
    <row r="5" spans="1:10">
      <c r="B5" s="566" t="s">
        <v>522</v>
      </c>
      <c r="C5" s="5"/>
      <c r="D5" s="5"/>
      <c r="E5" s="5"/>
      <c r="F5" s="5"/>
      <c r="G5" s="5"/>
      <c r="H5" s="5"/>
      <c r="I5" s="62"/>
      <c r="J5" s="65"/>
    </row>
    <row r="6" spans="1:10">
      <c r="B6" s="5"/>
      <c r="C6" s="5"/>
      <c r="D6" s="5"/>
      <c r="E6" s="5"/>
      <c r="F6" s="5"/>
      <c r="G6" s="5"/>
      <c r="H6" s="5"/>
      <c r="I6" s="62"/>
      <c r="J6" s="65"/>
    </row>
    <row r="7" spans="1:10">
      <c r="A7" s="3" t="s">
        <v>92</v>
      </c>
      <c r="B7" s="3" t="s">
        <v>7</v>
      </c>
      <c r="F7" s="3" t="s">
        <v>523</v>
      </c>
      <c r="G7" s="3" t="s">
        <v>128</v>
      </c>
      <c r="H7" s="3" t="s">
        <v>92</v>
      </c>
      <c r="I7" s="62"/>
      <c r="J7" s="63"/>
    </row>
    <row r="8" spans="1:10">
      <c r="A8" s="66"/>
      <c r="B8" s="67" t="s">
        <v>524</v>
      </c>
      <c r="C8" s="68"/>
      <c r="D8" s="62"/>
      <c r="E8" s="66"/>
      <c r="F8" s="62"/>
      <c r="G8" s="69"/>
      <c r="H8" s="66"/>
      <c r="I8" s="62"/>
      <c r="J8" s="63"/>
    </row>
    <row r="9" spans="1:10">
      <c r="A9" s="66">
        <v>100</v>
      </c>
      <c r="B9" s="63" t="s">
        <v>525</v>
      </c>
      <c r="C9" s="68"/>
      <c r="D9" s="62"/>
      <c r="E9" s="66"/>
      <c r="F9" s="266">
        <v>35115164559</v>
      </c>
      <c r="G9" s="62" t="s">
        <v>526</v>
      </c>
      <c r="H9" s="66">
        <f t="shared" ref="H9:H16" si="0">A9</f>
        <v>100</v>
      </c>
      <c r="I9" s="62"/>
      <c r="J9" s="63"/>
    </row>
    <row r="10" spans="1:10">
      <c r="A10" s="66">
        <f>A9+1</f>
        <v>101</v>
      </c>
      <c r="B10" s="63" t="s">
        <v>527</v>
      </c>
      <c r="C10" s="70"/>
      <c r="D10" s="71"/>
      <c r="E10" s="66"/>
      <c r="F10" s="266">
        <v>0</v>
      </c>
      <c r="G10" s="62" t="s">
        <v>528</v>
      </c>
      <c r="H10" s="66">
        <f t="shared" si="0"/>
        <v>101</v>
      </c>
      <c r="I10" s="62"/>
      <c r="J10" s="63"/>
    </row>
    <row r="11" spans="1:10">
      <c r="A11" s="66">
        <f t="shared" ref="A11:A16" si="1">A10+1</f>
        <v>102</v>
      </c>
      <c r="B11" s="63" t="s">
        <v>529</v>
      </c>
      <c r="C11" s="70"/>
      <c r="D11" s="71"/>
      <c r="E11" s="66"/>
      <c r="F11" s="266">
        <v>0</v>
      </c>
      <c r="G11" s="62" t="s">
        <v>530</v>
      </c>
      <c r="H11" s="66">
        <f t="shared" si="0"/>
        <v>102</v>
      </c>
      <c r="I11" s="62"/>
      <c r="J11" s="63"/>
    </row>
    <row r="12" spans="1:10">
      <c r="A12" s="66">
        <f t="shared" si="1"/>
        <v>103</v>
      </c>
      <c r="B12" s="63" t="s">
        <v>531</v>
      </c>
      <c r="C12" s="70"/>
      <c r="D12" s="71"/>
      <c r="E12" s="66"/>
      <c r="F12" s="266">
        <v>4903468</v>
      </c>
      <c r="G12" s="62" t="s">
        <v>532</v>
      </c>
      <c r="H12" s="66">
        <f t="shared" si="0"/>
        <v>103</v>
      </c>
      <c r="I12" s="62"/>
      <c r="J12" s="63"/>
    </row>
    <row r="13" spans="1:10">
      <c r="A13" s="66">
        <f t="shared" si="1"/>
        <v>104</v>
      </c>
      <c r="B13" s="63" t="s">
        <v>533</v>
      </c>
      <c r="C13" s="70"/>
      <c r="D13" s="71"/>
      <c r="E13" s="66"/>
      <c r="F13" s="266">
        <v>30251169</v>
      </c>
      <c r="G13" s="62" t="s">
        <v>534</v>
      </c>
      <c r="H13" s="66">
        <f t="shared" si="0"/>
        <v>104</v>
      </c>
      <c r="I13" s="62"/>
      <c r="J13" s="63"/>
    </row>
    <row r="14" spans="1:10">
      <c r="A14" s="66">
        <f t="shared" si="1"/>
        <v>105</v>
      </c>
      <c r="B14" s="63" t="s">
        <v>535</v>
      </c>
      <c r="C14" s="70"/>
      <c r="D14" s="71"/>
      <c r="E14" s="66"/>
      <c r="F14" s="266">
        <v>142832914.60000002</v>
      </c>
      <c r="G14" s="62" t="s">
        <v>536</v>
      </c>
      <c r="H14" s="66">
        <f t="shared" si="0"/>
        <v>105</v>
      </c>
      <c r="I14" s="62"/>
      <c r="J14" s="63"/>
    </row>
    <row r="15" spans="1:10">
      <c r="A15" s="66">
        <f t="shared" si="1"/>
        <v>106</v>
      </c>
      <c r="B15" s="63" t="s">
        <v>537</v>
      </c>
      <c r="C15" s="70"/>
      <c r="D15" s="71"/>
      <c r="E15" s="66"/>
      <c r="F15" s="267">
        <v>36721574</v>
      </c>
      <c r="G15" s="62" t="s">
        <v>538</v>
      </c>
      <c r="H15" s="66">
        <f t="shared" si="0"/>
        <v>106</v>
      </c>
      <c r="I15" s="62"/>
      <c r="J15" s="63"/>
    </row>
    <row r="16" spans="1:10">
      <c r="A16" s="66">
        <f t="shared" si="1"/>
        <v>107</v>
      </c>
      <c r="B16" s="296" t="s">
        <v>539</v>
      </c>
      <c r="C16" s="70"/>
      <c r="D16" s="71"/>
      <c r="E16" s="66"/>
      <c r="F16" s="270">
        <f>((F9+F11+F12)-(F10+F13+F14+F15))</f>
        <v>34910262369.400002</v>
      </c>
      <c r="G16" s="62" t="str">
        <f>CONCATENATE("Lines ((",A9," + ",A11," + ",A12,") - (",A10," + ",A13," + ",A14," + ",A15," ))")</f>
        <v>Lines ((100 + 102 + 103) - (101 + 104 + 105 + 106 ))</v>
      </c>
      <c r="H16" s="66">
        <f t="shared" si="0"/>
        <v>107</v>
      </c>
      <c r="I16" s="73"/>
      <c r="J16" s="72"/>
    </row>
    <row r="17" spans="1:12">
      <c r="A17" s="66"/>
      <c r="B17" s="63"/>
      <c r="C17" s="70"/>
      <c r="D17" s="71"/>
      <c r="E17" s="66"/>
      <c r="F17" s="74"/>
      <c r="G17" s="62"/>
      <c r="H17" s="62"/>
      <c r="J17" s="63"/>
    </row>
    <row r="18" spans="1:12">
      <c r="A18" s="66"/>
      <c r="B18" s="67" t="s">
        <v>540</v>
      </c>
      <c r="C18" s="70"/>
      <c r="D18" s="71"/>
      <c r="E18" s="66"/>
      <c r="F18" s="74"/>
      <c r="G18" s="62"/>
      <c r="H18" s="62"/>
      <c r="J18" s="63"/>
    </row>
    <row r="19" spans="1:12">
      <c r="A19" s="66">
        <f>A16+1</f>
        <v>108</v>
      </c>
      <c r="B19" s="63" t="s">
        <v>541</v>
      </c>
      <c r="C19" s="70"/>
      <c r="D19" s="71"/>
      <c r="E19" s="66"/>
      <c r="F19" s="268">
        <v>1302886803</v>
      </c>
      <c r="G19" s="62" t="s">
        <v>542</v>
      </c>
      <c r="H19" s="66">
        <f t="shared" ref="H19:H26" si="2">A19</f>
        <v>108</v>
      </c>
      <c r="J19" s="63"/>
    </row>
    <row r="20" spans="1:12">
      <c r="A20" s="66">
        <f>A19+1</f>
        <v>109</v>
      </c>
      <c r="B20" s="63" t="s">
        <v>543</v>
      </c>
      <c r="C20" s="70"/>
      <c r="D20" s="71"/>
      <c r="E20" s="66"/>
      <c r="F20" s="266">
        <v>49588678.450000003</v>
      </c>
      <c r="G20" s="62" t="s">
        <v>544</v>
      </c>
      <c r="H20" s="66">
        <f t="shared" si="2"/>
        <v>109</v>
      </c>
      <c r="J20" s="63"/>
    </row>
    <row r="21" spans="1:12">
      <c r="A21" s="66">
        <f t="shared" ref="A21:A24" si="3">A20+1</f>
        <v>110</v>
      </c>
      <c r="B21" s="63" t="s">
        <v>545</v>
      </c>
      <c r="C21" s="70"/>
      <c r="D21" s="71"/>
      <c r="E21" s="66"/>
      <c r="F21" s="266">
        <v>16245343</v>
      </c>
      <c r="G21" s="62" t="s">
        <v>546</v>
      </c>
      <c r="H21" s="66">
        <f t="shared" si="2"/>
        <v>110</v>
      </c>
      <c r="J21" s="63"/>
    </row>
    <row r="22" spans="1:12">
      <c r="A22" s="66">
        <f t="shared" si="3"/>
        <v>111</v>
      </c>
      <c r="B22" s="63" t="s">
        <v>547</v>
      </c>
      <c r="C22" s="70"/>
      <c r="D22" s="71"/>
      <c r="E22" s="66"/>
      <c r="F22" s="266">
        <v>1326141</v>
      </c>
      <c r="G22" s="62" t="s">
        <v>548</v>
      </c>
      <c r="H22" s="66">
        <f t="shared" si="2"/>
        <v>111</v>
      </c>
      <c r="J22" s="63"/>
    </row>
    <row r="23" spans="1:12">
      <c r="A23" s="66">
        <f t="shared" si="3"/>
        <v>112</v>
      </c>
      <c r="B23" s="63" t="s">
        <v>549</v>
      </c>
      <c r="C23" s="70"/>
      <c r="D23" s="71"/>
      <c r="E23" s="66"/>
      <c r="F23" s="267">
        <v>139701</v>
      </c>
      <c r="G23" s="62" t="s">
        <v>550</v>
      </c>
      <c r="H23" s="66">
        <f t="shared" si="2"/>
        <v>112</v>
      </c>
      <c r="J23" s="63"/>
    </row>
    <row r="24" spans="1:12">
      <c r="A24" s="66">
        <f t="shared" si="3"/>
        <v>113</v>
      </c>
      <c r="B24" s="296" t="s">
        <v>551</v>
      </c>
      <c r="C24" s="70"/>
      <c r="D24" s="71"/>
      <c r="E24" s="66"/>
      <c r="F24" s="548">
        <f>((F19+F20+F21)-(F22+F23))</f>
        <v>1367254982.45</v>
      </c>
      <c r="G24" s="62" t="str">
        <f>CONCATENATE("Lines ((",A19," + ",A20," + ",A21,") - (",A22," + ",A23,"))")</f>
        <v>Lines ((108 + 109 + 110) - (111 + 112))</v>
      </c>
      <c r="H24" s="66">
        <f t="shared" si="2"/>
        <v>113</v>
      </c>
      <c r="J24" s="63"/>
    </row>
    <row r="25" spans="1:12">
      <c r="A25" s="66"/>
      <c r="B25" s="63"/>
      <c r="C25" s="70"/>
      <c r="D25" s="71"/>
      <c r="E25" s="66"/>
      <c r="F25" s="62"/>
      <c r="G25" s="62"/>
      <c r="H25" s="62"/>
      <c r="J25" s="63"/>
    </row>
    <row r="26" spans="1:12">
      <c r="A26" s="66">
        <f>A24+1</f>
        <v>114</v>
      </c>
      <c r="B26" s="297" t="s">
        <v>552</v>
      </c>
      <c r="C26" s="70"/>
      <c r="D26" s="71"/>
      <c r="E26" s="66"/>
      <c r="F26" s="487">
        <f>ROUND(F24/F16,4)</f>
        <v>3.9199999999999999E-2</v>
      </c>
      <c r="G26" s="62" t="str">
        <f>CONCATENATE("Line ",A24," / ","Line ",A16)</f>
        <v>Line 113 / Line 107</v>
      </c>
      <c r="H26" s="66">
        <f t="shared" si="2"/>
        <v>114</v>
      </c>
      <c r="J26" s="63"/>
    </row>
    <row r="27" spans="1:12">
      <c r="A27" s="66"/>
      <c r="B27" s="75"/>
      <c r="C27" s="70"/>
      <c r="D27" s="71"/>
      <c r="E27" s="66"/>
      <c r="F27" s="62"/>
      <c r="G27" s="62"/>
      <c r="H27" s="62"/>
      <c r="J27" s="63"/>
    </row>
    <row r="28" spans="1:12">
      <c r="A28" s="66"/>
      <c r="B28" s="75"/>
      <c r="C28" s="70"/>
      <c r="D28" s="71"/>
      <c r="E28" s="66"/>
      <c r="F28" s="62"/>
      <c r="G28" s="62"/>
      <c r="H28" s="62"/>
      <c r="J28" s="63"/>
    </row>
    <row r="29" spans="1:12">
      <c r="A29" s="66"/>
      <c r="B29" s="76"/>
      <c r="C29" s="70"/>
      <c r="D29" s="71"/>
      <c r="E29" s="66"/>
      <c r="F29" s="62"/>
      <c r="G29" s="62"/>
      <c r="H29" s="62"/>
      <c r="J29" s="63"/>
    </row>
    <row r="30" spans="1:12" ht="12.75" customHeight="1">
      <c r="A30" s="66"/>
      <c r="B30" s="8"/>
      <c r="C30" s="60"/>
      <c r="D30" s="71"/>
      <c r="E30" s="66"/>
      <c r="F30" s="62"/>
      <c r="G30" s="62"/>
      <c r="H30" s="62"/>
      <c r="J30" s="63"/>
    </row>
    <row r="31" spans="1:12">
      <c r="C31" s="77"/>
    </row>
    <row r="32" spans="1:12">
      <c r="C32" s="77"/>
      <c r="L32" s="63"/>
    </row>
  </sheetData>
  <sheetProtection formatCells="0" formatColumns="0" formatRows="0" insertColumns="0" insertRows="0" insertHyperlinks="0" deleteColumns="0" deleteRows="0" selectLockedCells="1" sort="0" autoFilter="0" pivotTables="0"/>
  <conditionalFormatting sqref="F7:G7">
    <cfRule type="duplicateValues" dxfId="5" priority="1"/>
  </conditionalFormatting>
  <printOptions horizontalCentered="1"/>
  <pageMargins left="1" right="1" top="1" bottom="1" header="0.5" footer="0.5"/>
  <pageSetup scale="61" fitToHeight="0" orientation="landscape" r:id="rId1"/>
  <headerFooter>
    <oddHeader xml:space="preserve">&amp;C&amp;"-,Bold"Pacific Gas and Electric Company
Formula Rate Model
Schedule &amp;A&amp;R&amp;10Docket No. ER20-2878-000, et al.
Annual Update RY2024
&amp;F
</oddHeader>
  </headerFooter>
  <customProperties>
    <customPr name="_pios_id" r:id="rId2"/>
    <customPr name="EpmWorksheetKeyString_GU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N47"/>
  <sheetViews>
    <sheetView view="pageBreakPreview" topLeftCell="A21" zoomScale="85" zoomScaleNormal="115" zoomScaleSheetLayoutView="85" zoomScalePageLayoutView="70" workbookViewId="0">
      <selection activeCell="D45" sqref="D45"/>
    </sheetView>
  </sheetViews>
  <sheetFormatPr defaultColWidth="9.1796875" defaultRowHeight="14.5"/>
  <cols>
    <col min="1" max="1" width="4.54296875" bestFit="1" customWidth="1"/>
    <col min="2" max="2" width="16" customWidth="1"/>
    <col min="3" max="3" width="16.1796875" customWidth="1"/>
    <col min="4" max="4" width="15.81640625" customWidth="1"/>
    <col min="5" max="5" width="15.1796875" customWidth="1"/>
    <col min="6" max="6" width="14.54296875" bestFit="1" customWidth="1"/>
    <col min="7" max="7" width="13.7265625" bestFit="1" customWidth="1"/>
    <col min="8" max="8" width="13.26953125" bestFit="1" customWidth="1"/>
    <col min="9" max="9" width="15.26953125" bestFit="1" customWidth="1"/>
    <col min="10" max="10" width="15" customWidth="1"/>
    <col min="11" max="11" width="4.54296875" bestFit="1" customWidth="1"/>
    <col min="13" max="13" width="12" bestFit="1" customWidth="1"/>
    <col min="14" max="14" width="10.54296875" bestFit="1" customWidth="1"/>
  </cols>
  <sheetData>
    <row r="1" spans="1:11">
      <c r="B1" s="2" t="s">
        <v>23</v>
      </c>
      <c r="J1" s="6" t="str">
        <f>CONCATENATE("Prior Year: ",'1-DRR'!$K$2)</f>
        <v>Prior Year: 2022</v>
      </c>
    </row>
    <row r="2" spans="1:11">
      <c r="B2" s="78" t="s">
        <v>122</v>
      </c>
      <c r="C2" s="38"/>
      <c r="J2" s="6"/>
    </row>
    <row r="3" spans="1:11">
      <c r="A3" s="3"/>
      <c r="K3" s="3"/>
    </row>
    <row r="4" spans="1:11">
      <c r="B4" s="79" t="s">
        <v>553</v>
      </c>
      <c r="C4" s="43"/>
      <c r="D4" s="43"/>
      <c r="E4" s="43"/>
      <c r="F4" s="43"/>
      <c r="G4" s="43"/>
      <c r="H4" s="43"/>
      <c r="I4" s="43"/>
      <c r="J4" s="43"/>
    </row>
    <row r="5" spans="1:11">
      <c r="A5" s="3" t="s">
        <v>92</v>
      </c>
      <c r="D5" s="80" t="s">
        <v>7</v>
      </c>
      <c r="E5" s="80" t="s">
        <v>554</v>
      </c>
      <c r="F5" s="80" t="s">
        <v>555</v>
      </c>
      <c r="K5" s="3" t="str">
        <f>A5</f>
        <v>Line</v>
      </c>
    </row>
    <row r="6" spans="1:11">
      <c r="A6" s="4">
        <v>100</v>
      </c>
      <c r="B6" s="81"/>
      <c r="C6" s="81"/>
      <c r="D6" s="81" t="s">
        <v>556</v>
      </c>
      <c r="E6" s="24">
        <f>J30</f>
        <v>13916317.264999999</v>
      </c>
      <c r="F6" t="str">
        <f>"Line "&amp;A30&amp;", "&amp;J17&amp;""</f>
        <v>Line 208, Col 9</v>
      </c>
      <c r="K6" s="4">
        <f>A6</f>
        <v>100</v>
      </c>
    </row>
    <row r="7" spans="1:11">
      <c r="A7" s="4">
        <f>A6+1</f>
        <v>101</v>
      </c>
      <c r="B7" s="81"/>
      <c r="C7" s="81"/>
      <c r="D7" s="81" t="s">
        <v>557</v>
      </c>
      <c r="E7" s="24">
        <f>G42</f>
        <v>0</v>
      </c>
      <c r="F7" t="str">
        <f>"Line "&amp;A42&amp;", "&amp;G33&amp;""</f>
        <v>Line 305, Col 6</v>
      </c>
      <c r="K7" s="4">
        <f>A7</f>
        <v>101</v>
      </c>
    </row>
    <row r="8" spans="1:11">
      <c r="A8" s="4">
        <f>A7+1</f>
        <v>102</v>
      </c>
      <c r="B8" s="81"/>
      <c r="C8" s="81"/>
      <c r="D8" s="6" t="s">
        <v>558</v>
      </c>
      <c r="E8" s="221">
        <f>E6+E7</f>
        <v>13916317.264999999</v>
      </c>
      <c r="F8" t="str">
        <f>"Line "&amp;A6&amp;" + Line "&amp;A7&amp;""</f>
        <v>Line 100 + Line 101</v>
      </c>
      <c r="K8" s="4">
        <f>A8</f>
        <v>102</v>
      </c>
    </row>
    <row r="9" spans="1:11">
      <c r="A9" s="4"/>
      <c r="B9" s="81"/>
      <c r="C9" s="81"/>
      <c r="D9" s="81"/>
      <c r="E9" s="24"/>
      <c r="K9" s="4"/>
    </row>
    <row r="10" spans="1:11">
      <c r="A10" s="4">
        <f>A8+1</f>
        <v>103</v>
      </c>
      <c r="B10" s="81"/>
      <c r="C10" s="81"/>
      <c r="D10" s="81" t="s">
        <v>559</v>
      </c>
      <c r="E10" s="24">
        <f>F30</f>
        <v>257994550</v>
      </c>
      <c r="F10" t="str">
        <f>"Line "&amp;A30&amp;", "&amp;F17&amp;""</f>
        <v>Line 208, Col 5</v>
      </c>
      <c r="K10" s="4">
        <f>A10</f>
        <v>103</v>
      </c>
    </row>
    <row r="11" spans="1:11">
      <c r="A11" s="4">
        <f>A10+1</f>
        <v>104</v>
      </c>
      <c r="B11" s="81"/>
      <c r="C11" s="81"/>
      <c r="D11" s="81" t="s">
        <v>560</v>
      </c>
      <c r="E11" s="24">
        <f>G30</f>
        <v>-5940273.2340178555</v>
      </c>
      <c r="F11" t="str">
        <f>"Line "&amp;A30&amp;", "&amp;G17&amp;""</f>
        <v>Line 208, Col 6</v>
      </c>
      <c r="K11" s="4">
        <f>A11</f>
        <v>104</v>
      </c>
    </row>
    <row r="12" spans="1:11">
      <c r="A12" s="4">
        <f>A11+1</f>
        <v>105</v>
      </c>
      <c r="B12" s="81"/>
      <c r="C12" s="81"/>
      <c r="D12" s="6" t="s">
        <v>561</v>
      </c>
      <c r="E12" s="221">
        <f>E10+E11</f>
        <v>252054276.76598215</v>
      </c>
      <c r="F12" t="str">
        <f>"Line "&amp;A10&amp;" + Line "&amp;A11&amp;""</f>
        <v>Line 103 + Line 104</v>
      </c>
      <c r="K12" s="4">
        <f>A12</f>
        <v>105</v>
      </c>
    </row>
    <row r="13" spans="1:11">
      <c r="A13" s="4"/>
      <c r="B13" s="81"/>
      <c r="C13" s="81"/>
      <c r="D13" s="81"/>
      <c r="K13" s="4"/>
    </row>
    <row r="14" spans="1:11">
      <c r="A14" s="4">
        <f>A12+1</f>
        <v>106</v>
      </c>
      <c r="B14" s="81"/>
      <c r="C14" s="81"/>
      <c r="D14" s="6" t="s">
        <v>562</v>
      </c>
      <c r="E14" s="226">
        <f>E8/E12</f>
        <v>5.5211589517762859E-2</v>
      </c>
      <c r="F14" t="str">
        <f>"Line "&amp;A8&amp;" / Line "&amp;A12&amp;""</f>
        <v>Line 102 / Line 105</v>
      </c>
      <c r="K14" s="4">
        <f>A14</f>
        <v>106</v>
      </c>
    </row>
    <row r="15" spans="1:11">
      <c r="A15" s="4"/>
      <c r="K15" s="4"/>
    </row>
    <row r="16" spans="1:11">
      <c r="B16" s="45" t="s">
        <v>563</v>
      </c>
      <c r="C16" s="43"/>
      <c r="D16" s="43"/>
      <c r="E16" s="43"/>
      <c r="F16" s="43"/>
      <c r="G16" s="43"/>
      <c r="H16" s="43"/>
      <c r="I16" s="43"/>
      <c r="J16" s="43"/>
    </row>
    <row r="17" spans="1:14">
      <c r="A17" s="4"/>
      <c r="B17" s="83" t="s">
        <v>124</v>
      </c>
      <c r="C17" s="83" t="s">
        <v>125</v>
      </c>
      <c r="D17" s="83" t="s">
        <v>126</v>
      </c>
      <c r="E17" s="83" t="s">
        <v>127</v>
      </c>
      <c r="F17" s="83" t="s">
        <v>420</v>
      </c>
      <c r="G17" s="83" t="s">
        <v>421</v>
      </c>
      <c r="H17" s="83" t="s">
        <v>422</v>
      </c>
      <c r="I17" s="83" t="s">
        <v>423</v>
      </c>
      <c r="J17" s="83" t="s">
        <v>424</v>
      </c>
      <c r="K17" s="4"/>
    </row>
    <row r="18" spans="1:14">
      <c r="A18" s="4"/>
      <c r="B18" s="84" t="s">
        <v>564</v>
      </c>
      <c r="C18" s="84" t="s">
        <v>564</v>
      </c>
      <c r="D18" s="84" t="s">
        <v>565</v>
      </c>
      <c r="E18" s="84" t="s">
        <v>564</v>
      </c>
      <c r="F18" s="84" t="s">
        <v>566</v>
      </c>
      <c r="G18" s="84" t="s">
        <v>564</v>
      </c>
      <c r="H18" s="84" t="s">
        <v>567</v>
      </c>
      <c r="I18" s="85" t="s">
        <v>568</v>
      </c>
      <c r="J18" s="85" t="s">
        <v>569</v>
      </c>
      <c r="K18" s="4"/>
    </row>
    <row r="19" spans="1:14">
      <c r="A19" s="4"/>
      <c r="B19" s="84" t="s">
        <v>103</v>
      </c>
      <c r="C19" s="84" t="s">
        <v>103</v>
      </c>
      <c r="D19" s="84"/>
      <c r="E19" s="84" t="s">
        <v>103</v>
      </c>
      <c r="F19" s="84"/>
      <c r="G19" s="84" t="s">
        <v>103</v>
      </c>
      <c r="H19" s="84"/>
      <c r="I19" s="85"/>
      <c r="J19" s="84" t="s">
        <v>425</v>
      </c>
      <c r="K19" s="4"/>
    </row>
    <row r="20" spans="1:14">
      <c r="A20" s="4"/>
      <c r="G20" s="86"/>
      <c r="J20" s="4"/>
      <c r="K20" s="4"/>
    </row>
    <row r="21" spans="1:14" ht="43.5">
      <c r="A21" s="3" t="s">
        <v>92</v>
      </c>
      <c r="B21" s="690" t="s">
        <v>570</v>
      </c>
      <c r="C21" s="690" t="s">
        <v>571</v>
      </c>
      <c r="D21" s="690" t="s">
        <v>572</v>
      </c>
      <c r="E21" s="690" t="s">
        <v>573</v>
      </c>
      <c r="F21" s="690" t="s">
        <v>574</v>
      </c>
      <c r="G21" s="690" t="s">
        <v>575</v>
      </c>
      <c r="H21" s="690" t="s">
        <v>576</v>
      </c>
      <c r="I21" s="690" t="s">
        <v>577</v>
      </c>
      <c r="J21" s="690" t="s">
        <v>578</v>
      </c>
      <c r="K21" s="3" t="str">
        <f>A21</f>
        <v>Line</v>
      </c>
    </row>
    <row r="22" spans="1:14">
      <c r="A22" s="4">
        <v>200</v>
      </c>
      <c r="B22" s="18" t="s">
        <v>579</v>
      </c>
      <c r="C22" s="549">
        <v>1914</v>
      </c>
      <c r="D22" s="551">
        <v>0.06</v>
      </c>
      <c r="E22" s="88">
        <v>1.5</v>
      </c>
      <c r="F22" s="269">
        <v>105291525</v>
      </c>
      <c r="G22" s="220">
        <v>-7366504.2509265905</v>
      </c>
      <c r="H22" s="89">
        <v>4211661</v>
      </c>
      <c r="I22" s="24">
        <f>F22+G22</f>
        <v>97925020.749073416</v>
      </c>
      <c r="J22" s="24">
        <f>(H22*E22)</f>
        <v>6317491.5</v>
      </c>
      <c r="K22" s="4">
        <f t="shared" ref="K22:K30" si="0">A22</f>
        <v>200</v>
      </c>
      <c r="M22" s="29"/>
      <c r="N22" s="29"/>
    </row>
    <row r="23" spans="1:14">
      <c r="A23" s="4">
        <f>A22+1</f>
        <v>201</v>
      </c>
      <c r="B23" s="18" t="s">
        <v>580</v>
      </c>
      <c r="C23" s="550">
        <v>1929</v>
      </c>
      <c r="D23" s="551">
        <v>5.5E-2</v>
      </c>
      <c r="E23" s="88">
        <v>1.375</v>
      </c>
      <c r="F23" s="269">
        <v>29329075</v>
      </c>
      <c r="G23" s="220">
        <v>-173730</v>
      </c>
      <c r="H23" s="89">
        <v>1173163</v>
      </c>
      <c r="I23" s="24">
        <f t="shared" ref="I23:I29" si="1">F23+G23</f>
        <v>29155345</v>
      </c>
      <c r="J23" s="24">
        <f t="shared" ref="J23:J29" si="2">(H23*E23)</f>
        <v>1613099.125</v>
      </c>
      <c r="K23" s="4">
        <f t="shared" si="0"/>
        <v>201</v>
      </c>
      <c r="M23" s="29"/>
      <c r="N23" s="29"/>
    </row>
    <row r="24" spans="1:14">
      <c r="A24" s="4">
        <f t="shared" ref="A24:A30" si="3">A23+1</f>
        <v>202</v>
      </c>
      <c r="B24" s="18" t="s">
        <v>581</v>
      </c>
      <c r="C24" s="550">
        <v>15166</v>
      </c>
      <c r="D24" s="551">
        <v>0.05</v>
      </c>
      <c r="E24" s="88">
        <v>1.25</v>
      </c>
      <c r="F24" s="269">
        <v>10000000</v>
      </c>
      <c r="G24" s="220">
        <v>726283</v>
      </c>
      <c r="H24" s="89">
        <v>400000</v>
      </c>
      <c r="I24" s="24">
        <f t="shared" si="1"/>
        <v>10726283</v>
      </c>
      <c r="J24" s="24">
        <f t="shared" si="2"/>
        <v>500000</v>
      </c>
      <c r="K24" s="4">
        <f t="shared" si="0"/>
        <v>202</v>
      </c>
      <c r="M24" s="29"/>
      <c r="N24" s="29"/>
    </row>
    <row r="25" spans="1:14">
      <c r="A25" s="4">
        <f t="shared" si="3"/>
        <v>203</v>
      </c>
      <c r="B25" s="18" t="s">
        <v>582</v>
      </c>
      <c r="C25" s="550">
        <v>17712</v>
      </c>
      <c r="D25" s="551">
        <v>0.05</v>
      </c>
      <c r="E25" s="88">
        <v>1.25</v>
      </c>
      <c r="F25" s="269">
        <v>44454300</v>
      </c>
      <c r="G25" s="220">
        <v>-716366</v>
      </c>
      <c r="H25" s="89">
        <v>1778172</v>
      </c>
      <c r="I25" s="24">
        <f t="shared" si="1"/>
        <v>43737934</v>
      </c>
      <c r="J25" s="24">
        <f t="shared" si="2"/>
        <v>2222715</v>
      </c>
      <c r="K25" s="4">
        <f t="shared" si="0"/>
        <v>203</v>
      </c>
      <c r="M25" s="29"/>
      <c r="N25" s="29"/>
    </row>
    <row r="26" spans="1:14">
      <c r="A26" s="4">
        <f t="shared" si="3"/>
        <v>204</v>
      </c>
      <c r="B26" s="18" t="s">
        <v>583</v>
      </c>
      <c r="C26" s="550">
        <v>18022</v>
      </c>
      <c r="D26" s="551">
        <v>0.05</v>
      </c>
      <c r="E26" s="88">
        <v>1.25</v>
      </c>
      <c r="F26" s="269">
        <v>23358050</v>
      </c>
      <c r="G26" s="220">
        <v>542539</v>
      </c>
      <c r="H26" s="89">
        <v>934322</v>
      </c>
      <c r="I26" s="24">
        <f t="shared" si="1"/>
        <v>23900589</v>
      </c>
      <c r="J26" s="24">
        <f t="shared" si="2"/>
        <v>1167902.5</v>
      </c>
      <c r="K26" s="4">
        <f t="shared" si="0"/>
        <v>204</v>
      </c>
      <c r="M26" s="29"/>
      <c r="N26" s="29"/>
    </row>
    <row r="27" spans="1:14">
      <c r="A27" s="4">
        <f t="shared" si="3"/>
        <v>205</v>
      </c>
      <c r="B27" s="18" t="s">
        <v>584</v>
      </c>
      <c r="C27" s="550">
        <v>18288</v>
      </c>
      <c r="D27" s="551">
        <v>4.8000000000000001E-2</v>
      </c>
      <c r="E27" s="88">
        <v>1.2</v>
      </c>
      <c r="F27" s="269">
        <v>19825775</v>
      </c>
      <c r="G27" s="220">
        <v>1006320.34261801</v>
      </c>
      <c r="H27" s="89">
        <v>793031</v>
      </c>
      <c r="I27" s="24">
        <f t="shared" si="1"/>
        <v>20832095.342618011</v>
      </c>
      <c r="J27" s="24">
        <f t="shared" si="2"/>
        <v>951637.2</v>
      </c>
      <c r="K27" s="4">
        <f t="shared" si="0"/>
        <v>205</v>
      </c>
      <c r="M27" s="29"/>
      <c r="N27" s="29"/>
    </row>
    <row r="28" spans="1:14">
      <c r="A28" s="4">
        <f t="shared" si="3"/>
        <v>206</v>
      </c>
      <c r="B28" s="18" t="s">
        <v>585</v>
      </c>
      <c r="C28" s="550">
        <v>19897</v>
      </c>
      <c r="D28" s="551">
        <v>4.4999999999999998E-2</v>
      </c>
      <c r="E28" s="88">
        <v>1.125</v>
      </c>
      <c r="F28" s="269">
        <v>15278550</v>
      </c>
      <c r="G28" s="220">
        <v>70693.849467725595</v>
      </c>
      <c r="H28" s="89">
        <v>611142</v>
      </c>
      <c r="I28" s="24">
        <f t="shared" si="1"/>
        <v>15349243.849467726</v>
      </c>
      <c r="J28" s="24">
        <f t="shared" si="2"/>
        <v>687534.75</v>
      </c>
      <c r="K28" s="4">
        <f t="shared" si="0"/>
        <v>206</v>
      </c>
      <c r="M28" s="29"/>
      <c r="N28" s="29"/>
    </row>
    <row r="29" spans="1:14">
      <c r="A29" s="4">
        <f t="shared" si="3"/>
        <v>207</v>
      </c>
      <c r="B29" s="18" t="s">
        <v>586</v>
      </c>
      <c r="C29" s="550">
        <v>20387</v>
      </c>
      <c r="D29" s="551">
        <v>4.36E-2</v>
      </c>
      <c r="E29" s="88">
        <v>1.0900000000000001</v>
      </c>
      <c r="F29" s="269">
        <v>10457275</v>
      </c>
      <c r="G29" s="220">
        <v>-29509.175177000001</v>
      </c>
      <c r="H29" s="89">
        <v>418291</v>
      </c>
      <c r="I29" s="24">
        <f t="shared" si="1"/>
        <v>10427765.824823</v>
      </c>
      <c r="J29" s="24">
        <f t="shared" si="2"/>
        <v>455937.19000000006</v>
      </c>
      <c r="K29" s="4">
        <f t="shared" si="0"/>
        <v>207</v>
      </c>
      <c r="M29" s="29"/>
      <c r="N29" s="29"/>
    </row>
    <row r="30" spans="1:14">
      <c r="A30" s="4">
        <f t="shared" si="3"/>
        <v>208</v>
      </c>
      <c r="E30" s="90" t="s">
        <v>587</v>
      </c>
      <c r="F30" s="270">
        <f>SUM(F22:F29)</f>
        <v>257994550</v>
      </c>
      <c r="G30" s="270">
        <f>SUM(G22:G29)</f>
        <v>-5940273.2340178555</v>
      </c>
      <c r="H30" s="235">
        <f>SUM(H22:H29)</f>
        <v>10319782</v>
      </c>
      <c r="I30" s="270">
        <f>SUM(I22:I29)</f>
        <v>252054276.76598215</v>
      </c>
      <c r="J30" s="270">
        <f>SUM(J22:J29)</f>
        <v>13916317.264999999</v>
      </c>
      <c r="K30" s="4">
        <f t="shared" si="0"/>
        <v>208</v>
      </c>
      <c r="N30" s="19"/>
    </row>
    <row r="32" spans="1:14">
      <c r="B32" s="45" t="s">
        <v>588</v>
      </c>
      <c r="C32" s="43"/>
      <c r="D32" s="43"/>
      <c r="E32" s="43"/>
      <c r="F32" s="43"/>
      <c r="G32" s="43"/>
      <c r="H32" s="43"/>
      <c r="I32" s="43"/>
      <c r="J32" s="43"/>
    </row>
    <row r="33" spans="1:11">
      <c r="B33" s="83" t="s">
        <v>124</v>
      </c>
      <c r="C33" s="83" t="s">
        <v>125</v>
      </c>
      <c r="D33" s="83" t="s">
        <v>126</v>
      </c>
      <c r="E33" s="83" t="s">
        <v>127</v>
      </c>
      <c r="F33" s="83" t="s">
        <v>420</v>
      </c>
      <c r="G33" s="83" t="s">
        <v>421</v>
      </c>
    </row>
    <row r="34" spans="1:11">
      <c r="B34" s="91"/>
      <c r="C34" s="91"/>
      <c r="D34" s="91"/>
      <c r="E34" s="91"/>
      <c r="F34" s="91"/>
      <c r="G34" s="91"/>
      <c r="H34" s="92"/>
    </row>
    <row r="36" spans="1:11" ht="43.5">
      <c r="A36" s="3" t="s">
        <v>92</v>
      </c>
      <c r="B36" s="691" t="s">
        <v>589</v>
      </c>
      <c r="C36" s="690" t="s">
        <v>590</v>
      </c>
      <c r="D36" s="692" t="s">
        <v>591</v>
      </c>
      <c r="E36" s="692" t="s">
        <v>592</v>
      </c>
      <c r="F36" s="692" t="s">
        <v>593</v>
      </c>
      <c r="G36" s="692" t="s">
        <v>594</v>
      </c>
      <c r="H36" s="693" t="s">
        <v>595</v>
      </c>
      <c r="I36" s="34"/>
      <c r="K36" s="3" t="str">
        <f t="shared" ref="K36:K42" si="4">A36</f>
        <v>Line</v>
      </c>
    </row>
    <row r="37" spans="1:11">
      <c r="A37" s="4">
        <v>300</v>
      </c>
      <c r="B37" s="93"/>
      <c r="C37" s="94"/>
      <c r="D37" s="95"/>
      <c r="E37" s="95"/>
      <c r="F37" s="87"/>
      <c r="G37" s="95"/>
      <c r="H37" s="96"/>
      <c r="K37" s="4">
        <f t="shared" si="4"/>
        <v>300</v>
      </c>
    </row>
    <row r="38" spans="1:11">
      <c r="A38" s="4">
        <f>A37+1</f>
        <v>301</v>
      </c>
      <c r="B38" s="93"/>
      <c r="C38" s="94"/>
      <c r="D38" s="95"/>
      <c r="E38" s="95"/>
      <c r="F38" s="87"/>
      <c r="G38" s="95"/>
      <c r="H38" s="95"/>
      <c r="K38" s="4">
        <f t="shared" si="4"/>
        <v>301</v>
      </c>
    </row>
    <row r="39" spans="1:11">
      <c r="A39" s="4">
        <f t="shared" ref="A39:A42" si="5">A38+1</f>
        <v>302</v>
      </c>
      <c r="B39" s="93"/>
      <c r="C39" s="94"/>
      <c r="D39" s="95"/>
      <c r="E39" s="95"/>
      <c r="F39" s="87"/>
      <c r="G39" s="95"/>
      <c r="H39" s="95"/>
      <c r="K39" s="4">
        <f t="shared" si="4"/>
        <v>302</v>
      </c>
    </row>
    <row r="40" spans="1:11">
      <c r="A40" s="4">
        <f t="shared" si="5"/>
        <v>303</v>
      </c>
      <c r="B40" s="97"/>
      <c r="C40" s="94"/>
      <c r="D40" s="95"/>
      <c r="E40" s="95"/>
      <c r="F40" s="87"/>
      <c r="G40" s="95"/>
      <c r="H40" s="95"/>
      <c r="K40" s="4">
        <f t="shared" si="4"/>
        <v>303</v>
      </c>
    </row>
    <row r="41" spans="1:11">
      <c r="A41" s="4">
        <f t="shared" si="5"/>
        <v>304</v>
      </c>
      <c r="B41" s="98" t="s">
        <v>596</v>
      </c>
      <c r="C41" s="99"/>
      <c r="D41" s="99"/>
      <c r="E41" s="99"/>
      <c r="F41" s="99"/>
      <c r="G41" s="99"/>
      <c r="H41" s="99"/>
      <c r="I41" s="100"/>
      <c r="K41" s="4">
        <f t="shared" si="4"/>
        <v>304</v>
      </c>
    </row>
    <row r="42" spans="1:11">
      <c r="A42" s="4">
        <f t="shared" si="5"/>
        <v>305</v>
      </c>
      <c r="D42" s="90" t="s">
        <v>597</v>
      </c>
      <c r="E42" s="82">
        <f>SUM(E37:E41)*1000</f>
        <v>0</v>
      </c>
      <c r="F42" s="82"/>
      <c r="G42" s="82">
        <f>SUM(G37:G41)*1000</f>
        <v>0</v>
      </c>
      <c r="K42" s="4">
        <f t="shared" si="4"/>
        <v>305</v>
      </c>
    </row>
    <row r="44" spans="1:11">
      <c r="B44" s="7" t="s">
        <v>598</v>
      </c>
    </row>
    <row r="45" spans="1:11">
      <c r="B45" t="s">
        <v>599</v>
      </c>
    </row>
    <row r="46" spans="1:11">
      <c r="B46" t="s">
        <v>600</v>
      </c>
    </row>
    <row r="47" spans="1:11">
      <c r="B47" s="553" t="s">
        <v>601</v>
      </c>
    </row>
  </sheetData>
  <printOptions horizontalCentered="1"/>
  <pageMargins left="1" right="1" top="1" bottom="1" header="0.5" footer="0.5"/>
  <pageSetup scale="80" fitToHeight="0" orientation="landscape" r:id="rId1"/>
  <headerFooter>
    <oddHeader xml:space="preserve">&amp;C&amp;"-,Bold"Pacific Gas and Electric Company
Formula Rate Model
Schedule &amp;A&amp;R&amp;10Docket No. ER20-2878-000, et al.
Annual Update RY2024
&amp;F
</oddHeader>
  </headerFooter>
  <rowBreaks count="1" manualBreakCount="1">
    <brk id="31" max="10" man="1"/>
  </rowBreaks>
  <customProperties>
    <customPr name="_pios_id" r:id="rId2"/>
    <customPr name="Epm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E3609C5199AE40B0C8A1B9586D8961" ma:contentTypeVersion="17" ma:contentTypeDescription="Create a new document." ma:contentTypeScope="" ma:versionID="2c9672caac81e3695069e593100cd45d">
  <xsd:schema xmlns:xsd="http://www.w3.org/2001/XMLSchema" xmlns:xs="http://www.w3.org/2001/XMLSchema" xmlns:p="http://schemas.microsoft.com/office/2006/metadata/properties" xmlns:ns2="97e57212-3e02-407f-8b2d-05f7d7f19b15" xmlns:ns3="54d2ddc9-e9d1-4372-9b24-6a2b5c99b697" xmlns:ns4="e88bc686-2a5a-4a8c-98ae-cb9429efaf58" targetNamespace="http://schemas.microsoft.com/office/2006/metadata/properties" ma:root="true" ma:fieldsID="3e8df36792ddf9a89cfb384edeabdc99" ns2:_="" ns3:_="" ns4:_="">
    <xsd:import namespace="97e57212-3e02-407f-8b2d-05f7d7f19b15"/>
    <xsd:import namespace="54d2ddc9-e9d1-4372-9b24-6a2b5c99b697"/>
    <xsd:import namespace="e88bc686-2a5a-4a8c-98ae-cb9429efaf58"/>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3:MediaServiceSearchProperties" minOccurs="0"/>
                <xsd:element ref="ns4:SharedWithUsers" minOccurs="0"/>
                <xsd:element ref="ns4: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ma:readOnly="false">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4d2ddc9-e9d1-4372-9b24-6a2b5c99b697"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88bc686-2a5a-4a8c-98ae-cb9429efaf58"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b06c99b3-cd83-43e5-b4c1-d62f316c1e37" ContentTypeId="0x0101" PreviousValue="false" LastSyncTimeStamp="2020-01-27T23:41:31.003Z"/>
</file>

<file path=customXml/item3.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379BDF-DEF7-4C92-8FC2-7CB4A198DB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54d2ddc9-e9d1-4372-9b24-6a2b5c99b697"/>
    <ds:schemaRef ds:uri="e88bc686-2a5a-4a8c-98ae-cb9429efaf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C7709D-23EF-407B-A2EF-BF619D06526B}">
  <ds:schemaRefs>
    <ds:schemaRef ds:uri="Microsoft.SharePoint.Taxonomy.ContentTypeSync"/>
  </ds:schemaRefs>
</ds:datastoreItem>
</file>

<file path=customXml/itemProps3.xml><?xml version="1.0" encoding="utf-8"?>
<ds:datastoreItem xmlns:ds="http://schemas.openxmlformats.org/officeDocument/2006/customXml" ds:itemID="{BE8CDF2E-51A9-4EE3-9FB5-853DE92D28AB}">
  <ds:schemaRefs>
    <ds:schemaRef ds:uri="54d2ddc9-e9d1-4372-9b24-6a2b5c99b697"/>
    <ds:schemaRef ds:uri="http://purl.org/dc/terms/"/>
    <ds:schemaRef ds:uri="http://schemas.microsoft.com/office/2006/documentManagement/types"/>
    <ds:schemaRef ds:uri="http://purl.org/dc/dcmitype/"/>
    <ds:schemaRef ds:uri="http://purl.org/dc/elements/1.1/"/>
    <ds:schemaRef ds:uri="http://schemas.microsoft.com/office/2006/metadata/properties"/>
    <ds:schemaRef ds:uri="97e57212-3e02-407f-8b2d-05f7d7f19b15"/>
    <ds:schemaRef ds:uri="e88bc686-2a5a-4a8c-98ae-cb9429efaf58"/>
    <ds:schemaRef ds:uri="http://schemas.microsoft.com/office/infopath/2007/PartnerControl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1FD4CBE4-58C8-40B6-AB6E-602FB3E1C0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33</vt:i4>
      </vt:variant>
    </vt:vector>
  </HeadingPairs>
  <TitlesOfParts>
    <vt:vector size="65" baseType="lpstr">
      <vt:lpstr>Cover Page</vt:lpstr>
      <vt:lpstr>ToC</vt:lpstr>
      <vt:lpstr>Formatting and References</vt:lpstr>
      <vt:lpstr>1-DRR</vt:lpstr>
      <vt:lpstr>2-True-upDRR</vt:lpstr>
      <vt:lpstr>3-ATA</vt:lpstr>
      <vt:lpstr>4-WholesaleRates</vt:lpstr>
      <vt:lpstr>5-CostofCap-3</vt:lpstr>
      <vt:lpstr>5-CostofCap-4</vt:lpstr>
      <vt:lpstr>6-PlantJurisdiction</vt:lpstr>
      <vt:lpstr>7-PlantInService</vt:lpstr>
      <vt:lpstr>8-DemandForAllocation</vt:lpstr>
      <vt:lpstr>9-WholesaleRevenues</vt:lpstr>
      <vt:lpstr>10-AccDep</vt:lpstr>
      <vt:lpstr>11-Depreciation</vt:lpstr>
      <vt:lpstr>12-DepRates</vt:lpstr>
      <vt:lpstr>13-WorkCap</vt:lpstr>
      <vt:lpstr>14-ADIT</vt:lpstr>
      <vt:lpstr>15-LossFactors</vt:lpstr>
      <vt:lpstr>16-UnfundedReserves</vt:lpstr>
      <vt:lpstr>17-RegAssets-1</vt:lpstr>
      <vt:lpstr>17-RegAssets-2</vt:lpstr>
      <vt:lpstr>17-RegAssets-3</vt:lpstr>
      <vt:lpstr>18-OandM</vt:lpstr>
      <vt:lpstr>19-AandG</vt:lpstr>
      <vt:lpstr>20-RevenueCredits</vt:lpstr>
      <vt:lpstr>21-CoO</vt:lpstr>
      <vt:lpstr>22-TaxRates</vt:lpstr>
      <vt:lpstr>23-CustServCharge</vt:lpstr>
      <vt:lpstr>24-Allocators</vt:lpstr>
      <vt:lpstr>25-RevenueFeeFactors</vt:lpstr>
      <vt:lpstr>26-NPandS</vt:lpstr>
      <vt:lpstr>'10-AccDep'!Print_Area</vt:lpstr>
      <vt:lpstr>'13-WorkCap'!Print_Area</vt:lpstr>
      <vt:lpstr>'14-ADIT'!Print_Area</vt:lpstr>
      <vt:lpstr>'15-LossFactors'!Print_Area</vt:lpstr>
      <vt:lpstr>'16-UnfundedReserves'!Print_Area</vt:lpstr>
      <vt:lpstr>'17-RegAssets-1'!Print_Area</vt:lpstr>
      <vt:lpstr>'17-RegAssets-2'!Print_Area</vt:lpstr>
      <vt:lpstr>'17-RegAssets-3'!Print_Area</vt:lpstr>
      <vt:lpstr>'18-OandM'!Print_Area</vt:lpstr>
      <vt:lpstr>'19-AandG'!Print_Area</vt:lpstr>
      <vt:lpstr>'1-DRR'!Print_Area</vt:lpstr>
      <vt:lpstr>'20-RevenueCredits'!Print_Area</vt:lpstr>
      <vt:lpstr>'22-TaxRates'!Print_Area</vt:lpstr>
      <vt:lpstr>'23-CustServCharge'!Print_Area</vt:lpstr>
      <vt:lpstr>'24-Allocators'!Print_Area</vt:lpstr>
      <vt:lpstr>'25-RevenueFeeFactors'!Print_Area</vt:lpstr>
      <vt:lpstr>'26-NPandS'!Print_Area</vt:lpstr>
      <vt:lpstr>'2-True-upDRR'!Print_Area</vt:lpstr>
      <vt:lpstr>'3-ATA'!Print_Area</vt:lpstr>
      <vt:lpstr>'5-CostofCap-3'!Print_Area</vt:lpstr>
      <vt:lpstr>'5-CostofCap-4'!Print_Area</vt:lpstr>
      <vt:lpstr>'6-PlantJurisdiction'!Print_Area</vt:lpstr>
      <vt:lpstr>'7-PlantInService'!Print_Area</vt:lpstr>
      <vt:lpstr>'8-DemandForAllocation'!Print_Area</vt:lpstr>
      <vt:lpstr>'9-WholesaleRevenues'!Print_Area</vt:lpstr>
      <vt:lpstr>'Cover Page'!Print_Area</vt:lpstr>
      <vt:lpstr>'10-AccDep'!Print_Titles</vt:lpstr>
      <vt:lpstr>'11-Depreciation'!Print_Titles</vt:lpstr>
      <vt:lpstr>'13-WorkCap'!Print_Titles</vt:lpstr>
      <vt:lpstr>'14-ADIT'!Print_Titles</vt:lpstr>
      <vt:lpstr>'1-DRR'!Print_Titles</vt:lpstr>
      <vt:lpstr>'2-True-upDRR'!Print_Titles</vt:lpstr>
      <vt:lpstr>'7-PlantInService'!Print_Titles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2020-03-09T20:11:41Z</dcterms:created>
  <dcterms:modified xsi:type="dcterms:W3CDTF">2023-11-30T20:09:22Z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0x01010074E3609C5199AE40B0C8A1B9586D8961</vt:lpwstr>
  </property>
  <property fmtid="{D5CDD505-2E9C-101B-9397-08002B2CF9AE}" pid="3" name="pgeRecordCategory">
    <vt:lpwstr/>
  </property>
  <property fmtid="{D5CDD505-2E9C-101B-9397-08002B2CF9AE}" pid="4" name="MSIP_Label_c5dfce28-a393-415c-a886-b7f3e3fd647c_Enabled">
    <vt:lpwstr>true</vt:lpwstr>
  </property>
  <property fmtid="{D5CDD505-2E9C-101B-9397-08002B2CF9AE}" pid="5" name="MSIP_Label_c5dfce28-a393-415c-a886-b7f3e3fd647c_SetDate">
    <vt:lpwstr>2023-11-22T22:59:21Z</vt:lpwstr>
  </property>
  <property fmtid="{D5CDD505-2E9C-101B-9397-08002B2CF9AE}" pid="6" name="MSIP_Label_c5dfce28-a393-415c-a886-b7f3e3fd647c_Method">
    <vt:lpwstr>Privileged</vt:lpwstr>
  </property>
  <property fmtid="{D5CDD505-2E9C-101B-9397-08002B2CF9AE}" pid="7" name="MSIP_Label_c5dfce28-a393-415c-a886-b7f3e3fd647c_Name">
    <vt:lpwstr>Confidential (With Markings)</vt:lpwstr>
  </property>
  <property fmtid="{D5CDD505-2E9C-101B-9397-08002B2CF9AE}" pid="8" name="MSIP_Label_c5dfce28-a393-415c-a886-b7f3e3fd647c_SiteId">
    <vt:lpwstr>44ae661a-ece6-41aa-bc96-7c2c85a08941</vt:lpwstr>
  </property>
  <property fmtid="{D5CDD505-2E9C-101B-9397-08002B2CF9AE}" pid="9" name="MSIP_Label_c5dfce28-a393-415c-a886-b7f3e3fd647c_ActionId">
    <vt:lpwstr>68626b03-8323-485e-8962-0d33f04d7520</vt:lpwstr>
  </property>
  <property fmtid="{D5CDD505-2E9C-101B-9397-08002B2CF9AE}" pid="10" name="MSIP_Label_c5dfce28-a393-415c-a886-b7f3e3fd647c_ContentBits">
    <vt:lpwstr>3</vt:lpwstr>
  </property>
</Properties>
</file>