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POWER\Regulatory_Legislative\!Regulatory\PG&amp;E Securitization Application (A.20-04-023)\8. CCSF Testimony Drafting\workpapers_calcs\"/>
    </mc:Choice>
  </mc:AlternateContent>
  <xr:revisionPtr revIDLastSave="0" documentId="8_{8F06BCA0-7346-400E-9F5F-B530D43F652E}" xr6:coauthVersionLast="44" xr6:coauthVersionMax="44" xr10:uidLastSave="{00000000-0000-0000-0000-000000000000}"/>
  <bookViews>
    <workbookView xWindow="20370" yWindow="-120" windowWidth="29040" windowHeight="15840" tabRatio="865" firstSheet="1" activeTab="11" xr2:uid="{00000000-000D-0000-FFFF-FFFF00000000}"/>
  </bookViews>
  <sheets>
    <sheet name="Exhibit 3-2" sheetId="43" r:id="rId1"/>
    <sheet name="Table 6-1" sheetId="35" r:id="rId2"/>
    <sheet name="Table 6-2" sheetId="36" r:id="rId3"/>
    <sheet name="Table 6-3" sheetId="32" r:id="rId4"/>
    <sheet name="Table 7-1" sheetId="46" r:id="rId5"/>
    <sheet name="Table 7-2" sheetId="44" r:id="rId6"/>
    <sheet name="Table 7-3" sheetId="45" r:id="rId7"/>
    <sheet name="Taxable Income Forecast" sheetId="37" r:id="rId8"/>
    <sheet name="Collection Lag" sheetId="8" r:id="rId9"/>
    <sheet name="Pricing" sheetId="22" r:id="rId10"/>
    <sheet name="Print 3-2" sheetId="42" r:id="rId11"/>
    <sheet name="Print_6-1" sheetId="41" r:id="rId12"/>
    <sheet name="Print_6-2" sheetId="40" r:id="rId13"/>
    <sheet name="Print_6-3" sheetId="39" r:id="rId14"/>
    <sheet name="Print_7-1" sheetId="47" r:id="rId15"/>
    <sheet name="Print_7-2" sheetId="48" r:id="rId16"/>
    <sheet name="Print_7-3" sheetId="49" r:id="rId17"/>
  </sheets>
  <externalReferences>
    <externalReference r:id="rId18"/>
  </externalReferences>
  <definedNames>
    <definedName name="_xlnm.Print_Area" localSheetId="10">'Print 3-2'!$A$1:$R$32</definedName>
    <definedName name="_xlnm.Print_Area" localSheetId="11">'Print_6-1'!$A$1:$G$33</definedName>
    <definedName name="_xlnm.Print_Area" localSheetId="12">'Print_6-2'!$A$1:$M$48</definedName>
    <definedName name="_xlnm.Print_Area" localSheetId="13">'Print_6-3'!$B$1:$R$70</definedName>
    <definedName name="_xlnm.Print_Area" localSheetId="14">'Print_7-1'!$A$1:$Q$39</definedName>
    <definedName name="_xlnm.Print_Area" localSheetId="15">'Print_7-2'!$A$1:$Q$31</definedName>
    <definedName name="_xlnm.Print_Area" localSheetId="16">'Print_7-3'!$A$1:$Q$22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37" l="1"/>
  <c r="F5" i="37"/>
  <c r="E5" i="37"/>
  <c r="D5" i="37"/>
  <c r="C5" i="37"/>
  <c r="G3" i="22" l="1"/>
  <c r="G2" i="22"/>
  <c r="G71" i="22" l="1"/>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K71" i="22"/>
  <c r="K70" i="22"/>
  <c r="K69"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5" i="22"/>
  <c r="K34" i="22"/>
  <c r="K33" i="22"/>
  <c r="K32" i="22"/>
  <c r="K31" i="22"/>
  <c r="K30" i="22"/>
  <c r="K29" i="22"/>
  <c r="K28" i="22"/>
  <c r="K27" i="22"/>
  <c r="K26" i="22"/>
  <c r="K25" i="22"/>
  <c r="K24" i="22"/>
  <c r="K23" i="22"/>
  <c r="K22" i="22"/>
  <c r="K21" i="22"/>
  <c r="K20" i="22"/>
  <c r="K19" i="22"/>
  <c r="K18" i="22"/>
  <c r="K17" i="22"/>
  <c r="K16" i="22"/>
  <c r="K15" i="22"/>
  <c r="K14" i="22"/>
  <c r="K13" i="22"/>
  <c r="A3" i="41" l="1"/>
  <c r="D16" i="32" l="1"/>
  <c r="D17" i="32"/>
  <c r="D27" i="32" s="1"/>
  <c r="D18" i="32"/>
  <c r="D28" i="32" s="1"/>
  <c r="D19" i="32"/>
  <c r="D22" i="48" l="1"/>
  <c r="F22" i="48"/>
  <c r="H22" i="48"/>
  <c r="J22" i="48"/>
  <c r="L22" i="48"/>
  <c r="N22" i="48"/>
  <c r="P22" i="48"/>
  <c r="F21" i="32"/>
  <c r="G21" i="32"/>
  <c r="H21" i="32"/>
  <c r="I21" i="32"/>
  <c r="J21" i="32"/>
  <c r="K21" i="32"/>
  <c r="L21" i="32"/>
  <c r="M21" i="32"/>
  <c r="N21" i="32"/>
  <c r="O21" i="32"/>
  <c r="P21" i="32"/>
  <c r="Q21" i="32"/>
  <c r="R21" i="32"/>
  <c r="S21" i="32"/>
  <c r="T21" i="32"/>
  <c r="U21" i="32"/>
  <c r="V21" i="32"/>
  <c r="W21" i="32"/>
  <c r="X21" i="32"/>
  <c r="Y21" i="32"/>
  <c r="Z21" i="32"/>
  <c r="AA21" i="32"/>
  <c r="AB21" i="32"/>
  <c r="AC21" i="32"/>
  <c r="AD21" i="32"/>
  <c r="AE21" i="32"/>
  <c r="AF21" i="32"/>
  <c r="AG21" i="32"/>
  <c r="D49" i="39"/>
  <c r="E49" i="39"/>
  <c r="F49" i="39"/>
  <c r="G49" i="39"/>
  <c r="H49" i="39"/>
  <c r="I49" i="39"/>
  <c r="J49" i="39"/>
  <c r="K49" i="39"/>
  <c r="L49" i="39"/>
  <c r="M49" i="39"/>
  <c r="N49" i="39"/>
  <c r="O49" i="39"/>
  <c r="P49" i="39"/>
  <c r="Q49" i="39"/>
  <c r="D53" i="39"/>
  <c r="E53" i="39"/>
  <c r="F53" i="39"/>
  <c r="G53" i="39"/>
  <c r="H53" i="39"/>
  <c r="I53" i="39"/>
  <c r="J53" i="39"/>
  <c r="K53" i="39"/>
  <c r="L53" i="39"/>
  <c r="M53" i="39"/>
  <c r="N53" i="39"/>
  <c r="O53" i="39"/>
  <c r="P53" i="39"/>
  <c r="Q53" i="39"/>
  <c r="R53" i="39"/>
  <c r="C11" i="39"/>
  <c r="C13" i="39"/>
  <c r="C14" i="39"/>
  <c r="C16" i="39"/>
  <c r="C18" i="39"/>
  <c r="C19" i="39"/>
  <c r="C20" i="39"/>
  <c r="C48" i="39" s="1"/>
  <c r="E21" i="39"/>
  <c r="F21" i="39"/>
  <c r="G21" i="39"/>
  <c r="H21" i="39"/>
  <c r="I21" i="39"/>
  <c r="J21" i="39"/>
  <c r="K21" i="39"/>
  <c r="L21" i="39"/>
  <c r="M21" i="39"/>
  <c r="N21" i="39"/>
  <c r="O21" i="39"/>
  <c r="P21" i="39"/>
  <c r="Q21" i="39"/>
  <c r="R21" i="39"/>
  <c r="C23" i="39"/>
  <c r="C51" i="39" s="1"/>
  <c r="C24" i="39"/>
  <c r="C52" i="39" s="1"/>
  <c r="C25" i="39"/>
  <c r="C53" i="39" s="1"/>
  <c r="E25" i="39"/>
  <c r="F25" i="39"/>
  <c r="G25" i="39"/>
  <c r="H25" i="39"/>
  <c r="I25" i="39"/>
  <c r="J25" i="39"/>
  <c r="K25" i="39"/>
  <c r="L25" i="39"/>
  <c r="M25" i="39"/>
  <c r="N25" i="39"/>
  <c r="O25" i="39"/>
  <c r="P25" i="39"/>
  <c r="Q25" i="39"/>
  <c r="R25" i="39"/>
  <c r="C26" i="39"/>
  <c r="C54" i="39" s="1"/>
  <c r="C27" i="39"/>
  <c r="C55" i="39" s="1"/>
  <c r="C29" i="39"/>
  <c r="C57" i="39" s="1"/>
  <c r="C31" i="39"/>
  <c r="C59" i="39" s="1"/>
  <c r="B19" i="39"/>
  <c r="B20" i="39"/>
  <c r="B48" i="39" s="1"/>
  <c r="B21" i="39"/>
  <c r="B49" i="39" s="1"/>
  <c r="B22" i="39"/>
  <c r="B50" i="39" s="1"/>
  <c r="B23" i="39"/>
  <c r="B51" i="39" s="1"/>
  <c r="B24" i="39"/>
  <c r="B52" i="39" s="1"/>
  <c r="B25" i="39"/>
  <c r="B53" i="39" s="1"/>
  <c r="B26" i="39"/>
  <c r="B54" i="39" s="1"/>
  <c r="B27" i="39"/>
  <c r="B55" i="39" s="1"/>
  <c r="B28" i="39"/>
  <c r="B56" i="39" s="1"/>
  <c r="B29" i="39"/>
  <c r="B57" i="39" s="1"/>
  <c r="B30" i="39"/>
  <c r="B58" i="39" s="1"/>
  <c r="B31" i="39"/>
  <c r="B59" i="39" s="1"/>
  <c r="B17" i="32"/>
  <c r="C36" i="39" s="1"/>
  <c r="B18" i="32"/>
  <c r="C37" i="39" s="1"/>
  <c r="B16" i="32"/>
  <c r="B21" i="44"/>
  <c r="B20" i="44"/>
  <c r="B15" i="44"/>
  <c r="B16" i="44"/>
  <c r="B14" i="44"/>
  <c r="C11" i="44"/>
  <c r="C9" i="44"/>
  <c r="C10" i="44"/>
  <c r="C7" i="44"/>
  <c r="C4" i="44"/>
  <c r="C5" i="44"/>
  <c r="C6" i="44"/>
  <c r="C3" i="44"/>
  <c r="E17" i="44"/>
  <c r="M17" i="44"/>
  <c r="U17" i="44"/>
  <c r="D20" i="48" s="1"/>
  <c r="AC17" i="44"/>
  <c r="L20" i="48" s="1"/>
  <c r="F19" i="44"/>
  <c r="G19" i="44"/>
  <c r="H19" i="44"/>
  <c r="I19" i="44"/>
  <c r="J19" i="44"/>
  <c r="K19" i="44"/>
  <c r="L19" i="44"/>
  <c r="M19" i="44"/>
  <c r="N19" i="44"/>
  <c r="O19" i="44"/>
  <c r="P19" i="44"/>
  <c r="Q19" i="44"/>
  <c r="R19" i="44"/>
  <c r="S19" i="44"/>
  <c r="T19" i="44"/>
  <c r="C22" i="48" s="1"/>
  <c r="U19" i="44"/>
  <c r="V19" i="44"/>
  <c r="E22" i="48" s="1"/>
  <c r="W19" i="44"/>
  <c r="X19" i="44"/>
  <c r="G22" i="48" s="1"/>
  <c r="Y19" i="44"/>
  <c r="Z19" i="44"/>
  <c r="I22" i="48" s="1"/>
  <c r="AA19" i="44"/>
  <c r="AB19" i="44"/>
  <c r="K22" i="48" s="1"/>
  <c r="AC19" i="44"/>
  <c r="AD19" i="44"/>
  <c r="M22" i="48" s="1"/>
  <c r="AE19" i="44"/>
  <c r="AF19" i="44"/>
  <c r="O22" i="48" s="1"/>
  <c r="AG19" i="44"/>
  <c r="D15" i="44"/>
  <c r="D16" i="44"/>
  <c r="D17" i="44"/>
  <c r="D19" i="44"/>
  <c r="D14" i="44"/>
  <c r="G18" i="43"/>
  <c r="G19" i="32" s="1"/>
  <c r="H18" i="43"/>
  <c r="H19" i="32" s="1"/>
  <c r="I18" i="43"/>
  <c r="I19" i="32" s="1"/>
  <c r="J18" i="43"/>
  <c r="J19" i="32" s="1"/>
  <c r="K18" i="43"/>
  <c r="K19" i="32" s="1"/>
  <c r="L18" i="43"/>
  <c r="L19" i="32" s="1"/>
  <c r="M18" i="43"/>
  <c r="M19" i="32" s="1"/>
  <c r="N18" i="43"/>
  <c r="N19" i="32" s="1"/>
  <c r="O18" i="43"/>
  <c r="O19" i="32" s="1"/>
  <c r="P18" i="43"/>
  <c r="P19" i="32" s="1"/>
  <c r="Q18" i="43"/>
  <c r="Q19" i="32" s="1"/>
  <c r="R18" i="43"/>
  <c r="R19" i="32" s="1"/>
  <c r="S18" i="43"/>
  <c r="S19" i="32" s="1"/>
  <c r="T18" i="43"/>
  <c r="T19" i="32" s="1"/>
  <c r="U18" i="43"/>
  <c r="U19" i="32" s="1"/>
  <c r="V18" i="43"/>
  <c r="V19" i="32" s="1"/>
  <c r="W18" i="43"/>
  <c r="W19" i="32" s="1"/>
  <c r="X18" i="43"/>
  <c r="X19" i="32" s="1"/>
  <c r="Y18" i="43"/>
  <c r="Y19" i="32" s="1"/>
  <c r="Z18" i="43"/>
  <c r="Z19" i="32" s="1"/>
  <c r="AA18" i="43"/>
  <c r="AA19" i="32" s="1"/>
  <c r="AB18" i="43"/>
  <c r="AB19" i="32" s="1"/>
  <c r="AC18" i="43"/>
  <c r="AC19" i="32" s="1"/>
  <c r="AD18" i="43"/>
  <c r="AD19" i="32" s="1"/>
  <c r="AE18" i="43"/>
  <c r="AE19" i="32" s="1"/>
  <c r="AF18" i="43"/>
  <c r="AF19" i="32" s="1"/>
  <c r="AG18" i="43"/>
  <c r="AG19" i="32" s="1"/>
  <c r="AH18" i="43"/>
  <c r="AH19" i="32" s="1"/>
  <c r="F18" i="43"/>
  <c r="F17" i="44" s="1"/>
  <c r="E18" i="43"/>
  <c r="E19" i="32" s="1"/>
  <c r="F19" i="32"/>
  <c r="AA17" i="44" l="1"/>
  <c r="J20" i="48" s="1"/>
  <c r="S17" i="44"/>
  <c r="K17" i="44"/>
  <c r="AG17" i="44"/>
  <c r="P20" i="48" s="1"/>
  <c r="Y17" i="44"/>
  <c r="H20" i="48" s="1"/>
  <c r="Q17" i="44"/>
  <c r="I17" i="44"/>
  <c r="AE17" i="44"/>
  <c r="N20" i="48" s="1"/>
  <c r="W17" i="44"/>
  <c r="F20" i="48" s="1"/>
  <c r="O17" i="44"/>
  <c r="G17" i="44"/>
  <c r="AF17" i="44"/>
  <c r="O20" i="48" s="1"/>
  <c r="AB17" i="44"/>
  <c r="K20" i="48" s="1"/>
  <c r="X17" i="44"/>
  <c r="G20" i="48" s="1"/>
  <c r="T17" i="44"/>
  <c r="C20" i="48" s="1"/>
  <c r="P17" i="44"/>
  <c r="L17" i="44"/>
  <c r="H17" i="44"/>
  <c r="AH17" i="44"/>
  <c r="Q20" i="48" s="1"/>
  <c r="AD17" i="44"/>
  <c r="M20" i="48" s="1"/>
  <c r="Z17" i="44"/>
  <c r="I20" i="48" s="1"/>
  <c r="V17" i="44"/>
  <c r="E20" i="48" s="1"/>
  <c r="R17" i="44"/>
  <c r="N17" i="44"/>
  <c r="J17" i="44"/>
  <c r="C8" i="39"/>
  <c r="C9" i="39"/>
  <c r="B8" i="48"/>
  <c r="B18" i="48" s="1"/>
  <c r="B19" i="42"/>
  <c r="B9" i="42"/>
  <c r="F62" i="39" l="1"/>
  <c r="D12" i="40" l="1"/>
  <c r="C5" i="40"/>
  <c r="A5" i="40"/>
  <c r="A26" i="40" s="1"/>
  <c r="C12" i="40"/>
  <c r="C6" i="39"/>
  <c r="C34" i="39" s="1"/>
  <c r="B7" i="39"/>
  <c r="B8" i="39"/>
  <c r="B9" i="39"/>
  <c r="B10" i="39"/>
  <c r="B11" i="39"/>
  <c r="B12" i="39"/>
  <c r="B13" i="39"/>
  <c r="B14" i="39"/>
  <c r="B15" i="39"/>
  <c r="B16" i="39"/>
  <c r="B17" i="39"/>
  <c r="B18" i="39"/>
  <c r="B6" i="39"/>
  <c r="B34" i="39" s="1"/>
  <c r="A19" i="49"/>
  <c r="A10" i="49"/>
  <c r="A16" i="49"/>
  <c r="A17" i="49"/>
  <c r="A18" i="49"/>
  <c r="A13" i="49"/>
  <c r="A14" i="49"/>
  <c r="A15" i="49"/>
  <c r="A12" i="49"/>
  <c r="B14" i="49"/>
  <c r="B15" i="49"/>
  <c r="B16" i="49"/>
  <c r="B13" i="49"/>
  <c r="D12" i="49"/>
  <c r="E12" i="49"/>
  <c r="F12" i="49"/>
  <c r="G12" i="49"/>
  <c r="H12" i="49"/>
  <c r="I12" i="49"/>
  <c r="J12" i="49"/>
  <c r="K12" i="49"/>
  <c r="L12" i="49"/>
  <c r="M12" i="49"/>
  <c r="N12" i="49"/>
  <c r="O12" i="49"/>
  <c r="P12" i="49"/>
  <c r="Q12" i="49"/>
  <c r="C6" i="49"/>
  <c r="D6" i="49"/>
  <c r="E6" i="49"/>
  <c r="F6" i="49"/>
  <c r="G6" i="49"/>
  <c r="H6" i="49"/>
  <c r="I6" i="49"/>
  <c r="J6" i="49"/>
  <c r="K6" i="49"/>
  <c r="L6" i="49"/>
  <c r="M6" i="49"/>
  <c r="N6" i="49"/>
  <c r="O6" i="49"/>
  <c r="P6" i="49"/>
  <c r="Q6" i="49"/>
  <c r="C12" i="49"/>
  <c r="B7" i="49"/>
  <c r="B8" i="49"/>
  <c r="B9" i="49"/>
  <c r="B10" i="49"/>
  <c r="B18" i="49"/>
  <c r="A7" i="49"/>
  <c r="A8" i="49"/>
  <c r="A9" i="49"/>
  <c r="A6" i="49"/>
  <c r="D16" i="48"/>
  <c r="E16" i="48"/>
  <c r="F16" i="48"/>
  <c r="G16" i="48"/>
  <c r="H16" i="48"/>
  <c r="I16" i="48"/>
  <c r="J16" i="48"/>
  <c r="K16" i="48"/>
  <c r="L16" i="48"/>
  <c r="M16" i="48"/>
  <c r="N16" i="48"/>
  <c r="O16" i="48"/>
  <c r="P16" i="48"/>
  <c r="Q16" i="48"/>
  <c r="C16" i="48"/>
  <c r="B7" i="48"/>
  <c r="B17" i="48" s="1"/>
  <c r="B9" i="48"/>
  <c r="B19" i="48" s="1"/>
  <c r="B11" i="48"/>
  <c r="B21" i="48" s="1"/>
  <c r="B13" i="48"/>
  <c r="B23" i="48" s="1"/>
  <c r="B14" i="48"/>
  <c r="B24" i="48" s="1"/>
  <c r="D8" i="48"/>
  <c r="H8" i="48"/>
  <c r="L8" i="48"/>
  <c r="P8" i="48"/>
  <c r="C10" i="48"/>
  <c r="D10" i="48"/>
  <c r="E10" i="48"/>
  <c r="F10" i="48"/>
  <c r="G10" i="48"/>
  <c r="H10" i="48"/>
  <c r="I10" i="48"/>
  <c r="J10" i="48"/>
  <c r="K10" i="48"/>
  <c r="L10" i="48"/>
  <c r="M10" i="48"/>
  <c r="N10" i="48"/>
  <c r="O10" i="48"/>
  <c r="P10" i="48"/>
  <c r="Q10" i="48"/>
  <c r="D12" i="48"/>
  <c r="E12" i="48"/>
  <c r="F12" i="48"/>
  <c r="G12" i="48"/>
  <c r="H12" i="48"/>
  <c r="I12" i="48"/>
  <c r="J12" i="48"/>
  <c r="K12" i="48"/>
  <c r="L12" i="48"/>
  <c r="M12" i="48"/>
  <c r="N12" i="48"/>
  <c r="O12" i="48"/>
  <c r="P12" i="48"/>
  <c r="Q12" i="48"/>
  <c r="P6" i="48"/>
  <c r="Q6" i="48"/>
  <c r="B6" i="48"/>
  <c r="B16" i="48" s="1"/>
  <c r="C6" i="48"/>
  <c r="D6" i="48"/>
  <c r="E6" i="48"/>
  <c r="F6" i="48"/>
  <c r="G6" i="48"/>
  <c r="H6" i="48"/>
  <c r="I6" i="48"/>
  <c r="J6" i="48"/>
  <c r="K6" i="48"/>
  <c r="L6" i="48"/>
  <c r="M6" i="48"/>
  <c r="N6" i="48"/>
  <c r="O6" i="48"/>
  <c r="A7" i="48"/>
  <c r="A17" i="48" s="1"/>
  <c r="A8" i="48"/>
  <c r="A18" i="48" s="1"/>
  <c r="A9" i="48"/>
  <c r="A19" i="48" s="1"/>
  <c r="A10" i="48"/>
  <c r="A20" i="48" s="1"/>
  <c r="A11" i="48"/>
  <c r="A21" i="48" s="1"/>
  <c r="A12" i="48"/>
  <c r="A22" i="48" s="1"/>
  <c r="A13" i="48"/>
  <c r="A23" i="48" s="1"/>
  <c r="A14" i="48"/>
  <c r="A24" i="48" s="1"/>
  <c r="A6" i="48"/>
  <c r="A16" i="48" s="1"/>
  <c r="B24" i="47"/>
  <c r="B25" i="47"/>
  <c r="B26" i="47"/>
  <c r="B27" i="47"/>
  <c r="B28" i="47"/>
  <c r="B29" i="47"/>
  <c r="B30" i="47"/>
  <c r="B31" i="47"/>
  <c r="B23" i="47"/>
  <c r="B19" i="47"/>
  <c r="B20" i="47"/>
  <c r="B36" i="47" s="1"/>
  <c r="B18" i="47"/>
  <c r="B17" i="47"/>
  <c r="B8" i="47"/>
  <c r="B9" i="47"/>
  <c r="B10" i="47"/>
  <c r="B11" i="47"/>
  <c r="B12" i="47"/>
  <c r="B13" i="47"/>
  <c r="B14" i="47"/>
  <c r="B15" i="47"/>
  <c r="B7" i="47"/>
  <c r="B6" i="47"/>
  <c r="B22" i="47" s="1"/>
  <c r="A23" i="47"/>
  <c r="A24" i="47"/>
  <c r="A25" i="47"/>
  <c r="A26" i="47"/>
  <c r="A27" i="47"/>
  <c r="A28" i="47"/>
  <c r="A29" i="47"/>
  <c r="A30" i="47"/>
  <c r="A31" i="47"/>
  <c r="A32" i="47"/>
  <c r="A33" i="47"/>
  <c r="A34" i="47"/>
  <c r="A35" i="47"/>
  <c r="A36" i="47"/>
  <c r="A22" i="47"/>
  <c r="A16" i="47"/>
  <c r="A17" i="47"/>
  <c r="A18" i="47"/>
  <c r="A19" i="47"/>
  <c r="A20" i="47"/>
  <c r="A7" i="47"/>
  <c r="A8" i="47"/>
  <c r="A9" i="47"/>
  <c r="A10" i="47"/>
  <c r="A11" i="47"/>
  <c r="A12" i="47"/>
  <c r="A13" i="47"/>
  <c r="A14" i="47"/>
  <c r="A15" i="47"/>
  <c r="A6" i="47"/>
  <c r="Q36" i="47"/>
  <c r="P36" i="47"/>
  <c r="O36" i="47"/>
  <c r="N36" i="47"/>
  <c r="M36" i="47"/>
  <c r="L36" i="47"/>
  <c r="K36" i="47"/>
  <c r="J36" i="47"/>
  <c r="I36" i="47"/>
  <c r="H36" i="47"/>
  <c r="G36" i="47"/>
  <c r="F36" i="47"/>
  <c r="E36" i="47"/>
  <c r="D36" i="47"/>
  <c r="C36" i="47"/>
  <c r="Q35" i="47"/>
  <c r="P35" i="47"/>
  <c r="O35" i="47"/>
  <c r="N35" i="47"/>
  <c r="M35" i="47"/>
  <c r="L35" i="47"/>
  <c r="K35" i="47"/>
  <c r="J35" i="47"/>
  <c r="I35" i="47"/>
  <c r="H35" i="47"/>
  <c r="G35" i="47"/>
  <c r="F35" i="47"/>
  <c r="E35" i="47"/>
  <c r="D35" i="47"/>
  <c r="C35" i="47"/>
  <c r="Q34" i="47"/>
  <c r="P34" i="47"/>
  <c r="O34" i="47"/>
  <c r="N34" i="47"/>
  <c r="M34" i="47"/>
  <c r="L34" i="47"/>
  <c r="K34" i="47"/>
  <c r="J34" i="47"/>
  <c r="I34" i="47"/>
  <c r="H34" i="47"/>
  <c r="G34" i="47"/>
  <c r="F34" i="47"/>
  <c r="E34" i="47"/>
  <c r="D34" i="47"/>
  <c r="C34" i="47"/>
  <c r="Q31" i="47"/>
  <c r="P31" i="47"/>
  <c r="O31" i="47"/>
  <c r="N31" i="47"/>
  <c r="M31" i="47"/>
  <c r="L31" i="47"/>
  <c r="K31" i="47"/>
  <c r="J31" i="47"/>
  <c r="I31" i="47"/>
  <c r="H31" i="47"/>
  <c r="G31" i="47"/>
  <c r="F31" i="47"/>
  <c r="E31" i="47"/>
  <c r="D31" i="47"/>
  <c r="C31" i="47"/>
  <c r="Q30" i="47"/>
  <c r="P30" i="47"/>
  <c r="O30" i="47"/>
  <c r="N30" i="47"/>
  <c r="M30" i="47"/>
  <c r="L30" i="47"/>
  <c r="K30" i="47"/>
  <c r="J30" i="47"/>
  <c r="I30" i="47"/>
  <c r="H30" i="47"/>
  <c r="G30" i="47"/>
  <c r="F30" i="47"/>
  <c r="E30" i="47"/>
  <c r="D30" i="47"/>
  <c r="C30" i="47"/>
  <c r="Q29" i="47"/>
  <c r="P29" i="47"/>
  <c r="O29" i="47"/>
  <c r="N29" i="47"/>
  <c r="M29" i="47"/>
  <c r="L29" i="47"/>
  <c r="K29" i="47"/>
  <c r="J29" i="47"/>
  <c r="I29" i="47"/>
  <c r="H29" i="47"/>
  <c r="G29" i="47"/>
  <c r="F29" i="47"/>
  <c r="E29" i="47"/>
  <c r="D29" i="47"/>
  <c r="C29" i="47"/>
  <c r="Q28" i="47"/>
  <c r="P28" i="47"/>
  <c r="O28" i="47"/>
  <c r="N28" i="47"/>
  <c r="M28" i="47"/>
  <c r="L28" i="47"/>
  <c r="K28" i="47"/>
  <c r="J28" i="47"/>
  <c r="I28" i="47"/>
  <c r="H28" i="47"/>
  <c r="G28" i="47"/>
  <c r="F28" i="47"/>
  <c r="E28" i="47"/>
  <c r="D28" i="47"/>
  <c r="C28" i="47"/>
  <c r="Q27" i="47"/>
  <c r="P27" i="47"/>
  <c r="O27" i="47"/>
  <c r="N27" i="47"/>
  <c r="M27" i="47"/>
  <c r="L27" i="47"/>
  <c r="K27" i="47"/>
  <c r="J27" i="47"/>
  <c r="I27" i="47"/>
  <c r="H27" i="47"/>
  <c r="G27" i="47"/>
  <c r="F27" i="47"/>
  <c r="E27" i="47"/>
  <c r="D27" i="47"/>
  <c r="C27" i="47"/>
  <c r="Q26" i="47"/>
  <c r="P26" i="47"/>
  <c r="O26" i="47"/>
  <c r="N26" i="47"/>
  <c r="M26" i="47"/>
  <c r="L26" i="47"/>
  <c r="K26" i="47"/>
  <c r="J26" i="47"/>
  <c r="I26" i="47"/>
  <c r="H26" i="47"/>
  <c r="G26" i="47"/>
  <c r="F26" i="47"/>
  <c r="E26" i="47"/>
  <c r="D26" i="47"/>
  <c r="C26" i="47"/>
  <c r="Q25" i="47"/>
  <c r="P25" i="47"/>
  <c r="O25" i="47"/>
  <c r="N25" i="47"/>
  <c r="M25" i="47"/>
  <c r="L25" i="47"/>
  <c r="K25" i="47"/>
  <c r="J25" i="47"/>
  <c r="I25" i="47"/>
  <c r="H25" i="47"/>
  <c r="G25" i="47"/>
  <c r="F25" i="47"/>
  <c r="E25" i="47"/>
  <c r="D25" i="47"/>
  <c r="C25" i="47"/>
  <c r="Q24" i="47"/>
  <c r="P24" i="47"/>
  <c r="O24" i="47"/>
  <c r="N24" i="47"/>
  <c r="M24" i="47"/>
  <c r="L24" i="47"/>
  <c r="K24" i="47"/>
  <c r="J24" i="47"/>
  <c r="I24" i="47"/>
  <c r="H24" i="47"/>
  <c r="G24" i="47"/>
  <c r="F24" i="47"/>
  <c r="E24" i="47"/>
  <c r="D24" i="47"/>
  <c r="C24" i="47"/>
  <c r="Q23" i="47"/>
  <c r="P23" i="47"/>
  <c r="O23" i="47"/>
  <c r="N23" i="47"/>
  <c r="M23" i="47"/>
  <c r="L23" i="47"/>
  <c r="K23" i="47"/>
  <c r="J23" i="47"/>
  <c r="I23" i="47"/>
  <c r="H23" i="47"/>
  <c r="G23" i="47"/>
  <c r="F23" i="47"/>
  <c r="E23" i="47"/>
  <c r="D23" i="47"/>
  <c r="C23" i="47"/>
  <c r="Q22" i="47"/>
  <c r="P22" i="47"/>
  <c r="O22" i="47"/>
  <c r="N22" i="47"/>
  <c r="M22" i="47"/>
  <c r="L22" i="47"/>
  <c r="K22" i="47"/>
  <c r="J22" i="47"/>
  <c r="I22" i="47"/>
  <c r="H22" i="47"/>
  <c r="G22" i="47"/>
  <c r="F22" i="47"/>
  <c r="E22" i="47"/>
  <c r="D22" i="47"/>
  <c r="C22" i="47"/>
  <c r="B35" i="47"/>
  <c r="B34" i="47"/>
  <c r="B33" i="47"/>
  <c r="Q6" i="47"/>
  <c r="P6" i="47"/>
  <c r="O6" i="47"/>
  <c r="N6" i="47"/>
  <c r="M6" i="47"/>
  <c r="L6" i="47"/>
  <c r="K6" i="47"/>
  <c r="J6" i="47"/>
  <c r="I6" i="47"/>
  <c r="H6" i="47"/>
  <c r="G6" i="47"/>
  <c r="F6" i="47"/>
  <c r="E6" i="47"/>
  <c r="D6" i="47"/>
  <c r="C6" i="47"/>
  <c r="D13" i="42"/>
  <c r="E13" i="42"/>
  <c r="F13" i="42"/>
  <c r="G13" i="42"/>
  <c r="H13" i="42"/>
  <c r="I13" i="42"/>
  <c r="J13" i="42"/>
  <c r="K13" i="42"/>
  <c r="L13" i="42"/>
  <c r="M13" i="42"/>
  <c r="N13" i="42"/>
  <c r="O13" i="42"/>
  <c r="P13" i="42"/>
  <c r="Q13" i="42"/>
  <c r="B18" i="42"/>
  <c r="B20" i="42"/>
  <c r="B22" i="42"/>
  <c r="B24" i="42"/>
  <c r="B25" i="42"/>
  <c r="B17" i="42"/>
  <c r="D17" i="42"/>
  <c r="E17" i="42"/>
  <c r="F17" i="42"/>
  <c r="G17" i="42"/>
  <c r="H17" i="42"/>
  <c r="I17" i="42"/>
  <c r="J17" i="42"/>
  <c r="K17" i="42"/>
  <c r="L17" i="42"/>
  <c r="M17" i="42"/>
  <c r="N17" i="42"/>
  <c r="O17" i="42"/>
  <c r="P17" i="42"/>
  <c r="Q17" i="42"/>
  <c r="D23" i="42"/>
  <c r="E23" i="42"/>
  <c r="F23" i="42"/>
  <c r="G23" i="42"/>
  <c r="H23" i="42"/>
  <c r="I23" i="42"/>
  <c r="J23" i="42"/>
  <c r="K23" i="42"/>
  <c r="L23" i="42"/>
  <c r="M23" i="42"/>
  <c r="N23" i="42"/>
  <c r="O23" i="42"/>
  <c r="P23" i="42"/>
  <c r="A18" i="42"/>
  <c r="A19" i="42"/>
  <c r="A20" i="42"/>
  <c r="A21" i="42"/>
  <c r="A22" i="42"/>
  <c r="A23" i="42"/>
  <c r="A24" i="42"/>
  <c r="A25" i="42"/>
  <c r="A17" i="42"/>
  <c r="C6" i="42"/>
  <c r="D6" i="42"/>
  <c r="E6" i="42"/>
  <c r="F6" i="42"/>
  <c r="G6" i="42"/>
  <c r="H6" i="42"/>
  <c r="I6" i="42"/>
  <c r="J6" i="42"/>
  <c r="K6" i="42"/>
  <c r="L6" i="42"/>
  <c r="A7" i="42"/>
  <c r="B7" i="42"/>
  <c r="A8" i="42"/>
  <c r="B8" i="42"/>
  <c r="A9" i="42"/>
  <c r="A10" i="42"/>
  <c r="B10" i="42"/>
  <c r="A11" i="42"/>
  <c r="A12" i="42"/>
  <c r="B12" i="42"/>
  <c r="A13" i="42"/>
  <c r="C23" i="42"/>
  <c r="A14" i="42"/>
  <c r="B14" i="42"/>
  <c r="A15" i="42"/>
  <c r="B15" i="42"/>
  <c r="M6" i="42"/>
  <c r="N6" i="42"/>
  <c r="O6" i="42"/>
  <c r="P6" i="42"/>
  <c r="Q6" i="42"/>
  <c r="C17" i="42"/>
  <c r="C27" i="46"/>
  <c r="D44" i="46" s="1"/>
  <c r="AF45" i="46" s="1"/>
  <c r="AF38" i="46" s="1"/>
  <c r="D21" i="46"/>
  <c r="D20" i="46"/>
  <c r="D19" i="46"/>
  <c r="C13" i="45" s="1"/>
  <c r="C19" i="49" s="1"/>
  <c r="E18" i="46"/>
  <c r="F18" i="46" s="1"/>
  <c r="G18" i="46" s="1"/>
  <c r="H18" i="46" s="1"/>
  <c r="I18" i="46" s="1"/>
  <c r="J18" i="46" s="1"/>
  <c r="K18" i="46" s="1"/>
  <c r="L18" i="46" s="1"/>
  <c r="M18" i="46" s="1"/>
  <c r="N18" i="46" s="1"/>
  <c r="O18" i="46" s="1"/>
  <c r="P18" i="46" s="1"/>
  <c r="Q18" i="46" s="1"/>
  <c r="R18" i="46" s="1"/>
  <c r="S18" i="46" s="1"/>
  <c r="T18" i="46" s="1"/>
  <c r="U18" i="46" s="1"/>
  <c r="V18" i="46" s="1"/>
  <c r="W18" i="46" s="1"/>
  <c r="X18" i="46" s="1"/>
  <c r="Y18" i="46" s="1"/>
  <c r="Z18" i="46" s="1"/>
  <c r="AA18" i="46" s="1"/>
  <c r="AB18" i="46" s="1"/>
  <c r="AC18" i="46" s="1"/>
  <c r="AD18" i="46" s="1"/>
  <c r="AE18" i="46" s="1"/>
  <c r="AF18" i="46" s="1"/>
  <c r="AG18" i="46" s="1"/>
  <c r="B18" i="46"/>
  <c r="E17" i="46"/>
  <c r="F17" i="46" s="1"/>
  <c r="G17" i="46" s="1"/>
  <c r="H17" i="46" s="1"/>
  <c r="I17" i="46" s="1"/>
  <c r="J17" i="46" s="1"/>
  <c r="K17" i="46" s="1"/>
  <c r="L17" i="46" s="1"/>
  <c r="M17" i="46" s="1"/>
  <c r="N17" i="46" s="1"/>
  <c r="O17" i="46" s="1"/>
  <c r="P17" i="46" s="1"/>
  <c r="Q17" i="46" s="1"/>
  <c r="R17" i="46" s="1"/>
  <c r="S17" i="46" s="1"/>
  <c r="T17" i="46" s="1"/>
  <c r="U17" i="46" s="1"/>
  <c r="V17" i="46" s="1"/>
  <c r="W17" i="46" s="1"/>
  <c r="X17" i="46" s="1"/>
  <c r="Y17" i="46" s="1"/>
  <c r="Z17" i="46" s="1"/>
  <c r="AA17" i="46" s="1"/>
  <c r="AB17" i="46" s="1"/>
  <c r="AC17" i="46" s="1"/>
  <c r="AD17" i="46" s="1"/>
  <c r="AE17" i="46" s="1"/>
  <c r="AF17" i="46" s="1"/>
  <c r="AG17" i="46" s="1"/>
  <c r="B17" i="46"/>
  <c r="E16" i="46"/>
  <c r="F16" i="46" s="1"/>
  <c r="G16" i="46" s="1"/>
  <c r="H16" i="46" s="1"/>
  <c r="I16" i="46" s="1"/>
  <c r="J16" i="46" s="1"/>
  <c r="K16" i="46" s="1"/>
  <c r="L16" i="46" s="1"/>
  <c r="M16" i="46" s="1"/>
  <c r="N16" i="46" s="1"/>
  <c r="O16" i="46" s="1"/>
  <c r="P16" i="46" s="1"/>
  <c r="Q16" i="46" s="1"/>
  <c r="R16" i="46" s="1"/>
  <c r="S16" i="46" s="1"/>
  <c r="T16" i="46" s="1"/>
  <c r="U16" i="46" s="1"/>
  <c r="V16" i="46" s="1"/>
  <c r="W16" i="46" s="1"/>
  <c r="X16" i="46" s="1"/>
  <c r="Y16" i="46" s="1"/>
  <c r="Z16" i="46" s="1"/>
  <c r="AA16" i="46" s="1"/>
  <c r="AB16" i="46" s="1"/>
  <c r="AC16" i="46" s="1"/>
  <c r="AD16" i="46" s="1"/>
  <c r="AE16" i="46" s="1"/>
  <c r="AF16" i="46" s="1"/>
  <c r="AG16" i="46" s="1"/>
  <c r="B16" i="46"/>
  <c r="D14" i="46"/>
  <c r="E13" i="46"/>
  <c r="F13" i="46" s="1"/>
  <c r="G13" i="46" s="1"/>
  <c r="E12" i="46"/>
  <c r="E11" i="46"/>
  <c r="F11" i="46" s="1"/>
  <c r="C46" i="39"/>
  <c r="C47" i="39"/>
  <c r="D19" i="43"/>
  <c r="Q21" i="42"/>
  <c r="P21" i="42"/>
  <c r="O21" i="42"/>
  <c r="N21" i="42"/>
  <c r="M21" i="42"/>
  <c r="L21" i="42"/>
  <c r="K21" i="42"/>
  <c r="J21" i="42"/>
  <c r="I21" i="42"/>
  <c r="H21" i="42"/>
  <c r="G21" i="42"/>
  <c r="F21" i="42"/>
  <c r="E21" i="42"/>
  <c r="D21" i="42"/>
  <c r="C21" i="42"/>
  <c r="Q11" i="42"/>
  <c r="P11" i="42"/>
  <c r="O11" i="42"/>
  <c r="N11" i="42"/>
  <c r="M11" i="42"/>
  <c r="L11" i="42"/>
  <c r="K11" i="42"/>
  <c r="J11" i="42"/>
  <c r="I11" i="42"/>
  <c r="H11" i="42"/>
  <c r="G11" i="42"/>
  <c r="F11" i="42"/>
  <c r="E11" i="42"/>
  <c r="D11" i="42"/>
  <c r="C11" i="42"/>
  <c r="AH16" i="43"/>
  <c r="AH15" i="44" s="1"/>
  <c r="Q18" i="48" s="1"/>
  <c r="AG16" i="43"/>
  <c r="AG15" i="44" s="1"/>
  <c r="P18" i="48" s="1"/>
  <c r="AF16" i="43"/>
  <c r="AF15" i="44" s="1"/>
  <c r="O18" i="48" s="1"/>
  <c r="AE16" i="43"/>
  <c r="AE15" i="44" s="1"/>
  <c r="N18" i="48" s="1"/>
  <c r="AD16" i="43"/>
  <c r="AD15" i="44" s="1"/>
  <c r="M18" i="48" s="1"/>
  <c r="AC16" i="43"/>
  <c r="AC15" i="44" s="1"/>
  <c r="L18" i="48" s="1"/>
  <c r="AB16" i="43"/>
  <c r="AB15" i="44" s="1"/>
  <c r="K18" i="48" s="1"/>
  <c r="AA16" i="43"/>
  <c r="AA15" i="44" s="1"/>
  <c r="J18" i="48" s="1"/>
  <c r="Z16" i="43"/>
  <c r="Z15" i="44" s="1"/>
  <c r="I18" i="48" s="1"/>
  <c r="Y16" i="43"/>
  <c r="Y15" i="44" s="1"/>
  <c r="H18" i="48" s="1"/>
  <c r="X16" i="43"/>
  <c r="X15" i="44" s="1"/>
  <c r="G18" i="48" s="1"/>
  <c r="W16" i="43"/>
  <c r="W15" i="44" s="1"/>
  <c r="F18" i="48" s="1"/>
  <c r="V16" i="43"/>
  <c r="V15" i="44" s="1"/>
  <c r="E18" i="48" s="1"/>
  <c r="U16" i="43"/>
  <c r="U15" i="44" s="1"/>
  <c r="D18" i="48" s="1"/>
  <c r="T16" i="43"/>
  <c r="T15" i="44" s="1"/>
  <c r="C18" i="48" s="1"/>
  <c r="S16" i="43"/>
  <c r="S15" i="44" s="1"/>
  <c r="Q8" i="48" s="1"/>
  <c r="R16" i="43"/>
  <c r="R15" i="44" s="1"/>
  <c r="Q16" i="43"/>
  <c r="Q15" i="44" s="1"/>
  <c r="O8" i="48" s="1"/>
  <c r="P16" i="43"/>
  <c r="P15" i="44" s="1"/>
  <c r="N8" i="48" s="1"/>
  <c r="O16" i="43"/>
  <c r="O15" i="44" s="1"/>
  <c r="M8" i="48" s="1"/>
  <c r="N16" i="43"/>
  <c r="N15" i="44" s="1"/>
  <c r="M16" i="43"/>
  <c r="M15" i="44" s="1"/>
  <c r="K8" i="48" s="1"/>
  <c r="L16" i="43"/>
  <c r="L15" i="44" s="1"/>
  <c r="J8" i="48" s="1"/>
  <c r="K16" i="43"/>
  <c r="K15" i="44" s="1"/>
  <c r="I8" i="48" s="1"/>
  <c r="J16" i="43"/>
  <c r="J15" i="44" s="1"/>
  <c r="I16" i="43"/>
  <c r="I15" i="44" s="1"/>
  <c r="G8" i="48" s="1"/>
  <c r="H16" i="43"/>
  <c r="H15" i="44" s="1"/>
  <c r="F8" i="48" s="1"/>
  <c r="G16" i="43"/>
  <c r="G15" i="44" s="1"/>
  <c r="E8" i="48" s="1"/>
  <c r="F16" i="43"/>
  <c r="F15" i="44" s="1"/>
  <c r="E16" i="43"/>
  <c r="E15" i="44" s="1"/>
  <c r="C8" i="48" s="1"/>
  <c r="H15" i="43"/>
  <c r="G15" i="43"/>
  <c r="F15" i="43"/>
  <c r="E15" i="43"/>
  <c r="C8" i="43"/>
  <c r="AH17" i="43" s="1"/>
  <c r="C6" i="43"/>
  <c r="C5" i="43"/>
  <c r="Q20" i="42" l="1"/>
  <c r="AH18" i="32"/>
  <c r="AH16" i="44"/>
  <c r="Q19" i="48" s="1"/>
  <c r="D21" i="43"/>
  <c r="D20" i="44" s="1"/>
  <c r="D20" i="32"/>
  <c r="D18" i="44"/>
  <c r="C8" i="42"/>
  <c r="E14" i="44"/>
  <c r="C7" i="48" s="1"/>
  <c r="E16" i="32"/>
  <c r="D8" i="42"/>
  <c r="F14" i="44"/>
  <c r="D7" i="48" s="1"/>
  <c r="F16" i="32"/>
  <c r="E8" i="42"/>
  <c r="G16" i="32"/>
  <c r="G14" i="44"/>
  <c r="E7" i="48" s="1"/>
  <c r="F8" i="42"/>
  <c r="H14" i="44"/>
  <c r="F7" i="48" s="1"/>
  <c r="H16" i="32"/>
  <c r="M9" i="42"/>
  <c r="O17" i="32"/>
  <c r="Q9" i="42"/>
  <c r="S17" i="32"/>
  <c r="F19" i="42"/>
  <c r="W17" i="32"/>
  <c r="J19" i="42"/>
  <c r="AA17" i="32"/>
  <c r="F9" i="42"/>
  <c r="H17" i="32"/>
  <c r="J9" i="42"/>
  <c r="L17" i="32"/>
  <c r="N9" i="42"/>
  <c r="P17" i="32"/>
  <c r="C19" i="42"/>
  <c r="T17" i="32"/>
  <c r="G19" i="42"/>
  <c r="X17" i="32"/>
  <c r="K19" i="42"/>
  <c r="AB17" i="32"/>
  <c r="O19" i="42"/>
  <c r="AF17" i="32"/>
  <c r="E9" i="42"/>
  <c r="G17" i="32"/>
  <c r="N19" i="42"/>
  <c r="AE17" i="32"/>
  <c r="H19" i="42"/>
  <c r="Y17" i="32"/>
  <c r="I9" i="42"/>
  <c r="K17" i="32"/>
  <c r="C9" i="42"/>
  <c r="E17" i="32"/>
  <c r="G9" i="42"/>
  <c r="I17" i="32"/>
  <c r="K9" i="42"/>
  <c r="M17" i="32"/>
  <c r="O9" i="42"/>
  <c r="Q17" i="32"/>
  <c r="D19" i="42"/>
  <c r="U17" i="32"/>
  <c r="L19" i="42"/>
  <c r="AC17" i="32"/>
  <c r="P19" i="42"/>
  <c r="AG17" i="32"/>
  <c r="D9" i="42"/>
  <c r="F17" i="32"/>
  <c r="H9" i="42"/>
  <c r="J17" i="32"/>
  <c r="L9" i="42"/>
  <c r="N17" i="32"/>
  <c r="P9" i="42"/>
  <c r="R17" i="32"/>
  <c r="E19" i="42"/>
  <c r="V17" i="32"/>
  <c r="I19" i="42"/>
  <c r="Z17" i="32"/>
  <c r="M19" i="42"/>
  <c r="AD17" i="32"/>
  <c r="Q19" i="42"/>
  <c r="AH17" i="32"/>
  <c r="C18" i="47"/>
  <c r="H45" i="46"/>
  <c r="P45" i="46"/>
  <c r="X45" i="46"/>
  <c r="X38" i="46" s="1"/>
  <c r="H13" i="46"/>
  <c r="E19" i="46"/>
  <c r="E14" i="46"/>
  <c r="E20" i="46"/>
  <c r="E21" i="46"/>
  <c r="G11" i="46"/>
  <c r="F12" i="46"/>
  <c r="F19" i="46" s="1"/>
  <c r="AE45" i="46"/>
  <c r="AE38" i="46" s="1"/>
  <c r="AA45" i="46"/>
  <c r="AA38" i="46" s="1"/>
  <c r="W45" i="46"/>
  <c r="W38" i="46" s="1"/>
  <c r="S45" i="46"/>
  <c r="S38" i="46" s="1"/>
  <c r="O45" i="46"/>
  <c r="K45" i="46"/>
  <c r="G45" i="46"/>
  <c r="AD45" i="46"/>
  <c r="AD38" i="46" s="1"/>
  <c r="Z45" i="46"/>
  <c r="Z38" i="46" s="1"/>
  <c r="V45" i="46"/>
  <c r="V38" i="46" s="1"/>
  <c r="R45" i="46"/>
  <c r="N45" i="46"/>
  <c r="J45" i="46"/>
  <c r="F45" i="46"/>
  <c r="I45" i="46"/>
  <c r="Q45" i="46"/>
  <c r="Y45" i="46"/>
  <c r="Y38" i="46" s="1"/>
  <c r="AG45" i="46"/>
  <c r="AG38" i="46" s="1"/>
  <c r="D45" i="46"/>
  <c r="L45" i="46"/>
  <c r="T45" i="46"/>
  <c r="T38" i="46" s="1"/>
  <c r="AB45" i="46"/>
  <c r="AB38" i="46" s="1"/>
  <c r="E45" i="46"/>
  <c r="M45" i="46"/>
  <c r="U45" i="46"/>
  <c r="U38" i="46" s="1"/>
  <c r="AC45" i="46"/>
  <c r="AC38" i="46" s="1"/>
  <c r="S17" i="43"/>
  <c r="G17" i="43"/>
  <c r="W17" i="43"/>
  <c r="K17" i="43"/>
  <c r="AA17" i="43"/>
  <c r="O17" i="43"/>
  <c r="AE17" i="43"/>
  <c r="H17" i="43"/>
  <c r="L17" i="43"/>
  <c r="P17" i="43"/>
  <c r="T17" i="43"/>
  <c r="X17" i="43"/>
  <c r="AB17" i="43"/>
  <c r="AF17" i="43"/>
  <c r="D22" i="43"/>
  <c r="D21" i="44" s="1"/>
  <c r="I15" i="43"/>
  <c r="E17" i="43"/>
  <c r="I17" i="43"/>
  <c r="M17" i="43"/>
  <c r="Q17" i="43"/>
  <c r="U17" i="43"/>
  <c r="Y17" i="43"/>
  <c r="AC17" i="43"/>
  <c r="AG17" i="43"/>
  <c r="F17" i="43"/>
  <c r="J17" i="43"/>
  <c r="N17" i="43"/>
  <c r="R17" i="43"/>
  <c r="V17" i="43"/>
  <c r="Z17" i="43"/>
  <c r="AD17" i="43"/>
  <c r="N20" i="42" l="1"/>
  <c r="AE18" i="32"/>
  <c r="AE16" i="44"/>
  <c r="N19" i="48" s="1"/>
  <c r="P10" i="42"/>
  <c r="R18" i="32"/>
  <c r="R16" i="44"/>
  <c r="P9" i="48" s="1"/>
  <c r="P20" i="42"/>
  <c r="AG18" i="32"/>
  <c r="AG16" i="44"/>
  <c r="P19" i="48" s="1"/>
  <c r="O10" i="42"/>
  <c r="Q18" i="32"/>
  <c r="Q16" i="44"/>
  <c r="O9" i="48" s="1"/>
  <c r="G20" i="42"/>
  <c r="X18" i="32"/>
  <c r="X16" i="44"/>
  <c r="G19" i="48" s="1"/>
  <c r="H16" i="44"/>
  <c r="F9" i="48" s="1"/>
  <c r="H18" i="32"/>
  <c r="I10" i="42"/>
  <c r="K18" i="32"/>
  <c r="K16" i="44"/>
  <c r="I9" i="48" s="1"/>
  <c r="F14" i="46"/>
  <c r="L20" i="42"/>
  <c r="AC18" i="32"/>
  <c r="AC16" i="44"/>
  <c r="L19" i="48" s="1"/>
  <c r="M20" i="42"/>
  <c r="AD18" i="32"/>
  <c r="AD16" i="44"/>
  <c r="M19" i="48" s="1"/>
  <c r="L10" i="42"/>
  <c r="N18" i="32"/>
  <c r="N16" i="44"/>
  <c r="L9" i="48" s="1"/>
  <c r="K10" i="42"/>
  <c r="M18" i="32"/>
  <c r="M16" i="44"/>
  <c r="K9" i="48" s="1"/>
  <c r="C20" i="42"/>
  <c r="T18" i="32"/>
  <c r="T16" i="44"/>
  <c r="C19" i="48" s="1"/>
  <c r="F20" i="42"/>
  <c r="W18" i="32"/>
  <c r="W16" i="44"/>
  <c r="F19" i="48" s="1"/>
  <c r="I20" i="42"/>
  <c r="Z18" i="32"/>
  <c r="Z16" i="44"/>
  <c r="I19" i="48" s="1"/>
  <c r="H10" i="42"/>
  <c r="J18" i="32"/>
  <c r="J16" i="44"/>
  <c r="H9" i="48" s="1"/>
  <c r="H20" i="42"/>
  <c r="Y18" i="32"/>
  <c r="Y16" i="44"/>
  <c r="H19" i="48" s="1"/>
  <c r="G10" i="42"/>
  <c r="I18" i="32"/>
  <c r="I16" i="44"/>
  <c r="G9" i="48" s="1"/>
  <c r="O20" i="42"/>
  <c r="AF18" i="32"/>
  <c r="AF16" i="44"/>
  <c r="O19" i="48" s="1"/>
  <c r="N10" i="42"/>
  <c r="P18" i="32"/>
  <c r="P16" i="44"/>
  <c r="N9" i="48" s="1"/>
  <c r="M10" i="42"/>
  <c r="O18" i="32"/>
  <c r="O16" i="44"/>
  <c r="M9" i="48" s="1"/>
  <c r="G16" i="44"/>
  <c r="E9" i="48" s="1"/>
  <c r="G18" i="32"/>
  <c r="E20" i="42"/>
  <c r="V18" i="32"/>
  <c r="V16" i="44"/>
  <c r="E19" i="48" s="1"/>
  <c r="F18" i="32"/>
  <c r="F16" i="44"/>
  <c r="D9" i="48" s="1"/>
  <c r="D20" i="42"/>
  <c r="U18" i="32"/>
  <c r="U16" i="44"/>
  <c r="D19" i="48" s="1"/>
  <c r="E18" i="32"/>
  <c r="E16" i="44"/>
  <c r="C9" i="48" s="1"/>
  <c r="K20" i="42"/>
  <c r="AB18" i="32"/>
  <c r="AB16" i="44"/>
  <c r="K19" i="48" s="1"/>
  <c r="J10" i="42"/>
  <c r="L18" i="32"/>
  <c r="L16" i="44"/>
  <c r="J9" i="48" s="1"/>
  <c r="J20" i="42"/>
  <c r="AA18" i="32"/>
  <c r="AA16" i="44"/>
  <c r="J19" i="48" s="1"/>
  <c r="Q10" i="42"/>
  <c r="S18" i="32"/>
  <c r="S16" i="44"/>
  <c r="Q9" i="48" s="1"/>
  <c r="D22" i="32"/>
  <c r="D23" i="32"/>
  <c r="D29" i="32" s="1"/>
  <c r="D26" i="32" s="1"/>
  <c r="G8" i="42"/>
  <c r="I14" i="44"/>
  <c r="G7" i="48" s="1"/>
  <c r="I16" i="32"/>
  <c r="K38" i="46"/>
  <c r="J12" i="47" s="1"/>
  <c r="J19" i="47"/>
  <c r="H38" i="46"/>
  <c r="G12" i="47" s="1"/>
  <c r="G19" i="47"/>
  <c r="F38" i="46"/>
  <c r="E12" i="47" s="1"/>
  <c r="E19" i="47"/>
  <c r="J38" i="46"/>
  <c r="I12" i="47" s="1"/>
  <c r="I19" i="47"/>
  <c r="O38" i="46"/>
  <c r="N12" i="47" s="1"/>
  <c r="N19" i="47"/>
  <c r="M38" i="46"/>
  <c r="L12" i="47" s="1"/>
  <c r="L19" i="47"/>
  <c r="L38" i="46"/>
  <c r="K12" i="47" s="1"/>
  <c r="K19" i="47"/>
  <c r="Q38" i="46"/>
  <c r="P12" i="47" s="1"/>
  <c r="P19" i="47"/>
  <c r="N38" i="46"/>
  <c r="M12" i="47" s="1"/>
  <c r="M19" i="47"/>
  <c r="E38" i="46"/>
  <c r="D12" i="47" s="1"/>
  <c r="D19" i="47"/>
  <c r="D38" i="46"/>
  <c r="C12" i="47" s="1"/>
  <c r="C19" i="47"/>
  <c r="I38" i="46"/>
  <c r="H12" i="47" s="1"/>
  <c r="H19" i="47"/>
  <c r="R38" i="46"/>
  <c r="Q12" i="47" s="1"/>
  <c r="Q19" i="47"/>
  <c r="G38" i="46"/>
  <c r="F12" i="47" s="1"/>
  <c r="F19" i="47"/>
  <c r="P38" i="46"/>
  <c r="O12" i="47" s="1"/>
  <c r="O19" i="47"/>
  <c r="H19" i="43"/>
  <c r="F10" i="42"/>
  <c r="G19" i="43"/>
  <c r="E10" i="42"/>
  <c r="F19" i="43"/>
  <c r="F18" i="44" s="1"/>
  <c r="D11" i="48" s="1"/>
  <c r="D10" i="42"/>
  <c r="E19" i="43"/>
  <c r="E18" i="44" s="1"/>
  <c r="C11" i="48" s="1"/>
  <c r="C10" i="42"/>
  <c r="F21" i="46"/>
  <c r="G12" i="46"/>
  <c r="F20" i="46"/>
  <c r="I13" i="46"/>
  <c r="D46" i="46"/>
  <c r="C20" i="47" s="1"/>
  <c r="G19" i="46"/>
  <c r="G14" i="46"/>
  <c r="H11" i="46"/>
  <c r="I19" i="43"/>
  <c r="J15" i="43"/>
  <c r="D40" i="32" l="1"/>
  <c r="D36" i="32"/>
  <c r="G20" i="32"/>
  <c r="G18" i="44"/>
  <c r="E11" i="48" s="1"/>
  <c r="I20" i="32"/>
  <c r="I18" i="44"/>
  <c r="G11" i="48" s="1"/>
  <c r="H20" i="32"/>
  <c r="H18" i="44"/>
  <c r="F11" i="48" s="1"/>
  <c r="H8" i="42"/>
  <c r="J14" i="44"/>
  <c r="H7" i="48" s="1"/>
  <c r="J16" i="32"/>
  <c r="G12" i="42"/>
  <c r="D12" i="42"/>
  <c r="F20" i="32"/>
  <c r="F12" i="42"/>
  <c r="C12" i="42"/>
  <c r="E20" i="32"/>
  <c r="H21" i="43"/>
  <c r="F21" i="43"/>
  <c r="G21" i="43"/>
  <c r="E12" i="42"/>
  <c r="I11" i="46"/>
  <c r="E44" i="46"/>
  <c r="D18" i="47" s="1"/>
  <c r="D33" i="46"/>
  <c r="C7" i="47" s="1"/>
  <c r="D35" i="46"/>
  <c r="C9" i="47" s="1"/>
  <c r="D34" i="46"/>
  <c r="C8" i="47" s="1"/>
  <c r="G21" i="46"/>
  <c r="G20" i="46"/>
  <c r="H12" i="46"/>
  <c r="H19" i="46" s="1"/>
  <c r="J13" i="46"/>
  <c r="K15" i="43"/>
  <c r="J19" i="43"/>
  <c r="I21" i="43"/>
  <c r="F14" i="42" l="1"/>
  <c r="H22" i="32"/>
  <c r="H20" i="44"/>
  <c r="F13" i="48" s="1"/>
  <c r="I8" i="42"/>
  <c r="K16" i="32"/>
  <c r="K14" i="44"/>
  <c r="I7" i="48" s="1"/>
  <c r="J20" i="32"/>
  <c r="J18" i="44"/>
  <c r="H11" i="48" s="1"/>
  <c r="G22" i="32"/>
  <c r="G20" i="44"/>
  <c r="E13" i="48" s="1"/>
  <c r="H22" i="43"/>
  <c r="I22" i="32"/>
  <c r="I20" i="44"/>
  <c r="G13" i="48" s="1"/>
  <c r="F22" i="43"/>
  <c r="F22" i="32"/>
  <c r="F20" i="44"/>
  <c r="D13" i="48" s="1"/>
  <c r="D14" i="42"/>
  <c r="H12" i="42"/>
  <c r="I22" i="43"/>
  <c r="G14" i="42"/>
  <c r="G22" i="43"/>
  <c r="E14" i="42"/>
  <c r="D36" i="46"/>
  <c r="C10" i="47" s="1"/>
  <c r="J11" i="46"/>
  <c r="H20" i="46"/>
  <c r="I12" i="46"/>
  <c r="I19" i="46" s="1"/>
  <c r="H21" i="46"/>
  <c r="K13" i="46"/>
  <c r="H14" i="46"/>
  <c r="E46" i="46"/>
  <c r="J21" i="43"/>
  <c r="K19" i="43"/>
  <c r="L15" i="43"/>
  <c r="F15" i="42" l="1"/>
  <c r="H23" i="32"/>
  <c r="H21" i="44"/>
  <c r="D15" i="42"/>
  <c r="F21" i="44"/>
  <c r="F23" i="32"/>
  <c r="J20" i="44"/>
  <c r="H13" i="48" s="1"/>
  <c r="J22" i="32"/>
  <c r="G15" i="42"/>
  <c r="I23" i="32"/>
  <c r="I21" i="44"/>
  <c r="J8" i="42"/>
  <c r="L14" i="44"/>
  <c r="J7" i="48" s="1"/>
  <c r="L16" i="32"/>
  <c r="K18" i="44"/>
  <c r="I11" i="48" s="1"/>
  <c r="K20" i="32"/>
  <c r="E15" i="42"/>
  <c r="G23" i="32"/>
  <c r="G21" i="44"/>
  <c r="I12" i="42"/>
  <c r="F44" i="46"/>
  <c r="E18" i="47" s="1"/>
  <c r="D20" i="47"/>
  <c r="D37" i="46"/>
  <c r="C11" i="47" s="1"/>
  <c r="E33" i="46"/>
  <c r="D7" i="47" s="1"/>
  <c r="E34" i="46"/>
  <c r="D8" i="47" s="1"/>
  <c r="I14" i="46"/>
  <c r="J22" i="43"/>
  <c r="H14" i="42"/>
  <c r="E35" i="46"/>
  <c r="D9" i="47" s="1"/>
  <c r="I20" i="46"/>
  <c r="I21" i="46"/>
  <c r="J12" i="46"/>
  <c r="J19" i="46" s="1"/>
  <c r="K11" i="46"/>
  <c r="L13" i="46"/>
  <c r="L19" i="43"/>
  <c r="M15" i="43"/>
  <c r="K21" i="43"/>
  <c r="F46" i="46" l="1"/>
  <c r="F35" i="46" s="1"/>
  <c r="E9" i="47" s="1"/>
  <c r="K22" i="32"/>
  <c r="K20" i="44"/>
  <c r="I13" i="48" s="1"/>
  <c r="G14" i="48"/>
  <c r="G8" i="45"/>
  <c r="G8" i="49" s="1"/>
  <c r="F14" i="48"/>
  <c r="F8" i="45"/>
  <c r="F8" i="49" s="1"/>
  <c r="K8" i="42"/>
  <c r="M14" i="44"/>
  <c r="K7" i="48" s="1"/>
  <c r="M16" i="32"/>
  <c r="H15" i="42"/>
  <c r="J23" i="32"/>
  <c r="J21" i="44"/>
  <c r="E14" i="48"/>
  <c r="E8" i="45"/>
  <c r="E8" i="49" s="1"/>
  <c r="L20" i="32"/>
  <c r="L18" i="44"/>
  <c r="J11" i="48" s="1"/>
  <c r="D14" i="48"/>
  <c r="D8" i="45"/>
  <c r="D8" i="49" s="1"/>
  <c r="J12" i="42"/>
  <c r="D39" i="46"/>
  <c r="C13" i="47" s="1"/>
  <c r="D40" i="46"/>
  <c r="C14" i="47" s="1"/>
  <c r="G44" i="46"/>
  <c r="F18" i="47" s="1"/>
  <c r="E20" i="47"/>
  <c r="E36" i="46"/>
  <c r="D10" i="47" s="1"/>
  <c r="K22" i="43"/>
  <c r="I14" i="42"/>
  <c r="J14" i="46"/>
  <c r="F33" i="46"/>
  <c r="E7" i="47" s="1"/>
  <c r="F34" i="46"/>
  <c r="M13" i="46"/>
  <c r="J21" i="46"/>
  <c r="J20" i="46"/>
  <c r="K12" i="46"/>
  <c r="K14" i="46" s="1"/>
  <c r="K19" i="46"/>
  <c r="L11" i="46"/>
  <c r="M19" i="43"/>
  <c r="N15" i="43"/>
  <c r="L21" i="43"/>
  <c r="L20" i="44" l="1"/>
  <c r="J13" i="48" s="1"/>
  <c r="L22" i="32"/>
  <c r="H14" i="48"/>
  <c r="H8" i="45"/>
  <c r="H8" i="49" s="1"/>
  <c r="L8" i="42"/>
  <c r="N14" i="44"/>
  <c r="L7" i="48" s="1"/>
  <c r="N16" i="32"/>
  <c r="M20" i="32"/>
  <c r="M18" i="44"/>
  <c r="K11" i="48" s="1"/>
  <c r="I15" i="42"/>
  <c r="K23" i="32"/>
  <c r="K21" i="44"/>
  <c r="K12" i="42"/>
  <c r="E37" i="46"/>
  <c r="E40" i="46" s="1"/>
  <c r="D14" i="47" s="1"/>
  <c r="D41" i="46"/>
  <c r="G46" i="46"/>
  <c r="G33" i="46" s="1"/>
  <c r="F7" i="47" s="1"/>
  <c r="F36" i="46"/>
  <c r="E10" i="47" s="1"/>
  <c r="E8" i="47"/>
  <c r="L22" i="43"/>
  <c r="J14" i="42"/>
  <c r="M11" i="46"/>
  <c r="K21" i="46"/>
  <c r="K20" i="46"/>
  <c r="L12" i="46"/>
  <c r="L14" i="46" s="1"/>
  <c r="N13" i="46"/>
  <c r="O15" i="43"/>
  <c r="N19" i="43"/>
  <c r="M21" i="43"/>
  <c r="G35" i="46" l="1"/>
  <c r="F9" i="47" s="1"/>
  <c r="M8" i="42"/>
  <c r="O16" i="32"/>
  <c r="O14" i="44"/>
  <c r="M7" i="48" s="1"/>
  <c r="I14" i="48"/>
  <c r="I8" i="45"/>
  <c r="I8" i="49" s="1"/>
  <c r="J15" i="42"/>
  <c r="L21" i="44"/>
  <c r="L23" i="32"/>
  <c r="M22" i="32"/>
  <c r="M20" i="44"/>
  <c r="K13" i="48" s="1"/>
  <c r="N20" i="32"/>
  <c r="N18" i="44"/>
  <c r="L11" i="48" s="1"/>
  <c r="D11" i="47"/>
  <c r="E39" i="46"/>
  <c r="D13" i="47" s="1"/>
  <c r="L12" i="42"/>
  <c r="H44" i="46"/>
  <c r="G18" i="47" s="1"/>
  <c r="F20" i="47"/>
  <c r="G34" i="46"/>
  <c r="F8" i="47" s="1"/>
  <c r="C15" i="47"/>
  <c r="C7" i="45"/>
  <c r="C7" i="49" s="1"/>
  <c r="F37" i="46"/>
  <c r="M22" i="43"/>
  <c r="K14" i="42"/>
  <c r="O13" i="46"/>
  <c r="N11" i="46"/>
  <c r="L20" i="46"/>
  <c r="L21" i="46"/>
  <c r="M12" i="46"/>
  <c r="L19" i="46"/>
  <c r="N21" i="43"/>
  <c r="O19" i="43"/>
  <c r="P15" i="43"/>
  <c r="J14" i="48" l="1"/>
  <c r="J8" i="45"/>
  <c r="J8" i="49" s="1"/>
  <c r="O18" i="44"/>
  <c r="M11" i="48" s="1"/>
  <c r="O20" i="32"/>
  <c r="N22" i="32"/>
  <c r="N20" i="44"/>
  <c r="L13" i="48" s="1"/>
  <c r="K15" i="42"/>
  <c r="M23" i="32"/>
  <c r="M21" i="44"/>
  <c r="N8" i="42"/>
  <c r="P14" i="44"/>
  <c r="N7" i="48" s="1"/>
  <c r="P16" i="32"/>
  <c r="E41" i="46"/>
  <c r="D15" i="47" s="1"/>
  <c r="H46" i="46"/>
  <c r="H35" i="46" s="1"/>
  <c r="G9" i="47" s="1"/>
  <c r="M12" i="42"/>
  <c r="G36" i="46"/>
  <c r="G37" i="46" s="1"/>
  <c r="D7" i="45"/>
  <c r="E11" i="47"/>
  <c r="F40" i="46"/>
  <c r="E14" i="47" s="1"/>
  <c r="F39" i="46"/>
  <c r="N22" i="43"/>
  <c r="L14" i="42"/>
  <c r="M20" i="46"/>
  <c r="M21" i="46"/>
  <c r="N12" i="46"/>
  <c r="M14" i="46"/>
  <c r="P13" i="46"/>
  <c r="O11" i="46"/>
  <c r="N14" i="46"/>
  <c r="M19" i="46"/>
  <c r="O21" i="43"/>
  <c r="P19" i="43"/>
  <c r="Q15" i="43"/>
  <c r="O8" i="42" l="1"/>
  <c r="Q14" i="44"/>
  <c r="O7" i="48" s="1"/>
  <c r="Q16" i="32"/>
  <c r="P20" i="32"/>
  <c r="P18" i="44"/>
  <c r="N11" i="48" s="1"/>
  <c r="L15" i="42"/>
  <c r="N23" i="32"/>
  <c r="N21" i="44"/>
  <c r="O22" i="32"/>
  <c r="O20" i="44"/>
  <c r="M13" i="48" s="1"/>
  <c r="K14" i="48"/>
  <c r="K8" i="45"/>
  <c r="K8" i="49" s="1"/>
  <c r="G20" i="47"/>
  <c r="I44" i="46"/>
  <c r="H18" i="47" s="1"/>
  <c r="H34" i="46"/>
  <c r="H33" i="46"/>
  <c r="F10" i="47"/>
  <c r="N12" i="42"/>
  <c r="I46" i="46"/>
  <c r="I33" i="46" s="1"/>
  <c r="H7" i="47" s="1"/>
  <c r="E13" i="47"/>
  <c r="F41" i="46"/>
  <c r="F11" i="47"/>
  <c r="G40" i="46"/>
  <c r="F14" i="47" s="1"/>
  <c r="G39" i="46"/>
  <c r="D9" i="45"/>
  <c r="D9" i="49" s="1"/>
  <c r="D7" i="49"/>
  <c r="O22" i="43"/>
  <c r="M14" i="42"/>
  <c r="P11" i="46"/>
  <c r="Q13" i="46"/>
  <c r="N21" i="46"/>
  <c r="N20" i="46"/>
  <c r="O12" i="46"/>
  <c r="N19" i="46"/>
  <c r="P21" i="43"/>
  <c r="Q19" i="43"/>
  <c r="R15" i="43"/>
  <c r="L14" i="48" l="1"/>
  <c r="L8" i="45"/>
  <c r="L8" i="49" s="1"/>
  <c r="M15" i="42"/>
  <c r="O23" i="32"/>
  <c r="O21" i="44"/>
  <c r="P22" i="32"/>
  <c r="P20" i="44"/>
  <c r="N13" i="48" s="1"/>
  <c r="P8" i="42"/>
  <c r="R14" i="44"/>
  <c r="P7" i="48" s="1"/>
  <c r="R16" i="32"/>
  <c r="Q20" i="32"/>
  <c r="Q18" i="44"/>
  <c r="O11" i="48" s="1"/>
  <c r="G8" i="47"/>
  <c r="H36" i="46"/>
  <c r="G10" i="47" s="1"/>
  <c r="G7" i="47"/>
  <c r="O12" i="42"/>
  <c r="I35" i="46"/>
  <c r="H9" i="47" s="1"/>
  <c r="J44" i="46"/>
  <c r="H20" i="47"/>
  <c r="I34" i="46"/>
  <c r="E7" i="45"/>
  <c r="E15" i="47"/>
  <c r="F13" i="47"/>
  <c r="G41" i="46"/>
  <c r="P22" i="43"/>
  <c r="N14" i="42"/>
  <c r="O21" i="46"/>
  <c r="O20" i="46"/>
  <c r="P12" i="46"/>
  <c r="R13" i="46"/>
  <c r="O19" i="46"/>
  <c r="P19" i="46"/>
  <c r="Q11" i="46"/>
  <c r="O14" i="46"/>
  <c r="Q21" i="43"/>
  <c r="S15" i="43"/>
  <c r="R19" i="43"/>
  <c r="Q22" i="32" l="1"/>
  <c r="Q20" i="44"/>
  <c r="O13" i="48" s="1"/>
  <c r="R20" i="32"/>
  <c r="R18" i="44"/>
  <c r="P11" i="48" s="1"/>
  <c r="Q8" i="42"/>
  <c r="S16" i="32"/>
  <c r="S14" i="44"/>
  <c r="Q7" i="48" s="1"/>
  <c r="N15" i="42"/>
  <c r="P23" i="32"/>
  <c r="P21" i="44"/>
  <c r="M14" i="48"/>
  <c r="M8" i="45"/>
  <c r="M8" i="49" s="1"/>
  <c r="H37" i="46"/>
  <c r="P12" i="42"/>
  <c r="I36" i="46"/>
  <c r="H8" i="47"/>
  <c r="I18" i="47"/>
  <c r="J46" i="46"/>
  <c r="J34" i="46" s="1"/>
  <c r="F7" i="45"/>
  <c r="F15" i="47"/>
  <c r="E9" i="45"/>
  <c r="E9" i="49" s="1"/>
  <c r="E7" i="49"/>
  <c r="Q22" i="43"/>
  <c r="O14" i="42"/>
  <c r="P20" i="46"/>
  <c r="P21" i="46"/>
  <c r="Q12" i="46"/>
  <c r="Q14" i="46" s="1"/>
  <c r="R11" i="46"/>
  <c r="S13" i="46"/>
  <c r="P14" i="46"/>
  <c r="S19" i="43"/>
  <c r="T15" i="43"/>
  <c r="R21" i="43"/>
  <c r="O15" i="42" l="1"/>
  <c r="Q23" i="32"/>
  <c r="Q21" i="44"/>
  <c r="S20" i="32"/>
  <c r="S18" i="44"/>
  <c r="Q11" i="48" s="1"/>
  <c r="R20" i="44"/>
  <c r="P13" i="48" s="1"/>
  <c r="R22" i="32"/>
  <c r="N14" i="48"/>
  <c r="N8" i="45"/>
  <c r="N8" i="49" s="1"/>
  <c r="C18" i="42"/>
  <c r="T14" i="44"/>
  <c r="C17" i="48" s="1"/>
  <c r="T16" i="32"/>
  <c r="G11" i="47"/>
  <c r="H40" i="46"/>
  <c r="G14" i="47" s="1"/>
  <c r="H39" i="46"/>
  <c r="Q12" i="42"/>
  <c r="J33" i="46"/>
  <c r="I7" i="47" s="1"/>
  <c r="J35" i="46"/>
  <c r="I9" i="47" s="1"/>
  <c r="K44" i="46"/>
  <c r="I20" i="47"/>
  <c r="I8" i="47"/>
  <c r="H10" i="47"/>
  <c r="I37" i="46"/>
  <c r="F9" i="45"/>
  <c r="F9" i="49" s="1"/>
  <c r="F7" i="49"/>
  <c r="R22" i="43"/>
  <c r="P14" i="42"/>
  <c r="Q20" i="46"/>
  <c r="Q21" i="46"/>
  <c r="R12" i="46"/>
  <c r="S11" i="46"/>
  <c r="T13" i="46"/>
  <c r="Q19" i="46"/>
  <c r="T19" i="43"/>
  <c r="U15" i="43"/>
  <c r="S21" i="43"/>
  <c r="O14" i="48" l="1"/>
  <c r="O8" i="45"/>
  <c r="O8" i="49" s="1"/>
  <c r="D18" i="42"/>
  <c r="U16" i="32"/>
  <c r="U14" i="44"/>
  <c r="D17" i="48" s="1"/>
  <c r="T20" i="32"/>
  <c r="T18" i="44"/>
  <c r="C21" i="48" s="1"/>
  <c r="P15" i="42"/>
  <c r="R21" i="44"/>
  <c r="R23" i="32"/>
  <c r="S22" i="32"/>
  <c r="S20" i="44"/>
  <c r="Q13" i="48" s="1"/>
  <c r="H41" i="46"/>
  <c r="G13" i="47"/>
  <c r="C22" i="42"/>
  <c r="J36" i="46"/>
  <c r="I10" i="47" s="1"/>
  <c r="I40" i="46"/>
  <c r="H14" i="47" s="1"/>
  <c r="I39" i="46"/>
  <c r="H11" i="47"/>
  <c r="J18" i="47"/>
  <c r="K46" i="46"/>
  <c r="K34" i="46" s="1"/>
  <c r="S22" i="43"/>
  <c r="Q14" i="42"/>
  <c r="T11" i="46"/>
  <c r="R21" i="46"/>
  <c r="S12" i="46"/>
  <c r="R20" i="46"/>
  <c r="U13" i="46"/>
  <c r="R19" i="46"/>
  <c r="R14" i="46"/>
  <c r="U19" i="43"/>
  <c r="V15" i="43"/>
  <c r="T21" i="43"/>
  <c r="U20" i="32" l="1"/>
  <c r="U18" i="44"/>
  <c r="D21" i="48" s="1"/>
  <c r="T22" i="32"/>
  <c r="T20" i="44"/>
  <c r="C23" i="48" s="1"/>
  <c r="Q15" i="42"/>
  <c r="S23" i="32"/>
  <c r="S21" i="44"/>
  <c r="E18" i="42"/>
  <c r="V14" i="44"/>
  <c r="E17" i="48" s="1"/>
  <c r="V16" i="32"/>
  <c r="P14" i="48"/>
  <c r="P8" i="45"/>
  <c r="P8" i="49" s="1"/>
  <c r="G15" i="47"/>
  <c r="G7" i="45"/>
  <c r="K35" i="46"/>
  <c r="J9" i="47" s="1"/>
  <c r="J37" i="46"/>
  <c r="J40" i="46" s="1"/>
  <c r="I14" i="47" s="1"/>
  <c r="D22" i="42"/>
  <c r="K33" i="46"/>
  <c r="J7" i="47" s="1"/>
  <c r="J8" i="47"/>
  <c r="H13" i="47"/>
  <c r="I41" i="46"/>
  <c r="L44" i="46"/>
  <c r="J20" i="47"/>
  <c r="T22" i="43"/>
  <c r="C24" i="42"/>
  <c r="V13" i="46"/>
  <c r="S21" i="46"/>
  <c r="S20" i="46"/>
  <c r="T12" i="46"/>
  <c r="S14" i="46"/>
  <c r="S19" i="46"/>
  <c r="U11" i="46"/>
  <c r="W15" i="43"/>
  <c r="V19" i="43"/>
  <c r="U21" i="43"/>
  <c r="C25" i="42" l="1"/>
  <c r="T21" i="44"/>
  <c r="T23" i="32"/>
  <c r="Q14" i="48"/>
  <c r="Q8" i="45"/>
  <c r="Q8" i="49" s="1"/>
  <c r="U22" i="32"/>
  <c r="U20" i="44"/>
  <c r="D23" i="48" s="1"/>
  <c r="V20" i="32"/>
  <c r="V18" i="44"/>
  <c r="E21" i="48" s="1"/>
  <c r="F18" i="42"/>
  <c r="W16" i="32"/>
  <c r="W14" i="44"/>
  <c r="F17" i="48" s="1"/>
  <c r="I11" i="47"/>
  <c r="J39" i="46"/>
  <c r="J41" i="46" s="1"/>
  <c r="K36" i="46"/>
  <c r="J10" i="47" s="1"/>
  <c r="G7" i="49"/>
  <c r="G9" i="45"/>
  <c r="G9" i="49" s="1"/>
  <c r="E22" i="42"/>
  <c r="K18" i="47"/>
  <c r="L46" i="46"/>
  <c r="L34" i="46" s="1"/>
  <c r="H15" i="47"/>
  <c r="H7" i="45"/>
  <c r="I13" i="47"/>
  <c r="U22" i="43"/>
  <c r="D24" i="42"/>
  <c r="T20" i="46"/>
  <c r="U12" i="46"/>
  <c r="T21" i="46"/>
  <c r="W13" i="46"/>
  <c r="T19" i="46"/>
  <c r="V11" i="46"/>
  <c r="U14" i="46"/>
  <c r="T14" i="46"/>
  <c r="V21" i="43"/>
  <c r="W19" i="43"/>
  <c r="X15" i="43"/>
  <c r="K37" i="46" l="1"/>
  <c r="K39" i="46" s="1"/>
  <c r="W20" i="32"/>
  <c r="W18" i="44"/>
  <c r="F21" i="48" s="1"/>
  <c r="D25" i="42"/>
  <c r="U23" i="32"/>
  <c r="U21" i="44"/>
  <c r="V22" i="32"/>
  <c r="V20" i="44"/>
  <c r="E23" i="48" s="1"/>
  <c r="G18" i="42"/>
  <c r="X14" i="44"/>
  <c r="G17" i="48" s="1"/>
  <c r="X16" i="32"/>
  <c r="C24" i="48"/>
  <c r="R8" i="45"/>
  <c r="C14" i="49" s="1"/>
  <c r="F22" i="42"/>
  <c r="L33" i="46"/>
  <c r="K7" i="47" s="1"/>
  <c r="L35" i="46"/>
  <c r="K9" i="47" s="1"/>
  <c r="K8" i="47"/>
  <c r="H7" i="49"/>
  <c r="H9" i="45"/>
  <c r="H9" i="49" s="1"/>
  <c r="I7" i="45"/>
  <c r="I15" i="47"/>
  <c r="K20" i="47"/>
  <c r="M44" i="46"/>
  <c r="V22" i="43"/>
  <c r="E24" i="42"/>
  <c r="W11" i="46"/>
  <c r="U20" i="46"/>
  <c r="U21" i="46"/>
  <c r="V12" i="46"/>
  <c r="V14" i="46" s="1"/>
  <c r="U19" i="46"/>
  <c r="X13" i="46"/>
  <c r="W21" i="43"/>
  <c r="X19" i="43"/>
  <c r="Y15" i="43"/>
  <c r="J11" i="47" l="1"/>
  <c r="K40" i="46"/>
  <c r="J14" i="47" s="1"/>
  <c r="E25" i="42"/>
  <c r="V21" i="44"/>
  <c r="V23" i="32"/>
  <c r="W22" i="32"/>
  <c r="W20" i="44"/>
  <c r="F23" i="48" s="1"/>
  <c r="H18" i="42"/>
  <c r="Y14" i="44"/>
  <c r="H17" i="48" s="1"/>
  <c r="Y16" i="32"/>
  <c r="X20" i="32"/>
  <c r="X18" i="44"/>
  <c r="G21" i="48" s="1"/>
  <c r="D24" i="48"/>
  <c r="S8" i="45"/>
  <c r="D14" i="49" s="1"/>
  <c r="G22" i="42"/>
  <c r="L36" i="46"/>
  <c r="K10" i="47" s="1"/>
  <c r="J13" i="47"/>
  <c r="K41" i="46"/>
  <c r="I9" i="45"/>
  <c r="I9" i="49" s="1"/>
  <c r="I7" i="49"/>
  <c r="L18" i="47"/>
  <c r="M46" i="46"/>
  <c r="M35" i="46" s="1"/>
  <c r="L9" i="47" s="1"/>
  <c r="W22" i="43"/>
  <c r="F24" i="42"/>
  <c r="Y13" i="46"/>
  <c r="X11" i="46"/>
  <c r="V21" i="46"/>
  <c r="W12" i="46"/>
  <c r="W14" i="46" s="1"/>
  <c r="V20" i="46"/>
  <c r="V19" i="46"/>
  <c r="X21" i="43"/>
  <c r="Y19" i="43"/>
  <c r="Z15" i="43"/>
  <c r="Y20" i="32" l="1"/>
  <c r="Y18" i="44"/>
  <c r="H21" i="48" s="1"/>
  <c r="E24" i="48"/>
  <c r="T8" i="45"/>
  <c r="E14" i="49" s="1"/>
  <c r="I18" i="42"/>
  <c r="Z14" i="44"/>
  <c r="I17" i="48" s="1"/>
  <c r="Z16" i="32"/>
  <c r="X22" i="32"/>
  <c r="X20" i="44"/>
  <c r="G23" i="48" s="1"/>
  <c r="F25" i="42"/>
  <c r="W23" i="32"/>
  <c r="W21" i="44"/>
  <c r="H22" i="42"/>
  <c r="M33" i="46"/>
  <c r="L7" i="47" s="1"/>
  <c r="M34" i="46"/>
  <c r="L8" i="47" s="1"/>
  <c r="L37" i="46"/>
  <c r="N44" i="46"/>
  <c r="L20" i="47"/>
  <c r="J7" i="45"/>
  <c r="J15" i="47"/>
  <c r="X22" i="43"/>
  <c r="G24" i="42"/>
  <c r="W19" i="46"/>
  <c r="Z13" i="46"/>
  <c r="W21" i="46"/>
  <c r="W20" i="46"/>
  <c r="X12" i="46"/>
  <c r="X14" i="46" s="1"/>
  <c r="Y11" i="46"/>
  <c r="Y21" i="43"/>
  <c r="Z19" i="43"/>
  <c r="AA15" i="43"/>
  <c r="J18" i="42" l="1"/>
  <c r="AA16" i="32"/>
  <c r="AA14" i="44"/>
  <c r="J17" i="48" s="1"/>
  <c r="Z20" i="32"/>
  <c r="Z18" i="44"/>
  <c r="I21" i="48" s="1"/>
  <c r="F24" i="48"/>
  <c r="U8" i="45"/>
  <c r="F14" i="49" s="1"/>
  <c r="Y22" i="32"/>
  <c r="Y20" i="44"/>
  <c r="H23" i="48" s="1"/>
  <c r="G25" i="42"/>
  <c r="X23" i="32"/>
  <c r="X21" i="44"/>
  <c r="I22" i="42"/>
  <c r="M36" i="46"/>
  <c r="L10" i="47" s="1"/>
  <c r="L40" i="46"/>
  <c r="K14" i="47" s="1"/>
  <c r="L39" i="46"/>
  <c r="K11" i="47"/>
  <c r="J9" i="45"/>
  <c r="J9" i="49" s="1"/>
  <c r="J7" i="49"/>
  <c r="M18" i="47"/>
  <c r="N46" i="46"/>
  <c r="N33" i="46" s="1"/>
  <c r="Y22" i="43"/>
  <c r="H24" i="42"/>
  <c r="X19" i="46"/>
  <c r="Z11" i="46"/>
  <c r="X20" i="46"/>
  <c r="Y12" i="46"/>
  <c r="Y19" i="46" s="1"/>
  <c r="X21" i="46"/>
  <c r="AA13" i="46"/>
  <c r="Z21" i="43"/>
  <c r="AA19" i="43"/>
  <c r="AB15" i="43"/>
  <c r="Z22" i="32" l="1"/>
  <c r="Z20" i="44"/>
  <c r="I23" i="48" s="1"/>
  <c r="G24" i="48"/>
  <c r="V8" i="45"/>
  <c r="G14" i="49" s="1"/>
  <c r="H25" i="42"/>
  <c r="Y23" i="32"/>
  <c r="Y21" i="44"/>
  <c r="AA18" i="44"/>
  <c r="J21" i="48" s="1"/>
  <c r="AA20" i="32"/>
  <c r="K18" i="42"/>
  <c r="AB14" i="44"/>
  <c r="K17" i="48" s="1"/>
  <c r="AB16" i="32"/>
  <c r="J22" i="42"/>
  <c r="M37" i="46"/>
  <c r="N35" i="46"/>
  <c r="M9" i="47" s="1"/>
  <c r="L41" i="46"/>
  <c r="K13" i="47"/>
  <c r="M7" i="47"/>
  <c r="N34" i="46"/>
  <c r="M8" i="47" s="1"/>
  <c r="O44" i="46"/>
  <c r="M20" i="47"/>
  <c r="Y14" i="46"/>
  <c r="Z22" i="43"/>
  <c r="I24" i="42"/>
  <c r="AB13" i="46"/>
  <c r="AA11" i="46"/>
  <c r="Y20" i="46"/>
  <c r="Y21" i="46"/>
  <c r="Z12" i="46"/>
  <c r="Z14" i="46" s="1"/>
  <c r="AB19" i="43"/>
  <c r="AC15" i="43"/>
  <c r="AA21" i="43"/>
  <c r="I25" i="42" l="1"/>
  <c r="Z23" i="32"/>
  <c r="Z21" i="44"/>
  <c r="H24" i="48"/>
  <c r="W8" i="45"/>
  <c r="H14" i="49" s="1"/>
  <c r="AB20" i="32"/>
  <c r="AB18" i="44"/>
  <c r="K21" i="48" s="1"/>
  <c r="L18" i="42"/>
  <c r="AC14" i="44"/>
  <c r="L17" i="48" s="1"/>
  <c r="AC16" i="32"/>
  <c r="AA22" i="32"/>
  <c r="AA20" i="44"/>
  <c r="J23" i="48" s="1"/>
  <c r="K22" i="42"/>
  <c r="L11" i="47"/>
  <c r="M39" i="46"/>
  <c r="M40" i="46"/>
  <c r="L14" i="47" s="1"/>
  <c r="K15" i="47"/>
  <c r="K7" i="45"/>
  <c r="N18" i="47"/>
  <c r="O46" i="46"/>
  <c r="O34" i="46" s="1"/>
  <c r="N36" i="46"/>
  <c r="M10" i="47" s="1"/>
  <c r="AA22" i="43"/>
  <c r="J24" i="42"/>
  <c r="AC13" i="46"/>
  <c r="Z21" i="46"/>
  <c r="Z20" i="46"/>
  <c r="AA12" i="46"/>
  <c r="Z19" i="46"/>
  <c r="AB11" i="46"/>
  <c r="AC19" i="43"/>
  <c r="AD15" i="43"/>
  <c r="AB21" i="43"/>
  <c r="I24" i="48" l="1"/>
  <c r="X8" i="45"/>
  <c r="I14" i="49" s="1"/>
  <c r="M18" i="42"/>
  <c r="AD14" i="44"/>
  <c r="M17" i="48" s="1"/>
  <c r="AD16" i="32"/>
  <c r="AC20" i="32"/>
  <c r="AC18" i="44"/>
  <c r="L21" i="48" s="1"/>
  <c r="J25" i="42"/>
  <c r="AA23" i="32"/>
  <c r="AA21" i="44"/>
  <c r="AB22" i="32"/>
  <c r="AB20" i="44"/>
  <c r="K23" i="48" s="1"/>
  <c r="L22" i="42"/>
  <c r="L13" i="47"/>
  <c r="M41" i="46"/>
  <c r="K7" i="49"/>
  <c r="K9" i="45"/>
  <c r="K9" i="49" s="1"/>
  <c r="O33" i="46"/>
  <c r="N7" i="47" s="1"/>
  <c r="O35" i="46"/>
  <c r="N9" i="47" s="1"/>
  <c r="N8" i="47"/>
  <c r="N37" i="46"/>
  <c r="P44" i="46"/>
  <c r="N20" i="47"/>
  <c r="AB22" i="43"/>
  <c r="K24" i="42"/>
  <c r="AC11" i="46"/>
  <c r="AA21" i="46"/>
  <c r="AA20" i="46"/>
  <c r="AB12" i="46"/>
  <c r="AD13" i="46"/>
  <c r="AA14" i="46"/>
  <c r="AA19" i="46"/>
  <c r="AE15" i="43"/>
  <c r="AD19" i="43"/>
  <c r="AC21" i="43"/>
  <c r="AC22" i="32" l="1"/>
  <c r="AC20" i="44"/>
  <c r="L23" i="48" s="1"/>
  <c r="K25" i="42"/>
  <c r="AB21" i="44"/>
  <c r="AB23" i="32"/>
  <c r="AD20" i="32"/>
  <c r="AD18" i="44"/>
  <c r="M21" i="48" s="1"/>
  <c r="N18" i="42"/>
  <c r="AE16" i="32"/>
  <c r="AE14" i="44"/>
  <c r="N17" i="48" s="1"/>
  <c r="J24" i="48"/>
  <c r="Y8" i="45"/>
  <c r="J14" i="49" s="1"/>
  <c r="M22" i="42"/>
  <c r="L15" i="47"/>
  <c r="L7" i="45"/>
  <c r="O36" i="46"/>
  <c r="N10" i="47" s="1"/>
  <c r="O18" i="47"/>
  <c r="P46" i="46"/>
  <c r="P34" i="46" s="1"/>
  <c r="N39" i="46"/>
  <c r="M11" i="47"/>
  <c r="N40" i="46"/>
  <c r="M14" i="47" s="1"/>
  <c r="AC22" i="43"/>
  <c r="L24" i="42"/>
  <c r="AB20" i="46"/>
  <c r="AB21" i="46"/>
  <c r="AC12" i="46"/>
  <c r="AC19" i="46" s="1"/>
  <c r="AB19" i="46"/>
  <c r="AE13" i="46"/>
  <c r="AD11" i="46"/>
  <c r="AB14" i="46"/>
  <c r="AD21" i="43"/>
  <c r="AE19" i="43"/>
  <c r="AF15" i="43"/>
  <c r="O18" i="42" l="1"/>
  <c r="AF14" i="44"/>
  <c r="O17" i="48" s="1"/>
  <c r="AF16" i="32"/>
  <c r="K24" i="48"/>
  <c r="Z8" i="45"/>
  <c r="K14" i="49" s="1"/>
  <c r="AE18" i="44"/>
  <c r="N21" i="48" s="1"/>
  <c r="AE20" i="32"/>
  <c r="L25" i="42"/>
  <c r="AC23" i="32"/>
  <c r="AC21" i="44"/>
  <c r="AD22" i="32"/>
  <c r="AD20" i="44"/>
  <c r="M23" i="48" s="1"/>
  <c r="N22" i="42"/>
  <c r="O37" i="46"/>
  <c r="N11" i="47" s="1"/>
  <c r="L7" i="49"/>
  <c r="L9" i="45"/>
  <c r="L9" i="49" s="1"/>
  <c r="P33" i="46"/>
  <c r="O7" i="47" s="1"/>
  <c r="P35" i="46"/>
  <c r="O9" i="47" s="1"/>
  <c r="O8" i="47"/>
  <c r="M13" i="47"/>
  <c r="N41" i="46"/>
  <c r="O39" i="46"/>
  <c r="Q44" i="46"/>
  <c r="O20" i="47"/>
  <c r="AD22" i="43"/>
  <c r="M24" i="42"/>
  <c r="AC20" i="46"/>
  <c r="AC21" i="46"/>
  <c r="AD12" i="46"/>
  <c r="AD14" i="46" s="1"/>
  <c r="AC14" i="46"/>
  <c r="AF13" i="46"/>
  <c r="AD19" i="46"/>
  <c r="AE11" i="46"/>
  <c r="AF19" i="43"/>
  <c r="AG15" i="43"/>
  <c r="AE21" i="43"/>
  <c r="O40" i="46" l="1"/>
  <c r="N14" i="47" s="1"/>
  <c r="AE22" i="32"/>
  <c r="AE20" i="44"/>
  <c r="N23" i="48" s="1"/>
  <c r="P18" i="42"/>
  <c r="AG14" i="44"/>
  <c r="P17" i="48" s="1"/>
  <c r="AG16" i="32"/>
  <c r="M25" i="42"/>
  <c r="AD23" i="32"/>
  <c r="AD21" i="44"/>
  <c r="L24" i="48"/>
  <c r="AA8" i="45"/>
  <c r="L14" i="49" s="1"/>
  <c r="AF20" i="32"/>
  <c r="AF18" i="44"/>
  <c r="O21" i="48" s="1"/>
  <c r="O22" i="42"/>
  <c r="P36" i="46"/>
  <c r="O10" i="47" s="1"/>
  <c r="N13" i="47"/>
  <c r="O41" i="46"/>
  <c r="P18" i="47"/>
  <c r="Q46" i="46"/>
  <c r="Q34" i="46" s="1"/>
  <c r="M7" i="45"/>
  <c r="M15" i="47"/>
  <c r="AE22" i="43"/>
  <c r="N24" i="42"/>
  <c r="AF11" i="46"/>
  <c r="AG13" i="46"/>
  <c r="AD21" i="46"/>
  <c r="AD20" i="46"/>
  <c r="AE12" i="46"/>
  <c r="AE19" i="46" s="1"/>
  <c r="AG19" i="43"/>
  <c r="AH15" i="43"/>
  <c r="AF21" i="43"/>
  <c r="AF20" i="44" l="1"/>
  <c r="O23" i="48" s="1"/>
  <c r="AF22" i="32"/>
  <c r="M24" i="48"/>
  <c r="AB8" i="45"/>
  <c r="M14" i="49" s="1"/>
  <c r="AH14" i="44"/>
  <c r="Q17" i="48" s="1"/>
  <c r="AH16" i="32"/>
  <c r="AG20" i="32"/>
  <c r="AG18" i="44"/>
  <c r="P21" i="48" s="1"/>
  <c r="N25" i="42"/>
  <c r="AE23" i="32"/>
  <c r="AE21" i="44"/>
  <c r="P37" i="46"/>
  <c r="P40" i="46" s="1"/>
  <c r="O14" i="47" s="1"/>
  <c r="P22" i="42"/>
  <c r="Q33" i="46"/>
  <c r="P7" i="47" s="1"/>
  <c r="M9" i="45"/>
  <c r="M9" i="49" s="1"/>
  <c r="M7" i="49"/>
  <c r="P8" i="47"/>
  <c r="N15" i="47"/>
  <c r="N7" i="45"/>
  <c r="Q35" i="46"/>
  <c r="P9" i="47" s="1"/>
  <c r="R44" i="46"/>
  <c r="P20" i="47"/>
  <c r="AF22" i="43"/>
  <c r="O24" i="42"/>
  <c r="AH19" i="43"/>
  <c r="Q18" i="42"/>
  <c r="AG11" i="46"/>
  <c r="AE21" i="46"/>
  <c r="AE20" i="46"/>
  <c r="AF12" i="46"/>
  <c r="AF19" i="46" s="1"/>
  <c r="AE14" i="46"/>
  <c r="AG21" i="43"/>
  <c r="P39" i="46" l="1"/>
  <c r="O11" i="47"/>
  <c r="AG22" i="32"/>
  <c r="AG20" i="44"/>
  <c r="P23" i="48" s="1"/>
  <c r="N24" i="48"/>
  <c r="AC8" i="45"/>
  <c r="N14" i="49" s="1"/>
  <c r="AH20" i="32"/>
  <c r="AH18" i="44"/>
  <c r="Q21" i="48" s="1"/>
  <c r="O25" i="42"/>
  <c r="AF23" i="32"/>
  <c r="AF21" i="44"/>
  <c r="Q22" i="42"/>
  <c r="Q36" i="46"/>
  <c r="N9" i="45"/>
  <c r="N9" i="49" s="1"/>
  <c r="N7" i="49"/>
  <c r="O13" i="47"/>
  <c r="P41" i="46"/>
  <c r="Q18" i="47"/>
  <c r="R46" i="46"/>
  <c r="R33" i="46" s="1"/>
  <c r="AG22" i="43"/>
  <c r="P24" i="42"/>
  <c r="AF14" i="46"/>
  <c r="AF21" i="46"/>
  <c r="AF20" i="46"/>
  <c r="AG12" i="46"/>
  <c r="AG14" i="46" s="1"/>
  <c r="P25" i="42" l="1"/>
  <c r="AG23" i="32"/>
  <c r="AG21" i="44"/>
  <c r="O24" i="48"/>
  <c r="AD8" i="45"/>
  <c r="O14" i="49" s="1"/>
  <c r="R34" i="46"/>
  <c r="Q8" i="47" s="1"/>
  <c r="R35" i="46"/>
  <c r="Q9" i="47" s="1"/>
  <c r="S44" i="46"/>
  <c r="Q20" i="47"/>
  <c r="Q7" i="47"/>
  <c r="O15" i="47"/>
  <c r="O7" i="45"/>
  <c r="P10" i="47"/>
  <c r="Q37" i="46"/>
  <c r="AG20" i="46"/>
  <c r="AG21" i="46"/>
  <c r="AG19" i="46"/>
  <c r="P24" i="48" l="1"/>
  <c r="AE8" i="45"/>
  <c r="P14" i="49" s="1"/>
  <c r="R36" i="46"/>
  <c r="Q10" i="47" s="1"/>
  <c r="P11" i="47"/>
  <c r="Q40" i="46"/>
  <c r="P14" i="47" s="1"/>
  <c r="Q39" i="46"/>
  <c r="S46" i="46"/>
  <c r="T44" i="46" s="1"/>
  <c r="O7" i="49"/>
  <c r="O9" i="45"/>
  <c r="O9" i="49" s="1"/>
  <c r="S35" i="46" l="1"/>
  <c r="R37" i="46"/>
  <c r="Q11" i="47" s="1"/>
  <c r="S34" i="46"/>
  <c r="S36" i="46" s="1"/>
  <c r="T46" i="46"/>
  <c r="U44" i="46" s="1"/>
  <c r="S33" i="46"/>
  <c r="P13" i="47"/>
  <c r="Q41" i="46"/>
  <c r="R40" i="46" l="1"/>
  <c r="Q14" i="47" s="1"/>
  <c r="R39" i="46"/>
  <c r="Q13" i="47" s="1"/>
  <c r="T35" i="46"/>
  <c r="T34" i="46"/>
  <c r="T33" i="46"/>
  <c r="R41" i="46"/>
  <c r="P15" i="47"/>
  <c r="P7" i="45"/>
  <c r="U46" i="46"/>
  <c r="V44" i="46" s="1"/>
  <c r="S37" i="46"/>
  <c r="T36" i="46" l="1"/>
  <c r="T37" i="46" s="1"/>
  <c r="U34" i="46"/>
  <c r="U35" i="46"/>
  <c r="U36" i="46" s="1"/>
  <c r="U33" i="46"/>
  <c r="P9" i="45"/>
  <c r="P9" i="49" s="1"/>
  <c r="P7" i="49"/>
  <c r="S40" i="46"/>
  <c r="S39" i="46"/>
  <c r="Q7" i="45"/>
  <c r="Q15" i="47"/>
  <c r="V46" i="46"/>
  <c r="W44" i="46" s="1"/>
  <c r="T40" i="46" l="1"/>
  <c r="T39" i="46"/>
  <c r="T41" i="46" s="1"/>
  <c r="S7" i="45" s="1"/>
  <c r="D13" i="49" s="1"/>
  <c r="U37" i="46"/>
  <c r="U40" i="46" s="1"/>
  <c r="V35" i="46"/>
  <c r="V34" i="46"/>
  <c r="S41" i="46"/>
  <c r="R7" i="45" s="1"/>
  <c r="W46" i="46"/>
  <c r="X44" i="46" s="1"/>
  <c r="Q9" i="45"/>
  <c r="Q9" i="49" s="1"/>
  <c r="Q7" i="49"/>
  <c r="V33" i="46"/>
  <c r="S9" i="45" l="1"/>
  <c r="D15" i="49" s="1"/>
  <c r="U39" i="46"/>
  <c r="V36" i="46"/>
  <c r="V37" i="46" s="1"/>
  <c r="V40" i="46" s="1"/>
  <c r="W34" i="46"/>
  <c r="W33" i="46"/>
  <c r="W35" i="46"/>
  <c r="R9" i="45"/>
  <c r="C15" i="49" s="1"/>
  <c r="C13" i="49"/>
  <c r="U41" i="46"/>
  <c r="T7" i="45" s="1"/>
  <c r="X46" i="46"/>
  <c r="Y44" i="46" s="1"/>
  <c r="C9" i="32"/>
  <c r="C8" i="44" s="1"/>
  <c r="W36" i="46" l="1"/>
  <c r="W37" i="46" s="1"/>
  <c r="V39" i="46"/>
  <c r="V41" i="46" s="1"/>
  <c r="U7" i="45" s="1"/>
  <c r="X33" i="46"/>
  <c r="Y46" i="46"/>
  <c r="Z44" i="46" s="1"/>
  <c r="T9" i="45"/>
  <c r="E15" i="49" s="1"/>
  <c r="E13" i="49"/>
  <c r="X34" i="46"/>
  <c r="X35" i="46"/>
  <c r="W39" i="46" l="1"/>
  <c r="W40" i="46"/>
  <c r="Y35" i="46"/>
  <c r="Y33" i="46"/>
  <c r="Y34" i="46"/>
  <c r="X36" i="46"/>
  <c r="X37" i="46" s="1"/>
  <c r="W41" i="46"/>
  <c r="V7" i="45" s="1"/>
  <c r="F13" i="49"/>
  <c r="U9" i="45"/>
  <c r="F15" i="49" s="1"/>
  <c r="Z46" i="46"/>
  <c r="AA44" i="46" s="1"/>
  <c r="E28" i="41"/>
  <c r="C28" i="41"/>
  <c r="C18" i="41"/>
  <c r="E18" i="41"/>
  <c r="Y36" i="46" l="1"/>
  <c r="Y37" i="46" s="1"/>
  <c r="Z35" i="46"/>
  <c r="Z33" i="46"/>
  <c r="Z34" i="46"/>
  <c r="X40" i="46"/>
  <c r="X39" i="46"/>
  <c r="G13" i="49"/>
  <c r="V9" i="45"/>
  <c r="G15" i="49" s="1"/>
  <c r="AA46" i="46"/>
  <c r="AB44" i="46" s="1"/>
  <c r="A23" i="40"/>
  <c r="A44" i="40" s="1"/>
  <c r="A24" i="40"/>
  <c r="A45" i="40" s="1"/>
  <c r="B24" i="40"/>
  <c r="B45" i="40" s="1"/>
  <c r="AG38" i="37"/>
  <c r="AF38" i="37"/>
  <c r="AE38" i="37"/>
  <c r="AD38" i="37"/>
  <c r="AC38" i="37"/>
  <c r="AB38" i="37"/>
  <c r="AA38" i="37"/>
  <c r="Z38" i="37"/>
  <c r="Y38" i="37"/>
  <c r="X38" i="37"/>
  <c r="W38" i="37"/>
  <c r="V38" i="37"/>
  <c r="U38" i="37"/>
  <c r="T38" i="37"/>
  <c r="S38" i="37"/>
  <c r="R38" i="37"/>
  <c r="Q38" i="37"/>
  <c r="P38" i="37"/>
  <c r="O38" i="37"/>
  <c r="N38" i="37"/>
  <c r="M38" i="37"/>
  <c r="L38" i="37"/>
  <c r="K38" i="37"/>
  <c r="J38" i="37"/>
  <c r="I38" i="37"/>
  <c r="H38" i="37"/>
  <c r="AG19" i="37"/>
  <c r="AF19" i="37"/>
  <c r="AE19" i="37"/>
  <c r="AD19" i="37"/>
  <c r="AC19" i="37"/>
  <c r="AB19" i="37"/>
  <c r="AA19" i="37"/>
  <c r="Z19" i="37"/>
  <c r="Y19" i="37"/>
  <c r="X19" i="37"/>
  <c r="W19" i="37"/>
  <c r="V19" i="37"/>
  <c r="U19" i="37"/>
  <c r="T19" i="37"/>
  <c r="S19" i="37"/>
  <c r="R19" i="37"/>
  <c r="Q19" i="37"/>
  <c r="P19" i="37"/>
  <c r="O19" i="37"/>
  <c r="N19" i="37"/>
  <c r="M19" i="37"/>
  <c r="L19" i="37"/>
  <c r="K19" i="37"/>
  <c r="J19" i="37"/>
  <c r="I19" i="37"/>
  <c r="H19" i="37"/>
  <c r="G19" i="37"/>
  <c r="F19" i="37"/>
  <c r="E19" i="37"/>
  <c r="D19" i="37"/>
  <c r="Y40" i="46" l="1"/>
  <c r="Y39" i="46"/>
  <c r="Y41" i="46" s="1"/>
  <c r="X7" i="45" s="1"/>
  <c r="Z36" i="46"/>
  <c r="Z37" i="46" s="1"/>
  <c r="Z39" i="46" s="1"/>
  <c r="AA33" i="46"/>
  <c r="AA35" i="46"/>
  <c r="AA34" i="46"/>
  <c r="X41" i="46"/>
  <c r="W7" i="45" s="1"/>
  <c r="H13" i="49" s="1"/>
  <c r="AB46" i="46"/>
  <c r="AC44" i="46" s="1"/>
  <c r="D20" i="37"/>
  <c r="D40" i="37" s="1"/>
  <c r="Z40" i="46" l="1"/>
  <c r="Z41" i="46" s="1"/>
  <c r="Y7" i="45" s="1"/>
  <c r="AB35" i="46"/>
  <c r="AA36" i="46"/>
  <c r="AA37" i="46" s="1"/>
  <c r="AA40" i="46" s="1"/>
  <c r="W9" i="45"/>
  <c r="H15" i="49" s="1"/>
  <c r="AB33" i="46"/>
  <c r="AC46" i="46"/>
  <c r="AD44" i="46" s="1"/>
  <c r="I13" i="49"/>
  <c r="X9" i="45"/>
  <c r="I15" i="49" s="1"/>
  <c r="AB34" i="46"/>
  <c r="B36" i="39"/>
  <c r="B37" i="39"/>
  <c r="B38" i="39"/>
  <c r="B40" i="39"/>
  <c r="B41" i="39"/>
  <c r="B42" i="39"/>
  <c r="B43" i="39"/>
  <c r="B44" i="39"/>
  <c r="B45" i="39"/>
  <c r="B46" i="39"/>
  <c r="B47" i="39"/>
  <c r="B35" i="39"/>
  <c r="B39" i="39"/>
  <c r="AB36" i="46" l="1"/>
  <c r="AA39" i="46"/>
  <c r="AA41" i="46" s="1"/>
  <c r="Z7" i="45" s="1"/>
  <c r="Z9" i="45" s="1"/>
  <c r="K15" i="49" s="1"/>
  <c r="AC35" i="46"/>
  <c r="K13" i="49"/>
  <c r="Y9" i="45"/>
  <c r="J15" i="49" s="1"/>
  <c r="J13" i="49"/>
  <c r="AB37" i="46"/>
  <c r="AC33" i="46"/>
  <c r="AD46" i="46"/>
  <c r="AE44" i="46" s="1"/>
  <c r="AC34" i="46"/>
  <c r="AC36" i="46" s="1"/>
  <c r="D5" i="40"/>
  <c r="E5" i="40"/>
  <c r="F5" i="40"/>
  <c r="G5" i="40"/>
  <c r="H5" i="40"/>
  <c r="I5" i="40"/>
  <c r="J5" i="40"/>
  <c r="K5" i="40"/>
  <c r="L5" i="40"/>
  <c r="M5" i="40"/>
  <c r="A6" i="40"/>
  <c r="A27" i="40" s="1"/>
  <c r="B6" i="40"/>
  <c r="B27" i="40" s="1"/>
  <c r="A7" i="40"/>
  <c r="A28" i="40" s="1"/>
  <c r="B7" i="40"/>
  <c r="A8" i="40"/>
  <c r="A29" i="40" s="1"/>
  <c r="B8" i="40"/>
  <c r="B29" i="40" s="1"/>
  <c r="A9" i="40"/>
  <c r="A30" i="40" s="1"/>
  <c r="B9" i="40"/>
  <c r="B30" i="40" s="1"/>
  <c r="A10" i="40"/>
  <c r="A31" i="40" s="1"/>
  <c r="B10" i="40"/>
  <c r="B31" i="40" s="1"/>
  <c r="A11" i="40"/>
  <c r="A32" i="40" s="1"/>
  <c r="B11" i="40"/>
  <c r="B32" i="40" s="1"/>
  <c r="A12" i="40"/>
  <c r="A33" i="40" s="1"/>
  <c r="B12" i="40"/>
  <c r="B33" i="40" s="1"/>
  <c r="A13" i="40"/>
  <c r="A34" i="40" s="1"/>
  <c r="B13" i="40"/>
  <c r="B34" i="40" s="1"/>
  <c r="A14" i="40"/>
  <c r="A35" i="40" s="1"/>
  <c r="A15" i="40"/>
  <c r="A36" i="40" s="1"/>
  <c r="B15" i="40"/>
  <c r="B36" i="40" s="1"/>
  <c r="A16" i="40"/>
  <c r="A37" i="40" s="1"/>
  <c r="B16" i="40"/>
  <c r="B37" i="40" s="1"/>
  <c r="A17" i="40"/>
  <c r="A38" i="40" s="1"/>
  <c r="B17" i="40"/>
  <c r="B38" i="40" s="1"/>
  <c r="A18" i="40"/>
  <c r="A39" i="40" s="1"/>
  <c r="B18" i="40"/>
  <c r="B39" i="40" s="1"/>
  <c r="A19" i="40"/>
  <c r="A40" i="40" s="1"/>
  <c r="B19" i="40"/>
  <c r="B40" i="40" s="1"/>
  <c r="A20" i="40"/>
  <c r="A41" i="40" s="1"/>
  <c r="B20" i="40"/>
  <c r="B41" i="40" s="1"/>
  <c r="A21" i="40"/>
  <c r="A42" i="40" s="1"/>
  <c r="B21" i="40"/>
  <c r="B42" i="40" s="1"/>
  <c r="C21" i="40"/>
  <c r="A22" i="40"/>
  <c r="A43" i="40" s="1"/>
  <c r="B22" i="40"/>
  <c r="B43" i="40" s="1"/>
  <c r="C26" i="40"/>
  <c r="D26" i="40"/>
  <c r="E26" i="40"/>
  <c r="F26" i="40"/>
  <c r="G26" i="40"/>
  <c r="H26" i="40"/>
  <c r="I26" i="40"/>
  <c r="J26" i="40"/>
  <c r="K26" i="40"/>
  <c r="L26" i="40"/>
  <c r="B28" i="40"/>
  <c r="B6" i="41"/>
  <c r="C7" i="41"/>
  <c r="E7" i="41"/>
  <c r="G7" i="41"/>
  <c r="B8" i="41"/>
  <c r="C8" i="41"/>
  <c r="E8" i="41"/>
  <c r="C9" i="41"/>
  <c r="E9" i="41"/>
  <c r="C10" i="41"/>
  <c r="E10" i="41"/>
  <c r="C11" i="41"/>
  <c r="E11" i="41"/>
  <c r="B12" i="41"/>
  <c r="B14" i="41"/>
  <c r="C14" i="41"/>
  <c r="E14" i="41"/>
  <c r="B15" i="41"/>
  <c r="B16" i="41"/>
  <c r="B18" i="41"/>
  <c r="B19" i="41"/>
  <c r="B22" i="41"/>
  <c r="C23" i="41"/>
  <c r="E23" i="41"/>
  <c r="G23" i="41"/>
  <c r="B24" i="41"/>
  <c r="C24" i="41"/>
  <c r="E24" i="41"/>
  <c r="B25" i="41"/>
  <c r="C25" i="41"/>
  <c r="E25" i="41"/>
  <c r="B26" i="41"/>
  <c r="B28" i="41"/>
  <c r="B29" i="41"/>
  <c r="E40" i="39"/>
  <c r="F40" i="39"/>
  <c r="G40" i="39"/>
  <c r="H40" i="39"/>
  <c r="I40" i="39"/>
  <c r="J40" i="39"/>
  <c r="K40" i="39"/>
  <c r="L40" i="39"/>
  <c r="M40" i="39"/>
  <c r="N40" i="39"/>
  <c r="O40" i="39"/>
  <c r="P40" i="39"/>
  <c r="Q40" i="39"/>
  <c r="D40" i="39"/>
  <c r="R34" i="39"/>
  <c r="Q34" i="39"/>
  <c r="P34" i="39"/>
  <c r="O34" i="39"/>
  <c r="N34" i="39"/>
  <c r="M34" i="39"/>
  <c r="L34" i="39"/>
  <c r="K34" i="39"/>
  <c r="J34" i="39"/>
  <c r="I34" i="39"/>
  <c r="H34" i="39"/>
  <c r="G34" i="39"/>
  <c r="F34" i="39"/>
  <c r="E34" i="39"/>
  <c r="D34" i="39"/>
  <c r="Q6" i="39"/>
  <c r="R6" i="39"/>
  <c r="N6" i="39"/>
  <c r="O6" i="39"/>
  <c r="P6" i="39"/>
  <c r="AD33" i="46" l="1"/>
  <c r="AD34" i="46"/>
  <c r="AE46" i="46"/>
  <c r="AF44" i="46" s="1"/>
  <c r="AC37" i="46"/>
  <c r="AD35" i="46"/>
  <c r="AB39" i="46"/>
  <c r="AB40" i="46"/>
  <c r="C10" i="37"/>
  <c r="C25" i="37"/>
  <c r="C30" i="37"/>
  <c r="H30" i="37"/>
  <c r="AD36" i="46" l="1"/>
  <c r="AD37" i="46" s="1"/>
  <c r="AC39" i="46"/>
  <c r="AC40" i="46"/>
  <c r="AE34" i="46"/>
  <c r="AE35" i="46"/>
  <c r="AF46" i="46"/>
  <c r="AG44" i="46" s="1"/>
  <c r="AF35" i="46"/>
  <c r="AB41" i="46"/>
  <c r="AA7" i="45" s="1"/>
  <c r="AE33" i="46"/>
  <c r="C31" i="37"/>
  <c r="C21" i="37"/>
  <c r="AF33" i="46" l="1"/>
  <c r="AE36" i="46"/>
  <c r="AE37" i="46" s="1"/>
  <c r="AF34" i="46"/>
  <c r="AF36" i="46" s="1"/>
  <c r="AD40" i="46"/>
  <c r="AD39" i="46"/>
  <c r="AA9" i="45"/>
  <c r="L15" i="49" s="1"/>
  <c r="L13" i="49"/>
  <c r="AG46" i="46"/>
  <c r="AG35" i="46" s="1"/>
  <c r="AC41" i="46"/>
  <c r="AB7" i="45" s="1"/>
  <c r="I30" i="37"/>
  <c r="J30" i="37" s="1"/>
  <c r="K30" i="37" s="1"/>
  <c r="L30" i="37" s="1"/>
  <c r="M30" i="37" s="1"/>
  <c r="N30" i="37" s="1"/>
  <c r="O30" i="37" s="1"/>
  <c r="P30" i="37" s="1"/>
  <c r="Q30" i="37" s="1"/>
  <c r="R30" i="37" s="1"/>
  <c r="S30" i="37" s="1"/>
  <c r="T30" i="37" s="1"/>
  <c r="U30" i="37" s="1"/>
  <c r="V30" i="37" s="1"/>
  <c r="W30" i="37" s="1"/>
  <c r="X30" i="37" s="1"/>
  <c r="Y30" i="37" s="1"/>
  <c r="Z30" i="37" s="1"/>
  <c r="AA30" i="37" s="1"/>
  <c r="AB30" i="37" s="1"/>
  <c r="AC30" i="37" s="1"/>
  <c r="AD30" i="37" s="1"/>
  <c r="AE30" i="37" s="1"/>
  <c r="AF30" i="37" s="1"/>
  <c r="AG30" i="37" s="1"/>
  <c r="AF37" i="46" l="1"/>
  <c r="AF40" i="46" s="1"/>
  <c r="AG34" i="46"/>
  <c r="AG36" i="46" s="1"/>
  <c r="AD41" i="46"/>
  <c r="AC7" i="45" s="1"/>
  <c r="AB9" i="45"/>
  <c r="M15" i="49" s="1"/>
  <c r="M13" i="49"/>
  <c r="AG33" i="46"/>
  <c r="AE39" i="46"/>
  <c r="AE40" i="46"/>
  <c r="AG39" i="37"/>
  <c r="AF39" i="37"/>
  <c r="AE39" i="37"/>
  <c r="AD39" i="37"/>
  <c r="AC39" i="37"/>
  <c r="AB39" i="37"/>
  <c r="AA39" i="37"/>
  <c r="Z39" i="37"/>
  <c r="Y39" i="37"/>
  <c r="X39" i="37"/>
  <c r="W39" i="37"/>
  <c r="V39" i="37"/>
  <c r="U39" i="37"/>
  <c r="T39" i="37"/>
  <c r="S39" i="37"/>
  <c r="R39" i="37"/>
  <c r="Q39" i="37"/>
  <c r="P39" i="37"/>
  <c r="O39" i="37"/>
  <c r="N39" i="37"/>
  <c r="M39" i="37"/>
  <c r="L39" i="37"/>
  <c r="K39" i="37"/>
  <c r="J39" i="37"/>
  <c r="I39" i="37"/>
  <c r="H39" i="37"/>
  <c r="G39" i="37"/>
  <c r="F39" i="37"/>
  <c r="E39" i="37"/>
  <c r="D39" i="37"/>
  <c r="AF39" i="46" l="1"/>
  <c r="AE41" i="46"/>
  <c r="AD7" i="45" s="1"/>
  <c r="O13" i="49" s="1"/>
  <c r="AF41" i="46"/>
  <c r="AE7" i="45" s="1"/>
  <c r="AE9" i="45" s="1"/>
  <c r="P15" i="49" s="1"/>
  <c r="AG37" i="46"/>
  <c r="AG39" i="46" s="1"/>
  <c r="AC9" i="45"/>
  <c r="N15" i="49" s="1"/>
  <c r="N13" i="49"/>
  <c r="P13" i="49"/>
  <c r="M6" i="39"/>
  <c r="C7" i="39"/>
  <c r="C35" i="39" s="1"/>
  <c r="C39" i="39"/>
  <c r="C41" i="39"/>
  <c r="C42" i="39"/>
  <c r="C44" i="39"/>
  <c r="D6" i="39"/>
  <c r="E6" i="39"/>
  <c r="F6" i="39"/>
  <c r="G6" i="39"/>
  <c r="H6" i="39"/>
  <c r="I6" i="39"/>
  <c r="J6" i="39"/>
  <c r="K6" i="39"/>
  <c r="L6" i="39"/>
  <c r="AD9" i="45" l="1"/>
  <c r="O15" i="49" s="1"/>
  <c r="AG40" i="46"/>
  <c r="AG41" i="46" s="1"/>
  <c r="AF7" i="45" s="1"/>
  <c r="Q13" i="49" s="1"/>
  <c r="D10" i="37"/>
  <c r="H5" i="37"/>
  <c r="H10" i="37" l="1"/>
  <c r="I5" i="37"/>
  <c r="G10" i="37"/>
  <c r="I10" i="37" l="1"/>
  <c r="J5" i="37"/>
  <c r="F10" i="37"/>
  <c r="E10" i="37"/>
  <c r="G25" i="37"/>
  <c r="H25" i="37" s="1"/>
  <c r="I25" i="37" s="1"/>
  <c r="J25" i="37" s="1"/>
  <c r="K25" i="37" s="1"/>
  <c r="L25" i="37" s="1"/>
  <c r="M25" i="37" s="1"/>
  <c r="N25" i="37" s="1"/>
  <c r="O25" i="37" s="1"/>
  <c r="P25" i="37" s="1"/>
  <c r="Q25" i="37" s="1"/>
  <c r="R25" i="37" s="1"/>
  <c r="S25" i="37" s="1"/>
  <c r="T25" i="37" s="1"/>
  <c r="U25" i="37" s="1"/>
  <c r="V25" i="37" s="1"/>
  <c r="W25" i="37" s="1"/>
  <c r="X25" i="37" s="1"/>
  <c r="Y25" i="37" s="1"/>
  <c r="Z25" i="37" s="1"/>
  <c r="AA25" i="37" s="1"/>
  <c r="AB25" i="37" s="1"/>
  <c r="AC25" i="37" s="1"/>
  <c r="AD25" i="37" s="1"/>
  <c r="AE25" i="37" s="1"/>
  <c r="AF25" i="37" s="1"/>
  <c r="AG25" i="37" s="1"/>
  <c r="F25" i="37"/>
  <c r="E25" i="37"/>
  <c r="D25" i="37"/>
  <c r="K5" i="37" l="1"/>
  <c r="J10" i="37"/>
  <c r="H31" i="37"/>
  <c r="G30" i="37"/>
  <c r="G31" i="37" s="1"/>
  <c r="F30" i="37"/>
  <c r="F31" i="37" s="1"/>
  <c r="E30" i="37"/>
  <c r="E31" i="37" s="1"/>
  <c r="D30" i="37"/>
  <c r="D31" i="37" s="1"/>
  <c r="G38" i="37"/>
  <c r="F38" i="37"/>
  <c r="E38" i="37"/>
  <c r="D38" i="37"/>
  <c r="C38" i="37"/>
  <c r="L5" i="37" l="1"/>
  <c r="K10" i="37"/>
  <c r="C41" i="37"/>
  <c r="D16" i="36" s="1"/>
  <c r="C16" i="40" l="1"/>
  <c r="D18" i="36"/>
  <c r="M5" i="37"/>
  <c r="L10" i="37"/>
  <c r="I31" i="37"/>
  <c r="M10" i="37" l="1"/>
  <c r="N5" i="37"/>
  <c r="J31" i="37"/>
  <c r="N10" i="37" l="1"/>
  <c r="O5" i="37"/>
  <c r="K31" i="37"/>
  <c r="P5" i="37" l="1"/>
  <c r="O10" i="37"/>
  <c r="L31" i="37"/>
  <c r="Q5" i="37" l="1"/>
  <c r="P10" i="37"/>
  <c r="M31" i="37"/>
  <c r="R5" i="37" l="1"/>
  <c r="Q10" i="37"/>
  <c r="N31" i="37"/>
  <c r="S5" i="37" l="1"/>
  <c r="R10" i="37"/>
  <c r="O31" i="37"/>
  <c r="T5" i="37" l="1"/>
  <c r="S10" i="37"/>
  <c r="P31" i="37"/>
  <c r="U5" i="37" l="1"/>
  <c r="T10" i="37"/>
  <c r="Q31" i="37"/>
  <c r="V5" i="37" l="1"/>
  <c r="U10" i="37"/>
  <c r="R31" i="37"/>
  <c r="W5" i="37" l="1"/>
  <c r="V10" i="37"/>
  <c r="S31" i="37"/>
  <c r="D25" i="39"/>
  <c r="X5" i="37" l="1"/>
  <c r="W10" i="37"/>
  <c r="T31" i="37"/>
  <c r="Y5" i="37" l="1"/>
  <c r="X10" i="37"/>
  <c r="U31" i="37"/>
  <c r="Z5" i="37" l="1"/>
  <c r="Y10" i="37"/>
  <c r="V31" i="37"/>
  <c r="AA5" i="37" l="1"/>
  <c r="Z10" i="37"/>
  <c r="W31" i="37"/>
  <c r="AB5" i="37" l="1"/>
  <c r="AA10" i="37"/>
  <c r="X31" i="37"/>
  <c r="AC5" i="37" l="1"/>
  <c r="AB10" i="37"/>
  <c r="Y31" i="37"/>
  <c r="AD5" i="37" l="1"/>
  <c r="AC10" i="37"/>
  <c r="Z31" i="37"/>
  <c r="AE5" i="37" l="1"/>
  <c r="AD10" i="37"/>
  <c r="AA31" i="37"/>
  <c r="AF5" i="37" l="1"/>
  <c r="AE10" i="37"/>
  <c r="AB31" i="37"/>
  <c r="AG5" i="37" l="1"/>
  <c r="AG10" i="37" s="1"/>
  <c r="AF10" i="37"/>
  <c r="AC31" i="37"/>
  <c r="AD31" i="37" l="1"/>
  <c r="AG31" i="37"/>
  <c r="AE31" i="37" l="1"/>
  <c r="AF31" i="37" l="1"/>
  <c r="D2" i="37" l="1"/>
  <c r="E2" i="37" s="1"/>
  <c r="F2" i="37" s="1"/>
  <c r="G2" i="37" s="1"/>
  <c r="H2" i="37" s="1"/>
  <c r="I2" i="37" s="1"/>
  <c r="J2" i="37" s="1"/>
  <c r="K2" i="37" s="1"/>
  <c r="L2" i="37" s="1"/>
  <c r="M2" i="37" s="1"/>
  <c r="N2" i="37" s="1"/>
  <c r="O2" i="37" s="1"/>
  <c r="P2" i="37" s="1"/>
  <c r="Q2" i="37" s="1"/>
  <c r="R2" i="37" s="1"/>
  <c r="S2" i="37" s="1"/>
  <c r="T2" i="37" s="1"/>
  <c r="U2" i="37" s="1"/>
  <c r="V2" i="37" s="1"/>
  <c r="W2" i="37" s="1"/>
  <c r="X2" i="37" s="1"/>
  <c r="Y2" i="37" s="1"/>
  <c r="Z2" i="37" s="1"/>
  <c r="AA2" i="37" s="1"/>
  <c r="AB2" i="37" s="1"/>
  <c r="AC2" i="37" s="1"/>
  <c r="AD2" i="37" s="1"/>
  <c r="AE2" i="37" s="1"/>
  <c r="AF2" i="37" s="1"/>
  <c r="AG2" i="37" s="1"/>
  <c r="E25" i="35" l="1"/>
  <c r="C25" i="35"/>
  <c r="C26" i="41" s="1"/>
  <c r="E28" i="35" l="1"/>
  <c r="E29" i="41" s="1"/>
  <c r="E26" i="41"/>
  <c r="C28" i="35"/>
  <c r="C29" i="41" s="1"/>
  <c r="D8" i="36"/>
  <c r="C8" i="40" s="1"/>
  <c r="D24" i="36" l="1"/>
  <c r="D17" i="36"/>
  <c r="C17" i="40" s="1"/>
  <c r="C18" i="40"/>
  <c r="C24" i="40" l="1"/>
  <c r="D35" i="32"/>
  <c r="D19" i="36"/>
  <c r="C19" i="40" l="1"/>
  <c r="E17" i="36"/>
  <c r="D17" i="40" s="1"/>
  <c r="E33" i="32" l="1"/>
  <c r="D24" i="39" s="1"/>
  <c r="E11" i="35"/>
  <c r="C11" i="35"/>
  <c r="E12" i="41" l="1"/>
  <c r="E14" i="35"/>
  <c r="C12" i="41"/>
  <c r="C14" i="35"/>
  <c r="G28" i="35"/>
  <c r="G29" i="41" s="1"/>
  <c r="G7" i="39"/>
  <c r="F7" i="39"/>
  <c r="E7" i="39"/>
  <c r="D7" i="39"/>
  <c r="C7" i="32"/>
  <c r="C5" i="32"/>
  <c r="C15" i="41" l="1"/>
  <c r="C15" i="35"/>
  <c r="E15" i="41"/>
  <c r="E15" i="35"/>
  <c r="D9" i="39"/>
  <c r="D4" i="8"/>
  <c r="R37" i="39"/>
  <c r="N37" i="39"/>
  <c r="J37" i="39"/>
  <c r="F37" i="39"/>
  <c r="Q9" i="39"/>
  <c r="M9" i="39"/>
  <c r="I9" i="39"/>
  <c r="E9" i="39"/>
  <c r="Q37" i="39"/>
  <c r="M37" i="39"/>
  <c r="I37" i="39"/>
  <c r="E37" i="39"/>
  <c r="P9" i="39"/>
  <c r="L9" i="39"/>
  <c r="H9" i="39"/>
  <c r="P37" i="39"/>
  <c r="L37" i="39"/>
  <c r="H37" i="39"/>
  <c r="O9" i="39"/>
  <c r="G9" i="39"/>
  <c r="O37" i="39"/>
  <c r="K37" i="39"/>
  <c r="G37" i="39"/>
  <c r="R9" i="39"/>
  <c r="N9" i="39"/>
  <c r="J9" i="39"/>
  <c r="F9" i="39"/>
  <c r="D37" i="39"/>
  <c r="K9" i="39"/>
  <c r="H7" i="39"/>
  <c r="E16" i="41" l="1"/>
  <c r="E18" i="35"/>
  <c r="D20" i="36"/>
  <c r="C16" i="41"/>
  <c r="C18" i="35"/>
  <c r="C19" i="41" s="1"/>
  <c r="D11" i="36"/>
  <c r="I7" i="39"/>
  <c r="C20" i="40" l="1"/>
  <c r="D22" i="36"/>
  <c r="C11" i="40"/>
  <c r="D13" i="36"/>
  <c r="E19" i="41"/>
  <c r="G18" i="35"/>
  <c r="G19" i="41" s="1"/>
  <c r="J7" i="39"/>
  <c r="C13" i="40" l="1"/>
  <c r="E11" i="36"/>
  <c r="C22" i="40"/>
  <c r="E20" i="36"/>
  <c r="D20" i="40" s="1"/>
  <c r="K7" i="39"/>
  <c r="D11" i="40" l="1"/>
  <c r="E13" i="36"/>
  <c r="L7" i="39"/>
  <c r="D13" i="40" l="1"/>
  <c r="F11" i="36"/>
  <c r="E11" i="40" s="1"/>
  <c r="M7" i="39"/>
  <c r="N7" i="39" l="1"/>
  <c r="O7" i="39" l="1"/>
  <c r="P7" i="39" l="1"/>
  <c r="Q7" i="39" l="1"/>
  <c r="R7" i="39" l="1"/>
  <c r="D35" i="39" l="1"/>
  <c r="E35" i="39" l="1"/>
  <c r="F35" i="39" l="1"/>
  <c r="G35" i="39" l="1"/>
  <c r="H35" i="39" l="1"/>
  <c r="I35" i="39" l="1"/>
  <c r="J35" i="39" l="1"/>
  <c r="K35" i="39" l="1"/>
  <c r="L35" i="39" l="1"/>
  <c r="M35" i="39" l="1"/>
  <c r="N35" i="39" l="1"/>
  <c r="O35" i="39" l="1"/>
  <c r="P35" i="39" l="1"/>
  <c r="Q35" i="39" l="1"/>
  <c r="R35" i="39" l="1"/>
  <c r="A13" i="22" l="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D9" i="8" l="1"/>
  <c r="D10" i="8" s="1"/>
  <c r="P38" i="39" l="1"/>
  <c r="L38" i="39"/>
  <c r="H38" i="39"/>
  <c r="D38" i="39"/>
  <c r="O10" i="39"/>
  <c r="K10" i="39"/>
  <c r="G10" i="39"/>
  <c r="Q10" i="39"/>
  <c r="H10" i="39"/>
  <c r="O38" i="39"/>
  <c r="K38" i="39"/>
  <c r="G38" i="39"/>
  <c r="R10" i="39"/>
  <c r="N10" i="39"/>
  <c r="J10" i="39"/>
  <c r="F10" i="39"/>
  <c r="N38" i="39"/>
  <c r="J38" i="39"/>
  <c r="F38" i="39"/>
  <c r="M10" i="39"/>
  <c r="I10" i="39"/>
  <c r="P10" i="39"/>
  <c r="R38" i="39"/>
  <c r="Q38" i="39"/>
  <c r="M38" i="39"/>
  <c r="I38" i="39"/>
  <c r="E38" i="39"/>
  <c r="L10" i="39"/>
  <c r="Q8" i="39" l="1"/>
  <c r="R27" i="32"/>
  <c r="M8" i="39"/>
  <c r="N27" i="32"/>
  <c r="I36" i="39"/>
  <c r="Y27" i="32"/>
  <c r="K36" i="39"/>
  <c r="AA27" i="32"/>
  <c r="N36" i="39"/>
  <c r="AD27" i="32"/>
  <c r="O8" i="39"/>
  <c r="P27" i="32"/>
  <c r="H8" i="39"/>
  <c r="I27" i="32"/>
  <c r="K8" i="39"/>
  <c r="L27" i="32"/>
  <c r="N8" i="39"/>
  <c r="O27" i="32"/>
  <c r="Q36" i="39"/>
  <c r="AG27" i="32"/>
  <c r="D36" i="39"/>
  <c r="T27" i="32"/>
  <c r="P8" i="39"/>
  <c r="Q27" i="32"/>
  <c r="M36" i="39"/>
  <c r="AC27" i="32"/>
  <c r="G8" i="39"/>
  <c r="H27" i="32"/>
  <c r="E36" i="39"/>
  <c r="U27" i="32"/>
  <c r="J36" i="39"/>
  <c r="Z27" i="32"/>
  <c r="E8" i="39"/>
  <c r="F27" i="32"/>
  <c r="H36" i="39"/>
  <c r="X27" i="32"/>
  <c r="R36" i="39"/>
  <c r="AH27" i="32"/>
  <c r="R46" i="39" s="1"/>
  <c r="O36" i="39"/>
  <c r="AE27" i="32"/>
  <c r="J8" i="39"/>
  <c r="K27" i="32"/>
  <c r="G36" i="39"/>
  <c r="W27" i="32"/>
  <c r="P36" i="39"/>
  <c r="AF27" i="32"/>
  <c r="I8" i="39"/>
  <c r="J27" i="32"/>
  <c r="L8" i="39"/>
  <c r="M27" i="32"/>
  <c r="F8" i="39"/>
  <c r="G27" i="32"/>
  <c r="R8" i="39"/>
  <c r="S27" i="32"/>
  <c r="L36" i="39"/>
  <c r="AB27" i="32"/>
  <c r="F36" i="39"/>
  <c r="V27" i="32"/>
  <c r="D8" i="39"/>
  <c r="E27" i="32"/>
  <c r="E10" i="39"/>
  <c r="D10" i="39"/>
  <c r="D5" i="8"/>
  <c r="K39" i="39"/>
  <c r="N39" i="39"/>
  <c r="N11" i="39"/>
  <c r="Q39" i="39"/>
  <c r="P11" i="39"/>
  <c r="M39" i="39"/>
  <c r="G39" i="39"/>
  <c r="E39" i="39"/>
  <c r="J39" i="39"/>
  <c r="I39" i="39"/>
  <c r="O11" i="39"/>
  <c r="P39" i="39"/>
  <c r="R11" i="39"/>
  <c r="L39" i="39"/>
  <c r="F39" i="39"/>
  <c r="D39" i="39"/>
  <c r="H39" i="39"/>
  <c r="R39" i="39"/>
  <c r="Q11" i="39"/>
  <c r="O39" i="39"/>
  <c r="D18" i="39" l="1"/>
  <c r="L46" i="39"/>
  <c r="F18" i="39"/>
  <c r="I18" i="39"/>
  <c r="G46" i="39"/>
  <c r="O46" i="39"/>
  <c r="H46" i="39"/>
  <c r="J46" i="39"/>
  <c r="G18" i="39"/>
  <c r="P18" i="39"/>
  <c r="Q46" i="39"/>
  <c r="K18" i="39"/>
  <c r="O18" i="39"/>
  <c r="K46" i="39"/>
  <c r="M18" i="39"/>
  <c r="R18" i="39"/>
  <c r="P46" i="39"/>
  <c r="E46" i="39"/>
  <c r="M46" i="39"/>
  <c r="D46" i="39"/>
  <c r="N18" i="39"/>
  <c r="H18" i="39"/>
  <c r="N46" i="39"/>
  <c r="I46" i="39"/>
  <c r="Q18" i="39"/>
  <c r="F46" i="39"/>
  <c r="L18" i="39"/>
  <c r="J18" i="39"/>
  <c r="E18" i="39"/>
  <c r="P13" i="39"/>
  <c r="Q28" i="32"/>
  <c r="P19" i="39" s="1"/>
  <c r="D11" i="39"/>
  <c r="Q29" i="32"/>
  <c r="F28" i="32"/>
  <c r="E19" i="39" s="1"/>
  <c r="E11" i="39"/>
  <c r="M28" i="32"/>
  <c r="L19" i="39" s="1"/>
  <c r="L11" i="39"/>
  <c r="H28" i="32"/>
  <c r="G19" i="39" s="1"/>
  <c r="G11" i="39"/>
  <c r="N28" i="32"/>
  <c r="M19" i="39" s="1"/>
  <c r="M11" i="39"/>
  <c r="G28" i="32"/>
  <c r="F19" i="39" s="1"/>
  <c r="F11" i="39"/>
  <c r="J28" i="32"/>
  <c r="I19" i="39" s="1"/>
  <c r="I11" i="39"/>
  <c r="L28" i="32"/>
  <c r="K19" i="39" s="1"/>
  <c r="K11" i="39"/>
  <c r="K28" i="32"/>
  <c r="J19" i="39" s="1"/>
  <c r="J11" i="39"/>
  <c r="I28" i="32"/>
  <c r="H19" i="39" s="1"/>
  <c r="H11" i="39"/>
  <c r="D6" i="8"/>
  <c r="D11" i="8" s="1"/>
  <c r="Q26" i="32" l="1"/>
  <c r="P17" i="39" s="1"/>
  <c r="P20" i="39"/>
  <c r="H41" i="39"/>
  <c r="X28" i="32"/>
  <c r="N41" i="39"/>
  <c r="AD28" i="32"/>
  <c r="G41" i="39"/>
  <c r="W28" i="32"/>
  <c r="Q13" i="39"/>
  <c r="R28" i="32"/>
  <c r="N13" i="39"/>
  <c r="O28" i="32"/>
  <c r="J41" i="39"/>
  <c r="Z28" i="32"/>
  <c r="K41" i="39"/>
  <c r="AA28" i="32"/>
  <c r="I41" i="39"/>
  <c r="Y28" i="32"/>
  <c r="D41" i="39"/>
  <c r="T28" i="32"/>
  <c r="P41" i="39"/>
  <c r="AF28" i="32"/>
  <c r="F41" i="39"/>
  <c r="V28" i="32"/>
  <c r="Q41" i="39"/>
  <c r="AG28" i="32"/>
  <c r="E41" i="39"/>
  <c r="U28" i="32"/>
  <c r="L41" i="39"/>
  <c r="AB28" i="32"/>
  <c r="M41" i="39"/>
  <c r="AC28" i="32"/>
  <c r="O13" i="39"/>
  <c r="P28" i="32"/>
  <c r="R13" i="39"/>
  <c r="S28" i="32"/>
  <c r="O41" i="39"/>
  <c r="AE28" i="32"/>
  <c r="E20" i="43"/>
  <c r="Q36" i="32"/>
  <c r="P27" i="39" s="1"/>
  <c r="AF29" i="32"/>
  <c r="P48" i="39" s="1"/>
  <c r="P14" i="39"/>
  <c r="I29" i="32"/>
  <c r="I26" i="32" s="1"/>
  <c r="H13" i="39"/>
  <c r="Y29" i="32"/>
  <c r="I48" i="39" s="1"/>
  <c r="J29" i="32"/>
  <c r="J26" i="32" s="1"/>
  <c r="I13" i="39"/>
  <c r="AD29" i="32"/>
  <c r="N48" i="39" s="1"/>
  <c r="P29" i="32"/>
  <c r="O20" i="39" s="1"/>
  <c r="K29" i="32"/>
  <c r="K26" i="32" s="1"/>
  <c r="J13" i="39"/>
  <c r="U29" i="32"/>
  <c r="E48" i="39" s="1"/>
  <c r="AB29" i="32"/>
  <c r="L48" i="39" s="1"/>
  <c r="X29" i="32"/>
  <c r="N29" i="32"/>
  <c r="N26" i="32" s="1"/>
  <c r="M13" i="39"/>
  <c r="AC29" i="32"/>
  <c r="M29" i="32"/>
  <c r="M26" i="32" s="1"/>
  <c r="L13" i="39"/>
  <c r="V29" i="32"/>
  <c r="F48" i="39" s="1"/>
  <c r="AE29" i="32"/>
  <c r="O48" i="39" s="1"/>
  <c r="AA29" i="32"/>
  <c r="L29" i="32"/>
  <c r="L26" i="32" s="1"/>
  <c r="K13" i="39"/>
  <c r="G29" i="32"/>
  <c r="G26" i="32" s="1"/>
  <c r="F13" i="39"/>
  <c r="O29" i="32"/>
  <c r="Z29" i="32"/>
  <c r="J48" i="39" s="1"/>
  <c r="AG29" i="32"/>
  <c r="Q48" i="39" s="1"/>
  <c r="W29" i="32"/>
  <c r="T29" i="32"/>
  <c r="R29" i="32"/>
  <c r="Q20" i="39" s="1"/>
  <c r="H29" i="32"/>
  <c r="H26" i="32" s="1"/>
  <c r="G13" i="39"/>
  <c r="S29" i="32"/>
  <c r="F29" i="32"/>
  <c r="F26" i="32" s="1"/>
  <c r="E13" i="39"/>
  <c r="E19" i="44" l="1"/>
  <c r="E21" i="32"/>
  <c r="E30" i="32" s="1"/>
  <c r="O47" i="39"/>
  <c r="AE26" i="32"/>
  <c r="O19" i="39"/>
  <c r="P26" i="32"/>
  <c r="L47" i="39"/>
  <c r="AB26" i="32"/>
  <c r="L45" i="39" s="1"/>
  <c r="Q47" i="39"/>
  <c r="AG26" i="32"/>
  <c r="P47" i="39"/>
  <c r="AF26" i="32"/>
  <c r="I47" i="39"/>
  <c r="Y26" i="32"/>
  <c r="J47" i="39"/>
  <c r="Z26" i="32"/>
  <c r="Q19" i="39"/>
  <c r="R26" i="32"/>
  <c r="N47" i="39"/>
  <c r="AD26" i="32"/>
  <c r="N45" i="39" s="1"/>
  <c r="R19" i="39"/>
  <c r="S26" i="32"/>
  <c r="M47" i="39"/>
  <c r="AC26" i="32"/>
  <c r="M45" i="39" s="1"/>
  <c r="E47" i="39"/>
  <c r="U26" i="32"/>
  <c r="E45" i="39" s="1"/>
  <c r="F47" i="39"/>
  <c r="V26" i="32"/>
  <c r="F45" i="39" s="1"/>
  <c r="D47" i="39"/>
  <c r="T26" i="32"/>
  <c r="D45" i="39" s="1"/>
  <c r="K47" i="39"/>
  <c r="AA26" i="32"/>
  <c r="K45" i="39" s="1"/>
  <c r="N19" i="39"/>
  <c r="O26" i="32"/>
  <c r="G47" i="39"/>
  <c r="W26" i="32"/>
  <c r="G45" i="39" s="1"/>
  <c r="H47" i="39"/>
  <c r="X26" i="32"/>
  <c r="G20" i="39"/>
  <c r="R20" i="39"/>
  <c r="D48" i="39"/>
  <c r="N20" i="39"/>
  <c r="K20" i="39"/>
  <c r="M20" i="39"/>
  <c r="H20" i="39"/>
  <c r="G48" i="39"/>
  <c r="K48" i="39"/>
  <c r="L20" i="39"/>
  <c r="H48" i="39"/>
  <c r="J20" i="39"/>
  <c r="I20" i="39"/>
  <c r="F20" i="39"/>
  <c r="M48" i="39"/>
  <c r="E20" i="39"/>
  <c r="E21" i="43"/>
  <c r="AH20" i="43"/>
  <c r="P36" i="32"/>
  <c r="O27" i="39" s="1"/>
  <c r="O36" i="32"/>
  <c r="N27" i="39" s="1"/>
  <c r="M36" i="32"/>
  <c r="L27" i="39" s="1"/>
  <c r="K36" i="32"/>
  <c r="J27" i="39" s="1"/>
  <c r="C13" i="42"/>
  <c r="C12" i="48"/>
  <c r="P42" i="39"/>
  <c r="T36" i="32"/>
  <c r="D55" i="39" s="1"/>
  <c r="AE36" i="32"/>
  <c r="O55" i="39" s="1"/>
  <c r="AC36" i="32"/>
  <c r="M55" i="39" s="1"/>
  <c r="AB36" i="32"/>
  <c r="L55" i="39" s="1"/>
  <c r="Y36" i="32"/>
  <c r="I55" i="39" s="1"/>
  <c r="Z36" i="32"/>
  <c r="J55" i="39" s="1"/>
  <c r="AD36" i="32"/>
  <c r="N55" i="39" s="1"/>
  <c r="V36" i="32"/>
  <c r="F55" i="39" s="1"/>
  <c r="AG36" i="32"/>
  <c r="Q55" i="39" s="1"/>
  <c r="L36" i="32"/>
  <c r="K27" i="39" s="1"/>
  <c r="N36" i="32"/>
  <c r="M27" i="39" s="1"/>
  <c r="W36" i="32"/>
  <c r="G55" i="39" s="1"/>
  <c r="U36" i="32"/>
  <c r="E55" i="39" s="1"/>
  <c r="H36" i="32"/>
  <c r="G27" i="39" s="1"/>
  <c r="F36" i="32"/>
  <c r="E27" i="39" s="1"/>
  <c r="R36" i="32"/>
  <c r="Q27" i="39" s="1"/>
  <c r="AA36" i="32"/>
  <c r="K55" i="39" s="1"/>
  <c r="X36" i="32"/>
  <c r="H55" i="39" s="1"/>
  <c r="J36" i="32"/>
  <c r="I27" i="39" s="1"/>
  <c r="Q14" i="39"/>
  <c r="K42" i="39"/>
  <c r="H42" i="39"/>
  <c r="R14" i="39"/>
  <c r="D42" i="39"/>
  <c r="O42" i="39"/>
  <c r="M42" i="39"/>
  <c r="L42" i="39"/>
  <c r="O14" i="39"/>
  <c r="I42" i="39"/>
  <c r="G42" i="39"/>
  <c r="J42" i="39"/>
  <c r="F42" i="39"/>
  <c r="E42" i="39"/>
  <c r="N42" i="39"/>
  <c r="Q42" i="39"/>
  <c r="N14" i="39"/>
  <c r="E14" i="39"/>
  <c r="G14" i="39"/>
  <c r="K14" i="39"/>
  <c r="L14" i="39"/>
  <c r="M14" i="39"/>
  <c r="J14" i="39"/>
  <c r="Q40" i="32"/>
  <c r="P31" i="39" s="1"/>
  <c r="F14" i="39"/>
  <c r="I14" i="39"/>
  <c r="H14" i="39"/>
  <c r="D7" i="36"/>
  <c r="D9" i="36" s="1"/>
  <c r="D12" i="39" l="1"/>
  <c r="AH21" i="32"/>
  <c r="R40" i="39" s="1"/>
  <c r="AH19" i="44"/>
  <c r="Q22" i="48" s="1"/>
  <c r="E20" i="44"/>
  <c r="C13" i="48" s="1"/>
  <c r="E22" i="32"/>
  <c r="D13" i="39" s="1"/>
  <c r="AH30" i="32"/>
  <c r="D21" i="39"/>
  <c r="Q23" i="42"/>
  <c r="AH21" i="43"/>
  <c r="I17" i="39"/>
  <c r="Q17" i="39"/>
  <c r="K17" i="39"/>
  <c r="F17" i="39"/>
  <c r="J17" i="39"/>
  <c r="P45" i="39"/>
  <c r="N17" i="39"/>
  <c r="E17" i="39"/>
  <c r="L17" i="39"/>
  <c r="H17" i="39"/>
  <c r="R17" i="39"/>
  <c r="I36" i="32"/>
  <c r="H27" i="39" s="1"/>
  <c r="G36" i="32"/>
  <c r="F27" i="39" s="1"/>
  <c r="S36" i="32"/>
  <c r="R27" i="39" s="1"/>
  <c r="G17" i="39"/>
  <c r="M17" i="39"/>
  <c r="O17" i="39"/>
  <c r="AF36" i="32"/>
  <c r="P55" i="39" s="1"/>
  <c r="C9" i="40"/>
  <c r="C7" i="40"/>
  <c r="E22" i="43"/>
  <c r="C14" i="42"/>
  <c r="J45" i="39"/>
  <c r="O45" i="39"/>
  <c r="Q45" i="39"/>
  <c r="H45" i="39"/>
  <c r="I45" i="39"/>
  <c r="AB40" i="32"/>
  <c r="L59" i="39" s="1"/>
  <c r="U40" i="32"/>
  <c r="E59" i="39" s="1"/>
  <c r="AC40" i="32"/>
  <c r="M59" i="39" s="1"/>
  <c r="AA40" i="32"/>
  <c r="K59" i="39" s="1"/>
  <c r="Z40" i="32"/>
  <c r="J59" i="39" s="1"/>
  <c r="AE40" i="32"/>
  <c r="O59" i="39" s="1"/>
  <c r="AG40" i="32"/>
  <c r="Q59" i="39" s="1"/>
  <c r="H40" i="32"/>
  <c r="G31" i="39" s="1"/>
  <c r="AD40" i="32"/>
  <c r="N59" i="39" s="1"/>
  <c r="I40" i="32"/>
  <c r="H31" i="39" s="1"/>
  <c r="P40" i="32"/>
  <c r="O31" i="39" s="1"/>
  <c r="X40" i="32"/>
  <c r="H59" i="39" s="1"/>
  <c r="V40" i="32"/>
  <c r="F59" i="39" s="1"/>
  <c r="G40" i="32"/>
  <c r="F31" i="39" s="1"/>
  <c r="Y40" i="32"/>
  <c r="I59" i="39" s="1"/>
  <c r="T40" i="32"/>
  <c r="D59" i="39" s="1"/>
  <c r="R40" i="32"/>
  <c r="Q31" i="39" s="1"/>
  <c r="W40" i="32"/>
  <c r="G59" i="39" s="1"/>
  <c r="E28" i="32" l="1"/>
  <c r="D19" i="39" s="1"/>
  <c r="AH20" i="44"/>
  <c r="Q23" i="48" s="1"/>
  <c r="AH22" i="32"/>
  <c r="AH28" i="32" s="1"/>
  <c r="R47" i="39" s="1"/>
  <c r="C15" i="42"/>
  <c r="E23" i="32"/>
  <c r="E21" i="44"/>
  <c r="C14" i="48" s="1"/>
  <c r="R49" i="39"/>
  <c r="AH22" i="43"/>
  <c r="Q24" i="42"/>
  <c r="K40" i="32"/>
  <c r="J31" i="39" s="1"/>
  <c r="O40" i="32"/>
  <c r="N31" i="39" s="1"/>
  <c r="J40" i="32"/>
  <c r="I31" i="39" s="1"/>
  <c r="S40" i="32"/>
  <c r="R31" i="39" s="1"/>
  <c r="M40" i="32"/>
  <c r="L31" i="39" s="1"/>
  <c r="N40" i="32"/>
  <c r="M31" i="39" s="1"/>
  <c r="L40" i="32"/>
  <c r="K31" i="39" s="1"/>
  <c r="F40" i="32"/>
  <c r="E31" i="39" s="1"/>
  <c r="AF40" i="32"/>
  <c r="P59" i="39" s="1"/>
  <c r="D10" i="36"/>
  <c r="C8" i="45"/>
  <c r="C10" i="40" l="1"/>
  <c r="R41" i="39"/>
  <c r="Q25" i="42"/>
  <c r="AH23" i="32"/>
  <c r="R42" i="39" s="1"/>
  <c r="AH21" i="44"/>
  <c r="E29" i="32"/>
  <c r="D14" i="39"/>
  <c r="E8" i="36"/>
  <c r="D8" i="40" s="1"/>
  <c r="C8" i="49"/>
  <c r="C9" i="45"/>
  <c r="Q24" i="48" l="1"/>
  <c r="AF8" i="45"/>
  <c r="AH29" i="32"/>
  <c r="AH36" i="32" s="1"/>
  <c r="R55" i="39" s="1"/>
  <c r="D20" i="39"/>
  <c r="E36" i="32"/>
  <c r="E26" i="32"/>
  <c r="C9" i="49"/>
  <c r="C10" i="45"/>
  <c r="D27" i="39" l="1"/>
  <c r="R48" i="39"/>
  <c r="AH26" i="32"/>
  <c r="R45" i="39" s="1"/>
  <c r="Q14" i="49"/>
  <c r="AF9" i="45"/>
  <c r="D17" i="39"/>
  <c r="E40" i="32"/>
  <c r="D31" i="39" s="1"/>
  <c r="C10" i="49"/>
  <c r="D10" i="45"/>
  <c r="AH40" i="32" l="1"/>
  <c r="R59" i="39" s="1"/>
  <c r="Q15" i="49"/>
  <c r="C12" i="45"/>
  <c r="C18" i="49" s="1"/>
  <c r="D10" i="49"/>
  <c r="E10" i="45"/>
  <c r="D21" i="37"/>
  <c r="E7" i="36" s="1"/>
  <c r="E9" i="36" s="1"/>
  <c r="D41" i="37"/>
  <c r="E16" i="36" s="1"/>
  <c r="D16" i="40" l="1"/>
  <c r="E18" i="36"/>
  <c r="D18" i="40" s="1"/>
  <c r="D7" i="40"/>
  <c r="E10" i="49"/>
  <c r="F10" i="45"/>
  <c r="D9" i="40" l="1"/>
  <c r="E10" i="36"/>
  <c r="F10" i="49"/>
  <c r="G10" i="45"/>
  <c r="E19" i="36"/>
  <c r="D19" i="40" s="1"/>
  <c r="E21" i="36"/>
  <c r="D21" i="40" s="1"/>
  <c r="D10" i="40" l="1"/>
  <c r="F8" i="36"/>
  <c r="G10" i="49"/>
  <c r="H10" i="45"/>
  <c r="F17" i="36"/>
  <c r="E17" i="40" s="1"/>
  <c r="E22" i="36"/>
  <c r="D22" i="40" s="1"/>
  <c r="E24" i="36"/>
  <c r="D24" i="40" s="1"/>
  <c r="E8" i="40" l="1"/>
  <c r="H10" i="49"/>
  <c r="I10" i="45"/>
  <c r="E35" i="32"/>
  <c r="F20" i="36"/>
  <c r="E20" i="40" s="1"/>
  <c r="D26" i="39" l="1"/>
  <c r="I10" i="49"/>
  <c r="J10" i="45"/>
  <c r="E37" i="32"/>
  <c r="D28" i="39" s="1"/>
  <c r="E38" i="32" l="1"/>
  <c r="D29" i="39" s="1"/>
  <c r="J10" i="49"/>
  <c r="K10" i="45"/>
  <c r="E20" i="37"/>
  <c r="E21" i="37" s="1"/>
  <c r="F7" i="36" s="1"/>
  <c r="F9" i="36" l="1"/>
  <c r="F12" i="36" s="1"/>
  <c r="E7" i="40"/>
  <c r="F33" i="32"/>
  <c r="E24" i="39" s="1"/>
  <c r="E40" i="37"/>
  <c r="E41" i="37" s="1"/>
  <c r="F16" i="36" s="1"/>
  <c r="K10" i="49"/>
  <c r="L10" i="45"/>
  <c r="E9" i="40" l="1"/>
  <c r="E16" i="40"/>
  <c r="F18" i="36"/>
  <c r="E12" i="40"/>
  <c r="F10" i="36"/>
  <c r="E10" i="40" s="1"/>
  <c r="L10" i="49"/>
  <c r="M10" i="45"/>
  <c r="F19" i="36" l="1"/>
  <c r="E19" i="40" s="1"/>
  <c r="E18" i="40"/>
  <c r="F21" i="36"/>
  <c r="E21" i="40" s="1"/>
  <c r="G8" i="36"/>
  <c r="F13" i="36"/>
  <c r="E13" i="40" s="1"/>
  <c r="M10" i="49"/>
  <c r="N10" i="45"/>
  <c r="F8" i="40" l="1"/>
  <c r="G17" i="36"/>
  <c r="F17" i="40" s="1"/>
  <c r="F22" i="36"/>
  <c r="E22" i="40" s="1"/>
  <c r="F24" i="36"/>
  <c r="E24" i="40" s="1"/>
  <c r="G11" i="36"/>
  <c r="F11" i="40" s="1"/>
  <c r="O10" i="45"/>
  <c r="N10" i="49"/>
  <c r="G20" i="36" l="1"/>
  <c r="F20" i="40" s="1"/>
  <c r="F35" i="32"/>
  <c r="O10" i="49"/>
  <c r="P10" i="45"/>
  <c r="F37" i="32" l="1"/>
  <c r="E28" i="39" s="1"/>
  <c r="E26" i="39"/>
  <c r="P10" i="49"/>
  <c r="Q10" i="45"/>
  <c r="F20" i="37" l="1"/>
  <c r="F40" i="37" s="1"/>
  <c r="F41" i="37" s="1"/>
  <c r="G16" i="36" s="1"/>
  <c r="F16" i="40" s="1"/>
  <c r="F38" i="32"/>
  <c r="E29" i="39" s="1"/>
  <c r="Q10" i="49"/>
  <c r="R10" i="45"/>
  <c r="F21" i="37" l="1"/>
  <c r="G7" i="36" s="1"/>
  <c r="G9" i="36" s="1"/>
  <c r="G33" i="32"/>
  <c r="F24" i="39" s="1"/>
  <c r="C16" i="49"/>
  <c r="S10" i="45"/>
  <c r="G18" i="36"/>
  <c r="F7" i="40" l="1"/>
  <c r="F9" i="40"/>
  <c r="G21" i="36"/>
  <c r="F21" i="40" s="1"/>
  <c r="F18" i="40"/>
  <c r="D16" i="49"/>
  <c r="T10" i="45"/>
  <c r="G19" i="36"/>
  <c r="F19" i="40" s="1"/>
  <c r="G12" i="36" l="1"/>
  <c r="G24" i="36" s="1"/>
  <c r="F24" i="40" s="1"/>
  <c r="G10" i="36"/>
  <c r="F10" i="40" s="1"/>
  <c r="G22" i="36"/>
  <c r="F22" i="40" s="1"/>
  <c r="E16" i="49"/>
  <c r="U10" i="45"/>
  <c r="H17" i="36"/>
  <c r="G17" i="40" s="1"/>
  <c r="F12" i="40" l="1"/>
  <c r="H8" i="36"/>
  <c r="G13" i="36"/>
  <c r="F13" i="40" s="1"/>
  <c r="H20" i="36"/>
  <c r="G20" i="40" s="1"/>
  <c r="G35" i="32"/>
  <c r="F26" i="39" s="1"/>
  <c r="F16" i="49"/>
  <c r="V10" i="45"/>
  <c r="G8" i="40" l="1"/>
  <c r="H11" i="36"/>
  <c r="G11" i="40" s="1"/>
  <c r="G37" i="32"/>
  <c r="G16" i="49"/>
  <c r="W10" i="45"/>
  <c r="G20" i="37" l="1"/>
  <c r="G40" i="37" s="1"/>
  <c r="G41" i="37" s="1"/>
  <c r="H16" i="36" s="1"/>
  <c r="H18" i="36" s="1"/>
  <c r="H21" i="36" s="1"/>
  <c r="G21" i="40" s="1"/>
  <c r="F28" i="39"/>
  <c r="G38" i="32"/>
  <c r="F29" i="39" s="1"/>
  <c r="H16" i="49"/>
  <c r="X10" i="45"/>
  <c r="G16" i="40" l="1"/>
  <c r="G21" i="37"/>
  <c r="H7" i="36" s="1"/>
  <c r="H9" i="36" s="1"/>
  <c r="H33" i="32"/>
  <c r="G24" i="39" s="1"/>
  <c r="H19" i="36"/>
  <c r="G18" i="40"/>
  <c r="H22" i="36"/>
  <c r="G22" i="40" s="1"/>
  <c r="Y10" i="45"/>
  <c r="I16" i="49"/>
  <c r="G7" i="40" l="1"/>
  <c r="G9" i="40"/>
  <c r="I20" i="36"/>
  <c r="H20" i="40" s="1"/>
  <c r="I17" i="36"/>
  <c r="H17" i="40" s="1"/>
  <c r="G19" i="40"/>
  <c r="J16" i="49"/>
  <c r="Z10" i="45"/>
  <c r="H12" i="36" l="1"/>
  <c r="G12" i="40" s="1"/>
  <c r="H10" i="36"/>
  <c r="G10" i="40" s="1"/>
  <c r="K16" i="49"/>
  <c r="AA10" i="45"/>
  <c r="H13" i="36" l="1"/>
  <c r="G13" i="40" s="1"/>
  <c r="I8" i="36"/>
  <c r="H24" i="36"/>
  <c r="G24" i="40" s="1"/>
  <c r="L16" i="49"/>
  <c r="AB10" i="45"/>
  <c r="H8" i="40" l="1"/>
  <c r="I11" i="36"/>
  <c r="H11" i="40" s="1"/>
  <c r="H35" i="32"/>
  <c r="G26" i="39" s="1"/>
  <c r="M16" i="49"/>
  <c r="AC10" i="45"/>
  <c r="H37" i="32" l="1"/>
  <c r="G28" i="39" s="1"/>
  <c r="N16" i="49"/>
  <c r="AD10" i="45"/>
  <c r="H20" i="37" l="1"/>
  <c r="H40" i="37" s="1"/>
  <c r="H41" i="37" s="1"/>
  <c r="I16" i="36" s="1"/>
  <c r="H38" i="32"/>
  <c r="G29" i="39" s="1"/>
  <c r="AE10" i="45"/>
  <c r="O16" i="49"/>
  <c r="H21" i="37" l="1"/>
  <c r="I7" i="36" s="1"/>
  <c r="I9" i="36" s="1"/>
  <c r="I33" i="32"/>
  <c r="H24" i="39" s="1"/>
  <c r="H7" i="40"/>
  <c r="I18" i="36"/>
  <c r="H16" i="40"/>
  <c r="P16" i="49"/>
  <c r="AF10" i="45"/>
  <c r="Q16" i="49" s="1"/>
  <c r="I12" i="36" l="1"/>
  <c r="I21" i="36"/>
  <c r="H18" i="40"/>
  <c r="I19" i="36"/>
  <c r="H9" i="40"/>
  <c r="I10" i="36"/>
  <c r="H19" i="40" l="1"/>
  <c r="J17" i="36"/>
  <c r="I17" i="40" s="1"/>
  <c r="H12" i="40"/>
  <c r="I13" i="36"/>
  <c r="I24" i="36"/>
  <c r="H10" i="40"/>
  <c r="J8" i="36"/>
  <c r="H21" i="40"/>
  <c r="I22" i="36"/>
  <c r="I8" i="40" l="1"/>
  <c r="H13" i="40"/>
  <c r="J11" i="36"/>
  <c r="I11" i="40" s="1"/>
  <c r="H22" i="40"/>
  <c r="J20" i="36"/>
  <c r="I20" i="40" s="1"/>
  <c r="H24" i="40"/>
  <c r="I35" i="32"/>
  <c r="H26" i="39" s="1"/>
  <c r="I37" i="32" l="1"/>
  <c r="H28" i="39" s="1"/>
  <c r="I20" i="37" l="1"/>
  <c r="I38" i="32"/>
  <c r="H29" i="39" s="1"/>
  <c r="J33" i="32" l="1"/>
  <c r="I24" i="39" s="1"/>
  <c r="I40" i="37"/>
  <c r="I41" i="37" s="1"/>
  <c r="J16" i="36" s="1"/>
  <c r="I21" i="37"/>
  <c r="J7" i="36" s="1"/>
  <c r="J9" i="36" s="1"/>
  <c r="J12" i="36" l="1"/>
  <c r="I7" i="40"/>
  <c r="I16" i="40"/>
  <c r="J18" i="36"/>
  <c r="I18" i="40" l="1"/>
  <c r="J19" i="36"/>
  <c r="I9" i="40"/>
  <c r="J10" i="36"/>
  <c r="J21" i="36"/>
  <c r="I12" i="40" l="1"/>
  <c r="J24" i="36"/>
  <c r="J13" i="36"/>
  <c r="I10" i="40"/>
  <c r="K8" i="36"/>
  <c r="I21" i="40"/>
  <c r="J22" i="36"/>
  <c r="I19" i="40"/>
  <c r="K17" i="36"/>
  <c r="J17" i="40" s="1"/>
  <c r="J8" i="40" l="1"/>
  <c r="I22" i="40"/>
  <c r="K20" i="36"/>
  <c r="J20" i="40" s="1"/>
  <c r="I13" i="40"/>
  <c r="K11" i="36"/>
  <c r="J11" i="40" s="1"/>
  <c r="I24" i="40"/>
  <c r="J35" i="32"/>
  <c r="I26" i="39" s="1"/>
  <c r="J37" i="32" l="1"/>
  <c r="I28" i="39" s="1"/>
  <c r="J38" i="32" l="1"/>
  <c r="I29" i="39" s="1"/>
  <c r="J20" i="37"/>
  <c r="K33" i="32" l="1"/>
  <c r="J24" i="39" s="1"/>
  <c r="J40" i="37"/>
  <c r="J41" i="37" s="1"/>
  <c r="K16" i="36" s="1"/>
  <c r="J21" i="37"/>
  <c r="K7" i="36" s="1"/>
  <c r="K9" i="36" s="1"/>
  <c r="K12" i="36" l="1"/>
  <c r="J7" i="40"/>
  <c r="K18" i="36"/>
  <c r="K21" i="36" s="1"/>
  <c r="J16" i="40"/>
  <c r="J12" i="40" l="1"/>
  <c r="K13" i="36"/>
  <c r="K24" i="36"/>
  <c r="J18" i="40"/>
  <c r="K19" i="36"/>
  <c r="J9" i="40"/>
  <c r="K10" i="36"/>
  <c r="J21" i="40"/>
  <c r="K22" i="36"/>
  <c r="J24" i="40" l="1"/>
  <c r="K35" i="32"/>
  <c r="J26" i="39" s="1"/>
  <c r="J10" i="40"/>
  <c r="L8" i="36"/>
  <c r="J13" i="40"/>
  <c r="L11" i="36"/>
  <c r="K11" i="40" s="1"/>
  <c r="J22" i="40"/>
  <c r="L20" i="36"/>
  <c r="K20" i="40" s="1"/>
  <c r="J19" i="40"/>
  <c r="L17" i="36"/>
  <c r="K17" i="40" s="1"/>
  <c r="K8" i="40" l="1"/>
  <c r="K37" i="32"/>
  <c r="J28" i="39" s="1"/>
  <c r="K20" i="37" l="1"/>
  <c r="K38" i="32"/>
  <c r="J29" i="39" s="1"/>
  <c r="L33" i="32" l="1"/>
  <c r="K24" i="39" s="1"/>
  <c r="K40" i="37"/>
  <c r="K41" i="37" s="1"/>
  <c r="L16" i="36" s="1"/>
  <c r="K21" i="37"/>
  <c r="L7" i="36" s="1"/>
  <c r="L9" i="36" s="1"/>
  <c r="L12" i="36" l="1"/>
  <c r="K7" i="40"/>
  <c r="K16" i="40"/>
  <c r="L18" i="36"/>
  <c r="L21" i="36" s="1"/>
  <c r="K12" i="40" l="1"/>
  <c r="L13" i="36"/>
  <c r="L24" i="36"/>
  <c r="K21" i="40"/>
  <c r="L22" i="36"/>
  <c r="K9" i="40"/>
  <c r="L10" i="36"/>
  <c r="K18" i="40"/>
  <c r="L19" i="36"/>
  <c r="K10" i="40" l="1"/>
  <c r="M8" i="36"/>
  <c r="K13" i="40"/>
  <c r="M11" i="36"/>
  <c r="L11" i="40" s="1"/>
  <c r="K24" i="40"/>
  <c r="L35" i="32"/>
  <c r="K26" i="39" s="1"/>
  <c r="K19" i="40"/>
  <c r="M17" i="36"/>
  <c r="L17" i="40" s="1"/>
  <c r="K22" i="40"/>
  <c r="M20" i="36"/>
  <c r="L20" i="40" s="1"/>
  <c r="L8" i="40" l="1"/>
  <c r="L37" i="32"/>
  <c r="K28" i="39" s="1"/>
  <c r="L38" i="32" l="1"/>
  <c r="K29" i="39" s="1"/>
  <c r="L20" i="37"/>
  <c r="L21" i="37" l="1"/>
  <c r="M7" i="36" s="1"/>
  <c r="M9" i="36" s="1"/>
  <c r="L40" i="37"/>
  <c r="L41" i="37" s="1"/>
  <c r="M16" i="36" s="1"/>
  <c r="M33" i="32"/>
  <c r="L24" i="39" s="1"/>
  <c r="M12" i="36" l="1"/>
  <c r="M18" i="36"/>
  <c r="L16" i="40"/>
  <c r="L7" i="40"/>
  <c r="L9" i="40" l="1"/>
  <c r="M10" i="36"/>
  <c r="L18" i="40"/>
  <c r="M19" i="36"/>
  <c r="M21" i="36"/>
  <c r="L12" i="40" l="1"/>
  <c r="M24" i="36"/>
  <c r="M13" i="36"/>
  <c r="L21" i="40"/>
  <c r="M22" i="36"/>
  <c r="L10" i="40"/>
  <c r="N8" i="36"/>
  <c r="L19" i="40"/>
  <c r="N17" i="36"/>
  <c r="M17" i="40" s="1"/>
  <c r="M8" i="40" l="1"/>
  <c r="L22" i="40"/>
  <c r="N20" i="36"/>
  <c r="M20" i="40" s="1"/>
  <c r="L13" i="40"/>
  <c r="N11" i="36"/>
  <c r="M11" i="40" s="1"/>
  <c r="L24" i="40"/>
  <c r="M35" i="32"/>
  <c r="L26" i="39" s="1"/>
  <c r="M37" i="32" l="1"/>
  <c r="L28" i="39" s="1"/>
  <c r="M38" i="32" l="1"/>
  <c r="L29" i="39" s="1"/>
  <c r="M20" i="37"/>
  <c r="M40" i="37" l="1"/>
  <c r="M41" i="37" s="1"/>
  <c r="N16" i="36" s="1"/>
  <c r="N18" i="36" s="1"/>
  <c r="M18" i="40" s="1"/>
  <c r="M21" i="37"/>
  <c r="N7" i="36" s="1"/>
  <c r="N9" i="36" s="1"/>
  <c r="N33" i="32"/>
  <c r="M24" i="39" s="1"/>
  <c r="N12" i="36" l="1"/>
  <c r="M16" i="40"/>
  <c r="N19" i="36"/>
  <c r="O17" i="36" s="1"/>
  <c r="C38" i="40" s="1"/>
  <c r="N21" i="36"/>
  <c r="N22" i="36" s="1"/>
  <c r="M7" i="40"/>
  <c r="M19" i="40" l="1"/>
  <c r="M21" i="40"/>
  <c r="M9" i="40"/>
  <c r="N10" i="36"/>
  <c r="O20" i="36"/>
  <c r="C41" i="40" s="1"/>
  <c r="M22" i="40"/>
  <c r="M12" i="40" l="1"/>
  <c r="N24" i="36"/>
  <c r="N13" i="36"/>
  <c r="O8" i="36"/>
  <c r="M10" i="40"/>
  <c r="C29" i="40" l="1"/>
  <c r="M13" i="40"/>
  <c r="O11" i="36"/>
  <c r="C32" i="40" s="1"/>
  <c r="N35" i="32"/>
  <c r="M26" i="39" s="1"/>
  <c r="M24" i="40"/>
  <c r="N37" i="32" l="1"/>
  <c r="M28" i="39" s="1"/>
  <c r="N38" i="32" l="1"/>
  <c r="M29" i="39" s="1"/>
  <c r="N20" i="37"/>
  <c r="O33" i="32" l="1"/>
  <c r="N24" i="39" s="1"/>
  <c r="N40" i="37"/>
  <c r="N41" i="37" s="1"/>
  <c r="O16" i="36" s="1"/>
  <c r="N21" i="37"/>
  <c r="O7" i="36" s="1"/>
  <c r="O9" i="36" s="1"/>
  <c r="O12" i="36" l="1"/>
  <c r="C28" i="40"/>
  <c r="O18" i="36"/>
  <c r="C37" i="40"/>
  <c r="O19" i="36" l="1"/>
  <c r="C39" i="40"/>
  <c r="O21" i="36"/>
  <c r="C30" i="40"/>
  <c r="O10" i="36"/>
  <c r="C33" i="40" l="1"/>
  <c r="O13" i="36"/>
  <c r="O24" i="36"/>
  <c r="P8" i="36"/>
  <c r="C31" i="40"/>
  <c r="O22" i="36"/>
  <c r="C42" i="40"/>
  <c r="P17" i="36"/>
  <c r="D38" i="40" s="1"/>
  <c r="C40" i="40"/>
  <c r="D29" i="40" l="1"/>
  <c r="C45" i="40"/>
  <c r="O35" i="32"/>
  <c r="N26" i="39" s="1"/>
  <c r="P20" i="36"/>
  <c r="D41" i="40" s="1"/>
  <c r="C43" i="40"/>
  <c r="C34" i="40"/>
  <c r="P11" i="36"/>
  <c r="D32" i="40" s="1"/>
  <c r="O37" i="32" l="1"/>
  <c r="N28" i="39" s="1"/>
  <c r="O38" i="32" l="1"/>
  <c r="N29" i="39" s="1"/>
  <c r="O20" i="37"/>
  <c r="P33" i="32" l="1"/>
  <c r="O24" i="39" s="1"/>
  <c r="O40" i="37"/>
  <c r="O41" i="37" s="1"/>
  <c r="P16" i="36" s="1"/>
  <c r="O21" i="37"/>
  <c r="P7" i="36" s="1"/>
  <c r="P9" i="36" s="1"/>
  <c r="P12" i="36" l="1"/>
  <c r="D28" i="40"/>
  <c r="P18" i="36"/>
  <c r="P21" i="36" s="1"/>
  <c r="D37" i="40"/>
  <c r="D39" i="40" l="1"/>
  <c r="P19" i="36"/>
  <c r="P24" i="36"/>
  <c r="D33" i="40"/>
  <c r="P13" i="36"/>
  <c r="P22" i="36"/>
  <c r="D42" i="40"/>
  <c r="D30" i="40"/>
  <c r="P10" i="36"/>
  <c r="D45" i="40" l="1"/>
  <c r="P35" i="32"/>
  <c r="O26" i="39" s="1"/>
  <c r="D40" i="40"/>
  <c r="Q17" i="36"/>
  <c r="E38" i="40" s="1"/>
  <c r="Q20" i="36"/>
  <c r="E41" i="40" s="1"/>
  <c r="D43" i="40"/>
  <c r="Q8" i="36"/>
  <c r="D31" i="40"/>
  <c r="D34" i="40"/>
  <c r="Q11" i="36"/>
  <c r="E32" i="40" s="1"/>
  <c r="E29" i="40" l="1"/>
  <c r="P37" i="32"/>
  <c r="O28" i="39" s="1"/>
  <c r="P38" i="32" l="1"/>
  <c r="O29" i="39" s="1"/>
  <c r="P20" i="37"/>
  <c r="Q33" i="32" l="1"/>
  <c r="P24" i="39" s="1"/>
  <c r="P21" i="37"/>
  <c r="Q7" i="36" s="1"/>
  <c r="Q9" i="36" s="1"/>
  <c r="P40" i="37"/>
  <c r="P41" i="37" s="1"/>
  <c r="Q16" i="36" s="1"/>
  <c r="Q12" i="36" l="1"/>
  <c r="Q18" i="36"/>
  <c r="E37" i="40"/>
  <c r="E28" i="40"/>
  <c r="Q10" i="36" l="1"/>
  <c r="E30" i="40"/>
  <c r="Q19" i="36"/>
  <c r="E39" i="40"/>
  <c r="Q21" i="36"/>
  <c r="R17" i="36" l="1"/>
  <c r="F38" i="40" s="1"/>
  <c r="E40" i="40"/>
  <c r="E42" i="40"/>
  <c r="Q22" i="36"/>
  <c r="R8" i="36"/>
  <c r="E31" i="40"/>
  <c r="Q24" i="36"/>
  <c r="Q13" i="36"/>
  <c r="E33" i="40"/>
  <c r="F29" i="40" l="1"/>
  <c r="R11" i="36"/>
  <c r="F32" i="40" s="1"/>
  <c r="E34" i="40"/>
  <c r="R20" i="36"/>
  <c r="F41" i="40" s="1"/>
  <c r="E43" i="40"/>
  <c r="E45" i="40"/>
  <c r="Q35" i="32"/>
  <c r="P26" i="39" s="1"/>
  <c r="Q37" i="32" l="1"/>
  <c r="P28" i="39" s="1"/>
  <c r="Q20" i="37" l="1"/>
  <c r="Q38" i="32"/>
  <c r="P29" i="39" s="1"/>
  <c r="R33" i="32" l="1"/>
  <c r="Q24" i="39" s="1"/>
  <c r="Q21" i="37"/>
  <c r="R7" i="36" s="1"/>
  <c r="R9" i="36" s="1"/>
  <c r="Q40" i="37"/>
  <c r="Q41" i="37" s="1"/>
  <c r="R16" i="36" s="1"/>
  <c r="R12" i="36" l="1"/>
  <c r="R18" i="36"/>
  <c r="R21" i="36" s="1"/>
  <c r="F37" i="40"/>
  <c r="F28" i="40"/>
  <c r="F30" i="40" l="1"/>
  <c r="R10" i="36"/>
  <c r="F42" i="40"/>
  <c r="R22" i="36"/>
  <c r="R19" i="36"/>
  <c r="F39" i="40"/>
  <c r="F33" i="40" l="1"/>
  <c r="R13" i="36"/>
  <c r="R24" i="36"/>
  <c r="S8" i="36"/>
  <c r="F31" i="40"/>
  <c r="S17" i="36"/>
  <c r="G38" i="40" s="1"/>
  <c r="F40" i="40"/>
  <c r="F43" i="40"/>
  <c r="S20" i="36"/>
  <c r="G41" i="40" s="1"/>
  <c r="G29" i="40" l="1"/>
  <c r="S11" i="36"/>
  <c r="G32" i="40" s="1"/>
  <c r="F34" i="40"/>
  <c r="F45" i="40"/>
  <c r="R35" i="32"/>
  <c r="Q26" i="39" s="1"/>
  <c r="R37" i="32" l="1"/>
  <c r="Q28" i="39" s="1"/>
  <c r="R38" i="32" l="1"/>
  <c r="Q29" i="39" s="1"/>
  <c r="R20" i="37"/>
  <c r="S33" i="32" l="1"/>
  <c r="R24" i="39" s="1"/>
  <c r="R21" i="37"/>
  <c r="S7" i="36" s="1"/>
  <c r="S9" i="36" s="1"/>
  <c r="R40" i="37"/>
  <c r="R41" i="37" s="1"/>
  <c r="S16" i="36" s="1"/>
  <c r="S12" i="36" l="1"/>
  <c r="S18" i="36"/>
  <c r="S21" i="36" s="1"/>
  <c r="G37" i="40"/>
  <c r="G28" i="40"/>
  <c r="S24" i="36" l="1"/>
  <c r="G33" i="40"/>
  <c r="S13" i="36"/>
  <c r="G42" i="40"/>
  <c r="S22" i="36"/>
  <c r="G30" i="40"/>
  <c r="S10" i="36"/>
  <c r="G39" i="40"/>
  <c r="S19" i="36"/>
  <c r="G45" i="40" l="1"/>
  <c r="S35" i="32"/>
  <c r="R26" i="39" s="1"/>
  <c r="G43" i="40"/>
  <c r="T20" i="36"/>
  <c r="H41" i="40" s="1"/>
  <c r="T8" i="36"/>
  <c r="G31" i="40"/>
  <c r="T11" i="36"/>
  <c r="H32" i="40" s="1"/>
  <c r="G34" i="40"/>
  <c r="T17" i="36"/>
  <c r="H38" i="40" s="1"/>
  <c r="G40" i="40"/>
  <c r="H29" i="40" l="1"/>
  <c r="S37" i="32"/>
  <c r="R28" i="39" s="1"/>
  <c r="S38" i="32" l="1"/>
  <c r="R29" i="39" s="1"/>
  <c r="S20" i="37"/>
  <c r="T33" i="32" l="1"/>
  <c r="D52" i="39" s="1"/>
  <c r="S40" i="37"/>
  <c r="S41" i="37" s="1"/>
  <c r="T16" i="36" s="1"/>
  <c r="S21" i="37"/>
  <c r="T7" i="36" s="1"/>
  <c r="T9" i="36" s="1"/>
  <c r="T12" i="36" l="1"/>
  <c r="H28" i="40"/>
  <c r="T18" i="36"/>
  <c r="T21" i="36" s="1"/>
  <c r="H37" i="40"/>
  <c r="H39" i="40" l="1"/>
  <c r="T19" i="36"/>
  <c r="T13" i="36"/>
  <c r="T24" i="36"/>
  <c r="H33" i="40"/>
  <c r="T10" i="36"/>
  <c r="H30" i="40"/>
  <c r="H42" i="40"/>
  <c r="T22" i="36"/>
  <c r="H45" i="40" l="1"/>
  <c r="T35" i="32"/>
  <c r="D54" i="39" s="1"/>
  <c r="U11" i="36"/>
  <c r="I32" i="40" s="1"/>
  <c r="H34" i="40"/>
  <c r="U8" i="36"/>
  <c r="H31" i="40"/>
  <c r="U17" i="36"/>
  <c r="I38" i="40" s="1"/>
  <c r="H40" i="40"/>
  <c r="U20" i="36"/>
  <c r="I41" i="40" s="1"/>
  <c r="H43" i="40"/>
  <c r="I29" i="40" l="1"/>
  <c r="T37" i="32"/>
  <c r="D56" i="39" s="1"/>
  <c r="T38" i="32" l="1"/>
  <c r="D57" i="39" s="1"/>
  <c r="T20" i="37"/>
  <c r="U33" i="32" l="1"/>
  <c r="E52" i="39" s="1"/>
  <c r="T21" i="37"/>
  <c r="U7" i="36" s="1"/>
  <c r="U9" i="36" s="1"/>
  <c r="T40" i="37"/>
  <c r="T41" i="37" s="1"/>
  <c r="U16" i="36" s="1"/>
  <c r="U12" i="36" l="1"/>
  <c r="U18" i="36"/>
  <c r="I37" i="40"/>
  <c r="I28" i="40"/>
  <c r="I39" i="40" l="1"/>
  <c r="U19" i="36"/>
  <c r="I30" i="40"/>
  <c r="U10" i="36"/>
  <c r="U21" i="36"/>
  <c r="I33" i="40" l="1"/>
  <c r="U13" i="36"/>
  <c r="U24" i="36"/>
  <c r="U22" i="36"/>
  <c r="I42" i="40"/>
  <c r="V17" i="36"/>
  <c r="J38" i="40" s="1"/>
  <c r="I40" i="40"/>
  <c r="I31" i="40"/>
  <c r="V8" i="36"/>
  <c r="J29" i="40" l="1"/>
  <c r="V20" i="36"/>
  <c r="J41" i="40" s="1"/>
  <c r="I43" i="40"/>
  <c r="I45" i="40"/>
  <c r="U35" i="32"/>
  <c r="E54" i="39" s="1"/>
  <c r="V11" i="36"/>
  <c r="J32" i="40" s="1"/>
  <c r="I34" i="40"/>
  <c r="U37" i="32" l="1"/>
  <c r="E56" i="39" s="1"/>
  <c r="U38" i="32" l="1"/>
  <c r="E57" i="39" s="1"/>
  <c r="U20" i="37"/>
  <c r="V33" i="32" l="1"/>
  <c r="F52" i="39" s="1"/>
  <c r="U40" i="37"/>
  <c r="U41" i="37" s="1"/>
  <c r="V16" i="36" s="1"/>
  <c r="U21" i="37"/>
  <c r="V7" i="36" s="1"/>
  <c r="V9" i="36" s="1"/>
  <c r="V12" i="36" l="1"/>
  <c r="J28" i="40"/>
  <c r="V18" i="36"/>
  <c r="V21" i="36" s="1"/>
  <c r="J37" i="40"/>
  <c r="V22" i="36" l="1"/>
  <c r="J42" i="40"/>
  <c r="V19" i="36"/>
  <c r="J39" i="40"/>
  <c r="J30" i="40"/>
  <c r="V10" i="36"/>
  <c r="W8" i="36" l="1"/>
  <c r="J31" i="40"/>
  <c r="W17" i="36"/>
  <c r="K38" i="40" s="1"/>
  <c r="J40" i="40"/>
  <c r="J33" i="40"/>
  <c r="V13" i="36"/>
  <c r="W20" i="36"/>
  <c r="K41" i="40" s="1"/>
  <c r="J43" i="40"/>
  <c r="V24" i="36"/>
  <c r="K29" i="40" l="1"/>
  <c r="J45" i="40"/>
  <c r="V35" i="32"/>
  <c r="F54" i="39" s="1"/>
  <c r="J34" i="40"/>
  <c r="W11" i="36"/>
  <c r="K32" i="40" s="1"/>
  <c r="V37" i="32" l="1"/>
  <c r="F56" i="39" s="1"/>
  <c r="V38" i="32" l="1"/>
  <c r="F57" i="39" s="1"/>
  <c r="V20" i="37"/>
  <c r="W33" i="32" l="1"/>
  <c r="G52" i="39" s="1"/>
  <c r="V21" i="37"/>
  <c r="W7" i="36" s="1"/>
  <c r="W9" i="36" s="1"/>
  <c r="V40" i="37"/>
  <c r="V41" i="37" s="1"/>
  <c r="W16" i="36" s="1"/>
  <c r="W12" i="36" l="1"/>
  <c r="W18" i="36"/>
  <c r="W21" i="36" s="1"/>
  <c r="K37" i="40"/>
  <c r="K28" i="40"/>
  <c r="K30" i="40" l="1"/>
  <c r="W10" i="36"/>
  <c r="W22" i="36"/>
  <c r="K42" i="40"/>
  <c r="K39" i="40"/>
  <c r="W19" i="36"/>
  <c r="K43" i="40" l="1"/>
  <c r="X20" i="36"/>
  <c r="L41" i="40" s="1"/>
  <c r="X8" i="36"/>
  <c r="K31" i="40"/>
  <c r="X17" i="36"/>
  <c r="L38" i="40" s="1"/>
  <c r="K40" i="40"/>
  <c r="K33" i="40"/>
  <c r="W13" i="36"/>
  <c r="W24" i="36"/>
  <c r="L29" i="40" l="1"/>
  <c r="K34" i="40"/>
  <c r="X11" i="36"/>
  <c r="L32" i="40" s="1"/>
  <c r="K45" i="40"/>
  <c r="W35" i="32"/>
  <c r="G54" i="39" s="1"/>
  <c r="W37" i="32" l="1"/>
  <c r="G56" i="39" s="1"/>
  <c r="W38" i="32" l="1"/>
  <c r="G57" i="39" s="1"/>
  <c r="W20" i="37"/>
  <c r="X33" i="32" l="1"/>
  <c r="H52" i="39" s="1"/>
  <c r="W40" i="37"/>
  <c r="W41" i="37" s="1"/>
  <c r="X16" i="36" s="1"/>
  <c r="W21" i="37"/>
  <c r="X7" i="36" s="1"/>
  <c r="X9" i="36" s="1"/>
  <c r="X12" i="36" l="1"/>
  <c r="L28" i="40"/>
  <c r="X18" i="36"/>
  <c r="L37" i="40"/>
  <c r="L39" i="40" l="1"/>
  <c r="X19" i="36"/>
  <c r="X10" i="36"/>
  <c r="L30" i="40"/>
  <c r="X21" i="36"/>
  <c r="Y8" i="36" l="1"/>
  <c r="L31" i="40"/>
  <c r="L42" i="40"/>
  <c r="X22" i="36"/>
  <c r="L40" i="40"/>
  <c r="Y17" i="36"/>
  <c r="X24" i="36"/>
  <c r="X13" i="36"/>
  <c r="L33" i="40"/>
  <c r="Y11" i="36" l="1"/>
  <c r="L34" i="40"/>
  <c r="L43" i="40"/>
  <c r="Y20" i="36"/>
  <c r="L45" i="40"/>
  <c r="X35" i="32"/>
  <c r="H54" i="39" s="1"/>
  <c r="X37" i="32" l="1"/>
  <c r="H56" i="39" s="1"/>
  <c r="X38" i="32" l="1"/>
  <c r="H57" i="39" s="1"/>
  <c r="X20" i="37"/>
  <c r="Y33" i="32" l="1"/>
  <c r="I52" i="39" s="1"/>
  <c r="X21" i="37"/>
  <c r="Y7" i="36" s="1"/>
  <c r="Y9" i="36" s="1"/>
  <c r="X40" i="37"/>
  <c r="X41" i="37" s="1"/>
  <c r="Y16" i="36" s="1"/>
  <c r="Y12" i="36" l="1"/>
  <c r="Y18" i="36"/>
  <c r="Y19" i="36" s="1"/>
  <c r="Z17" i="36" s="1"/>
  <c r="Y10" i="36" l="1"/>
  <c r="Z8" i="36" s="1"/>
  <c r="Y21" i="36"/>
  <c r="Y22" i="36" s="1"/>
  <c r="Z20" i="36" s="1"/>
  <c r="Y13" i="36" l="1"/>
  <c r="Z11" i="36" s="1"/>
  <c r="Y24" i="36"/>
  <c r="Y35" i="32" s="1"/>
  <c r="I54" i="39" s="1"/>
  <c r="Y37" i="32" l="1"/>
  <c r="I56" i="39" s="1"/>
  <c r="Y20" i="37" l="1"/>
  <c r="Y38" i="32"/>
  <c r="I57" i="39" s="1"/>
  <c r="Y21" i="37" l="1"/>
  <c r="Z7" i="36" s="1"/>
  <c r="Z9" i="36" s="1"/>
  <c r="Y40" i="37"/>
  <c r="Y41" i="37" s="1"/>
  <c r="Z16" i="36" s="1"/>
  <c r="Z33" i="32"/>
  <c r="J52" i="39" s="1"/>
  <c r="Z12" i="36" l="1"/>
  <c r="Z18" i="36"/>
  <c r="Z19" i="36" s="1"/>
  <c r="AA17" i="36" s="1"/>
  <c r="Z10" i="36" l="1"/>
  <c r="AA8" i="36" s="1"/>
  <c r="Z21" i="36"/>
  <c r="Z22" i="36" s="1"/>
  <c r="AA20" i="36" s="1"/>
  <c r="Z24" i="36" l="1"/>
  <c r="Z35" i="32" s="1"/>
  <c r="J54" i="39" s="1"/>
  <c r="Z13" i="36"/>
  <c r="AA11" i="36" s="1"/>
  <c r="Z37" i="32" l="1"/>
  <c r="J56" i="39" s="1"/>
  <c r="Z38" i="32" l="1"/>
  <c r="J57" i="39" s="1"/>
  <c r="Z20" i="37"/>
  <c r="AA33" i="32" l="1"/>
  <c r="K52" i="39" s="1"/>
  <c r="Z21" i="37"/>
  <c r="AA7" i="36" s="1"/>
  <c r="AA9" i="36" s="1"/>
  <c r="Z40" i="37"/>
  <c r="Z41" i="37" s="1"/>
  <c r="AA16" i="36" s="1"/>
  <c r="AA12" i="36" l="1"/>
  <c r="AA18" i="36"/>
  <c r="AA19" i="36" s="1"/>
  <c r="AB17" i="36" s="1"/>
  <c r="AA10" i="36" l="1"/>
  <c r="AB8" i="36" s="1"/>
  <c r="AA21" i="36"/>
  <c r="AA22" i="36" s="1"/>
  <c r="AB20" i="36" s="1"/>
  <c r="AA24" i="36" l="1"/>
  <c r="AA35" i="32" s="1"/>
  <c r="K54" i="39" s="1"/>
  <c r="AA13" i="36"/>
  <c r="AB11" i="36" s="1"/>
  <c r="AA37" i="32" l="1"/>
  <c r="K56" i="39" s="1"/>
  <c r="AA20" i="37" l="1"/>
  <c r="AA38" i="32"/>
  <c r="K57" i="39" s="1"/>
  <c r="AB33" i="32" l="1"/>
  <c r="L52" i="39" s="1"/>
  <c r="AA40" i="37"/>
  <c r="AA41" i="37" s="1"/>
  <c r="AB16" i="36" s="1"/>
  <c r="AA21" i="37"/>
  <c r="AB7" i="36" s="1"/>
  <c r="AB9" i="36" s="1"/>
  <c r="AB12" i="36" l="1"/>
  <c r="AB18" i="36"/>
  <c r="AB19" i="36" s="1"/>
  <c r="AC17" i="36" s="1"/>
  <c r="AB10" i="36" l="1"/>
  <c r="AC8" i="36" s="1"/>
  <c r="AB21" i="36"/>
  <c r="AB22" i="36" s="1"/>
  <c r="AC20" i="36" s="1"/>
  <c r="AB24" i="36" l="1"/>
  <c r="AB35" i="32" s="1"/>
  <c r="L54" i="39" s="1"/>
  <c r="AB13" i="36"/>
  <c r="AC11" i="36" s="1"/>
  <c r="AB37" i="32" l="1"/>
  <c r="L56" i="39" s="1"/>
  <c r="AB38" i="32" l="1"/>
  <c r="L57" i="39" s="1"/>
  <c r="AB20" i="37"/>
  <c r="AC33" i="32" l="1"/>
  <c r="M52" i="39" s="1"/>
  <c r="AB40" i="37"/>
  <c r="AB41" i="37" s="1"/>
  <c r="AC16" i="36" s="1"/>
  <c r="AB21" i="37"/>
  <c r="AC7" i="36" s="1"/>
  <c r="AC9" i="36" s="1"/>
  <c r="AC12" i="36" l="1"/>
  <c r="AC18" i="36"/>
  <c r="AC19" i="36" s="1"/>
  <c r="AD17" i="36" s="1"/>
  <c r="AC10" i="36" l="1"/>
  <c r="AD8" i="36" s="1"/>
  <c r="AC13" i="36"/>
  <c r="AD11" i="36" s="1"/>
  <c r="AC21" i="36"/>
  <c r="AC22" i="36" s="1"/>
  <c r="AD20" i="36" s="1"/>
  <c r="AC24" i="36" l="1"/>
  <c r="AC35" i="32" s="1"/>
  <c r="M54" i="39" s="1"/>
  <c r="AC37" i="32" l="1"/>
  <c r="M56" i="39" s="1"/>
  <c r="AC38" i="32" l="1"/>
  <c r="M57" i="39" s="1"/>
  <c r="AC20" i="37"/>
  <c r="AC21" i="37" s="1"/>
  <c r="AD7" i="36" s="1"/>
  <c r="AD9" i="36" s="1"/>
  <c r="AD12" i="36" l="1"/>
  <c r="AD33" i="32"/>
  <c r="N52" i="39" s="1"/>
  <c r="AC40" i="37"/>
  <c r="AC41" i="37" s="1"/>
  <c r="AD16" i="36" s="1"/>
  <c r="AD18" i="36" s="1"/>
  <c r="AD19" i="36" s="1"/>
  <c r="AE17" i="36" s="1"/>
  <c r="AD10" i="36" l="1"/>
  <c r="AE8" i="36" s="1"/>
  <c r="AD13" i="36"/>
  <c r="AE11" i="36" s="1"/>
  <c r="AD21" i="36"/>
  <c r="AD22" i="36" s="1"/>
  <c r="AE20" i="36" s="1"/>
  <c r="AD24" i="36" l="1"/>
  <c r="AD35" i="32" s="1"/>
  <c r="N54" i="39" s="1"/>
  <c r="AD37" i="32" l="1"/>
  <c r="N56" i="39" s="1"/>
  <c r="AD20" i="37" l="1"/>
  <c r="AD38" i="32"/>
  <c r="N57" i="39" s="1"/>
  <c r="AE33" i="32" l="1"/>
  <c r="O52" i="39" s="1"/>
  <c r="AD40" i="37"/>
  <c r="AD41" i="37" s="1"/>
  <c r="AE16" i="36" s="1"/>
  <c r="AD21" i="37"/>
  <c r="AE7" i="36" s="1"/>
  <c r="AE9" i="36" s="1"/>
  <c r="AE12" i="36" l="1"/>
  <c r="AE18" i="36"/>
  <c r="AE19" i="36" s="1"/>
  <c r="AF17" i="36" s="1"/>
  <c r="AE10" i="36" l="1"/>
  <c r="AF8" i="36" s="1"/>
  <c r="AE13" i="36"/>
  <c r="AF11" i="36" s="1"/>
  <c r="AE21" i="36"/>
  <c r="AE22" i="36" s="1"/>
  <c r="AF20" i="36" s="1"/>
  <c r="AE24" i="36" l="1"/>
  <c r="AE35" i="32" s="1"/>
  <c r="O54" i="39" s="1"/>
  <c r="AE37" i="32" l="1"/>
  <c r="O56" i="39" s="1"/>
  <c r="AE38" i="32" l="1"/>
  <c r="O57" i="39" s="1"/>
  <c r="AE20" i="37"/>
  <c r="AE40" i="37" s="1"/>
  <c r="AE41" i="37" s="1"/>
  <c r="AF16" i="36" s="1"/>
  <c r="AF33" i="32" l="1"/>
  <c r="P52" i="39" s="1"/>
  <c r="AE21" i="37"/>
  <c r="AF7" i="36" s="1"/>
  <c r="AF9" i="36" s="1"/>
  <c r="AF18" i="36"/>
  <c r="AF19" i="36" s="1"/>
  <c r="AG17" i="36" s="1"/>
  <c r="AF10" i="36" l="1"/>
  <c r="AG8" i="36" s="1"/>
  <c r="AF21" i="36"/>
  <c r="AF22" i="36" s="1"/>
  <c r="AG20" i="36" s="1"/>
  <c r="AF12" i="36" l="1"/>
  <c r="AF13" i="36" s="1"/>
  <c r="AG11" i="36" s="1"/>
  <c r="AF24" i="36" l="1"/>
  <c r="AF35" i="32" s="1"/>
  <c r="P54" i="39" s="1"/>
  <c r="AF37" i="32" l="1"/>
  <c r="AF20" i="37" s="1"/>
  <c r="AF40" i="37" s="1"/>
  <c r="AF41" i="37" s="1"/>
  <c r="AG16" i="36" s="1"/>
  <c r="AF38" i="32" l="1"/>
  <c r="P57" i="39" s="1"/>
  <c r="P56" i="39"/>
  <c r="AF21" i="37"/>
  <c r="AG7" i="36" s="1"/>
  <c r="AG9" i="36" s="1"/>
  <c r="AG18" i="36"/>
  <c r="AG19" i="36" s="1"/>
  <c r="AH17" i="36" s="1"/>
  <c r="AG33" i="32" l="1"/>
  <c r="Q52" i="39" s="1"/>
  <c r="AG10" i="36"/>
  <c r="AH8" i="36" s="1"/>
  <c r="AG21" i="36"/>
  <c r="AG22" i="36" s="1"/>
  <c r="AH20" i="36" s="1"/>
  <c r="AG12" i="36" l="1"/>
  <c r="AG13" i="36" s="1"/>
  <c r="AH11" i="36" s="1"/>
  <c r="AG24" i="36" l="1"/>
  <c r="AG35" i="32" s="1"/>
  <c r="Q54" i="39" s="1"/>
  <c r="AG37" i="32" l="1"/>
  <c r="AG38" i="32" s="1"/>
  <c r="Q57" i="39" s="1"/>
  <c r="AG20" i="37" l="1"/>
  <c r="AG21" i="37" s="1"/>
  <c r="AH7" i="36" s="1"/>
  <c r="AH9" i="36" s="1"/>
  <c r="Q56" i="39"/>
  <c r="AH33" i="32"/>
  <c r="R52" i="39" s="1"/>
  <c r="AG40" i="37" l="1"/>
  <c r="AG41" i="37" s="1"/>
  <c r="AH16" i="36" s="1"/>
  <c r="AH18" i="36" s="1"/>
  <c r="AH19" i="36" s="1"/>
  <c r="AH12" i="36"/>
  <c r="AH13" i="36" s="1"/>
  <c r="AH10" i="36"/>
  <c r="AH21" i="36" l="1"/>
  <c r="AH22" i="36" s="1"/>
  <c r="AH24" i="36" l="1"/>
  <c r="AH35" i="32" s="1"/>
  <c r="R54" i="39" s="1"/>
  <c r="AH37" i="32"/>
  <c r="R56" i="39" s="1"/>
  <c r="AH38" i="32" l="1"/>
  <c r="R57" i="39" s="1"/>
</calcChain>
</file>

<file path=xl/sharedStrings.xml><?xml version="1.0" encoding="utf-8"?>
<sst xmlns="http://schemas.openxmlformats.org/spreadsheetml/2006/main" count="324" uniqueCount="181">
  <si>
    <t>Assumptions</t>
  </si>
  <si>
    <t>Securitization Date</t>
  </si>
  <si>
    <t>Amount</t>
  </si>
  <si>
    <t>Securitization Rate</t>
  </si>
  <si>
    <t>Period (years)</t>
  </si>
  <si>
    <t>Millions of Dollars</t>
  </si>
  <si>
    <t>Annual Debt Service</t>
  </si>
  <si>
    <t>PG&amp;E Customer Credit</t>
  </si>
  <si>
    <t>Total</t>
  </si>
  <si>
    <t>Servicing Fees</t>
  </si>
  <si>
    <t>Tranche</t>
  </si>
  <si>
    <t>A1</t>
  </si>
  <si>
    <t>A2</t>
  </si>
  <si>
    <t>A3</t>
  </si>
  <si>
    <t>A4</t>
  </si>
  <si>
    <t>A5</t>
  </si>
  <si>
    <t>Balance</t>
  </si>
  <si>
    <t>Balance %</t>
  </si>
  <si>
    <t>Indicative Coupon</t>
  </si>
  <si>
    <t>Rating (S/M/F)</t>
  </si>
  <si>
    <t>AAA / Aaa / AAA</t>
  </si>
  <si>
    <t>~ WAL</t>
  </si>
  <si>
    <t>Expected Maturity</t>
  </si>
  <si>
    <t>Debt Service Payments</t>
  </si>
  <si>
    <t>Period</t>
  </si>
  <si>
    <t>Interest</t>
  </si>
  <si>
    <t>Principal</t>
  </si>
  <si>
    <t>Annual FRC RRQ</t>
  </si>
  <si>
    <t>Rating Agency Fees</t>
  </si>
  <si>
    <t>Uncollectibles</t>
  </si>
  <si>
    <t xml:space="preserve">Uncollectibles </t>
  </si>
  <si>
    <t>Subtotal</t>
  </si>
  <si>
    <t>Other Fees Due</t>
  </si>
  <si>
    <t>Total Due</t>
  </si>
  <si>
    <t>Payment Period</t>
  </si>
  <si>
    <t>Collection Lag</t>
  </si>
  <si>
    <t>1st Collection Period</t>
  </si>
  <si>
    <t>Collection Lag Gross Up %</t>
  </si>
  <si>
    <t>Collection Lag Gross Up $</t>
  </si>
  <si>
    <t>Debt Service Due, Period 1</t>
  </si>
  <si>
    <t>Collection Lag Gross Up Calculation</t>
  </si>
  <si>
    <r>
      <t>Ongoing Financing Costs</t>
    </r>
    <r>
      <rPr>
        <vertAlign val="superscript"/>
        <sz val="11"/>
        <color theme="1"/>
        <rFont val="Arial"/>
        <family val="2"/>
      </rPr>
      <t>1,2</t>
    </r>
  </si>
  <si>
    <r>
      <t>Collection Lag Gross Up</t>
    </r>
    <r>
      <rPr>
        <vertAlign val="superscript"/>
        <sz val="11"/>
        <color theme="1"/>
        <rFont val="Arial"/>
        <family val="2"/>
      </rPr>
      <t>3</t>
    </r>
  </si>
  <si>
    <t>Initial Shareholder Contribution</t>
  </si>
  <si>
    <t>State</t>
  </si>
  <si>
    <t>Federal</t>
  </si>
  <si>
    <t>Customer Credit</t>
  </si>
  <si>
    <t>Federal Tax Rate</t>
  </si>
  <si>
    <t>State Tax Rate</t>
  </si>
  <si>
    <t>Consolidated Forecast Taxable Income</t>
  </si>
  <si>
    <t>Wildfire Claims Settlements</t>
  </si>
  <si>
    <t>2020E Federal</t>
  </si>
  <si>
    <t>2020E State</t>
  </si>
  <si>
    <t>Plus: Insurance Proceeds</t>
  </si>
  <si>
    <t xml:space="preserve">Total Wildfire Related Tax Deductions Created </t>
  </si>
  <si>
    <t>Existing Shareholder Deductions</t>
  </si>
  <si>
    <t>Plus: Wildfire Related Deductions Created</t>
  </si>
  <si>
    <t>(x) Applicable Tax Rate</t>
  </si>
  <si>
    <t>Total Tax Deductions Savings</t>
  </si>
  <si>
    <t>Pre-2020 Federal</t>
  </si>
  <si>
    <t>Pre-2020 State</t>
  </si>
  <si>
    <t>Table 6-1</t>
  </si>
  <si>
    <t>NOL carryforward at emergence, 2019</t>
  </si>
  <si>
    <t>Table 6-2</t>
  </si>
  <si>
    <t>Table 6-3</t>
  </si>
  <si>
    <t>263A MSCM adjustment adder</t>
  </si>
  <si>
    <t>GHG</t>
  </si>
  <si>
    <t>Discrete Wildfire Adjustments</t>
  </si>
  <si>
    <t>Wildfire Claims Liability Accrual</t>
  </si>
  <si>
    <t>Insurance Recoveries</t>
  </si>
  <si>
    <t>Wildfire Fund, Ongoing Contribution</t>
  </si>
  <si>
    <t>Discrete POR Adjustments</t>
  </si>
  <si>
    <t>Wildfire Fund, Initial Contribution, Federal</t>
  </si>
  <si>
    <t>Wildfire Fund, Initial Contribution, State</t>
  </si>
  <si>
    <t>Adjustment for SCE Private Letter Ruling, Fed Only</t>
  </si>
  <si>
    <t>Software</t>
  </si>
  <si>
    <t>Base Case</t>
  </si>
  <si>
    <t>Balance, Base Case</t>
  </si>
  <si>
    <t>Base</t>
  </si>
  <si>
    <t>NOL carryforward at emergence, through 2018</t>
  </si>
  <si>
    <t>FEDERAL</t>
  </si>
  <si>
    <t>plus: general tax adjustments</t>
  </si>
  <si>
    <t>STATE</t>
  </si>
  <si>
    <t>plus: Repairs risk adj adder (including normalized portion)</t>
  </si>
  <si>
    <t>Fixed Recovery Charge (FRC)</t>
  </si>
  <si>
    <t>Customer Credit Trust</t>
  </si>
  <si>
    <t>Additional Contributions</t>
  </si>
  <si>
    <t>Customer Credit Trust Cap</t>
  </si>
  <si>
    <t>Customer Credit Trust, BOY</t>
  </si>
  <si>
    <t>Customer Credit Trust, EOY</t>
  </si>
  <si>
    <t>Estimate of Total Shareholder Tax Benefits</t>
  </si>
  <si>
    <t>Schedule of Additional Contributions to Customer Credit Trust</t>
  </si>
  <si>
    <t>Ratepayer NOL, BOY</t>
  </si>
  <si>
    <t>Ratepayer NOL, EOY</t>
  </si>
  <si>
    <t>less: Ratepayer NOLs applied</t>
  </si>
  <si>
    <t>Customer Credit Trust Return</t>
  </si>
  <si>
    <t>Additional Contributions to Trust</t>
  </si>
  <si>
    <t>Consolidated Interest Expense, excl. Securitization</t>
  </si>
  <si>
    <t>Trust Funded</t>
  </si>
  <si>
    <t xml:space="preserve">Estimate of Ratepayer NOLs </t>
  </si>
  <si>
    <t>Securitization Fixed Rate Charge and PG&amp;E Customer Credit Schedule</t>
  </si>
  <si>
    <t>Shareholder Deductions BOY</t>
  </si>
  <si>
    <t>less: Shareholder Deductions Applied</t>
  </si>
  <si>
    <t>Shareholder Deductions EOY</t>
  </si>
  <si>
    <t>Ratepayer NOL, Beginning of Year (BOY)</t>
  </si>
  <si>
    <t>Ratepayer NOL, End of Year (EOY)</t>
  </si>
  <si>
    <t>Table 3-1</t>
  </si>
  <si>
    <t>Securitization Fixed Rate Charge</t>
  </si>
  <si>
    <t>Table 7-1</t>
  </si>
  <si>
    <t>Table 7-2</t>
  </si>
  <si>
    <t>Capital Structure</t>
  </si>
  <si>
    <t>Debt</t>
  </si>
  <si>
    <t>Preferred</t>
  </si>
  <si>
    <t>Equity</t>
  </si>
  <si>
    <t>Cost of Capital</t>
  </si>
  <si>
    <t>Return on Rate Base</t>
  </si>
  <si>
    <t>Wildfire Costs</t>
  </si>
  <si>
    <t xml:space="preserve">Recovery of Catastrophic Wildfire Costs, Traditional Ratemaking </t>
  </si>
  <si>
    <t>Periods (Years)</t>
  </si>
  <si>
    <t>(Millions of Dollars)</t>
  </si>
  <si>
    <t>Tax Rate</t>
  </si>
  <si>
    <t>Reg Asset Rev Req</t>
  </si>
  <si>
    <t xml:space="preserve">Interest </t>
  </si>
  <si>
    <t>Preferred Dividend</t>
  </si>
  <si>
    <t>Earning for Common</t>
  </si>
  <si>
    <t>Taxes on Return</t>
  </si>
  <si>
    <t>Return</t>
  </si>
  <si>
    <t>Principal Amortization</t>
  </si>
  <si>
    <t>Total Rev Req</t>
  </si>
  <si>
    <t>Reg Asset Balance</t>
  </si>
  <si>
    <t>BOY Reg Asset Bal</t>
  </si>
  <si>
    <t xml:space="preserve">Amortization </t>
  </si>
  <si>
    <t>EOY Reg Asset Balance</t>
  </si>
  <si>
    <t>Table 7-3</t>
  </si>
  <si>
    <t>Net Reduction in RRQ for use of Securitized Bonds</t>
  </si>
  <si>
    <t>Traditional Ratemaking RRQ</t>
  </si>
  <si>
    <t>Securitized Debt RRQ</t>
  </si>
  <si>
    <t>Annual Savings</t>
  </si>
  <si>
    <t>Cumulative Annual Savings</t>
  </si>
  <si>
    <t>Present Value of Annual Savings</t>
  </si>
  <si>
    <r>
      <t>Discount Rate</t>
    </r>
    <r>
      <rPr>
        <vertAlign val="superscript"/>
        <sz val="11"/>
        <rFont val="Arial"/>
        <family val="2"/>
      </rPr>
      <t>1</t>
    </r>
    <r>
      <rPr>
        <sz val="11"/>
        <rFont val="Arial"/>
        <family val="2"/>
      </rPr>
      <t>:</t>
    </r>
  </si>
  <si>
    <r>
      <t>Methodology for Calculating Regulatory Asset Amortization</t>
    </r>
    <r>
      <rPr>
        <sz val="11"/>
        <rFont val="Arial"/>
        <family val="2"/>
      </rPr>
      <t xml:space="preserve">
The amount of the amortization of the Regulatory Asset principal to be included annually in PG&amp;E's revenue requirement shall be calculated each year according to the following formula:</t>
    </r>
  </si>
  <si>
    <r>
      <t>Estimated Tax-Effected Return on Rate Base</t>
    </r>
    <r>
      <rPr>
        <sz val="11"/>
        <rFont val="Arial"/>
        <family val="2"/>
      </rPr>
      <t xml:space="preserve">
The tax-effected return on rate base used in the revenue requirement calculations reflects an estimate of the cost of PG&amp;E's capital structure. The following example uses approximate assumed capital ratios over the life of the bonds, as detailed below:</t>
    </r>
  </si>
  <si>
    <r>
      <t>After-Tax WACC</t>
    </r>
    <r>
      <rPr>
        <b/>
        <vertAlign val="superscript"/>
        <sz val="11"/>
        <rFont val="Arial"/>
        <family val="2"/>
      </rPr>
      <t xml:space="preserve">1 </t>
    </r>
  </si>
  <si>
    <r>
      <t>Pre-Tax WACC</t>
    </r>
    <r>
      <rPr>
        <b/>
        <vertAlign val="superscript"/>
        <sz val="11"/>
        <rFont val="Arial"/>
        <family val="2"/>
      </rPr>
      <t>1</t>
    </r>
    <r>
      <rPr>
        <b/>
        <sz val="11"/>
        <rFont val="Arial"/>
        <family val="2"/>
      </rPr>
      <t xml:space="preserve"> </t>
    </r>
  </si>
  <si>
    <r>
      <t xml:space="preserve"> 1</t>
    </r>
    <r>
      <rPr>
        <sz val="11"/>
        <rFont val="Arial"/>
        <family val="2"/>
      </rPr>
      <t xml:space="preserve"> Assumes total state and federal income tax rate of 27.98%.
The actual authorized pre-tax cost of capital is used to determine the annual return and amortization components of the bonds.</t>
    </r>
  </si>
  <si>
    <r>
      <rPr>
        <vertAlign val="superscript"/>
        <sz val="11"/>
        <rFont val="Arial"/>
        <family val="2"/>
      </rPr>
      <t>1</t>
    </r>
    <r>
      <rPr>
        <sz val="11"/>
        <rFont val="Arial"/>
        <family val="2"/>
      </rPr>
      <t>PG&amp;E Return on Ratebase</t>
    </r>
  </si>
  <si>
    <t>Total Ratepayer NOLs</t>
  </si>
  <si>
    <t>Total Shareholder Deductions</t>
  </si>
  <si>
    <t>Assumes $7.5B in wildfire costs recovered through traditional ratemaking, 0.33% uncollectibles,  8.84% State Tax Rate, 21% Federal Tax Rate</t>
  </si>
  <si>
    <t>Securitized Debt Revenue Requirement (RRQ) Calculation</t>
  </si>
  <si>
    <t>Estimate of Shareholder Tax Benefits and Ratepayer NOLs as of February 18, 2020</t>
  </si>
  <si>
    <r>
      <t>Effect of a Reduction in the Balance of the Bonds</t>
    </r>
    <r>
      <rPr>
        <sz val="11"/>
        <rFont val="Arial"/>
        <family val="2"/>
      </rPr>
      <t xml:space="preserve">
If the outstanding balance of the bonds is reduced, then the amortization schedule for the remainder will be recalculated for the contemporaneous year and each of the successive years using the method described above.</t>
    </r>
  </si>
  <si>
    <t>Securitization Interest Expense</t>
  </si>
  <si>
    <r>
      <rPr>
        <vertAlign val="superscript"/>
        <sz val="11"/>
        <color theme="1"/>
        <rFont val="Arial"/>
        <family val="2"/>
      </rPr>
      <t>2</t>
    </r>
    <r>
      <rPr>
        <sz val="11"/>
        <color theme="1"/>
        <rFont val="Arial"/>
        <family val="2"/>
      </rPr>
      <t>RRQ assumes issuance fees are paid by PG&amp;E. Indicative pricing for upfront fees ranges from $36M - $57M</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</si>
  <si>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deducion is taken immediately or amortized. </t>
    </r>
  </si>
  <si>
    <r>
      <t xml:space="preserve">6 </t>
    </r>
    <r>
      <rPr>
        <sz val="11"/>
        <color theme="1"/>
        <rFont val="Arial"/>
        <family val="2"/>
      </rPr>
      <t>This is an average after-tax rate of return less investment advisor fees and an estimated $500,000 each year in administrative expenses, calculated to result in a zero balance at the end of thirty years</t>
    </r>
  </si>
  <si>
    <r>
      <t>Cash Lag</t>
    </r>
    <r>
      <rPr>
        <vertAlign val="superscript"/>
        <sz val="11"/>
        <color theme="1"/>
        <rFont val="Arial"/>
        <family val="2"/>
      </rPr>
      <t>5</t>
    </r>
  </si>
  <si>
    <r>
      <t>Customer Credit Trust Return</t>
    </r>
    <r>
      <rPr>
        <vertAlign val="superscript"/>
        <sz val="11"/>
        <color theme="1"/>
        <rFont val="Arial"/>
        <family val="2"/>
      </rPr>
      <t>6</t>
    </r>
  </si>
  <si>
    <t>Servicing &amp; Administrative Fees (PG&amp;E)</t>
  </si>
  <si>
    <t>Servicing &amp; Administrative Fee from SPE</t>
  </si>
  <si>
    <r>
      <t>Cust. Credit Trust Return</t>
    </r>
    <r>
      <rPr>
        <vertAlign val="superscript"/>
        <sz val="11"/>
        <rFont val="Arial"/>
        <family val="2"/>
      </rPr>
      <t>6</t>
    </r>
  </si>
  <si>
    <r>
      <t>Annual Customer Credit RRQ</t>
    </r>
    <r>
      <rPr>
        <vertAlign val="superscript"/>
        <sz val="11"/>
        <color theme="1"/>
        <rFont val="Arial"/>
        <family val="2"/>
      </rPr>
      <t>4</t>
    </r>
  </si>
  <si>
    <t>Customer Net Bill Impact</t>
  </si>
  <si>
    <r>
      <rPr>
        <vertAlign val="superscript"/>
        <sz val="11"/>
        <color theme="1"/>
        <rFont val="Arial"/>
        <family val="2"/>
      </rPr>
      <t>1</t>
    </r>
    <r>
      <rPr>
        <sz val="11"/>
        <color theme="1"/>
        <rFont val="Arial"/>
        <family val="2"/>
      </rPr>
      <t>Accountant's, Legal, Trustee/Trustee's Counsel, Independent Managers', Printing/Edgarizing and Miscellaneous Fees</t>
    </r>
  </si>
  <si>
    <t>Forecast deductions may not occur as shown on this schedule due to potential changes in taxable income, tax rates and tax law</t>
  </si>
  <si>
    <t>Assumes average after-tax annualized Customer Credit Trust Return is</t>
  </si>
  <si>
    <r>
      <t xml:space="preserve">4 </t>
    </r>
    <r>
      <rPr>
        <sz val="11"/>
        <color theme="1"/>
        <rFont val="Arial"/>
        <family val="2"/>
      </rPr>
      <t>The Customer Credit is funded by the Trust plus uncollectibes plus the servicing and administrative fee, which is collected from customers, remitted to the SPE, then paid to PG&amp;E by the SPE, and credited to customers</t>
    </r>
  </si>
  <si>
    <r>
      <t xml:space="preserve">5 </t>
    </r>
    <r>
      <rPr>
        <sz val="11"/>
        <color theme="1"/>
        <rFont val="Arial"/>
        <family val="2"/>
      </rPr>
      <t>Assumes the Trust provides a credit equal to the amount PG&amp;E remits to the SPE for the bond debt service plus rating agency and ongoing financing fees, leading to a cash lag analogous to the collection lag, reversed in 2050</t>
    </r>
  </si>
  <si>
    <r>
      <rPr>
        <vertAlign val="superscript"/>
        <sz val="11"/>
        <color theme="1"/>
        <rFont val="Arial"/>
        <family val="2"/>
      </rPr>
      <t>3</t>
    </r>
    <r>
      <rPr>
        <sz val="11"/>
        <color theme="1"/>
        <rFont val="Arial"/>
        <family val="2"/>
      </rPr>
      <t>Collection lag gross up assumes a 45 day accounts receivables lag that must be pre-collected to ensure the SPE can service the debt in 2021, with a corresponding reversal in 2050</t>
    </r>
  </si>
  <si>
    <r>
      <rPr>
        <vertAlign val="superscript"/>
        <sz val="11"/>
        <color theme="1"/>
        <rFont val="Arial"/>
        <family val="2"/>
      </rPr>
      <t>1</t>
    </r>
    <r>
      <rPr>
        <sz val="11"/>
        <color theme="1"/>
        <rFont val="Arial"/>
        <family val="2"/>
      </rPr>
      <t xml:space="preserve">The $4.8B deduction for the state contribution to the AB1054 Wildfire Fund is assumed to occur in 2020. The full value of the deduction is counted towards the cap regardless of whether the deduction is taken immediately or amortized. </t>
    </r>
  </si>
  <si>
    <t>Shareholder Deductions are forecast to be exhausted by 2035, thus the forecast horizon for this schedule is 2020 - 2040</t>
  </si>
  <si>
    <t>plus: Adjusted Corp Income Before Taxes</t>
  </si>
  <si>
    <t>Forecast Taxable Income, Federal</t>
  </si>
  <si>
    <t>Forecast Taxable Income, State</t>
  </si>
  <si>
    <t>Forecast Taxable Income, Wildfire &amp; POR Adjustments</t>
  </si>
  <si>
    <t>Consolidated Taxable Income Before Wildfire &amp; POR Adjustments</t>
  </si>
  <si>
    <t>Preliminary Adjusted Utility Income Before Taxes</t>
  </si>
  <si>
    <t>Assumes $7.5B securitization starts on 4/1/2021, ~17 yr WAL, 2.9%,  0.051% servicing fees, 0.003% rating agency fees, and 0.33% uncollectibles,  8.84% State Tax Rate, 21% Federal Tax Rate</t>
  </si>
  <si>
    <r>
      <t>Plus: Initial Wildfire Fund Contribution</t>
    </r>
    <r>
      <rPr>
        <vertAlign val="superscript"/>
        <sz val="11"/>
        <color theme="1"/>
        <rFont val="Arial"/>
        <family val="2"/>
      </rPr>
      <t>1</t>
    </r>
  </si>
  <si>
    <t>Plus: Ongoing Wildfire Fund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</si>
</sst>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_);[Red]\(#,##0,\)"/>
    <numFmt numFmtId="165" formatCode="0.0"/>
    <numFmt numFmtId="166" formatCode="&quot;$&quot;#,##0.0_);[Red]\(&quot;$&quot;#,##0.0\)"/>
    <numFmt numFmtId="167" formatCode="_(&quot;$&quot;* #,##0.0_);_(&quot;$&quot;* \(#,##0.0\);_(&quot;$&quot;* &quot;-&quot;??_);_(@_)"/>
    <numFmt numFmtId="168" formatCode="_(* #,##0_);_(* \(#,##0\);_(* &quot;-&quot;??_);_(@_)"/>
    <numFmt numFmtId="169" formatCode="0.00\ &quot;yrs&quot;"/>
    <numFmt numFmtId="170" formatCode="#,##0;;\-\-"/>
    <numFmt numFmtId="171" formatCode="0.000%"/>
    <numFmt numFmtId="172" formatCode="_(&quot;$&quot;* #,##0_);_(&quot;$&quot;* \(#,##0\);_(&quot;$&quot;* &quot;-&quot;??_);_(@_)"/>
    <numFmt numFmtId="173" formatCode="0.00\ &quot;mos&quot;"/>
    <numFmt numFmtId="174" formatCode="0.0%_);\(0.0%\);0.0%_);@_)"/>
    <numFmt numFmtId="175" formatCode="&quot;$&quot;#,##0_);\(&quot;$&quot;#,##0\);&quot;$&quot;#,##0_);@_)"/>
    <numFmt numFmtId="176" formatCode="0.00%_);\(0.00%\);0.00%_);@_)"/>
    <numFmt numFmtId="177" formatCode="#,##0_);[Red]\(#,##0\);&quot; &quot;"/>
    <numFmt numFmtId="178" formatCode="#,##0.00_);[Red]\(#,##0.00\);&quot; &quot;"/>
    <numFmt numFmtId="179" formatCode="#,##0_);\(#,##0\);#,##0_);@_)"/>
    <numFmt numFmtId="180" formatCode="0.000000"/>
    <numFmt numFmtId="181" formatCode="&quot;$&quot;#,##0.0"/>
    <numFmt numFmtId="182" formatCode="0.0%"/>
    <numFmt numFmtId="183" formatCode="#,##0.0_);\(#,##0.0\)"/>
    <numFmt numFmtId="184" formatCode="_(&quot;$&quot;* #,##0.0000_);_(&quot;$&quot;* \(#,##0.0000\);_(&quot;$&quot;* &quot;-&quot;??_);_(@_)"/>
    <numFmt numFmtId="185" formatCode="_(&quot;$&quot;* #,##0.00000_);_(&quot;$&quot;* \(#,##0.00000\);_(&quot;$&quot;* &quot;-&quot;??_);_(@_)"/>
    <numFmt numFmtId="186" formatCode="_(&quot;$&quot;* #,##0.0_);_(&quot;$&quot;* \(#,##0.0\);_(&quot;$&quot;* &quot;-&quot;?_);_(@_)"/>
  </numFmts>
  <fonts count="53" x14ac:knownFonts="1">
    <font>
      <sz val="11"/>
      <color theme="1"/>
      <name val="Calibri"/>
      <family val="2"/>
      <scheme val="minor"/>
    </font>
    <font>
      <sz val="11"/>
      <color theme="1"/>
      <name val="Calibri"/>
      <family val="2"/>
      <scheme val="minor"/>
    </font>
    <font>
      <sz val="9"/>
      <color theme="1"/>
      <name val="Calibri"/>
      <family val="2"/>
      <scheme val="minor"/>
    </font>
    <font>
      <b/>
      <sz val="11"/>
      <name val="Arial"/>
      <family val="2"/>
    </font>
    <font>
      <sz val="9"/>
      <name val="Arial"/>
      <family val="2"/>
    </font>
    <font>
      <sz val="8"/>
      <name val="Arial"/>
      <family val="2"/>
    </font>
    <font>
      <sz val="11"/>
      <name val="Arial"/>
      <family val="2"/>
    </font>
    <font>
      <sz val="11"/>
      <color theme="1"/>
      <name val="Arial"/>
      <family val="2"/>
    </font>
    <font>
      <b/>
      <sz val="11"/>
      <color theme="1"/>
      <name val="Arial"/>
      <family val="2"/>
    </font>
    <font>
      <b/>
      <sz val="8"/>
      <color rgb="FFFFFFFF"/>
      <name val="Arial"/>
      <family val="2"/>
    </font>
    <font>
      <b/>
      <i/>
      <sz val="8"/>
      <color rgb="FF002D72"/>
      <name val="Arial"/>
      <family val="2"/>
    </font>
    <font>
      <sz val="8"/>
      <color rgb="FF53565A"/>
      <name val="Arial"/>
      <family val="2"/>
    </font>
    <font>
      <b/>
      <sz val="8"/>
      <color rgb="FF53565A"/>
      <name val="Arial"/>
      <family val="2"/>
    </font>
    <font>
      <sz val="8"/>
      <color rgb="FF000000"/>
      <name val="Arial"/>
      <family val="2"/>
    </font>
    <font>
      <sz val="8"/>
      <color theme="1"/>
      <name val="Arial"/>
      <family val="2"/>
    </font>
    <font>
      <vertAlign val="superscript"/>
      <sz val="11"/>
      <color theme="1"/>
      <name val="Arial"/>
      <family val="2"/>
    </font>
    <font>
      <b/>
      <u/>
      <sz val="10"/>
      <name val="Arial"/>
      <family val="2"/>
    </font>
    <font>
      <sz val="10"/>
      <name val="Arial"/>
      <family val="2"/>
    </font>
    <font>
      <sz val="10"/>
      <color theme="1"/>
      <name val="Arial"/>
      <family val="2"/>
    </font>
    <font>
      <i/>
      <sz val="10"/>
      <color theme="1"/>
      <name val="Calibri"/>
      <family val="2"/>
      <scheme val="minor"/>
    </font>
    <font>
      <b/>
      <sz val="11"/>
      <color rgb="FFFF0000"/>
      <name val="Arial"/>
      <family val="2"/>
    </font>
    <font>
      <sz val="16"/>
      <color theme="1"/>
      <name val="Calibri"/>
      <family val="2"/>
      <scheme val="minor"/>
    </font>
    <font>
      <b/>
      <sz val="11"/>
      <color rgb="FF000000"/>
      <name val="Arial"/>
      <family val="2"/>
    </font>
    <font>
      <sz val="11"/>
      <color rgb="FF000000"/>
      <name val="Arial"/>
      <family val="2"/>
    </font>
    <font>
      <b/>
      <u/>
      <sz val="11"/>
      <name val="Arial"/>
      <family val="2"/>
    </font>
    <font>
      <b/>
      <sz val="11"/>
      <color rgb="FF00B0F0"/>
      <name val="Arial"/>
      <family val="2"/>
    </font>
    <font>
      <b/>
      <sz val="11"/>
      <color rgb="FFFFC000"/>
      <name val="Arial"/>
      <family val="2"/>
    </font>
    <font>
      <b/>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sz val="10"/>
      <color theme="4"/>
      <name val="Arial"/>
      <family val="2"/>
    </font>
    <font>
      <sz val="11"/>
      <color theme="4"/>
      <name val="Calibri"/>
      <family val="2"/>
      <scheme val="minor"/>
    </font>
    <font>
      <sz val="10"/>
      <color theme="9"/>
      <name val="Arial"/>
      <family val="2"/>
    </font>
    <font>
      <sz val="11"/>
      <color theme="9"/>
      <name val="Calibri"/>
      <family val="2"/>
      <scheme val="minor"/>
    </font>
    <font>
      <i/>
      <sz val="11"/>
      <color theme="0" tint="-0.34998626667073579"/>
      <name val="Calibri"/>
      <family val="2"/>
      <scheme val="minor"/>
    </font>
    <font>
      <i/>
      <sz val="11"/>
      <color theme="0" tint="-0.499984740745262"/>
      <name val="Calibri"/>
      <family val="2"/>
      <scheme val="minor"/>
    </font>
    <font>
      <b/>
      <sz val="10"/>
      <name val="Arial"/>
      <family val="2"/>
    </font>
    <font>
      <sz val="11"/>
      <name val="Calibri"/>
      <family val="2"/>
      <scheme val="minor"/>
    </font>
    <font>
      <sz val="10"/>
      <color rgb="FF0000FF"/>
      <name val="Calibri"/>
      <family val="2"/>
      <scheme val="minor"/>
    </font>
    <font>
      <b/>
      <sz val="11"/>
      <color theme="4"/>
      <name val="Calibri"/>
      <family val="2"/>
      <scheme val="minor"/>
    </font>
    <font>
      <b/>
      <sz val="10"/>
      <color theme="9"/>
      <name val="Arial"/>
      <family val="2"/>
    </font>
    <font>
      <b/>
      <sz val="11"/>
      <color rgb="FFFF0000"/>
      <name val="Calibri"/>
      <family val="2"/>
      <scheme val="minor"/>
    </font>
    <font>
      <i/>
      <sz val="11"/>
      <color theme="4"/>
      <name val="Calibri"/>
      <family val="2"/>
      <scheme val="minor"/>
    </font>
    <font>
      <i/>
      <sz val="10"/>
      <color theme="4"/>
      <name val="Arial"/>
      <family val="2"/>
    </font>
    <font>
      <i/>
      <sz val="11"/>
      <color theme="9"/>
      <name val="Calibri"/>
      <family val="2"/>
      <scheme val="minor"/>
    </font>
    <font>
      <i/>
      <sz val="10"/>
      <color theme="9"/>
      <name val="Arial"/>
      <family val="2"/>
    </font>
    <font>
      <vertAlign val="superscript"/>
      <sz val="11"/>
      <name val="Arial"/>
      <family val="2"/>
    </font>
    <font>
      <sz val="11"/>
      <color indexed="9"/>
      <name val="Arial"/>
      <family val="2"/>
    </font>
    <font>
      <sz val="11"/>
      <color indexed="10"/>
      <name val="Arial"/>
      <family val="2"/>
    </font>
    <font>
      <b/>
      <vertAlign val="superscript"/>
      <sz val="11"/>
      <name val="Arial"/>
      <family val="2"/>
    </font>
    <font>
      <b/>
      <u/>
      <sz val="11"/>
      <color theme="1"/>
      <name val="Arial"/>
      <family val="2"/>
    </font>
    <font>
      <sz val="8"/>
      <name val="Calibri"/>
      <family val="2"/>
      <scheme val="minor"/>
    </font>
  </fonts>
  <fills count="4">
    <fill>
      <patternFill patternType="none"/>
    </fill>
    <fill>
      <patternFill patternType="gray125"/>
    </fill>
    <fill>
      <patternFill patternType="solid">
        <fgColor rgb="FF002D72"/>
        <bgColor indexed="64"/>
      </patternFill>
    </fill>
    <fill>
      <patternFill patternType="solid">
        <fgColor theme="0" tint="-4.9989318521683403E-2"/>
        <bgColor indexed="64"/>
      </patternFill>
    </fill>
  </fills>
  <borders count="29">
    <border>
      <left/>
      <right/>
      <top/>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97999B"/>
      </left>
      <right style="thin">
        <color rgb="FF97999B"/>
      </right>
      <top style="thin">
        <color rgb="FF97999B"/>
      </top>
      <bottom style="thin">
        <color rgb="FF97999B"/>
      </bottom>
      <diagonal/>
    </border>
    <border>
      <left style="thin">
        <color rgb="FF97999B"/>
      </left>
      <right/>
      <top style="thin">
        <color rgb="FF97999B"/>
      </top>
      <bottom style="thin">
        <color rgb="FF97999B"/>
      </bottom>
      <diagonal/>
    </border>
    <border>
      <left/>
      <right/>
      <top style="thin">
        <color rgb="FF97999B"/>
      </top>
      <bottom style="thin">
        <color rgb="FF97999B"/>
      </bottom>
      <diagonal/>
    </border>
    <border>
      <left/>
      <right style="thin">
        <color rgb="FF97999B"/>
      </right>
      <top style="thin">
        <color rgb="FF97999B"/>
      </top>
      <bottom style="thin">
        <color rgb="FF97999B"/>
      </bottom>
      <diagonal/>
    </border>
    <border>
      <left style="thin">
        <color rgb="FF97999B"/>
      </left>
      <right style="thin">
        <color rgb="FF97999B"/>
      </right>
      <top/>
      <bottom/>
      <diagonal/>
    </border>
    <border>
      <left style="thin">
        <color rgb="FF97999B"/>
      </left>
      <right/>
      <top style="thin">
        <color rgb="FF97999B"/>
      </top>
      <bottom/>
      <diagonal/>
    </border>
    <border>
      <left/>
      <right/>
      <top style="thin">
        <color rgb="FF97999B"/>
      </top>
      <bottom/>
      <diagonal/>
    </border>
    <border>
      <left/>
      <right style="thin">
        <color rgb="FF97999B"/>
      </right>
      <top style="thin">
        <color rgb="FF97999B"/>
      </top>
      <bottom/>
      <diagonal/>
    </border>
    <border>
      <left style="thin">
        <color rgb="FF97999B"/>
      </left>
      <right/>
      <top/>
      <bottom/>
      <diagonal/>
    </border>
    <border>
      <left/>
      <right style="thin">
        <color rgb="FF97999B"/>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auto="1"/>
      </top>
      <bottom style="thin">
        <color indexed="64"/>
      </bottom>
      <diagonal/>
    </border>
    <border>
      <left style="thin">
        <color rgb="FF97999B"/>
      </left>
      <right style="thin">
        <color rgb="FF97999B"/>
      </right>
      <top style="thin">
        <color rgb="FF97999B"/>
      </top>
      <bottom/>
      <diagonal/>
    </border>
    <border>
      <left style="thin">
        <color rgb="FF97999B"/>
      </left>
      <right/>
      <top/>
      <bottom style="thin">
        <color rgb="FF00BDF2"/>
      </bottom>
      <diagonal/>
    </border>
    <border>
      <left/>
      <right/>
      <top style="thin">
        <color indexed="64"/>
      </top>
      <bottom/>
      <diagonal/>
    </border>
    <border>
      <left style="thin">
        <color rgb="FF97999B"/>
      </left>
      <right/>
      <top/>
      <bottom style="thin">
        <color indexed="64"/>
      </bottom>
      <diagonal/>
    </border>
    <border>
      <left/>
      <right style="thin">
        <color rgb="FF97999B"/>
      </right>
      <top/>
      <bottom style="thin">
        <color indexed="64"/>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41" fontId="1" fillId="0" borderId="0" applyFont="0" applyFill="0" applyBorder="0" applyAlignment="0" applyProtection="0"/>
    <xf numFmtId="0" fontId="4" fillId="0" borderId="0"/>
    <xf numFmtId="43" fontId="1" fillId="0" borderId="0" applyFont="0" applyFill="0" applyBorder="0" applyAlignment="0" applyProtection="0"/>
    <xf numFmtId="0" fontId="14" fillId="0" borderId="0" applyFill="0" applyBorder="0" applyAlignment="0" applyProtection="0"/>
    <xf numFmtId="0" fontId="1" fillId="0" borderId="0"/>
    <xf numFmtId="0" fontId="1" fillId="0" borderId="0"/>
    <xf numFmtId="0" fontId="17" fillId="0" borderId="0"/>
    <xf numFmtId="0" fontId="28" fillId="0" borderId="0"/>
    <xf numFmtId="0" fontId="29" fillId="0" borderId="0"/>
    <xf numFmtId="0" fontId="1" fillId="0" borderId="0"/>
    <xf numFmtId="44" fontId="28" fillId="0" borderId="0" applyFont="0" applyFill="0" applyBorder="0" applyAlignment="0" applyProtection="0"/>
    <xf numFmtId="0" fontId="1" fillId="0" borderId="0"/>
    <xf numFmtId="43" fontId="17" fillId="0" borderId="0" applyFont="0" applyFill="0" applyBorder="0" applyAlignment="0" applyProtection="0"/>
  </cellStyleXfs>
  <cellXfs count="324">
    <xf numFmtId="0" fontId="0" fillId="0" borderId="0" xfId="0"/>
    <xf numFmtId="0" fontId="4" fillId="0" borderId="0" xfId="0" applyFont="1"/>
    <xf numFmtId="0" fontId="5" fillId="0" borderId="0" xfId="0" applyFont="1"/>
    <xf numFmtId="166" fontId="4" fillId="0" borderId="0" xfId="0" applyNumberFormat="1" applyFont="1" applyAlignment="1">
      <alignment horizontal="left"/>
    </xf>
    <xf numFmtId="164" fontId="4" fillId="0" borderId="0" xfId="0" applyNumberFormat="1" applyFont="1" applyAlignment="1">
      <alignment horizontal="left"/>
    </xf>
    <xf numFmtId="0" fontId="7" fillId="0" borderId="0" xfId="0" applyFont="1"/>
    <xf numFmtId="0" fontId="7" fillId="0" borderId="0" xfId="0" applyFont="1" applyAlignment="1">
      <alignment horizontal="left" indent="1"/>
    </xf>
    <xf numFmtId="14" fontId="3" fillId="0" borderId="0" xfId="0" applyNumberFormat="1" applyFont="1" applyAlignment="1">
      <alignment horizontal="left"/>
    </xf>
    <xf numFmtId="0" fontId="8" fillId="0" borderId="0" xfId="0" applyFont="1"/>
    <xf numFmtId="14" fontId="5" fillId="0" borderId="0" xfId="0" applyNumberFormat="1" applyFont="1" applyFill="1"/>
    <xf numFmtId="0" fontId="6" fillId="0" borderId="0" xfId="0" applyFont="1" applyAlignment="1"/>
    <xf numFmtId="0" fontId="7" fillId="0" borderId="1" xfId="0" applyFont="1" applyBorder="1"/>
    <xf numFmtId="0" fontId="6" fillId="0" borderId="0" xfId="0" applyFont="1" applyAlignment="1">
      <alignment horizontal="center"/>
    </xf>
    <xf numFmtId="167" fontId="7" fillId="0" borderId="0" xfId="1" applyNumberFormat="1" applyFont="1"/>
    <xf numFmtId="167" fontId="7" fillId="0" borderId="1" xfId="1" applyNumberFormat="1" applyFont="1" applyBorder="1"/>
    <xf numFmtId="0" fontId="7" fillId="0" borderId="1" xfId="0" applyFont="1" applyFill="1" applyBorder="1" applyAlignment="1">
      <alignment horizontal="left" indent="1"/>
    </xf>
    <xf numFmtId="0" fontId="7" fillId="0" borderId="0" xfId="0" applyFont="1" applyFill="1"/>
    <xf numFmtId="0" fontId="7" fillId="0" borderId="0" xfId="0" applyFont="1" applyBorder="1"/>
    <xf numFmtId="167" fontId="7" fillId="0" borderId="0" xfId="1" applyNumberFormat="1" applyFont="1" applyBorder="1"/>
    <xf numFmtId="0" fontId="19" fillId="0" borderId="0" xfId="0" applyFont="1"/>
    <xf numFmtId="172" fontId="7" fillId="0" borderId="0" xfId="1" applyNumberFormat="1" applyFont="1"/>
    <xf numFmtId="0" fontId="7" fillId="0" borderId="0" xfId="0" applyFont="1" applyBorder="1" applyAlignment="1">
      <alignment horizontal="left" indent="1"/>
    </xf>
    <xf numFmtId="0" fontId="14" fillId="0" borderId="0" xfId="0" applyFont="1" applyFill="1" applyBorder="1"/>
    <xf numFmtId="0" fontId="5" fillId="0" borderId="12" xfId="0" applyFont="1" applyFill="1" applyBorder="1" applyAlignment="1">
      <alignment horizontal="center" wrapText="1"/>
    </xf>
    <xf numFmtId="1" fontId="11" fillId="0" borderId="13" xfId="0" applyNumberFormat="1" applyFont="1" applyFill="1" applyBorder="1" applyAlignment="1">
      <alignment horizontal="center" wrapText="1" readingOrder="1"/>
    </xf>
    <xf numFmtId="168" fontId="5" fillId="0" borderId="0" xfId="7" applyNumberFormat="1" applyFont="1" applyFill="1" applyBorder="1" applyAlignment="1">
      <alignment horizontal="right" wrapText="1"/>
    </xf>
    <xf numFmtId="1" fontId="11" fillId="0" borderId="16" xfId="0" applyNumberFormat="1" applyFont="1" applyFill="1" applyBorder="1" applyAlignment="1">
      <alignment horizontal="center" wrapText="1" readingOrder="1"/>
    </xf>
    <xf numFmtId="168" fontId="5" fillId="0" borderId="0" xfId="7" applyNumberFormat="1" applyFont="1" applyFill="1" applyBorder="1" applyAlignment="1">
      <alignment wrapText="1"/>
    </xf>
    <xf numFmtId="1" fontId="11" fillId="0" borderId="25" xfId="0" applyNumberFormat="1" applyFont="1" applyFill="1" applyBorder="1" applyAlignment="1">
      <alignment horizontal="center" wrapText="1" readingOrder="1"/>
    </xf>
    <xf numFmtId="172" fontId="0" fillId="0" borderId="0" xfId="0" applyNumberFormat="1" applyAlignment="1">
      <alignment horizontal="center"/>
    </xf>
    <xf numFmtId="0" fontId="6" fillId="0" borderId="0" xfId="0" applyFont="1" applyAlignment="1">
      <alignment horizontal="center"/>
    </xf>
    <xf numFmtId="172" fontId="7" fillId="0" borderId="0" xfId="1" applyNumberFormat="1" applyFont="1" applyBorder="1"/>
    <xf numFmtId="0" fontId="0" fillId="0" borderId="0" xfId="0" applyBorder="1"/>
    <xf numFmtId="0" fontId="8" fillId="0" borderId="0" xfId="0" applyFont="1" applyBorder="1"/>
    <xf numFmtId="172" fontId="21" fillId="0" borderId="0" xfId="0" applyNumberFormat="1" applyFont="1" applyAlignment="1">
      <alignment horizontal="center"/>
    </xf>
    <xf numFmtId="0" fontId="7" fillId="0" borderId="0" xfId="8" applyFont="1" applyFill="1" applyBorder="1"/>
    <xf numFmtId="175" fontId="7" fillId="0" borderId="0" xfId="8" applyNumberFormat="1" applyFont="1" applyFill="1" applyBorder="1" applyAlignment="1">
      <alignment horizontal="right"/>
    </xf>
    <xf numFmtId="37" fontId="7" fillId="0" borderId="0" xfId="8" applyNumberFormat="1" applyFont="1" applyFill="1" applyBorder="1" applyAlignment="1">
      <alignment horizontal="right"/>
    </xf>
    <xf numFmtId="174" fontId="7" fillId="0" borderId="0" xfId="8" applyNumberFormat="1" applyFont="1" applyFill="1" applyBorder="1"/>
    <xf numFmtId="37" fontId="7" fillId="0" borderId="0" xfId="8" applyNumberFormat="1" applyFont="1" applyFill="1" applyBorder="1"/>
    <xf numFmtId="6" fontId="7" fillId="0" borderId="0" xfId="8" applyNumberFormat="1" applyFont="1" applyFill="1" applyBorder="1" applyAlignment="1">
      <alignment horizontal="right"/>
    </xf>
    <xf numFmtId="175" fontId="23" fillId="0" borderId="0" xfId="8" applyNumberFormat="1" applyFont="1" applyFill="1" applyBorder="1"/>
    <xf numFmtId="0" fontId="6" fillId="0" borderId="0" xfId="0" applyFont="1"/>
    <xf numFmtId="166" fontId="6" fillId="0" borderId="0" xfId="0" applyNumberFormat="1" applyFont="1" applyAlignment="1">
      <alignment horizontal="left"/>
    </xf>
    <xf numFmtId="164" fontId="6" fillId="0" borderId="0" xfId="0" applyNumberFormat="1" applyFont="1" applyAlignment="1">
      <alignment horizontal="left"/>
    </xf>
    <xf numFmtId="1" fontId="6" fillId="0" borderId="0" xfId="0" applyNumberFormat="1" applyFont="1" applyAlignment="1">
      <alignment horizontal="left"/>
    </xf>
    <xf numFmtId="0" fontId="6" fillId="0" borderId="0" xfId="6" applyFont="1" applyFill="1" applyBorder="1" applyAlignment="1">
      <alignment horizontal="left" indent="1"/>
    </xf>
    <xf numFmtId="14" fontId="6" fillId="0" borderId="0" xfId="0" applyNumberFormat="1" applyFont="1" applyFill="1"/>
    <xf numFmtId="14" fontId="7" fillId="0" borderId="0" xfId="0" applyNumberFormat="1" applyFont="1"/>
    <xf numFmtId="14" fontId="6" fillId="0" borderId="0" xfId="0" applyNumberFormat="1" applyFont="1" applyAlignment="1">
      <alignment horizontal="left"/>
    </xf>
    <xf numFmtId="1" fontId="6" fillId="0" borderId="0" xfId="0" applyNumberFormat="1" applyFont="1" applyAlignment="1">
      <alignment horizontal="right"/>
    </xf>
    <xf numFmtId="1" fontId="24" fillId="0" borderId="0" xfId="0" applyNumberFormat="1" applyFont="1" applyAlignment="1">
      <alignment horizontal="right"/>
    </xf>
    <xf numFmtId="168" fontId="7" fillId="0" borderId="0" xfId="0" applyNumberFormat="1" applyFont="1"/>
    <xf numFmtId="0" fontId="7" fillId="0" borderId="0" xfId="0" quotePrefix="1" applyFont="1" applyAlignment="1">
      <alignment horizontal="left" indent="2"/>
    </xf>
    <xf numFmtId="41" fontId="7" fillId="0" borderId="0" xfId="0" applyNumberFormat="1" applyFont="1"/>
    <xf numFmtId="0" fontId="22" fillId="0" borderId="0" xfId="8" applyFont="1" applyFill="1" applyBorder="1" applyAlignment="1">
      <alignment horizontal="center"/>
    </xf>
    <xf numFmtId="175" fontId="8" fillId="0" borderId="0" xfId="8" applyNumberFormat="1" applyFont="1" applyFill="1" applyBorder="1" applyAlignment="1">
      <alignment horizontal="right"/>
    </xf>
    <xf numFmtId="0" fontId="22" fillId="0" borderId="0" xfId="8" applyFont="1" applyFill="1" applyBorder="1"/>
    <xf numFmtId="175" fontId="22" fillId="0" borderId="0" xfId="8" applyNumberFormat="1" applyFont="1" applyFill="1" applyBorder="1"/>
    <xf numFmtId="37" fontId="22" fillId="0" borderId="0" xfId="8" applyNumberFormat="1" applyFont="1" applyFill="1" applyBorder="1"/>
    <xf numFmtId="0" fontId="7" fillId="0" borderId="1" xfId="8" applyFont="1" applyFill="1" applyBorder="1"/>
    <xf numFmtId="0" fontId="6" fillId="0" borderId="0" xfId="0" applyFont="1" applyBorder="1" applyAlignment="1">
      <alignment horizontal="center"/>
    </xf>
    <xf numFmtId="0" fontId="6" fillId="0" borderId="0" xfId="0" applyFont="1" applyBorder="1" applyAlignment="1"/>
    <xf numFmtId="0" fontId="16" fillId="0" borderId="0" xfId="8" applyFont="1" applyBorder="1"/>
    <xf numFmtId="0" fontId="17" fillId="0" borderId="0" xfId="8" applyFont="1" applyBorder="1"/>
    <xf numFmtId="0" fontId="4" fillId="0" borderId="0" xfId="0" applyFont="1" applyBorder="1"/>
    <xf numFmtId="0" fontId="17" fillId="0" borderId="0" xfId="8" applyFont="1" applyFill="1" applyBorder="1"/>
    <xf numFmtId="172" fontId="17" fillId="0" borderId="0" xfId="1" applyNumberFormat="1" applyFont="1" applyBorder="1"/>
    <xf numFmtId="167" fontId="17" fillId="0" borderId="0" xfId="1" applyNumberFormat="1" applyFont="1" applyBorder="1"/>
    <xf numFmtId="173" fontId="18" fillId="0" borderId="0" xfId="1" applyNumberFormat="1" applyFont="1" applyBorder="1"/>
    <xf numFmtId="173" fontId="17" fillId="0" borderId="0" xfId="1" applyNumberFormat="1" applyFont="1" applyBorder="1"/>
    <xf numFmtId="9" fontId="17" fillId="0" borderId="0" xfId="2" applyNumberFormat="1" applyFont="1" applyFill="1" applyBorder="1"/>
    <xf numFmtId="0" fontId="7" fillId="0" borderId="0" xfId="0" applyFont="1" applyFill="1" applyBorder="1"/>
    <xf numFmtId="0" fontId="18" fillId="0" borderId="0" xfId="0" applyFont="1"/>
    <xf numFmtId="0" fontId="17" fillId="0" borderId="1" xfId="8" applyFont="1" applyFill="1" applyBorder="1"/>
    <xf numFmtId="167" fontId="17" fillId="0" borderId="1" xfId="1" applyNumberFormat="1" applyFont="1" applyBorder="1"/>
    <xf numFmtId="0" fontId="7" fillId="0" borderId="0" xfId="8" applyFont="1" applyBorder="1"/>
    <xf numFmtId="41" fontId="25" fillId="0" borderId="0" xfId="0" applyNumberFormat="1" applyFont="1" applyAlignment="1">
      <alignment horizontal="center"/>
    </xf>
    <xf numFmtId="41" fontId="26" fillId="0" borderId="0" xfId="0" applyNumberFormat="1" applyFont="1" applyAlignment="1">
      <alignment horizontal="center"/>
    </xf>
    <xf numFmtId="7" fontId="7" fillId="0" borderId="0" xfId="0" applyNumberFormat="1" applyFont="1"/>
    <xf numFmtId="37" fontId="7" fillId="0" borderId="0" xfId="11" applyNumberFormat="1" applyFont="1" applyBorder="1" applyAlignment="1">
      <alignment vertical="top"/>
    </xf>
    <xf numFmtId="0" fontId="8" fillId="0" borderId="1" xfId="10" applyFont="1" applyFill="1" applyBorder="1" applyAlignment="1">
      <alignment horizontal="left" vertical="center"/>
    </xf>
    <xf numFmtId="175" fontId="22" fillId="0" borderId="0" xfId="8" applyNumberFormat="1" applyFont="1" applyFill="1" applyBorder="1" applyAlignment="1">
      <alignment horizontal="right"/>
    </xf>
    <xf numFmtId="37" fontId="22" fillId="0" borderId="0" xfId="8" applyNumberFormat="1" applyFont="1" applyFill="1" applyBorder="1" applyAlignment="1">
      <alignment horizontal="right"/>
    </xf>
    <xf numFmtId="0" fontId="22" fillId="0" borderId="0" xfId="8" applyFont="1" applyFill="1" applyBorder="1" applyAlignment="1">
      <alignment horizontal="right"/>
    </xf>
    <xf numFmtId="0" fontId="7" fillId="0" borderId="0" xfId="8" applyFont="1" applyFill="1" applyBorder="1" applyAlignment="1">
      <alignment horizontal="right"/>
    </xf>
    <xf numFmtId="0" fontId="3" fillId="0" borderId="0" xfId="0" applyFont="1" applyAlignment="1"/>
    <xf numFmtId="176" fontId="7" fillId="0" borderId="1" xfId="8" applyNumberFormat="1" applyFont="1" applyFill="1" applyBorder="1"/>
    <xf numFmtId="0" fontId="7" fillId="0" borderId="0" xfId="0" applyFont="1" applyAlignment="1">
      <alignment horizontal="left"/>
    </xf>
    <xf numFmtId="172" fontId="7" fillId="0" borderId="0" xfId="0" applyNumberFormat="1" applyFont="1"/>
    <xf numFmtId="0" fontId="7" fillId="0" borderId="0" xfId="0" applyFont="1" applyFill="1" applyBorder="1" applyAlignment="1">
      <alignment horizontal="left" indent="1"/>
    </xf>
    <xf numFmtId="0" fontId="7" fillId="0" borderId="1" xfId="0" applyFont="1" applyFill="1" applyBorder="1" applyAlignment="1">
      <alignment horizontal="left"/>
    </xf>
    <xf numFmtId="43" fontId="6" fillId="0" borderId="0" xfId="7" applyFont="1" applyFill="1"/>
    <xf numFmtId="0" fontId="20" fillId="0" borderId="0" xfId="0" applyFont="1" applyAlignment="1"/>
    <xf numFmtId="172" fontId="0" fillId="0" borderId="0" xfId="1" applyNumberFormat="1" applyFont="1" applyAlignment="1">
      <alignment horizontal="center"/>
    </xf>
    <xf numFmtId="0" fontId="0" fillId="0" borderId="0" xfId="0" applyAlignment="1">
      <alignment horizontal="center"/>
    </xf>
    <xf numFmtId="0" fontId="27" fillId="0" borderId="0" xfId="0" applyFont="1"/>
    <xf numFmtId="177" fontId="31" fillId="0" borderId="0" xfId="0" applyNumberFormat="1" applyFont="1" applyAlignment="1">
      <alignment horizontal="left"/>
    </xf>
    <xf numFmtId="172" fontId="32" fillId="0" borderId="0" xfId="1" applyNumberFormat="1" applyFont="1" applyAlignment="1">
      <alignment horizontal="center"/>
    </xf>
    <xf numFmtId="0" fontId="32" fillId="0" borderId="0" xfId="0" applyFont="1"/>
    <xf numFmtId="177" fontId="31" fillId="0" borderId="0" xfId="0" applyNumberFormat="1" applyFont="1" applyAlignment="1">
      <alignment horizontal="left" indent="2"/>
    </xf>
    <xf numFmtId="177" fontId="33" fillId="0" borderId="0" xfId="0" applyNumberFormat="1" applyFont="1" applyAlignment="1">
      <alignment horizontal="left"/>
    </xf>
    <xf numFmtId="172" fontId="34" fillId="0" borderId="0" xfId="1" applyNumberFormat="1" applyFont="1" applyAlignment="1">
      <alignment horizontal="center"/>
    </xf>
    <xf numFmtId="0" fontId="34" fillId="0" borderId="0" xfId="0" applyFont="1"/>
    <xf numFmtId="177" fontId="33" fillId="0" borderId="0" xfId="0" applyNumberFormat="1" applyFont="1" applyAlignment="1">
      <alignment horizontal="left" indent="2"/>
    </xf>
    <xf numFmtId="177" fontId="30" fillId="0" borderId="0" xfId="0" applyNumberFormat="1" applyFont="1" applyAlignment="1">
      <alignment horizontal="left"/>
    </xf>
    <xf numFmtId="172" fontId="35" fillId="0" borderId="0" xfId="1" applyNumberFormat="1" applyFont="1" applyAlignment="1">
      <alignment horizontal="center"/>
    </xf>
    <xf numFmtId="0" fontId="35" fillId="0" borderId="0" xfId="0" applyFont="1"/>
    <xf numFmtId="172" fontId="36" fillId="0" borderId="0" xfId="1" applyNumberFormat="1" applyFont="1" applyAlignment="1">
      <alignment horizontal="center"/>
    </xf>
    <xf numFmtId="0" fontId="36" fillId="0" borderId="0" xfId="0" applyFont="1"/>
    <xf numFmtId="179" fontId="29" fillId="0" borderId="0" xfId="9" applyNumberFormat="1" applyFont="1"/>
    <xf numFmtId="0" fontId="27" fillId="0" borderId="0" xfId="0" applyFont="1" applyFill="1" applyBorder="1" applyAlignment="1">
      <alignment horizontal="center"/>
    </xf>
    <xf numFmtId="0" fontId="0" fillId="0" borderId="0" xfId="0" applyFill="1"/>
    <xf numFmtId="0" fontId="40" fillId="0" borderId="0" xfId="0" applyFont="1" applyFill="1" applyBorder="1"/>
    <xf numFmtId="177" fontId="41" fillId="0" borderId="0" xfId="0" applyNumberFormat="1" applyFont="1" applyAlignment="1">
      <alignment horizontal="left"/>
    </xf>
    <xf numFmtId="37" fontId="39" fillId="0" borderId="0" xfId="9" applyNumberFormat="1" applyFont="1" applyFill="1" applyAlignment="1">
      <alignment horizontal="right"/>
    </xf>
    <xf numFmtId="172" fontId="7" fillId="0" borderId="1" xfId="1" applyNumberFormat="1" applyFont="1" applyBorder="1"/>
    <xf numFmtId="0" fontId="7" fillId="0" borderId="1" xfId="0" applyFont="1" applyBorder="1" applyAlignment="1">
      <alignment horizontal="left" indent="1"/>
    </xf>
    <xf numFmtId="0" fontId="0" fillId="0" borderId="1" xfId="0" applyBorder="1"/>
    <xf numFmtId="175" fontId="7" fillId="0" borderId="1" xfId="8" applyNumberFormat="1" applyFont="1" applyFill="1" applyBorder="1" applyAlignment="1">
      <alignment horizontal="right"/>
    </xf>
    <xf numFmtId="0" fontId="8" fillId="0" borderId="0" xfId="8" applyFont="1" applyFill="1" applyBorder="1"/>
    <xf numFmtId="44" fontId="0" fillId="0" borderId="0" xfId="0" applyNumberFormat="1"/>
    <xf numFmtId="167" fontId="7" fillId="0" borderId="0" xfId="1" applyNumberFormat="1" applyFont="1" applyFill="1" applyBorder="1" applyAlignment="1">
      <alignment horizontal="right"/>
    </xf>
    <xf numFmtId="172" fontId="7" fillId="0" borderId="0" xfId="1" applyNumberFormat="1" applyFont="1" applyFill="1" applyBorder="1" applyAlignment="1">
      <alignment horizontal="right"/>
    </xf>
    <xf numFmtId="0" fontId="7" fillId="0" borderId="0" xfId="0" applyFont="1" applyAlignment="1">
      <alignment horizontal="left" indent="2"/>
    </xf>
    <xf numFmtId="167" fontId="7" fillId="0" borderId="1" xfId="1" applyNumberFormat="1" applyFont="1" applyFill="1" applyBorder="1" applyAlignment="1">
      <alignment horizontal="right"/>
    </xf>
    <xf numFmtId="0" fontId="15" fillId="0" borderId="0" xfId="0" applyFont="1" applyAlignment="1">
      <alignment wrapText="1"/>
    </xf>
    <xf numFmtId="0" fontId="15" fillId="0" borderId="0" xfId="0" applyFont="1" applyAlignment="1"/>
    <xf numFmtId="9" fontId="27" fillId="0" borderId="0" xfId="0" applyNumberFormat="1" applyFont="1" applyAlignment="1">
      <alignment horizontal="center"/>
    </xf>
    <xf numFmtId="9" fontId="42" fillId="0" borderId="0" xfId="0" applyNumberFormat="1" applyFont="1" applyAlignment="1">
      <alignment horizontal="center"/>
    </xf>
    <xf numFmtId="9" fontId="42" fillId="0" borderId="0" xfId="0" applyNumberFormat="1" applyFont="1" applyFill="1" applyBorder="1" applyAlignment="1">
      <alignment horizontal="center"/>
    </xf>
    <xf numFmtId="172" fontId="43" fillId="0" borderId="0" xfId="1" applyNumberFormat="1" applyFont="1" applyAlignment="1">
      <alignment horizontal="center"/>
    </xf>
    <xf numFmtId="0" fontId="43" fillId="0" borderId="0" xfId="0" applyFont="1"/>
    <xf numFmtId="0" fontId="7" fillId="0" borderId="0" xfId="0" applyFont="1" applyBorder="1" applyAlignment="1">
      <alignment horizontal="left"/>
    </xf>
    <xf numFmtId="0" fontId="8" fillId="0" borderId="0" xfId="0" quotePrefix="1" applyFont="1" applyAlignment="1">
      <alignment horizontal="left" indent="2"/>
    </xf>
    <xf numFmtId="168" fontId="8" fillId="0" borderId="0" xfId="0" applyNumberFormat="1" applyFont="1"/>
    <xf numFmtId="44" fontId="7" fillId="0" borderId="0" xfId="0" applyNumberFormat="1" applyFont="1"/>
    <xf numFmtId="0" fontId="8" fillId="0" borderId="1" xfId="8" applyFont="1" applyFill="1" applyBorder="1"/>
    <xf numFmtId="0" fontId="8" fillId="0" borderId="0" xfId="0" applyFont="1" applyAlignment="1">
      <alignment horizontal="left" indent="1"/>
    </xf>
    <xf numFmtId="10" fontId="7" fillId="0" borderId="0" xfId="2" applyNumberFormat="1" applyFont="1" applyFill="1" applyBorder="1" applyAlignment="1">
      <alignment horizontal="left"/>
    </xf>
    <xf numFmtId="0" fontId="3" fillId="0" borderId="0" xfId="0" applyFont="1" applyAlignment="1">
      <alignment horizontal="left" indent="2"/>
    </xf>
    <xf numFmtId="172" fontId="3" fillId="0" borderId="0" xfId="1" applyNumberFormat="1" applyFont="1" applyFill="1" applyBorder="1" applyAlignment="1">
      <alignment horizontal="right"/>
    </xf>
    <xf numFmtId="0" fontId="3" fillId="0" borderId="0" xfId="0" applyFont="1" applyAlignment="1">
      <alignment horizontal="left" indent="1"/>
    </xf>
    <xf numFmtId="0" fontId="8" fillId="0" borderId="0" xfId="0" applyFont="1" applyAlignment="1">
      <alignment horizontal="left" indent="2"/>
    </xf>
    <xf numFmtId="172" fontId="8" fillId="0" borderId="0" xfId="1" applyNumberFormat="1" applyFont="1" applyFill="1" applyBorder="1" applyAlignment="1">
      <alignment horizontal="right"/>
    </xf>
    <xf numFmtId="10" fontId="7" fillId="0" borderId="1" xfId="2" applyNumberFormat="1" applyFont="1" applyFill="1" applyBorder="1"/>
    <xf numFmtId="0" fontId="6" fillId="0" borderId="0" xfId="0" applyFont="1" applyAlignment="1">
      <alignment horizontal="center"/>
    </xf>
    <xf numFmtId="176" fontId="7" fillId="0" borderId="0" xfId="8" applyNumberFormat="1" applyFont="1" applyFill="1" applyBorder="1"/>
    <xf numFmtId="10" fontId="7" fillId="0" borderId="0" xfId="8" applyNumberFormat="1" applyFont="1" applyFill="1" applyBorder="1"/>
    <xf numFmtId="177" fontId="44" fillId="0" borderId="0" xfId="0" applyNumberFormat="1" applyFont="1" applyAlignment="1">
      <alignment horizontal="left" indent="2"/>
    </xf>
    <xf numFmtId="177" fontId="44" fillId="0" borderId="0" xfId="0" applyNumberFormat="1" applyFont="1" applyAlignment="1">
      <alignment horizontal="left" indent="3"/>
    </xf>
    <xf numFmtId="0" fontId="45" fillId="0" borderId="0" xfId="0" applyFont="1"/>
    <xf numFmtId="177" fontId="46" fillId="0" borderId="0" xfId="0" applyNumberFormat="1" applyFont="1" applyAlignment="1">
      <alignment horizontal="left" indent="2"/>
    </xf>
    <xf numFmtId="172" fontId="45" fillId="0" borderId="0" xfId="1" applyNumberFormat="1" applyFont="1" applyAlignment="1">
      <alignment horizontal="center"/>
    </xf>
    <xf numFmtId="177" fontId="46" fillId="0" borderId="0" xfId="0" applyNumberFormat="1" applyFont="1" applyAlignment="1">
      <alignment horizontal="left" indent="3"/>
    </xf>
    <xf numFmtId="10" fontId="7" fillId="0" borderId="0" xfId="2" applyNumberFormat="1" applyFont="1" applyFill="1" applyBorder="1"/>
    <xf numFmtId="0" fontId="23" fillId="0" borderId="0" xfId="0" applyFont="1"/>
    <xf numFmtId="0" fontId="3"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right"/>
    </xf>
    <xf numFmtId="0" fontId="0" fillId="0" borderId="0" xfId="0" applyFont="1"/>
    <xf numFmtId="164" fontId="6" fillId="0" borderId="0" xfId="0" applyNumberFormat="1" applyFont="1" applyAlignment="1"/>
    <xf numFmtId="0" fontId="6" fillId="0" borderId="0" xfId="0" applyFont="1" applyFill="1"/>
    <xf numFmtId="10" fontId="6" fillId="0" borderId="0" xfId="2" applyNumberFormat="1" applyFont="1" applyFill="1" applyBorder="1"/>
    <xf numFmtId="8" fontId="6" fillId="0" borderId="0" xfId="0" applyNumberFormat="1" applyFont="1" applyFill="1"/>
    <xf numFmtId="9" fontId="48" fillId="0" borderId="0" xfId="2" applyFont="1" applyAlignment="1">
      <alignment horizontal="center"/>
    </xf>
    <xf numFmtId="0" fontId="6" fillId="0" borderId="0" xfId="0" applyFont="1" applyAlignment="1">
      <alignment vertical="top"/>
    </xf>
    <xf numFmtId="183" fontId="6" fillId="0" borderId="0" xfId="0" applyNumberFormat="1" applyFont="1" applyAlignment="1">
      <alignment horizontal="right" vertical="top"/>
    </xf>
    <xf numFmtId="183" fontId="6" fillId="0" borderId="0" xfId="0" applyNumberFormat="1" applyFont="1" applyBorder="1" applyAlignment="1">
      <alignment vertical="top"/>
    </xf>
    <xf numFmtId="183" fontId="6" fillId="0" borderId="0" xfId="0" applyNumberFormat="1" applyFont="1" applyAlignment="1">
      <alignment vertical="top"/>
    </xf>
    <xf numFmtId="183" fontId="6" fillId="0" borderId="0" xfId="0" applyNumberFormat="1" applyFont="1" applyAlignment="1">
      <alignment horizontal="right" vertical="top" wrapText="1"/>
    </xf>
    <xf numFmtId="166" fontId="3" fillId="0" borderId="0" xfId="0" applyNumberFormat="1" applyFont="1" applyAlignment="1">
      <alignment horizontal="center" vertical="top" wrapText="1"/>
    </xf>
    <xf numFmtId="10" fontId="6" fillId="0" borderId="0" xfId="2" applyNumberFormat="1" applyFont="1" applyAlignment="1">
      <alignment vertical="top"/>
    </xf>
    <xf numFmtId="8" fontId="6" fillId="0" borderId="0" xfId="0" applyNumberFormat="1" applyFont="1"/>
    <xf numFmtId="0" fontId="3" fillId="0" borderId="0" xfId="0" applyFont="1" applyAlignment="1">
      <alignment horizontal="left" wrapText="1"/>
    </xf>
    <xf numFmtId="0" fontId="6" fillId="0" borderId="0" xfId="0" applyFont="1" applyAlignment="1">
      <alignment horizontal="left" wrapText="1"/>
    </xf>
    <xf numFmtId="180" fontId="6" fillId="0" borderId="0" xfId="0" applyNumberFormat="1" applyFont="1"/>
    <xf numFmtId="0" fontId="47" fillId="0" borderId="0" xfId="0" applyFont="1"/>
    <xf numFmtId="0" fontId="6" fillId="0" borderId="0" xfId="0" applyFont="1" applyBorder="1"/>
    <xf numFmtId="164" fontId="6" fillId="0" borderId="0" xfId="0" applyNumberFormat="1" applyFont="1" applyBorder="1" applyAlignment="1"/>
    <xf numFmtId="165" fontId="6" fillId="0" borderId="0" xfId="0" applyNumberFormat="1" applyFont="1"/>
    <xf numFmtId="0" fontId="6" fillId="0" borderId="0" xfId="6" applyFont="1" applyBorder="1"/>
    <xf numFmtId="0" fontId="3" fillId="0" borderId="0" xfId="6" applyFont="1" applyAlignment="1">
      <alignment horizontal="right"/>
    </xf>
    <xf numFmtId="0" fontId="24" fillId="0" borderId="0" xfId="6" applyFont="1" applyAlignment="1">
      <alignment horizontal="right"/>
    </xf>
    <xf numFmtId="0" fontId="6" fillId="0" borderId="0" xfId="6" applyFont="1" applyAlignment="1">
      <alignment horizontal="right"/>
    </xf>
    <xf numFmtId="165" fontId="6" fillId="0" borderId="0" xfId="6" applyNumberFormat="1" applyFont="1" applyBorder="1"/>
    <xf numFmtId="165" fontId="6" fillId="0" borderId="0" xfId="6" applyNumberFormat="1" applyFont="1"/>
    <xf numFmtId="165" fontId="6" fillId="0" borderId="26" xfId="6" applyNumberFormat="1" applyFont="1" applyBorder="1"/>
    <xf numFmtId="0" fontId="6" fillId="0" borderId="0" xfId="6" applyFont="1"/>
    <xf numFmtId="0" fontId="3" fillId="0" borderId="0" xfId="0" quotePrefix="1" applyFont="1" applyAlignment="1">
      <alignment horizontal="right" vertical="center"/>
    </xf>
    <xf numFmtId="181" fontId="3" fillId="0" borderId="0" xfId="6" applyNumberFormat="1" applyFont="1"/>
    <xf numFmtId="0" fontId="6" fillId="0" borderId="0" xfId="0" applyFont="1" applyAlignment="1">
      <alignment horizontal="right"/>
    </xf>
    <xf numFmtId="10" fontId="6" fillId="0" borderId="0" xfId="6" applyNumberFormat="1" applyFont="1" applyAlignment="1">
      <alignment horizontal="right"/>
    </xf>
    <xf numFmtId="182" fontId="6" fillId="0" borderId="0" xfId="6" applyNumberFormat="1" applyFont="1" applyAlignment="1">
      <alignment horizontal="right"/>
    </xf>
    <xf numFmtId="0" fontId="3" fillId="0" borderId="0" xfId="0" applyFont="1" applyAlignment="1">
      <alignment horizontal="left" vertical="top" wrapText="1"/>
    </xf>
    <xf numFmtId="0" fontId="7" fillId="0" borderId="0" xfId="0" applyFont="1" applyAlignment="1">
      <alignment vertical="top"/>
    </xf>
    <xf numFmtId="0" fontId="8" fillId="0" borderId="0" xfId="0" applyFont="1" applyFill="1" applyBorder="1" applyAlignment="1">
      <alignment horizontal="left"/>
    </xf>
    <xf numFmtId="0" fontId="51" fillId="0" borderId="0" xfId="0" applyFont="1"/>
    <xf numFmtId="167" fontId="8" fillId="0" borderId="0" xfId="1" applyNumberFormat="1" applyFont="1" applyFill="1" applyBorder="1" applyAlignment="1">
      <alignment horizontal="right"/>
    </xf>
    <xf numFmtId="44" fontId="7" fillId="0" borderId="0" xfId="1" applyFont="1"/>
    <xf numFmtId="1" fontId="51" fillId="0" borderId="0" xfId="0" applyNumberFormat="1" applyFont="1"/>
    <xf numFmtId="0" fontId="8" fillId="0" borderId="0" xfId="0" applyFont="1" applyAlignment="1">
      <alignment horizontal="left"/>
    </xf>
    <xf numFmtId="167" fontId="8" fillId="0" borderId="0" xfId="1" applyNumberFormat="1" applyFont="1"/>
    <xf numFmtId="3" fontId="7" fillId="0" borderId="0" xfId="0" applyNumberFormat="1" applyFont="1"/>
    <xf numFmtId="10" fontId="7" fillId="0" borderId="0" xfId="2" applyNumberFormat="1" applyFont="1"/>
    <xf numFmtId="0" fontId="7" fillId="0" borderId="0" xfId="0" applyFont="1" applyAlignment="1">
      <alignment vertical="center"/>
    </xf>
    <xf numFmtId="3" fontId="6" fillId="0" borderId="0" xfId="0" applyNumberFormat="1" applyFont="1" applyAlignment="1">
      <alignment horizontal="left"/>
    </xf>
    <xf numFmtId="0" fontId="3" fillId="0" borderId="0" xfId="0" quotePrefix="1" applyFont="1" applyAlignment="1">
      <alignment wrapText="1"/>
    </xf>
    <xf numFmtId="0" fontId="7" fillId="0" borderId="0" xfId="0" applyFont="1" applyAlignment="1"/>
    <xf numFmtId="164" fontId="6" fillId="0" borderId="0" xfId="0" applyNumberFormat="1" applyFont="1" applyAlignment="1">
      <alignment horizontal="center"/>
    </xf>
    <xf numFmtId="181" fontId="7" fillId="0" borderId="0" xfId="1" applyNumberFormat="1" applyFont="1"/>
    <xf numFmtId="172" fontId="7" fillId="0" borderId="0" xfId="1" applyNumberFormat="1" applyFont="1" applyFill="1"/>
    <xf numFmtId="0" fontId="3" fillId="0" borderId="2" xfId="6" applyFont="1" applyFill="1" applyBorder="1" applyAlignment="1">
      <alignment horizontal="right"/>
    </xf>
    <xf numFmtId="0" fontId="6" fillId="0" borderId="3" xfId="0" applyFont="1" applyFill="1" applyBorder="1"/>
    <xf numFmtId="164" fontId="6" fillId="0" borderId="4" xfId="0" applyNumberFormat="1" applyFont="1" applyFill="1" applyBorder="1" applyAlignment="1">
      <alignment horizontal="right"/>
    </xf>
    <xf numFmtId="14" fontId="6" fillId="0" borderId="5" xfId="0" applyNumberFormat="1" applyFont="1" applyFill="1" applyBorder="1" applyAlignment="1">
      <alignment horizontal="left"/>
    </xf>
    <xf numFmtId="1" fontId="6" fillId="0" borderId="4" xfId="0" applyNumberFormat="1" applyFont="1" applyFill="1" applyBorder="1" applyAlignment="1">
      <alignment horizontal="right"/>
    </xf>
    <xf numFmtId="165" fontId="6" fillId="0" borderId="5" xfId="0" applyNumberFormat="1" applyFont="1" applyFill="1" applyBorder="1" applyAlignment="1">
      <alignment horizontal="left"/>
    </xf>
    <xf numFmtId="10" fontId="6" fillId="0" borderId="5" xfId="2" applyNumberFormat="1" applyFont="1" applyFill="1" applyBorder="1" applyAlignment="1">
      <alignment horizontal="left"/>
    </xf>
    <xf numFmtId="164" fontId="6" fillId="0" borderId="4" xfId="0" quotePrefix="1" applyNumberFormat="1" applyFont="1" applyFill="1" applyBorder="1" applyAlignment="1">
      <alignment horizontal="right"/>
    </xf>
    <xf numFmtId="1" fontId="6" fillId="0" borderId="5" xfId="0" applyNumberFormat="1" applyFont="1" applyFill="1" applyBorder="1" applyAlignment="1">
      <alignment horizontal="left"/>
    </xf>
    <xf numFmtId="171" fontId="6" fillId="0" borderId="5" xfId="2" applyNumberFormat="1" applyFont="1" applyFill="1" applyBorder="1" applyAlignment="1">
      <alignment horizontal="left"/>
    </xf>
    <xf numFmtId="0" fontId="6" fillId="0" borderId="6" xfId="6" applyFont="1" applyFill="1" applyBorder="1" applyAlignment="1">
      <alignment horizontal="right"/>
    </xf>
    <xf numFmtId="10" fontId="6" fillId="0" borderId="7" xfId="2" applyNumberFormat="1" applyFont="1" applyFill="1" applyBorder="1" applyAlignment="1">
      <alignment horizontal="left"/>
    </xf>
    <xf numFmtId="0" fontId="22" fillId="0" borderId="18" xfId="8" applyFont="1" applyFill="1" applyBorder="1"/>
    <xf numFmtId="175" fontId="22" fillId="0" borderId="19" xfId="8" applyNumberFormat="1" applyFont="1" applyFill="1" applyBorder="1"/>
    <xf numFmtId="37" fontId="22" fillId="0" borderId="19" xfId="8" applyNumberFormat="1" applyFont="1" applyFill="1" applyBorder="1"/>
    <xf numFmtId="175" fontId="22" fillId="0" borderId="20" xfId="8" applyNumberFormat="1" applyFont="1" applyFill="1" applyBorder="1"/>
    <xf numFmtId="1" fontId="6" fillId="0" borderId="0" xfId="0" applyNumberFormat="1" applyFont="1" applyFill="1" applyAlignment="1">
      <alignment horizontal="right"/>
    </xf>
    <xf numFmtId="1" fontId="24" fillId="0" borderId="0" xfId="0" applyNumberFormat="1" applyFont="1" applyFill="1" applyAlignment="1">
      <alignment horizontal="right"/>
    </xf>
    <xf numFmtId="168" fontId="7" fillId="0" borderId="0" xfId="0" applyNumberFormat="1" applyFont="1" applyFill="1"/>
    <xf numFmtId="168" fontId="8" fillId="0" borderId="0" xfId="0" applyNumberFormat="1" applyFont="1" applyFill="1"/>
    <xf numFmtId="37" fontId="7" fillId="0" borderId="0" xfId="11" applyNumberFormat="1" applyFont="1" applyFill="1" applyBorder="1" applyAlignment="1">
      <alignment vertical="top"/>
    </xf>
    <xf numFmtId="172" fontId="7" fillId="0" borderId="0" xfId="0" applyNumberFormat="1" applyFont="1" applyFill="1"/>
    <xf numFmtId="0" fontId="8" fillId="0" borderId="0" xfId="0" applyFont="1" applyFill="1" applyAlignment="1">
      <alignment horizontal="left"/>
    </xf>
    <xf numFmtId="179" fontId="29" fillId="0" borderId="0" xfId="9" applyNumberFormat="1" applyFont="1" applyFill="1"/>
    <xf numFmtId="0" fontId="3" fillId="0" borderId="2" xfId="6" applyFont="1" applyFill="1" applyBorder="1"/>
    <xf numFmtId="0" fontId="24" fillId="0" borderId="22" xfId="6" applyFont="1" applyFill="1" applyBorder="1"/>
    <xf numFmtId="0" fontId="24" fillId="0" borderId="22" xfId="6" applyFont="1" applyFill="1" applyBorder="1" applyAlignment="1">
      <alignment horizontal="right"/>
    </xf>
    <xf numFmtId="0" fontId="3" fillId="0" borderId="4" xfId="6" applyFont="1" applyFill="1" applyBorder="1" applyAlignment="1">
      <alignment horizontal="left" indent="1"/>
    </xf>
    <xf numFmtId="0" fontId="6" fillId="0" borderId="0" xfId="6" applyFont="1" applyFill="1" applyBorder="1"/>
    <xf numFmtId="8" fontId="6" fillId="0" borderId="0" xfId="6" applyNumberFormat="1" applyFont="1" applyFill="1" applyBorder="1"/>
    <xf numFmtId="10" fontId="6" fillId="0" borderId="4" xfId="6" applyNumberFormat="1" applyFont="1" applyFill="1" applyBorder="1" applyAlignment="1">
      <alignment horizontal="left" indent="2"/>
    </xf>
    <xf numFmtId="10" fontId="6" fillId="0" borderId="4" xfId="6" applyNumberFormat="1" applyFont="1" applyFill="1" applyBorder="1" applyAlignment="1">
      <alignment horizontal="left" indent="3"/>
    </xf>
    <xf numFmtId="10" fontId="3" fillId="0" borderId="4" xfId="6" applyNumberFormat="1" applyFont="1" applyFill="1" applyBorder="1" applyAlignment="1">
      <alignment horizontal="left" indent="1"/>
    </xf>
    <xf numFmtId="10" fontId="6" fillId="0" borderId="0" xfId="6" applyNumberFormat="1" applyFont="1" applyFill="1" applyBorder="1"/>
    <xf numFmtId="10" fontId="49" fillId="0" borderId="0" xfId="2" applyNumberFormat="1" applyFont="1" applyFill="1" applyBorder="1"/>
    <xf numFmtId="10" fontId="3" fillId="0" borderId="6" xfId="6" applyNumberFormat="1" applyFont="1" applyFill="1" applyBorder="1" applyAlignment="1">
      <alignment horizontal="left" indent="1"/>
    </xf>
    <xf numFmtId="10" fontId="6" fillId="0" borderId="21" xfId="2" applyNumberFormat="1" applyFont="1" applyFill="1" applyBorder="1"/>
    <xf numFmtId="0" fontId="6" fillId="0" borderId="4" xfId="6" applyFont="1" applyFill="1" applyBorder="1" applyAlignment="1">
      <alignment horizontal="right"/>
    </xf>
    <xf numFmtId="165" fontId="6" fillId="0" borderId="5" xfId="6" applyNumberFormat="1" applyFont="1" applyFill="1" applyBorder="1" applyAlignment="1">
      <alignment horizontal="left"/>
    </xf>
    <xf numFmtId="0" fontId="6" fillId="0" borderId="5" xfId="6" applyFont="1" applyFill="1" applyBorder="1" applyAlignment="1">
      <alignment horizontal="left"/>
    </xf>
    <xf numFmtId="0" fontId="27" fillId="0" borderId="23" xfId="0" applyFont="1" applyFill="1" applyBorder="1"/>
    <xf numFmtId="0" fontId="27" fillId="0" borderId="23" xfId="0" applyFont="1" applyFill="1" applyBorder="1" applyAlignment="1">
      <alignment horizontal="center"/>
    </xf>
    <xf numFmtId="178" fontId="30" fillId="0" borderId="0" xfId="0" applyNumberFormat="1" applyFont="1" applyFill="1" applyAlignment="1">
      <alignment horizontal="left" indent="1"/>
    </xf>
    <xf numFmtId="172" fontId="0" fillId="0" borderId="0" xfId="0" applyNumberFormat="1" applyFill="1" applyAlignment="1">
      <alignment horizontal="center"/>
    </xf>
    <xf numFmtId="0" fontId="10" fillId="0" borderId="0" xfId="0" applyFont="1" applyFill="1" applyBorder="1" applyAlignment="1">
      <alignment horizontal="left" wrapText="1" readingOrder="1"/>
    </xf>
    <xf numFmtId="0" fontId="13" fillId="0" borderId="8" xfId="0" applyFont="1" applyFill="1" applyBorder="1" applyAlignment="1">
      <alignment horizontal="center" wrapText="1" readingOrder="1"/>
    </xf>
    <xf numFmtId="0" fontId="12" fillId="0" borderId="24" xfId="0" applyFont="1" applyFill="1" applyBorder="1" applyAlignment="1">
      <alignment horizontal="center" wrapText="1" readingOrder="1"/>
    </xf>
    <xf numFmtId="0" fontId="8" fillId="0" borderId="18" xfId="8" applyFont="1" applyFill="1" applyBorder="1"/>
    <xf numFmtId="175" fontId="8" fillId="0" borderId="19" xfId="8" applyNumberFormat="1" applyFont="1" applyFill="1" applyBorder="1" applyAlignment="1">
      <alignment horizontal="right"/>
    </xf>
    <xf numFmtId="175" fontId="8" fillId="0" borderId="20" xfId="8" applyNumberFormat="1" applyFont="1" applyFill="1" applyBorder="1" applyAlignment="1">
      <alignment horizontal="right"/>
    </xf>
    <xf numFmtId="0" fontId="7" fillId="0" borderId="0" xfId="0" applyFont="1" applyFill="1" applyAlignment="1">
      <alignment horizontal="left" indent="1"/>
    </xf>
    <xf numFmtId="185" fontId="7" fillId="0" borderId="0" xfId="1" applyNumberFormat="1" applyFont="1"/>
    <xf numFmtId="184" fontId="7" fillId="0" borderId="0" xfId="0" applyNumberFormat="1" applyFont="1"/>
    <xf numFmtId="167" fontId="7" fillId="0" borderId="0" xfId="0" applyNumberFormat="1" applyFont="1"/>
    <xf numFmtId="44" fontId="8" fillId="0" borderId="0" xfId="0" applyNumberFormat="1" applyFont="1"/>
    <xf numFmtId="44" fontId="20" fillId="0" borderId="0" xfId="0" applyNumberFormat="1" applyFont="1"/>
    <xf numFmtId="167" fontId="8" fillId="0" borderId="0" xfId="0" applyNumberFormat="1" applyFont="1"/>
    <xf numFmtId="0" fontId="8" fillId="0" borderId="18" xfId="0" applyFont="1" applyBorder="1"/>
    <xf numFmtId="0" fontId="8" fillId="0" borderId="19" xfId="0" applyFont="1" applyBorder="1"/>
    <xf numFmtId="181" fontId="8" fillId="0" borderId="19" xfId="1" applyNumberFormat="1" applyFont="1" applyBorder="1"/>
    <xf numFmtId="181" fontId="8" fillId="0" borderId="20" xfId="1" applyNumberFormat="1" applyFont="1" applyBorder="1"/>
    <xf numFmtId="0" fontId="8" fillId="0" borderId="18" xfId="0" applyFont="1" applyBorder="1" applyAlignment="1">
      <alignment horizontal="left" indent="1"/>
    </xf>
    <xf numFmtId="181" fontId="8" fillId="0" borderId="19" xfId="1" applyNumberFormat="1" applyFont="1" applyFill="1" applyBorder="1" applyAlignment="1">
      <alignment horizontal="right"/>
    </xf>
    <xf numFmtId="181" fontId="8" fillId="0" borderId="20" xfId="1" applyNumberFormat="1" applyFont="1" applyFill="1" applyBorder="1" applyAlignment="1">
      <alignment horizontal="right"/>
    </xf>
    <xf numFmtId="0" fontId="7" fillId="0" borderId="1" xfId="0" applyFont="1" applyBorder="1" applyAlignment="1">
      <alignment horizontal="left"/>
    </xf>
    <xf numFmtId="168" fontId="11" fillId="0" borderId="0" xfId="0" applyNumberFormat="1" applyFont="1" applyAlignment="1">
      <alignment horizontal="right" wrapText="1" readingOrder="1"/>
    </xf>
    <xf numFmtId="168" fontId="12" fillId="0" borderId="0" xfId="0" applyNumberFormat="1" applyFont="1" applyAlignment="1">
      <alignment horizontal="right" wrapText="1" readingOrder="1"/>
    </xf>
    <xf numFmtId="10" fontId="11" fillId="0" borderId="0" xfId="0" applyNumberFormat="1" applyFont="1" applyAlignment="1">
      <alignment horizontal="right" wrapText="1" readingOrder="1"/>
    </xf>
    <xf numFmtId="10" fontId="12" fillId="0" borderId="0" xfId="0" applyNumberFormat="1" applyFont="1" applyAlignment="1">
      <alignment horizontal="right" wrapText="1" readingOrder="1"/>
    </xf>
    <xf numFmtId="0" fontId="11" fillId="0" borderId="0" xfId="0" applyFont="1" applyAlignment="1">
      <alignment horizontal="right" wrapText="1" readingOrder="1"/>
    </xf>
    <xf numFmtId="0" fontId="12" fillId="0" borderId="0" xfId="0" applyFont="1" applyAlignment="1">
      <alignment horizontal="right" wrapText="1" readingOrder="1"/>
    </xf>
    <xf numFmtId="169" fontId="11" fillId="0" borderId="0" xfId="0" applyNumberFormat="1" applyFont="1" applyAlignment="1">
      <alignment horizontal="right" wrapText="1" readingOrder="1"/>
    </xf>
    <xf numFmtId="169" fontId="12" fillId="0" borderId="0" xfId="0" applyNumberFormat="1" applyFont="1" applyAlignment="1">
      <alignment horizontal="right" wrapText="1" readingOrder="1"/>
    </xf>
    <xf numFmtId="17" fontId="11" fillId="0" borderId="1" xfId="0" applyNumberFormat="1" applyFont="1" applyBorder="1" applyAlignment="1">
      <alignment horizontal="right" wrapText="1" readingOrder="1"/>
    </xf>
    <xf numFmtId="0" fontId="9" fillId="2" borderId="0" xfId="0" applyFont="1" applyFill="1" applyAlignment="1">
      <alignment horizontal="left" wrapText="1" readingOrder="1"/>
    </xf>
    <xf numFmtId="0" fontId="9" fillId="2" borderId="0" xfId="0" applyFont="1" applyFill="1" applyAlignment="1">
      <alignment horizontal="center" wrapText="1" readingOrder="1"/>
    </xf>
    <xf numFmtId="170" fontId="11" fillId="0" borderId="14" xfId="7" applyNumberFormat="1" applyFont="1" applyBorder="1" applyAlignment="1">
      <alignment horizontal="right" wrapText="1"/>
    </xf>
    <xf numFmtId="170" fontId="11" fillId="0" borderId="15" xfId="7" applyNumberFormat="1" applyFont="1" applyBorder="1" applyAlignment="1">
      <alignment horizontal="right" wrapText="1"/>
    </xf>
    <xf numFmtId="170" fontId="11" fillId="0" borderId="0" xfId="7" applyNumberFormat="1" applyFont="1" applyAlignment="1">
      <alignment horizontal="right" wrapText="1"/>
    </xf>
    <xf numFmtId="170" fontId="11" fillId="0" borderId="17" xfId="7" applyNumberFormat="1" applyFont="1" applyBorder="1" applyAlignment="1">
      <alignment horizontal="right" wrapText="1"/>
    </xf>
    <xf numFmtId="170" fontId="11" fillId="0" borderId="13" xfId="7" applyNumberFormat="1" applyFont="1" applyBorder="1" applyAlignment="1">
      <alignment horizontal="right" wrapText="1"/>
    </xf>
    <xf numFmtId="3" fontId="11" fillId="0" borderId="16" xfId="7" applyNumberFormat="1" applyFont="1" applyBorder="1" applyAlignment="1">
      <alignment horizontal="right" wrapText="1" readingOrder="1"/>
    </xf>
    <xf numFmtId="3" fontId="11" fillId="0" borderId="0" xfId="7" applyNumberFormat="1" applyFont="1" applyAlignment="1">
      <alignment horizontal="right" wrapText="1" readingOrder="1"/>
    </xf>
    <xf numFmtId="3" fontId="11" fillId="0" borderId="17" xfId="7" applyNumberFormat="1" applyFont="1" applyBorder="1" applyAlignment="1">
      <alignment horizontal="right" wrapText="1" readingOrder="1"/>
    </xf>
    <xf numFmtId="186" fontId="0" fillId="0" borderId="0" xfId="0" applyNumberFormat="1"/>
    <xf numFmtId="167" fontId="8" fillId="0" borderId="0" xfId="1" applyNumberFormat="1" applyFont="1" applyFill="1"/>
    <xf numFmtId="172" fontId="8" fillId="0" borderId="0" xfId="1" applyNumberFormat="1" applyFont="1" applyFill="1"/>
    <xf numFmtId="178" fontId="30" fillId="3" borderId="0" xfId="0" applyNumberFormat="1" applyFont="1" applyFill="1" applyAlignment="1">
      <alignment horizontal="left" indent="1"/>
    </xf>
    <xf numFmtId="172" fontId="0" fillId="3" borderId="0" xfId="0" applyNumberFormat="1" applyFill="1" applyAlignment="1">
      <alignment horizontal="center"/>
    </xf>
    <xf numFmtId="178" fontId="37" fillId="3" borderId="0" xfId="0" applyNumberFormat="1" applyFont="1" applyFill="1" applyAlignment="1">
      <alignment horizontal="left" indent="1"/>
    </xf>
    <xf numFmtId="172" fontId="38" fillId="3" borderId="0" xfId="1" applyNumberFormat="1" applyFont="1" applyFill="1" applyAlignment="1">
      <alignment horizontal="center"/>
    </xf>
    <xf numFmtId="3" fontId="11" fillId="0" borderId="27" xfId="7" applyNumberFormat="1" applyFont="1" applyBorder="1" applyAlignment="1">
      <alignment horizontal="right" wrapText="1" readingOrder="1"/>
    </xf>
    <xf numFmtId="3" fontId="11" fillId="0" borderId="1" xfId="7" applyNumberFormat="1" applyFont="1" applyBorder="1" applyAlignment="1">
      <alignment horizontal="right" wrapText="1" readingOrder="1"/>
    </xf>
    <xf numFmtId="3" fontId="11" fillId="0" borderId="28" xfId="7" applyNumberFormat="1" applyFont="1" applyBorder="1" applyAlignment="1">
      <alignment horizontal="right" wrapText="1" readingOrder="1"/>
    </xf>
    <xf numFmtId="170" fontId="11" fillId="0" borderId="1" xfId="7" applyNumberFormat="1" applyFont="1" applyBorder="1" applyAlignment="1">
      <alignment horizontal="right" wrapText="1"/>
    </xf>
    <xf numFmtId="0" fontId="3" fillId="0" borderId="0" xfId="0" applyFont="1" applyAlignment="1">
      <alignment horizontal="center"/>
    </xf>
    <xf numFmtId="0" fontId="6" fillId="0" borderId="0" xfId="0" applyFont="1" applyAlignment="1">
      <alignment horizontal="center"/>
    </xf>
    <xf numFmtId="0" fontId="7" fillId="0" borderId="0" xfId="0" applyFont="1" applyAlignment="1">
      <alignment horizontal="left" vertical="top" wrapText="1"/>
    </xf>
    <xf numFmtId="0" fontId="3" fillId="0" borderId="0" xfId="0" applyFont="1" applyFill="1" applyAlignment="1">
      <alignment horizontal="center"/>
    </xf>
    <xf numFmtId="0" fontId="6" fillId="0" borderId="0" xfId="0" applyFont="1" applyFill="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164" fontId="6" fillId="0" borderId="4" xfId="0" applyNumberFormat="1" applyFont="1" applyBorder="1" applyAlignment="1">
      <alignment horizontal="center"/>
    </xf>
    <xf numFmtId="164" fontId="6" fillId="0" borderId="0" xfId="0" applyNumberFormat="1" applyFont="1" applyBorder="1" applyAlignment="1">
      <alignment horizontal="center"/>
    </xf>
    <xf numFmtId="0" fontId="3" fillId="0" borderId="0" xfId="0" applyFont="1" applyAlignment="1">
      <alignment horizontal="left" wrapText="1"/>
    </xf>
    <xf numFmtId="0" fontId="6" fillId="0" borderId="0" xfId="0" applyFont="1" applyAlignment="1">
      <alignment horizontal="left" wrapText="1"/>
    </xf>
    <xf numFmtId="0" fontId="47" fillId="0" borderId="0" xfId="0" applyFont="1" applyAlignment="1">
      <alignment horizontal="left" wrapText="1"/>
    </xf>
    <xf numFmtId="0" fontId="3" fillId="0" borderId="0" xfId="0" applyFont="1" applyAlignment="1">
      <alignment horizontal="left" vertical="top" wrapText="1"/>
    </xf>
    <xf numFmtId="164" fontId="6" fillId="0" borderId="0" xfId="0" applyNumberFormat="1" applyFont="1" applyAlignment="1">
      <alignment horizontal="center"/>
    </xf>
    <xf numFmtId="0" fontId="12" fillId="0" borderId="9" xfId="0" applyFont="1" applyFill="1" applyBorder="1" applyAlignment="1">
      <alignment horizontal="center" wrapText="1" readingOrder="1"/>
    </xf>
    <xf numFmtId="0" fontId="12" fillId="0" borderId="10" xfId="0" applyFont="1" applyFill="1" applyBorder="1" applyAlignment="1">
      <alignment horizontal="center" wrapText="1" readingOrder="1"/>
    </xf>
    <xf numFmtId="0" fontId="12" fillId="0" borderId="11" xfId="0" applyFont="1" applyFill="1" applyBorder="1" applyAlignment="1">
      <alignment horizontal="center" wrapText="1" readingOrder="1"/>
    </xf>
  </cellXfs>
  <cellStyles count="18">
    <cellStyle name="Comma" xfId="7" builtinId="3"/>
    <cellStyle name="Comma [0] 2" xfId="5" xr:uid="{00000000-0005-0000-0000-000001000000}"/>
    <cellStyle name="Comma 10 6" xfId="17" xr:uid="{00000000-0005-0000-0000-000002000000}"/>
    <cellStyle name="Currency" xfId="1" builtinId="4"/>
    <cellStyle name="Currency 2" xfId="15" xr:uid="{00000000-0005-0000-0000-000004000000}"/>
    <cellStyle name="Normal" xfId="0" builtinId="0"/>
    <cellStyle name="Normal 10 2" xfId="16" xr:uid="{00000000-0005-0000-0000-000006000000}"/>
    <cellStyle name="Normal 10 3 6" xfId="14" xr:uid="{00000000-0005-0000-0000-000007000000}"/>
    <cellStyle name="Normal 2" xfId="8" xr:uid="{00000000-0005-0000-0000-000008000000}"/>
    <cellStyle name="Normal 2 2" xfId="3" xr:uid="{00000000-0005-0000-0000-000009000000}"/>
    <cellStyle name="Normal 2 2 2" xfId="11" xr:uid="{00000000-0005-0000-0000-00000A000000}"/>
    <cellStyle name="Normal 2 3" xfId="13" xr:uid="{00000000-0005-0000-0000-00000B000000}"/>
    <cellStyle name="Normal 3" xfId="12" xr:uid="{00000000-0005-0000-0000-00000C000000}"/>
    <cellStyle name="Normal 6" xfId="10" xr:uid="{00000000-0005-0000-0000-00000D000000}"/>
    <cellStyle name="Normal 7" xfId="4" xr:uid="{00000000-0005-0000-0000-00000E000000}"/>
    <cellStyle name="Normal 7 2" xfId="9" xr:uid="{00000000-0005-0000-0000-00000F000000}"/>
    <cellStyle name="Normal_SettlementRegAssetAnnualRevReq-DR_GASBARBq" xfId="6" xr:uid="{00000000-0005-0000-0000-000010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2</xdr:row>
      <xdr:rowOff>123825</xdr:rowOff>
    </xdr:from>
    <xdr:to>
      <xdr:col>3</xdr:col>
      <xdr:colOff>479425</xdr:colOff>
      <xdr:row>6</xdr:row>
      <xdr:rowOff>73025</xdr:rowOff>
    </xdr:to>
    <xdr:pic>
      <xdr:nvPicPr>
        <xdr:cNvPr id="2" name="Picture 8">
          <a:extLst>
            <a:ext uri="{FF2B5EF4-FFF2-40B4-BE49-F238E27FC236}">
              <a16:creationId xmlns:a16="http://schemas.microsoft.com/office/drawing/2014/main" id="{6391DD26-EC4F-41C6-9A9F-03DB7989D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790575"/>
          <a:ext cx="2225675"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ge.sharepoint.com/sites/RestructuringCommittee/Shared%20Documents/Chapter%2011%20Strategy/Policy%20&amp;%20Regulatory/Securitization/As%20Filed/Testimony/Ch7_CustomerBenefitTables_4.1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7-1"/>
      <sheetName val="Table 7-2"/>
      <sheetName val="Table 7-3"/>
      <sheetName val="Fin. App"/>
      <sheetName val="Pricing"/>
      <sheetName val="Estimated Fees"/>
      <sheetName val="Print 3-1"/>
      <sheetName val="Print 7-1"/>
      <sheetName val="Print 7-2"/>
      <sheetName val="Print 7-3"/>
    </sheetNames>
    <sheetDataSet>
      <sheetData sheetId="0">
        <row r="33">
          <cell r="D33">
            <v>2021</v>
          </cell>
          <cell r="E33">
            <v>2022</v>
          </cell>
          <cell r="F33">
            <v>2023</v>
          </cell>
          <cell r="G33">
            <v>2024</v>
          </cell>
          <cell r="H33">
            <v>2025</v>
          </cell>
          <cell r="I33">
            <v>2026</v>
          </cell>
          <cell r="J33">
            <v>2027</v>
          </cell>
          <cell r="K33">
            <v>2028</v>
          </cell>
          <cell r="L33">
            <v>2029</v>
          </cell>
          <cell r="M33">
            <v>2030</v>
          </cell>
          <cell r="N33">
            <v>2031</v>
          </cell>
          <cell r="O33">
            <v>2032</v>
          </cell>
          <cell r="P33">
            <v>2033</v>
          </cell>
          <cell r="Q33">
            <v>2034</v>
          </cell>
          <cell r="R33">
            <v>2035</v>
          </cell>
          <cell r="S33">
            <v>2036</v>
          </cell>
          <cell r="T33">
            <v>2037</v>
          </cell>
          <cell r="U33">
            <v>2038</v>
          </cell>
          <cell r="V33">
            <v>2039</v>
          </cell>
          <cell r="W33">
            <v>2040</v>
          </cell>
          <cell r="X33">
            <v>2041</v>
          </cell>
          <cell r="Y33">
            <v>2042</v>
          </cell>
          <cell r="Z33">
            <v>2043</v>
          </cell>
          <cell r="AA33">
            <v>2044</v>
          </cell>
          <cell r="AB33">
            <v>2045</v>
          </cell>
          <cell r="AC33">
            <v>2046</v>
          </cell>
          <cell r="AD33">
            <v>2047</v>
          </cell>
          <cell r="AE33">
            <v>2048</v>
          </cell>
          <cell r="AF33">
            <v>2049</v>
          </cell>
          <cell r="AG33">
            <v>2050</v>
          </cell>
        </row>
        <row r="34">
          <cell r="S34">
            <v>88.848749999999995</v>
          </cell>
          <cell r="T34">
            <v>82.721249999999998</v>
          </cell>
          <cell r="U34">
            <v>76.59375</v>
          </cell>
          <cell r="V34">
            <v>70.466250000000002</v>
          </cell>
          <cell r="W34">
            <v>64.338750000000005</v>
          </cell>
          <cell r="X34">
            <v>58.21125</v>
          </cell>
          <cell r="Y34">
            <v>52.083750000000002</v>
          </cell>
          <cell r="Z34">
            <v>45.956250000000004</v>
          </cell>
          <cell r="AA34">
            <v>39.828749999999999</v>
          </cell>
          <cell r="AB34">
            <v>33.701250000000002</v>
          </cell>
          <cell r="AC34">
            <v>27.57375</v>
          </cell>
          <cell r="AD34">
            <v>21.446249999999999</v>
          </cell>
          <cell r="AE34">
            <v>15.31875</v>
          </cell>
          <cell r="AF34">
            <v>9.1912500000000001</v>
          </cell>
          <cell r="AG34">
            <v>3.0637500000000002</v>
          </cell>
        </row>
        <row r="35">
          <cell r="S35">
            <v>1.0004999999999999</v>
          </cell>
          <cell r="T35">
            <v>0.93149999999999999</v>
          </cell>
          <cell r="U35">
            <v>0.86249999999999993</v>
          </cell>
          <cell r="V35">
            <v>0.79349999999999998</v>
          </cell>
          <cell r="W35">
            <v>0.72449999999999992</v>
          </cell>
          <cell r="X35">
            <v>0.65549999999999997</v>
          </cell>
          <cell r="Y35">
            <v>0.58650000000000002</v>
          </cell>
          <cell r="Z35">
            <v>0.51749999999999996</v>
          </cell>
          <cell r="AA35">
            <v>0.44849999999999995</v>
          </cell>
          <cell r="AB35">
            <v>0.3795</v>
          </cell>
          <cell r="AC35">
            <v>0.3105</v>
          </cell>
          <cell r="AD35">
            <v>0.24149999999999999</v>
          </cell>
          <cell r="AE35">
            <v>0.17249999999999999</v>
          </cell>
          <cell r="AF35">
            <v>0.10349999999999999</v>
          </cell>
          <cell r="AG35">
            <v>3.4499999999999996E-2</v>
          </cell>
        </row>
        <row r="36">
          <cell r="S36">
            <v>193.21250000000001</v>
          </cell>
          <cell r="T36">
            <v>179.88749999999999</v>
          </cell>
          <cell r="U36">
            <v>166.5625</v>
          </cell>
          <cell r="V36">
            <v>153.23750000000001</v>
          </cell>
          <cell r="W36">
            <v>139.91249999999999</v>
          </cell>
          <cell r="X36">
            <v>126.58750000000001</v>
          </cell>
          <cell r="Y36">
            <v>113.2625</v>
          </cell>
          <cell r="Z36">
            <v>99.9375</v>
          </cell>
          <cell r="AA36">
            <v>86.612499999999997</v>
          </cell>
          <cell r="AB36">
            <v>73.287499999999994</v>
          </cell>
          <cell r="AC36">
            <v>59.962499999999999</v>
          </cell>
          <cell r="AD36">
            <v>46.637500000000003</v>
          </cell>
          <cell r="AE36">
            <v>33.3125</v>
          </cell>
          <cell r="AF36">
            <v>19.987500000000001</v>
          </cell>
          <cell r="AG36">
            <v>6.6624999999999996</v>
          </cell>
        </row>
        <row r="37">
          <cell r="S37">
            <v>75.452370730352669</v>
          </cell>
          <cell r="T37">
            <v>70.248758955845602</v>
          </cell>
          <cell r="U37">
            <v>65.045147181338535</v>
          </cell>
          <cell r="V37">
            <v>59.84153540683144</v>
          </cell>
          <cell r="W37">
            <v>54.637923632324373</v>
          </cell>
          <cell r="X37">
            <v>49.434311857817292</v>
          </cell>
          <cell r="Y37">
            <v>44.230700083310197</v>
          </cell>
          <cell r="Z37">
            <v>39.02708830880313</v>
          </cell>
          <cell r="AA37">
            <v>33.823476534296034</v>
          </cell>
          <cell r="AB37">
            <v>28.619864759788953</v>
          </cell>
          <cell r="AC37">
            <v>23.416252985281872</v>
          </cell>
          <cell r="AD37">
            <v>18.212641210774791</v>
          </cell>
          <cell r="AE37">
            <v>13.009029436267703</v>
          </cell>
          <cell r="AF37">
            <v>7.8054176617606252</v>
          </cell>
          <cell r="AG37">
            <v>2.6018058872535414</v>
          </cell>
        </row>
        <row r="38">
          <cell r="S38">
            <v>358.51412073035272</v>
          </cell>
          <cell r="T38">
            <v>333.78900895584559</v>
          </cell>
          <cell r="U38">
            <v>309.06389718133858</v>
          </cell>
          <cell r="V38">
            <v>284.33878540683145</v>
          </cell>
          <cell r="W38">
            <v>259.61367363232438</v>
          </cell>
          <cell r="X38">
            <v>234.88856185781731</v>
          </cell>
          <cell r="Y38">
            <v>210.16345008331018</v>
          </cell>
          <cell r="Z38">
            <v>185.43833830880311</v>
          </cell>
          <cell r="AA38">
            <v>160.71322653429604</v>
          </cell>
          <cell r="AB38">
            <v>135.98811475978894</v>
          </cell>
          <cell r="AC38">
            <v>111.26300298528187</v>
          </cell>
          <cell r="AD38">
            <v>86.537891210774788</v>
          </cell>
          <cell r="AE38">
            <v>61.812779436267704</v>
          </cell>
          <cell r="AF38">
            <v>37.087667661760626</v>
          </cell>
          <cell r="AG38">
            <v>12.362555887253542</v>
          </cell>
        </row>
        <row r="39">
          <cell r="S39">
            <v>250</v>
          </cell>
          <cell r="T39">
            <v>250</v>
          </cell>
          <cell r="U39">
            <v>250</v>
          </cell>
          <cell r="V39">
            <v>250</v>
          </cell>
          <cell r="W39">
            <v>250</v>
          </cell>
          <cell r="X39">
            <v>250</v>
          </cell>
          <cell r="Y39">
            <v>250</v>
          </cell>
          <cell r="Z39">
            <v>250</v>
          </cell>
          <cell r="AA39">
            <v>250</v>
          </cell>
          <cell r="AB39">
            <v>250</v>
          </cell>
          <cell r="AC39">
            <v>250</v>
          </cell>
          <cell r="AD39">
            <v>250</v>
          </cell>
          <cell r="AE39">
            <v>250</v>
          </cell>
          <cell r="AF39">
            <v>250</v>
          </cell>
          <cell r="AG39">
            <v>250</v>
          </cell>
        </row>
        <row r="40">
          <cell r="S40">
            <v>608.51412073035272</v>
          </cell>
          <cell r="T40">
            <v>583.78900895584559</v>
          </cell>
          <cell r="U40">
            <v>559.06389718133858</v>
          </cell>
          <cell r="V40">
            <v>534.33878540683145</v>
          </cell>
          <cell r="W40">
            <v>509.61367363232438</v>
          </cell>
          <cell r="X40">
            <v>484.88856185781731</v>
          </cell>
          <cell r="Y40">
            <v>460.16345008331018</v>
          </cell>
          <cell r="Z40">
            <v>435.43833830880311</v>
          </cell>
          <cell r="AA40">
            <v>410.71322653429604</v>
          </cell>
          <cell r="AB40">
            <v>385.98811475978891</v>
          </cell>
          <cell r="AC40">
            <v>361.2630029852819</v>
          </cell>
          <cell r="AD40">
            <v>336.53789121077477</v>
          </cell>
          <cell r="AE40">
            <v>311.8127794362677</v>
          </cell>
          <cell r="AF40">
            <v>287.08766766176063</v>
          </cell>
          <cell r="AG40">
            <v>262.36255588725356</v>
          </cell>
        </row>
        <row r="41">
          <cell r="S41">
            <v>2.0080965984101637</v>
          </cell>
          <cell r="T41">
            <v>1.9265037295542904</v>
          </cell>
          <cell r="U41">
            <v>1.8449108606984173</v>
          </cell>
          <cell r="V41">
            <v>1.7633179918425437</v>
          </cell>
          <cell r="W41">
            <v>1.6817251229866705</v>
          </cell>
          <cell r="X41">
            <v>1.6001322541307972</v>
          </cell>
          <cell r="Y41">
            <v>1.5185393852749236</v>
          </cell>
          <cell r="Z41">
            <v>1.4369465164190502</v>
          </cell>
          <cell r="AA41">
            <v>1.3553536475631769</v>
          </cell>
          <cell r="AB41">
            <v>1.2737607787073033</v>
          </cell>
          <cell r="AC41">
            <v>1.1921679098514302</v>
          </cell>
          <cell r="AD41">
            <v>1.1105750409955568</v>
          </cell>
          <cell r="AE41">
            <v>1.0289821721396835</v>
          </cell>
          <cell r="AF41">
            <v>0.9473893032838101</v>
          </cell>
          <cell r="AG41">
            <v>0.86579643442793675</v>
          </cell>
        </row>
        <row r="42">
          <cell r="S42">
            <v>610.52221732876285</v>
          </cell>
          <cell r="T42">
            <v>585.71551268539986</v>
          </cell>
          <cell r="U42">
            <v>560.90880804203698</v>
          </cell>
          <cell r="V42">
            <v>536.10210339867399</v>
          </cell>
          <cell r="W42">
            <v>511.29539875531106</v>
          </cell>
          <cell r="X42">
            <v>486.48869411194812</v>
          </cell>
          <cell r="Y42">
            <v>461.68198946858513</v>
          </cell>
          <cell r="Z42">
            <v>436.87528482522214</v>
          </cell>
          <cell r="AA42">
            <v>412.0685801818592</v>
          </cell>
          <cell r="AB42">
            <v>387.26187553849621</v>
          </cell>
          <cell r="AC42">
            <v>362.45517089513334</v>
          </cell>
          <cell r="AD42">
            <v>337.64846625177034</v>
          </cell>
          <cell r="AE42">
            <v>312.84176160840741</v>
          </cell>
          <cell r="AF42">
            <v>288.03505696504442</v>
          </cell>
          <cell r="AG42">
            <v>263.22835232168148</v>
          </cell>
        </row>
        <row r="45">
          <cell r="S45">
            <v>3750</v>
          </cell>
          <cell r="T45">
            <v>3500</v>
          </cell>
          <cell r="U45">
            <v>3250</v>
          </cell>
          <cell r="V45">
            <v>3000</v>
          </cell>
          <cell r="W45">
            <v>2750</v>
          </cell>
          <cell r="X45">
            <v>2500</v>
          </cell>
          <cell r="Y45">
            <v>2250</v>
          </cell>
          <cell r="Z45">
            <v>2000</v>
          </cell>
          <cell r="AA45">
            <v>1750</v>
          </cell>
          <cell r="AB45">
            <v>1500</v>
          </cell>
          <cell r="AC45">
            <v>1250</v>
          </cell>
          <cell r="AD45">
            <v>1000</v>
          </cell>
          <cell r="AE45">
            <v>750</v>
          </cell>
          <cell r="AF45">
            <v>500</v>
          </cell>
          <cell r="AG45">
            <v>250</v>
          </cell>
        </row>
        <row r="46">
          <cell r="S46">
            <v>-250</v>
          </cell>
          <cell r="T46">
            <v>-250</v>
          </cell>
          <cell r="U46">
            <v>-250</v>
          </cell>
          <cell r="V46">
            <v>-250</v>
          </cell>
          <cell r="W46">
            <v>-250</v>
          </cell>
          <cell r="X46">
            <v>-250</v>
          </cell>
          <cell r="Y46">
            <v>-250</v>
          </cell>
          <cell r="Z46">
            <v>-250</v>
          </cell>
          <cell r="AA46">
            <v>-250</v>
          </cell>
          <cell r="AB46">
            <v>-250</v>
          </cell>
          <cell r="AC46">
            <v>-250</v>
          </cell>
          <cell r="AD46">
            <v>-250</v>
          </cell>
          <cell r="AE46">
            <v>-250</v>
          </cell>
          <cell r="AF46">
            <v>-250</v>
          </cell>
          <cell r="AG46">
            <v>-250</v>
          </cell>
        </row>
        <row r="47">
          <cell r="S47">
            <v>3500</v>
          </cell>
          <cell r="T47">
            <v>3250</v>
          </cell>
          <cell r="U47">
            <v>3000</v>
          </cell>
          <cell r="V47">
            <v>2750</v>
          </cell>
          <cell r="W47">
            <v>2500</v>
          </cell>
          <cell r="X47">
            <v>2250</v>
          </cell>
          <cell r="Y47">
            <v>2000</v>
          </cell>
          <cell r="Z47">
            <v>1750</v>
          </cell>
          <cell r="AA47">
            <v>1500</v>
          </cell>
          <cell r="AB47">
            <v>1250</v>
          </cell>
          <cell r="AC47">
            <v>1000</v>
          </cell>
          <cell r="AD47">
            <v>750</v>
          </cell>
          <cell r="AE47">
            <v>500</v>
          </cell>
          <cell r="AF47">
            <v>250</v>
          </cell>
          <cell r="AG47">
            <v>0</v>
          </cell>
        </row>
      </sheetData>
      <sheetData sheetId="1"/>
      <sheetData sheetId="2"/>
      <sheetData sheetId="3"/>
      <sheetData sheetId="4">
        <row r="2">
          <cell r="G2">
            <v>7500000000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H29"/>
  <sheetViews>
    <sheetView showGridLines="0" zoomScale="80" zoomScaleNormal="80" workbookViewId="0">
      <selection activeCell="E41" sqref="E41"/>
    </sheetView>
  </sheetViews>
  <sheetFormatPr defaultColWidth="8.85546875" defaultRowHeight="15" x14ac:dyDescent="0.25"/>
  <cols>
    <col min="1" max="1" width="3.42578125" customWidth="1"/>
    <col min="2" max="2" width="32"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6"/>
      <c r="B2" s="212" t="s">
        <v>0</v>
      </c>
      <c r="C2" s="213"/>
      <c r="D2" s="42"/>
      <c r="E2" s="307" t="s">
        <v>106</v>
      </c>
      <c r="F2" s="307"/>
      <c r="G2" s="307"/>
      <c r="H2" s="307"/>
      <c r="I2" s="307"/>
      <c r="J2" s="307"/>
      <c r="K2" s="307"/>
      <c r="L2" s="307"/>
      <c r="M2" s="307"/>
      <c r="N2" s="307"/>
      <c r="O2" s="307"/>
      <c r="P2" s="307"/>
      <c r="Q2" s="307"/>
      <c r="R2" s="5"/>
      <c r="S2" s="93"/>
      <c r="T2" s="42"/>
      <c r="U2" s="42"/>
      <c r="V2" s="42"/>
      <c r="W2" s="42"/>
      <c r="X2" s="42"/>
      <c r="Y2" s="42"/>
      <c r="Z2" s="42"/>
      <c r="AA2" s="42"/>
      <c r="AB2" s="42"/>
      <c r="AC2" s="42"/>
      <c r="AD2" s="42"/>
      <c r="AE2" s="42"/>
      <c r="AF2" s="42"/>
      <c r="AG2" s="42"/>
      <c r="AH2" s="42"/>
    </row>
    <row r="3" spans="1:34" x14ac:dyDescent="0.25">
      <c r="A3" s="5"/>
      <c r="B3" s="214" t="s">
        <v>1</v>
      </c>
      <c r="C3" s="215">
        <v>44287</v>
      </c>
      <c r="D3" s="42"/>
      <c r="E3" s="307" t="s">
        <v>107</v>
      </c>
      <c r="F3" s="307"/>
      <c r="G3" s="307"/>
      <c r="H3" s="307"/>
      <c r="I3" s="307"/>
      <c r="J3" s="307"/>
      <c r="K3" s="307"/>
      <c r="L3" s="307"/>
      <c r="M3" s="307"/>
      <c r="N3" s="307"/>
      <c r="O3" s="307"/>
      <c r="P3" s="307"/>
      <c r="Q3" s="307"/>
      <c r="R3" s="5"/>
      <c r="S3" s="42"/>
      <c r="T3" s="42"/>
      <c r="U3" s="42"/>
      <c r="V3" s="42"/>
      <c r="W3" s="42"/>
      <c r="X3" s="42"/>
      <c r="Y3" s="42"/>
      <c r="Z3" s="42"/>
      <c r="AA3" s="42"/>
      <c r="AB3" s="42"/>
      <c r="AC3" s="42"/>
      <c r="AD3" s="42"/>
      <c r="AE3" s="42"/>
      <c r="AF3" s="42"/>
      <c r="AG3" s="42"/>
      <c r="AH3" s="42"/>
    </row>
    <row r="4" spans="1:34" x14ac:dyDescent="0.25">
      <c r="A4" s="5"/>
      <c r="B4" s="216" t="s">
        <v>2</v>
      </c>
      <c r="C4" s="217">
        <v>7500</v>
      </c>
      <c r="D4" s="43"/>
      <c r="E4" s="308" t="s">
        <v>5</v>
      </c>
      <c r="F4" s="308"/>
      <c r="G4" s="308"/>
      <c r="H4" s="308"/>
      <c r="I4" s="308"/>
      <c r="J4" s="308"/>
      <c r="K4" s="308"/>
      <c r="L4" s="308"/>
      <c r="M4" s="308"/>
      <c r="N4" s="308"/>
      <c r="O4" s="308"/>
      <c r="P4" s="308"/>
      <c r="Q4" s="308"/>
      <c r="R4" s="5"/>
      <c r="S4" s="42"/>
      <c r="T4" s="42"/>
      <c r="U4" s="42"/>
      <c r="V4" s="42"/>
      <c r="W4" s="42"/>
      <c r="X4" s="42"/>
      <c r="Y4" s="42"/>
      <c r="Z4" s="42"/>
      <c r="AA4" s="42"/>
      <c r="AB4" s="42"/>
      <c r="AC4" s="42"/>
      <c r="AD4" s="42"/>
      <c r="AE4" s="42"/>
      <c r="AF4" s="42"/>
      <c r="AG4" s="42"/>
      <c r="AH4" s="42"/>
    </row>
    <row r="5" spans="1:34" x14ac:dyDescent="0.25">
      <c r="A5" s="5"/>
      <c r="B5" s="214" t="s">
        <v>3</v>
      </c>
      <c r="C5" s="218">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9" t="s">
        <v>4</v>
      </c>
      <c r="C6" s="220">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9" t="s">
        <v>9</v>
      </c>
      <c r="C7" s="221">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9" t="s">
        <v>28</v>
      </c>
      <c r="C8" s="221">
        <f>0.00003</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9" t="s">
        <v>29</v>
      </c>
      <c r="C9" s="221">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9" t="s">
        <v>47</v>
      </c>
      <c r="C10" s="218">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22" t="s">
        <v>48</v>
      </c>
      <c r="C11" s="223">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c r="B13" s="49"/>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1</v>
      </c>
      <c r="B14" s="7" t="s">
        <v>84</v>
      </c>
      <c r="C14" s="50"/>
      <c r="D14" s="50"/>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x14ac:dyDescent="0.25">
      <c r="A15" s="5">
        <v>2</v>
      </c>
      <c r="B15" s="5" t="s">
        <v>6</v>
      </c>
      <c r="C15" s="5"/>
      <c r="D15" s="13">
        <v>0</v>
      </c>
      <c r="E15" s="13">
        <f>Pricing!K13/1000000</f>
        <v>186.42713313463253</v>
      </c>
      <c r="F15" s="13">
        <f>(Pricing!K14+Pricing!K15)/1000000</f>
        <v>299.61503539494515</v>
      </c>
      <c r="G15" s="13">
        <f>(Pricing!K16+Pricing!K17)/1000000</f>
        <v>299.61503539494515</v>
      </c>
      <c r="H15" s="13">
        <f>(Pricing!K18+Pricing!K19)/1000000</f>
        <v>389.11043557785081</v>
      </c>
      <c r="I15" s="13">
        <f t="shared" ref="I15:AH15" si="0">H15</f>
        <v>389.11043557785081</v>
      </c>
      <c r="J15" s="13">
        <f t="shared" si="0"/>
        <v>389.11043557785081</v>
      </c>
      <c r="K15" s="13">
        <f t="shared" si="0"/>
        <v>389.11043557785081</v>
      </c>
      <c r="L15" s="13">
        <f t="shared" si="0"/>
        <v>389.11043557785081</v>
      </c>
      <c r="M15" s="13">
        <f t="shared" si="0"/>
        <v>389.11043557785081</v>
      </c>
      <c r="N15" s="13">
        <f t="shared" si="0"/>
        <v>389.11043557785081</v>
      </c>
      <c r="O15" s="13">
        <f t="shared" si="0"/>
        <v>389.11043557785081</v>
      </c>
      <c r="P15" s="13">
        <f t="shared" si="0"/>
        <v>389.11043557785081</v>
      </c>
      <c r="Q15" s="13">
        <f t="shared" si="0"/>
        <v>389.11043557785081</v>
      </c>
      <c r="R15" s="13">
        <f t="shared" si="0"/>
        <v>389.11043557785081</v>
      </c>
      <c r="S15" s="13">
        <f t="shared" si="0"/>
        <v>389.11043557785081</v>
      </c>
      <c r="T15" s="13">
        <f t="shared" si="0"/>
        <v>389.11043557785081</v>
      </c>
      <c r="U15" s="13">
        <f t="shared" si="0"/>
        <v>389.11043557785081</v>
      </c>
      <c r="V15" s="13">
        <f t="shared" si="0"/>
        <v>389.11043557785081</v>
      </c>
      <c r="W15" s="13">
        <f t="shared" si="0"/>
        <v>389.11043557785081</v>
      </c>
      <c r="X15" s="13">
        <f t="shared" si="0"/>
        <v>389.11043557785081</v>
      </c>
      <c r="Y15" s="13">
        <f t="shared" si="0"/>
        <v>389.11043557785081</v>
      </c>
      <c r="Z15" s="13">
        <f t="shared" si="0"/>
        <v>389.11043557785081</v>
      </c>
      <c r="AA15" s="13">
        <f t="shared" si="0"/>
        <v>389.11043557785081</v>
      </c>
      <c r="AB15" s="13">
        <f t="shared" si="0"/>
        <v>389.11043557785081</v>
      </c>
      <c r="AC15" s="13">
        <f t="shared" si="0"/>
        <v>389.11043557785081</v>
      </c>
      <c r="AD15" s="13">
        <f t="shared" si="0"/>
        <v>389.11043557785081</v>
      </c>
      <c r="AE15" s="13">
        <f t="shared" si="0"/>
        <v>389.11043557785081</v>
      </c>
      <c r="AF15" s="13">
        <f t="shared" si="0"/>
        <v>389.11043557785081</v>
      </c>
      <c r="AG15" s="13">
        <f t="shared" si="0"/>
        <v>389.11043557785081</v>
      </c>
      <c r="AH15" s="13">
        <f t="shared" si="0"/>
        <v>389.11043557785081</v>
      </c>
    </row>
    <row r="16" spans="1:34" x14ac:dyDescent="0.25">
      <c r="A16" s="5">
        <v>3</v>
      </c>
      <c r="B16" s="6" t="s">
        <v>159</v>
      </c>
      <c r="C16" s="5"/>
      <c r="D16" s="13">
        <v>0</v>
      </c>
      <c r="E16" s="13">
        <f>$C$7*$C$4*(13-MONTH($C$3))/12</f>
        <v>2.8687500000000004</v>
      </c>
      <c r="F16" s="13">
        <f t="shared" ref="F16:AH16" si="1">$C$7*$C$4</f>
        <v>3.8250000000000002</v>
      </c>
      <c r="G16" s="13">
        <f t="shared" si="1"/>
        <v>3.8250000000000002</v>
      </c>
      <c r="H16" s="13">
        <f t="shared" si="1"/>
        <v>3.8250000000000002</v>
      </c>
      <c r="I16" s="13">
        <f t="shared" si="1"/>
        <v>3.8250000000000002</v>
      </c>
      <c r="J16" s="13">
        <f t="shared" si="1"/>
        <v>3.8250000000000002</v>
      </c>
      <c r="K16" s="13">
        <f t="shared" si="1"/>
        <v>3.8250000000000002</v>
      </c>
      <c r="L16" s="13">
        <f t="shared" si="1"/>
        <v>3.8250000000000002</v>
      </c>
      <c r="M16" s="13">
        <f t="shared" si="1"/>
        <v>3.8250000000000002</v>
      </c>
      <c r="N16" s="13">
        <f t="shared" si="1"/>
        <v>3.8250000000000002</v>
      </c>
      <c r="O16" s="13">
        <f t="shared" si="1"/>
        <v>3.8250000000000002</v>
      </c>
      <c r="P16" s="13">
        <f t="shared" si="1"/>
        <v>3.8250000000000002</v>
      </c>
      <c r="Q16" s="13">
        <f t="shared" si="1"/>
        <v>3.8250000000000002</v>
      </c>
      <c r="R16" s="13">
        <f t="shared" si="1"/>
        <v>3.8250000000000002</v>
      </c>
      <c r="S16" s="13">
        <f t="shared" si="1"/>
        <v>3.8250000000000002</v>
      </c>
      <c r="T16" s="13">
        <f t="shared" si="1"/>
        <v>3.8250000000000002</v>
      </c>
      <c r="U16" s="13">
        <f t="shared" si="1"/>
        <v>3.8250000000000002</v>
      </c>
      <c r="V16" s="13">
        <f t="shared" si="1"/>
        <v>3.8250000000000002</v>
      </c>
      <c r="W16" s="13">
        <f t="shared" si="1"/>
        <v>3.8250000000000002</v>
      </c>
      <c r="X16" s="13">
        <f t="shared" si="1"/>
        <v>3.8250000000000002</v>
      </c>
      <c r="Y16" s="13">
        <f t="shared" si="1"/>
        <v>3.8250000000000002</v>
      </c>
      <c r="Z16" s="13">
        <f t="shared" si="1"/>
        <v>3.8250000000000002</v>
      </c>
      <c r="AA16" s="13">
        <f t="shared" si="1"/>
        <v>3.8250000000000002</v>
      </c>
      <c r="AB16" s="13">
        <f t="shared" si="1"/>
        <v>3.8250000000000002</v>
      </c>
      <c r="AC16" s="13">
        <f t="shared" si="1"/>
        <v>3.8250000000000002</v>
      </c>
      <c r="AD16" s="13">
        <f t="shared" si="1"/>
        <v>3.8250000000000002</v>
      </c>
      <c r="AE16" s="13">
        <f t="shared" si="1"/>
        <v>3.8250000000000002</v>
      </c>
      <c r="AF16" s="13">
        <f t="shared" si="1"/>
        <v>3.8250000000000002</v>
      </c>
      <c r="AG16" s="13">
        <f t="shared" si="1"/>
        <v>3.8250000000000002</v>
      </c>
      <c r="AH16" s="13">
        <f t="shared" si="1"/>
        <v>3.8250000000000002</v>
      </c>
    </row>
    <row r="17" spans="1:34" x14ac:dyDescent="0.25">
      <c r="A17" s="5">
        <v>4</v>
      </c>
      <c r="B17" s="6" t="s">
        <v>28</v>
      </c>
      <c r="C17" s="5"/>
      <c r="D17" s="13">
        <v>0</v>
      </c>
      <c r="E17" s="13">
        <f>$C$8*$C$4*(13-MONTH($C$3))/12</f>
        <v>0.16874999999999998</v>
      </c>
      <c r="F17" s="13">
        <f t="shared" ref="F17:AH17" si="2">$C$8*$C$4</f>
        <v>0.22500000000000001</v>
      </c>
      <c r="G17" s="13">
        <f t="shared" si="2"/>
        <v>0.22500000000000001</v>
      </c>
      <c r="H17" s="13">
        <f t="shared" si="2"/>
        <v>0.22500000000000001</v>
      </c>
      <c r="I17" s="13">
        <f t="shared" si="2"/>
        <v>0.22500000000000001</v>
      </c>
      <c r="J17" s="13">
        <f t="shared" si="2"/>
        <v>0.22500000000000001</v>
      </c>
      <c r="K17" s="13">
        <f t="shared" si="2"/>
        <v>0.22500000000000001</v>
      </c>
      <c r="L17" s="13">
        <f t="shared" si="2"/>
        <v>0.22500000000000001</v>
      </c>
      <c r="M17" s="13">
        <f t="shared" si="2"/>
        <v>0.22500000000000001</v>
      </c>
      <c r="N17" s="13">
        <f t="shared" si="2"/>
        <v>0.22500000000000001</v>
      </c>
      <c r="O17" s="13">
        <f t="shared" si="2"/>
        <v>0.22500000000000001</v>
      </c>
      <c r="P17" s="13">
        <f t="shared" si="2"/>
        <v>0.22500000000000001</v>
      </c>
      <c r="Q17" s="13">
        <f t="shared" si="2"/>
        <v>0.22500000000000001</v>
      </c>
      <c r="R17" s="13">
        <f t="shared" si="2"/>
        <v>0.22500000000000001</v>
      </c>
      <c r="S17" s="13">
        <f t="shared" si="2"/>
        <v>0.22500000000000001</v>
      </c>
      <c r="T17" s="13">
        <f t="shared" si="2"/>
        <v>0.22500000000000001</v>
      </c>
      <c r="U17" s="13">
        <f t="shared" si="2"/>
        <v>0.22500000000000001</v>
      </c>
      <c r="V17" s="13">
        <f t="shared" si="2"/>
        <v>0.22500000000000001</v>
      </c>
      <c r="W17" s="13">
        <f t="shared" si="2"/>
        <v>0.22500000000000001</v>
      </c>
      <c r="X17" s="13">
        <f t="shared" si="2"/>
        <v>0.22500000000000001</v>
      </c>
      <c r="Y17" s="13">
        <f t="shared" si="2"/>
        <v>0.22500000000000001</v>
      </c>
      <c r="Z17" s="13">
        <f t="shared" si="2"/>
        <v>0.22500000000000001</v>
      </c>
      <c r="AA17" s="13">
        <f t="shared" si="2"/>
        <v>0.22500000000000001</v>
      </c>
      <c r="AB17" s="13">
        <f t="shared" si="2"/>
        <v>0.22500000000000001</v>
      </c>
      <c r="AC17" s="13">
        <f t="shared" si="2"/>
        <v>0.22500000000000001</v>
      </c>
      <c r="AD17" s="13">
        <f t="shared" si="2"/>
        <v>0.22500000000000001</v>
      </c>
      <c r="AE17" s="13">
        <f t="shared" si="2"/>
        <v>0.22500000000000001</v>
      </c>
      <c r="AF17" s="13">
        <f t="shared" si="2"/>
        <v>0.22500000000000001</v>
      </c>
      <c r="AG17" s="13">
        <f t="shared" si="2"/>
        <v>0.22500000000000001</v>
      </c>
      <c r="AH17" s="13">
        <f t="shared" si="2"/>
        <v>0.22500000000000001</v>
      </c>
    </row>
    <row r="18" spans="1:34" ht="17.25" x14ac:dyDescent="0.25">
      <c r="A18" s="5">
        <v>5</v>
      </c>
      <c r="B18" s="90" t="s">
        <v>41</v>
      </c>
      <c r="C18" s="17"/>
      <c r="D18" s="18">
        <v>0</v>
      </c>
      <c r="E18" s="18">
        <f>0.275*(13-MONTH($C$3))/12</f>
        <v>0.20625000000000002</v>
      </c>
      <c r="F18" s="18">
        <f>0.275</f>
        <v>0.27500000000000002</v>
      </c>
      <c r="G18" s="18">
        <f t="shared" ref="G18:AH18" si="3">0.275</f>
        <v>0.27500000000000002</v>
      </c>
      <c r="H18" s="18">
        <f t="shared" si="3"/>
        <v>0.27500000000000002</v>
      </c>
      <c r="I18" s="18">
        <f t="shared" si="3"/>
        <v>0.27500000000000002</v>
      </c>
      <c r="J18" s="18">
        <f t="shared" si="3"/>
        <v>0.27500000000000002</v>
      </c>
      <c r="K18" s="18">
        <f t="shared" si="3"/>
        <v>0.27500000000000002</v>
      </c>
      <c r="L18" s="18">
        <f t="shared" si="3"/>
        <v>0.27500000000000002</v>
      </c>
      <c r="M18" s="18">
        <f t="shared" si="3"/>
        <v>0.27500000000000002</v>
      </c>
      <c r="N18" s="18">
        <f t="shared" si="3"/>
        <v>0.27500000000000002</v>
      </c>
      <c r="O18" s="18">
        <f t="shared" si="3"/>
        <v>0.27500000000000002</v>
      </c>
      <c r="P18" s="18">
        <f t="shared" si="3"/>
        <v>0.27500000000000002</v>
      </c>
      <c r="Q18" s="18">
        <f t="shared" si="3"/>
        <v>0.27500000000000002</v>
      </c>
      <c r="R18" s="18">
        <f t="shared" si="3"/>
        <v>0.27500000000000002</v>
      </c>
      <c r="S18" s="18">
        <f t="shared" si="3"/>
        <v>0.27500000000000002</v>
      </c>
      <c r="T18" s="18">
        <f t="shared" si="3"/>
        <v>0.27500000000000002</v>
      </c>
      <c r="U18" s="18">
        <f t="shared" si="3"/>
        <v>0.27500000000000002</v>
      </c>
      <c r="V18" s="18">
        <f t="shared" si="3"/>
        <v>0.27500000000000002</v>
      </c>
      <c r="W18" s="18">
        <f t="shared" si="3"/>
        <v>0.27500000000000002</v>
      </c>
      <c r="X18" s="18">
        <f t="shared" si="3"/>
        <v>0.27500000000000002</v>
      </c>
      <c r="Y18" s="18">
        <f t="shared" si="3"/>
        <v>0.27500000000000002</v>
      </c>
      <c r="Z18" s="18">
        <f t="shared" si="3"/>
        <v>0.27500000000000002</v>
      </c>
      <c r="AA18" s="18">
        <f t="shared" si="3"/>
        <v>0.27500000000000002</v>
      </c>
      <c r="AB18" s="18">
        <f t="shared" si="3"/>
        <v>0.27500000000000002</v>
      </c>
      <c r="AC18" s="18">
        <f t="shared" si="3"/>
        <v>0.27500000000000002</v>
      </c>
      <c r="AD18" s="18">
        <f t="shared" si="3"/>
        <v>0.27500000000000002</v>
      </c>
      <c r="AE18" s="18">
        <f t="shared" si="3"/>
        <v>0.27500000000000002</v>
      </c>
      <c r="AF18" s="18">
        <f t="shared" si="3"/>
        <v>0.27500000000000002</v>
      </c>
      <c r="AG18" s="18">
        <f t="shared" si="3"/>
        <v>0.27500000000000002</v>
      </c>
      <c r="AH18" s="18">
        <f t="shared" si="3"/>
        <v>0.27500000000000002</v>
      </c>
    </row>
    <row r="19" spans="1:34" x14ac:dyDescent="0.25">
      <c r="A19" s="5">
        <v>6</v>
      </c>
      <c r="B19" s="91" t="s">
        <v>31</v>
      </c>
      <c r="C19" s="11"/>
      <c r="D19" s="14">
        <f t="shared" ref="D19:AH19" si="4">SUM(D15:D18)</f>
        <v>0</v>
      </c>
      <c r="E19" s="14">
        <f>SUM(E15:E18)</f>
        <v>189.67088313463253</v>
      </c>
      <c r="F19" s="14">
        <f t="shared" si="4"/>
        <v>303.94003539494514</v>
      </c>
      <c r="G19" s="14">
        <f t="shared" si="4"/>
        <v>303.94003539494514</v>
      </c>
      <c r="H19" s="14">
        <f t="shared" si="4"/>
        <v>393.4354355778508</v>
      </c>
      <c r="I19" s="14">
        <f t="shared" si="4"/>
        <v>393.4354355778508</v>
      </c>
      <c r="J19" s="14">
        <f t="shared" si="4"/>
        <v>393.4354355778508</v>
      </c>
      <c r="K19" s="14">
        <f t="shared" si="4"/>
        <v>393.4354355778508</v>
      </c>
      <c r="L19" s="14">
        <f t="shared" si="4"/>
        <v>393.4354355778508</v>
      </c>
      <c r="M19" s="14">
        <f t="shared" si="4"/>
        <v>393.4354355778508</v>
      </c>
      <c r="N19" s="14">
        <f t="shared" si="4"/>
        <v>393.4354355778508</v>
      </c>
      <c r="O19" s="14">
        <f t="shared" si="4"/>
        <v>393.4354355778508</v>
      </c>
      <c r="P19" s="14">
        <f t="shared" si="4"/>
        <v>393.4354355778508</v>
      </c>
      <c r="Q19" s="14">
        <f t="shared" si="4"/>
        <v>393.4354355778508</v>
      </c>
      <c r="R19" s="14">
        <f t="shared" si="4"/>
        <v>393.4354355778508</v>
      </c>
      <c r="S19" s="14">
        <f t="shared" si="4"/>
        <v>393.4354355778508</v>
      </c>
      <c r="T19" s="14">
        <f t="shared" si="4"/>
        <v>393.4354355778508</v>
      </c>
      <c r="U19" s="14">
        <f t="shared" si="4"/>
        <v>393.4354355778508</v>
      </c>
      <c r="V19" s="14">
        <f t="shared" si="4"/>
        <v>393.4354355778508</v>
      </c>
      <c r="W19" s="14">
        <f t="shared" si="4"/>
        <v>393.4354355778508</v>
      </c>
      <c r="X19" s="14">
        <f t="shared" si="4"/>
        <v>393.4354355778508</v>
      </c>
      <c r="Y19" s="14">
        <f t="shared" si="4"/>
        <v>393.4354355778508</v>
      </c>
      <c r="Z19" s="14">
        <f t="shared" si="4"/>
        <v>393.4354355778508</v>
      </c>
      <c r="AA19" s="14">
        <f t="shared" si="4"/>
        <v>393.4354355778508</v>
      </c>
      <c r="AB19" s="14">
        <f t="shared" si="4"/>
        <v>393.4354355778508</v>
      </c>
      <c r="AC19" s="14">
        <f t="shared" si="4"/>
        <v>393.4354355778508</v>
      </c>
      <c r="AD19" s="14">
        <f t="shared" si="4"/>
        <v>393.4354355778508</v>
      </c>
      <c r="AE19" s="14">
        <f t="shared" si="4"/>
        <v>393.4354355778508</v>
      </c>
      <c r="AF19" s="14">
        <f t="shared" si="4"/>
        <v>393.4354355778508</v>
      </c>
      <c r="AG19" s="14">
        <f t="shared" si="4"/>
        <v>393.4354355778508</v>
      </c>
      <c r="AH19" s="14">
        <f t="shared" si="4"/>
        <v>393.4354355778508</v>
      </c>
    </row>
    <row r="20" spans="1:34" ht="17.25" x14ac:dyDescent="0.25">
      <c r="A20" s="5">
        <v>7</v>
      </c>
      <c r="B20" s="90" t="s">
        <v>42</v>
      </c>
      <c r="C20" s="17"/>
      <c r="D20" s="18">
        <v>0</v>
      </c>
      <c r="E20" s="18">
        <f>'Collection Lag'!D11</f>
        <v>63.223627711544161</v>
      </c>
      <c r="F20" s="18">
        <v>0</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c r="AE20" s="18">
        <v>0</v>
      </c>
      <c r="AF20" s="18">
        <v>0</v>
      </c>
      <c r="AG20" s="18">
        <v>0</v>
      </c>
      <c r="AH20" s="18">
        <f>-E20</f>
        <v>-63.223627711544161</v>
      </c>
    </row>
    <row r="21" spans="1:34" x14ac:dyDescent="0.25">
      <c r="A21" s="5">
        <v>8</v>
      </c>
      <c r="B21" s="15" t="s">
        <v>30</v>
      </c>
      <c r="C21" s="11"/>
      <c r="D21" s="14">
        <f>$C$9*D19</f>
        <v>0</v>
      </c>
      <c r="E21" s="14">
        <f>(E19+E20)*(1/(1-$C$9)-1)</f>
        <v>0.83731502537611391</v>
      </c>
      <c r="F21" s="14">
        <f t="shared" ref="F21:AH21" si="5">(F19+F20)*(1/(1-$C$9)-1)</f>
        <v>1.0063229826460385</v>
      </c>
      <c r="G21" s="14">
        <f t="shared" si="5"/>
        <v>1.0063229826460385</v>
      </c>
      <c r="H21" s="14">
        <f t="shared" si="5"/>
        <v>1.3026356350023995</v>
      </c>
      <c r="I21" s="14">
        <f t="shared" si="5"/>
        <v>1.3026356350023995</v>
      </c>
      <c r="J21" s="14">
        <f t="shared" si="5"/>
        <v>1.3026356350023995</v>
      </c>
      <c r="K21" s="14">
        <f t="shared" si="5"/>
        <v>1.3026356350023995</v>
      </c>
      <c r="L21" s="14">
        <f t="shared" si="5"/>
        <v>1.3026356350023995</v>
      </c>
      <c r="M21" s="14">
        <f t="shared" si="5"/>
        <v>1.3026356350023995</v>
      </c>
      <c r="N21" s="14">
        <f t="shared" si="5"/>
        <v>1.3026356350023995</v>
      </c>
      <c r="O21" s="14">
        <f t="shared" si="5"/>
        <v>1.3026356350023995</v>
      </c>
      <c r="P21" s="14">
        <f t="shared" si="5"/>
        <v>1.3026356350023995</v>
      </c>
      <c r="Q21" s="14">
        <f t="shared" si="5"/>
        <v>1.3026356350023995</v>
      </c>
      <c r="R21" s="14">
        <f t="shared" si="5"/>
        <v>1.3026356350023995</v>
      </c>
      <c r="S21" s="14">
        <f t="shared" si="5"/>
        <v>1.3026356350023995</v>
      </c>
      <c r="T21" s="14">
        <f t="shared" si="5"/>
        <v>1.3026356350023995</v>
      </c>
      <c r="U21" s="14">
        <f t="shared" si="5"/>
        <v>1.3026356350023995</v>
      </c>
      <c r="V21" s="14">
        <f t="shared" si="5"/>
        <v>1.3026356350023995</v>
      </c>
      <c r="W21" s="14">
        <f t="shared" si="5"/>
        <v>1.3026356350023995</v>
      </c>
      <c r="X21" s="14">
        <f t="shared" si="5"/>
        <v>1.3026356350023995</v>
      </c>
      <c r="Y21" s="14">
        <f t="shared" si="5"/>
        <v>1.3026356350023995</v>
      </c>
      <c r="Z21" s="14">
        <f t="shared" si="5"/>
        <v>1.3026356350023995</v>
      </c>
      <c r="AA21" s="14">
        <f t="shared" si="5"/>
        <v>1.3026356350023995</v>
      </c>
      <c r="AB21" s="14">
        <f t="shared" si="5"/>
        <v>1.3026356350023995</v>
      </c>
      <c r="AC21" s="14">
        <f t="shared" si="5"/>
        <v>1.3026356350023995</v>
      </c>
      <c r="AD21" s="14">
        <f t="shared" si="5"/>
        <v>1.3026356350023995</v>
      </c>
      <c r="AE21" s="14">
        <f t="shared" si="5"/>
        <v>1.3026356350023995</v>
      </c>
      <c r="AF21" s="14">
        <f t="shared" si="5"/>
        <v>1.3026356350023995</v>
      </c>
      <c r="AG21" s="14">
        <f t="shared" si="5"/>
        <v>1.3026356350023995</v>
      </c>
      <c r="AH21" s="14">
        <f t="shared" si="5"/>
        <v>1.0933068786583711</v>
      </c>
    </row>
    <row r="22" spans="1:34" x14ac:dyDescent="0.25">
      <c r="A22" s="5">
        <v>9</v>
      </c>
      <c r="B22" s="5" t="s">
        <v>27</v>
      </c>
      <c r="C22" s="5"/>
      <c r="D22" s="13">
        <f t="shared" ref="D22:AH22" si="6">D19+D21+D20</f>
        <v>0</v>
      </c>
      <c r="E22" s="13">
        <f t="shared" si="6"/>
        <v>253.73182587155281</v>
      </c>
      <c r="F22" s="13">
        <f t="shared" si="6"/>
        <v>304.9463583775912</v>
      </c>
      <c r="G22" s="13">
        <f t="shared" si="6"/>
        <v>304.9463583775912</v>
      </c>
      <c r="H22" s="13">
        <f t="shared" si="6"/>
        <v>394.73807121285319</v>
      </c>
      <c r="I22" s="13">
        <f t="shared" si="6"/>
        <v>394.73807121285319</v>
      </c>
      <c r="J22" s="13">
        <f t="shared" si="6"/>
        <v>394.73807121285319</v>
      </c>
      <c r="K22" s="13">
        <f t="shared" si="6"/>
        <v>394.73807121285319</v>
      </c>
      <c r="L22" s="13">
        <f t="shared" si="6"/>
        <v>394.73807121285319</v>
      </c>
      <c r="M22" s="13">
        <f t="shared" si="6"/>
        <v>394.73807121285319</v>
      </c>
      <c r="N22" s="13">
        <f t="shared" si="6"/>
        <v>394.73807121285319</v>
      </c>
      <c r="O22" s="13">
        <f t="shared" si="6"/>
        <v>394.73807121285319</v>
      </c>
      <c r="P22" s="13">
        <f t="shared" si="6"/>
        <v>394.73807121285319</v>
      </c>
      <c r="Q22" s="13">
        <f t="shared" si="6"/>
        <v>394.73807121285319</v>
      </c>
      <c r="R22" s="13">
        <f t="shared" si="6"/>
        <v>394.73807121285319</v>
      </c>
      <c r="S22" s="13">
        <f t="shared" si="6"/>
        <v>394.73807121285319</v>
      </c>
      <c r="T22" s="13">
        <f t="shared" si="6"/>
        <v>394.73807121285319</v>
      </c>
      <c r="U22" s="13">
        <f t="shared" si="6"/>
        <v>394.73807121285319</v>
      </c>
      <c r="V22" s="13">
        <f t="shared" si="6"/>
        <v>394.73807121285319</v>
      </c>
      <c r="W22" s="13">
        <f t="shared" si="6"/>
        <v>394.73807121285319</v>
      </c>
      <c r="X22" s="13">
        <f t="shared" si="6"/>
        <v>394.73807121285319</v>
      </c>
      <c r="Y22" s="13">
        <f t="shared" si="6"/>
        <v>394.73807121285319</v>
      </c>
      <c r="Z22" s="13">
        <f t="shared" si="6"/>
        <v>394.73807121285319</v>
      </c>
      <c r="AA22" s="13">
        <f t="shared" si="6"/>
        <v>394.73807121285319</v>
      </c>
      <c r="AB22" s="13">
        <f t="shared" si="6"/>
        <v>394.73807121285319</v>
      </c>
      <c r="AC22" s="13">
        <f t="shared" si="6"/>
        <v>394.73807121285319</v>
      </c>
      <c r="AD22" s="13">
        <f t="shared" si="6"/>
        <v>394.73807121285319</v>
      </c>
      <c r="AE22" s="13">
        <f t="shared" si="6"/>
        <v>394.73807121285319</v>
      </c>
      <c r="AF22" s="13">
        <f t="shared" si="6"/>
        <v>394.73807121285319</v>
      </c>
      <c r="AG22" s="13">
        <f t="shared" si="6"/>
        <v>394.73807121285319</v>
      </c>
      <c r="AH22" s="13">
        <f t="shared" si="6"/>
        <v>331.30511474496501</v>
      </c>
    </row>
    <row r="24" spans="1:34" ht="17.25" x14ac:dyDescent="0.25">
      <c r="B24" s="88" t="s">
        <v>164</v>
      </c>
    </row>
    <row r="25" spans="1:34" ht="17.25" x14ac:dyDescent="0.25">
      <c r="B25" s="88" t="s">
        <v>154</v>
      </c>
    </row>
    <row r="26" spans="1:34" ht="17.25" x14ac:dyDescent="0.25">
      <c r="B26" s="88" t="s">
        <v>169</v>
      </c>
    </row>
    <row r="29" spans="1:34" x14ac:dyDescent="0.25">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row>
  </sheetData>
  <mergeCells count="3">
    <mergeCell ref="E2:Q2"/>
    <mergeCell ref="E3:Q3"/>
    <mergeCell ref="E4:Q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K71"/>
  <sheetViews>
    <sheetView showGridLines="0" topLeftCell="A10" zoomScale="90" zoomScaleNormal="90" workbookViewId="0">
      <selection activeCell="Q30" sqref="Q30"/>
    </sheetView>
  </sheetViews>
  <sheetFormatPr defaultColWidth="8.85546875" defaultRowHeight="15" x14ac:dyDescent="0.25"/>
  <cols>
    <col min="1" max="1" width="20.28515625" bestFit="1" customWidth="1"/>
    <col min="2" max="6" width="14.42578125" customWidth="1"/>
    <col min="7" max="7" width="15.42578125" bestFit="1" customWidth="1"/>
    <col min="8" max="11" width="14.42578125" customWidth="1"/>
  </cols>
  <sheetData>
    <row r="1" spans="1:11" x14ac:dyDescent="0.25">
      <c r="A1" s="286" t="s">
        <v>10</v>
      </c>
      <c r="B1" s="287" t="s">
        <v>11</v>
      </c>
      <c r="C1" s="287" t="s">
        <v>12</v>
      </c>
      <c r="D1" s="287" t="s">
        <v>13</v>
      </c>
      <c r="E1" s="287" t="s">
        <v>14</v>
      </c>
      <c r="F1" s="287" t="s">
        <v>15</v>
      </c>
      <c r="G1" s="287" t="s">
        <v>8</v>
      </c>
      <c r="H1" s="22"/>
      <c r="I1" s="22"/>
      <c r="J1" s="22"/>
      <c r="K1" s="22"/>
    </row>
    <row r="2" spans="1:11" x14ac:dyDescent="0.25">
      <c r="A2" s="256" t="s">
        <v>16</v>
      </c>
      <c r="B2" s="277">
        <v>1439700000</v>
      </c>
      <c r="C2" s="277">
        <v>1515600000</v>
      </c>
      <c r="D2" s="277">
        <v>1482700000</v>
      </c>
      <c r="E2" s="277">
        <v>1553200000</v>
      </c>
      <c r="F2" s="277">
        <v>1508800000</v>
      </c>
      <c r="G2" s="278">
        <f>SUM(B2:F2)</f>
        <v>7500000000</v>
      </c>
      <c r="H2" s="22"/>
      <c r="I2" s="22"/>
      <c r="J2" s="22"/>
      <c r="K2" s="22"/>
    </row>
    <row r="3" spans="1:11" x14ac:dyDescent="0.25">
      <c r="A3" s="256" t="s">
        <v>17</v>
      </c>
      <c r="B3" s="279">
        <v>0.19195556640625</v>
      </c>
      <c r="C3" s="279">
        <v>0.20208740234375</v>
      </c>
      <c r="D3" s="279">
        <v>0.19769287109375</v>
      </c>
      <c r="E3" s="279">
        <v>0.20709228515625</v>
      </c>
      <c r="F3" s="279">
        <v>0.201171875</v>
      </c>
      <c r="G3" s="280">
        <f>SUM(B3:F3)</f>
        <v>1</v>
      </c>
      <c r="H3" s="22"/>
      <c r="I3" s="22"/>
      <c r="J3" s="22"/>
      <c r="K3" s="22"/>
    </row>
    <row r="4" spans="1:11" x14ac:dyDescent="0.25">
      <c r="A4" s="256" t="s">
        <v>18</v>
      </c>
      <c r="B4" s="279">
        <v>1.8249999999999999E-2</v>
      </c>
      <c r="C4" s="279">
        <v>2.6180000000000002E-2</v>
      </c>
      <c r="D4" s="279">
        <v>2.81E-2</v>
      </c>
      <c r="E4" s="279">
        <v>2.9940000000000001E-2</v>
      </c>
      <c r="F4" s="279">
        <v>3.1920000000000004E-2</v>
      </c>
      <c r="G4" s="280">
        <v>2.901514429710168E-2</v>
      </c>
      <c r="H4" s="22"/>
      <c r="I4" s="22"/>
      <c r="J4" s="22"/>
      <c r="K4" s="22"/>
    </row>
    <row r="5" spans="1:11" x14ac:dyDescent="0.25">
      <c r="A5" s="256" t="s">
        <v>19</v>
      </c>
      <c r="B5" s="281" t="s">
        <v>20</v>
      </c>
      <c r="C5" s="281" t="s">
        <v>20</v>
      </c>
      <c r="D5" s="281" t="s">
        <v>20</v>
      </c>
      <c r="E5" s="281" t="s">
        <v>20</v>
      </c>
      <c r="F5" s="281" t="s">
        <v>20</v>
      </c>
      <c r="G5" s="282" t="s">
        <v>20</v>
      </c>
      <c r="H5" s="22"/>
      <c r="I5" s="22"/>
      <c r="J5" s="22"/>
      <c r="K5" s="22"/>
    </row>
    <row r="6" spans="1:11" x14ac:dyDescent="0.25">
      <c r="A6" s="256" t="s">
        <v>21</v>
      </c>
      <c r="B6" s="283">
        <v>5.0861330463039032</v>
      </c>
      <c r="C6" s="283">
        <v>12.107710628789828</v>
      </c>
      <c r="D6" s="283">
        <v>18.101650977429419</v>
      </c>
      <c r="E6" s="283">
        <v>23.295121378561824</v>
      </c>
      <c r="F6" s="283">
        <v>27.82500728433428</v>
      </c>
      <c r="G6" s="284">
        <v>17.423789384885733</v>
      </c>
      <c r="H6" s="22"/>
      <c r="I6" s="22"/>
      <c r="J6" s="22"/>
      <c r="K6" s="22"/>
    </row>
    <row r="7" spans="1:11" x14ac:dyDescent="0.25">
      <c r="A7" s="256" t="s">
        <v>22</v>
      </c>
      <c r="B7" s="285">
        <v>47406</v>
      </c>
      <c r="C7" s="285">
        <v>49780</v>
      </c>
      <c r="D7" s="285">
        <v>51789</v>
      </c>
      <c r="E7" s="285">
        <v>53615</v>
      </c>
      <c r="F7" s="285">
        <v>55076</v>
      </c>
      <c r="G7" s="285">
        <v>55076</v>
      </c>
      <c r="H7" s="22"/>
      <c r="I7" s="22"/>
      <c r="J7" s="22"/>
      <c r="K7" s="22"/>
    </row>
    <row r="8" spans="1:11" x14ac:dyDescent="0.25">
      <c r="A8" s="22"/>
      <c r="B8" s="22"/>
      <c r="C8" s="22"/>
      <c r="D8" s="22"/>
      <c r="E8" s="22"/>
      <c r="F8" s="22"/>
      <c r="G8" s="22"/>
      <c r="H8" s="22"/>
      <c r="I8" s="321" t="s">
        <v>76</v>
      </c>
      <c r="J8" s="322"/>
      <c r="K8" s="323"/>
    </row>
    <row r="9" spans="1:11" x14ac:dyDescent="0.25">
      <c r="A9" s="22"/>
      <c r="B9" s="22"/>
      <c r="C9" s="22"/>
      <c r="D9" s="22"/>
      <c r="E9" s="22"/>
      <c r="F9" s="22"/>
      <c r="G9" s="22"/>
      <c r="H9" s="22"/>
      <c r="I9" s="22"/>
      <c r="J9" s="22"/>
      <c r="K9" s="22"/>
    </row>
    <row r="10" spans="1:11" x14ac:dyDescent="0.25">
      <c r="A10" s="257"/>
      <c r="B10" s="321" t="s">
        <v>77</v>
      </c>
      <c r="C10" s="322"/>
      <c r="D10" s="322"/>
      <c r="E10" s="322"/>
      <c r="F10" s="322"/>
      <c r="G10" s="323"/>
      <c r="H10" s="23"/>
      <c r="I10" s="321" t="s">
        <v>23</v>
      </c>
      <c r="J10" s="322"/>
      <c r="K10" s="323"/>
    </row>
    <row r="11" spans="1:11" x14ac:dyDescent="0.25">
      <c r="A11" s="258" t="s">
        <v>24</v>
      </c>
      <c r="B11" s="258" t="s">
        <v>11</v>
      </c>
      <c r="C11" s="258" t="s">
        <v>12</v>
      </c>
      <c r="D11" s="258" t="s">
        <v>13</v>
      </c>
      <c r="E11" s="258" t="s">
        <v>14</v>
      </c>
      <c r="F11" s="258" t="s">
        <v>15</v>
      </c>
      <c r="G11" s="258" t="s">
        <v>8</v>
      </c>
      <c r="H11" s="23"/>
      <c r="I11" s="258" t="s">
        <v>25</v>
      </c>
      <c r="J11" s="258" t="s">
        <v>26</v>
      </c>
      <c r="K11" s="258" t="s">
        <v>8</v>
      </c>
    </row>
    <row r="12" spans="1:11" x14ac:dyDescent="0.25">
      <c r="A12" s="24">
        <v>0</v>
      </c>
      <c r="B12" s="288">
        <v>1439700000</v>
      </c>
      <c r="C12" s="288">
        <v>1515600000</v>
      </c>
      <c r="D12" s="288">
        <v>1482700000</v>
      </c>
      <c r="E12" s="288">
        <v>1553200000</v>
      </c>
      <c r="F12" s="288">
        <v>1508800000</v>
      </c>
      <c r="G12" s="289">
        <f>SUM(B12:F12)</f>
        <v>7500000000</v>
      </c>
      <c r="H12" s="25"/>
      <c r="I12" s="292">
        <v>0</v>
      </c>
      <c r="J12" s="288">
        <v>0</v>
      </c>
      <c r="K12" s="289">
        <v>0</v>
      </c>
    </row>
    <row r="13" spans="1:11" x14ac:dyDescent="0.25">
      <c r="A13" s="26">
        <f>+A12+1</f>
        <v>1</v>
      </c>
      <c r="B13" s="290">
        <v>1379136293.4431453</v>
      </c>
      <c r="C13" s="290">
        <v>1515600000</v>
      </c>
      <c r="D13" s="290">
        <v>1482700000</v>
      </c>
      <c r="E13" s="290">
        <v>1553200000</v>
      </c>
      <c r="F13" s="290">
        <v>1508800000</v>
      </c>
      <c r="G13" s="291">
        <f t="shared" ref="G13:G71" si="0">SUM(B13:F13)</f>
        <v>7439436293.4431458</v>
      </c>
      <c r="H13" s="25"/>
      <c r="I13" s="293">
        <v>125863426.57777777</v>
      </c>
      <c r="J13" s="294">
        <v>60563706.556854755</v>
      </c>
      <c r="K13" s="295">
        <f>SUM(I13:J13)</f>
        <v>186427133.13463253</v>
      </c>
    </row>
    <row r="14" spans="1:11" x14ac:dyDescent="0.25">
      <c r="A14" s="26">
        <f t="shared" ref="A14:A71" si="1">+A13+1</f>
        <v>2</v>
      </c>
      <c r="B14" s="290">
        <v>1329916385.4233415</v>
      </c>
      <c r="C14" s="290">
        <v>1515600000</v>
      </c>
      <c r="D14" s="290">
        <v>1482700000</v>
      </c>
      <c r="E14" s="290">
        <v>1553200000</v>
      </c>
      <c r="F14" s="290">
        <v>1508800000</v>
      </c>
      <c r="G14" s="291">
        <f t="shared" si="0"/>
        <v>7390216385.4233418</v>
      </c>
      <c r="H14" s="25"/>
      <c r="I14" s="293">
        <v>100587609.67766871</v>
      </c>
      <c r="J14" s="294">
        <v>49219908.019803867</v>
      </c>
      <c r="K14" s="295">
        <f t="shared" ref="K14:K71" si="2">SUM(I14:J14)</f>
        <v>149807517.69747257</v>
      </c>
    </row>
    <row r="15" spans="1:11" x14ac:dyDescent="0.25">
      <c r="A15" s="26">
        <f t="shared" si="1"/>
        <v>3</v>
      </c>
      <c r="B15" s="290">
        <v>1280247345.742857</v>
      </c>
      <c r="C15" s="290">
        <v>1515600000</v>
      </c>
      <c r="D15" s="290">
        <v>1482700000</v>
      </c>
      <c r="E15" s="290">
        <v>1553200000</v>
      </c>
      <c r="F15" s="290">
        <v>1508800000</v>
      </c>
      <c r="G15" s="291">
        <f t="shared" si="0"/>
        <v>7340547345.742857</v>
      </c>
      <c r="H15" s="25"/>
      <c r="I15" s="293">
        <v>100138478.01698799</v>
      </c>
      <c r="J15" s="294">
        <v>49669039.680484578</v>
      </c>
      <c r="K15" s="295">
        <f t="shared" si="2"/>
        <v>149807517.69747257</v>
      </c>
    </row>
    <row r="16" spans="1:11" x14ac:dyDescent="0.25">
      <c r="A16" s="26">
        <f t="shared" si="1"/>
        <v>4</v>
      </c>
      <c r="B16" s="290">
        <v>1230125076.0752881</v>
      </c>
      <c r="C16" s="290">
        <v>1515600000</v>
      </c>
      <c r="D16" s="290">
        <v>1482700000</v>
      </c>
      <c r="E16" s="290">
        <v>1553200000</v>
      </c>
      <c r="F16" s="290">
        <v>1508800000</v>
      </c>
      <c r="G16" s="291">
        <f t="shared" si="0"/>
        <v>7290425076.0752878</v>
      </c>
      <c r="H16" s="25"/>
      <c r="I16" s="293">
        <v>99685248.029903561</v>
      </c>
      <c r="J16" s="294">
        <v>50122269.667569011</v>
      </c>
      <c r="K16" s="295">
        <f t="shared" si="2"/>
        <v>149807517.69747257</v>
      </c>
    </row>
    <row r="17" spans="1:11" x14ac:dyDescent="0.25">
      <c r="A17" s="26">
        <f t="shared" si="1"/>
        <v>5</v>
      </c>
      <c r="B17" s="290">
        <v>1179545440.6970024</v>
      </c>
      <c r="C17" s="290">
        <v>1515600000</v>
      </c>
      <c r="D17" s="290">
        <v>1482700000</v>
      </c>
      <c r="E17" s="290">
        <v>1553200000</v>
      </c>
      <c r="F17" s="290">
        <v>1508800000</v>
      </c>
      <c r="G17" s="291">
        <f t="shared" si="0"/>
        <v>7239845440.6970024</v>
      </c>
      <c r="H17" s="25"/>
      <c r="I17" s="293">
        <v>99227882.319187</v>
      </c>
      <c r="J17" s="294">
        <v>50579635.378285572</v>
      </c>
      <c r="K17" s="295">
        <f t="shared" si="2"/>
        <v>149807517.69747257</v>
      </c>
    </row>
    <row r="18" spans="1:11" x14ac:dyDescent="0.25">
      <c r="A18" s="26">
        <f t="shared" si="1"/>
        <v>6</v>
      </c>
      <c r="B18" s="290">
        <v>1083756566.0544372</v>
      </c>
      <c r="C18" s="290">
        <v>1515600000</v>
      </c>
      <c r="D18" s="290">
        <v>1482700000</v>
      </c>
      <c r="E18" s="290">
        <v>1553200000</v>
      </c>
      <c r="F18" s="290">
        <v>1508800000</v>
      </c>
      <c r="G18" s="291">
        <f t="shared" si="0"/>
        <v>7144056566.0544376</v>
      </c>
      <c r="H18" s="25"/>
      <c r="I18" s="293">
        <v>98766343.146360144</v>
      </c>
      <c r="J18" s="294">
        <v>95788874.642565265</v>
      </c>
      <c r="K18" s="295">
        <f t="shared" si="2"/>
        <v>194555217.78892541</v>
      </c>
    </row>
    <row r="19" spans="1:11" x14ac:dyDescent="0.25">
      <c r="A19" s="26">
        <f t="shared" si="1"/>
        <v>7</v>
      </c>
      <c r="B19" s="290">
        <v>987093617.93075848</v>
      </c>
      <c r="C19" s="290">
        <v>1515600000</v>
      </c>
      <c r="D19" s="290">
        <v>1482700000</v>
      </c>
      <c r="E19" s="290">
        <v>1553200000</v>
      </c>
      <c r="F19" s="290">
        <v>1508800000</v>
      </c>
      <c r="G19" s="291">
        <f t="shared" si="0"/>
        <v>7047393617.9307585</v>
      </c>
      <c r="H19" s="25"/>
      <c r="I19" s="293">
        <v>97892269.66524674</v>
      </c>
      <c r="J19" s="294">
        <v>96662948.123678669</v>
      </c>
      <c r="K19" s="295">
        <f t="shared" si="2"/>
        <v>194555217.78892541</v>
      </c>
    </row>
    <row r="20" spans="1:11" x14ac:dyDescent="0.25">
      <c r="A20" s="26">
        <f t="shared" si="1"/>
        <v>8</v>
      </c>
      <c r="B20" s="290">
        <v>889548620.4054513</v>
      </c>
      <c r="C20" s="290">
        <v>1515600000</v>
      </c>
      <c r="D20" s="290">
        <v>1482700000</v>
      </c>
      <c r="E20" s="290">
        <v>1553200000</v>
      </c>
      <c r="F20" s="290">
        <v>1508800000</v>
      </c>
      <c r="G20" s="291">
        <f t="shared" si="0"/>
        <v>6949848620.4054508</v>
      </c>
      <c r="H20" s="25"/>
      <c r="I20" s="293">
        <v>97010220.263618171</v>
      </c>
      <c r="J20" s="294">
        <v>97544997.525307238</v>
      </c>
      <c r="K20" s="295">
        <f t="shared" si="2"/>
        <v>194555217.78892541</v>
      </c>
    </row>
    <row r="21" spans="1:11" x14ac:dyDescent="0.25">
      <c r="A21" s="26">
        <f t="shared" si="1"/>
        <v>9</v>
      </c>
      <c r="B21" s="290">
        <v>791113524.7777257</v>
      </c>
      <c r="C21" s="290">
        <v>1515600000</v>
      </c>
      <c r="D21" s="290">
        <v>1482700000</v>
      </c>
      <c r="E21" s="290">
        <v>1553200000</v>
      </c>
      <c r="F21" s="290">
        <v>1508800000</v>
      </c>
      <c r="G21" s="291">
        <f t="shared" si="0"/>
        <v>6851413524.7777252</v>
      </c>
      <c r="H21" s="25"/>
      <c r="I21" s="293">
        <v>96120122.161199749</v>
      </c>
      <c r="J21" s="294">
        <v>98435095.627725661</v>
      </c>
      <c r="K21" s="295">
        <f t="shared" si="2"/>
        <v>194555217.78892541</v>
      </c>
    </row>
    <row r="22" spans="1:11" x14ac:dyDescent="0.25">
      <c r="A22" s="26">
        <f t="shared" si="1"/>
        <v>10</v>
      </c>
      <c r="B22" s="290">
        <v>691780208.90239704</v>
      </c>
      <c r="C22" s="290">
        <v>1515600000</v>
      </c>
      <c r="D22" s="290">
        <v>1482700000</v>
      </c>
      <c r="E22" s="290">
        <v>1553200000</v>
      </c>
      <c r="F22" s="290">
        <v>1508800000</v>
      </c>
      <c r="G22" s="291">
        <f t="shared" si="0"/>
        <v>6752080208.9023972</v>
      </c>
      <c r="H22" s="25"/>
      <c r="I22" s="293">
        <v>95221901.913596749</v>
      </c>
      <c r="J22" s="294">
        <v>99333315.87532866</v>
      </c>
      <c r="K22" s="295">
        <f t="shared" si="2"/>
        <v>194555217.78892541</v>
      </c>
    </row>
    <row r="23" spans="1:11" x14ac:dyDescent="0.25">
      <c r="A23" s="26">
        <f t="shared" si="1"/>
        <v>11</v>
      </c>
      <c r="B23" s="290">
        <v>591540476.51970601</v>
      </c>
      <c r="C23" s="290">
        <v>1515600000</v>
      </c>
      <c r="D23" s="290">
        <v>1482700000</v>
      </c>
      <c r="E23" s="290">
        <v>1553200000</v>
      </c>
      <c r="F23" s="290">
        <v>1508800000</v>
      </c>
      <c r="G23" s="291">
        <f t="shared" si="0"/>
        <v>6651840476.5197058</v>
      </c>
      <c r="H23" s="25"/>
      <c r="I23" s="293">
        <v>94315485.406234369</v>
      </c>
      <c r="J23" s="294">
        <v>100239732.38269104</v>
      </c>
      <c r="K23" s="295">
        <f t="shared" si="2"/>
        <v>194555217.78892541</v>
      </c>
    </row>
    <row r="24" spans="1:11" x14ac:dyDescent="0.25">
      <c r="A24" s="26">
        <f t="shared" si="1"/>
        <v>12</v>
      </c>
      <c r="B24" s="290">
        <v>490386056.57902288</v>
      </c>
      <c r="C24" s="290">
        <v>1515600000</v>
      </c>
      <c r="D24" s="290">
        <v>1482700000</v>
      </c>
      <c r="E24" s="290">
        <v>1553200000</v>
      </c>
      <c r="F24" s="290">
        <v>1508800000</v>
      </c>
      <c r="G24" s="291">
        <f t="shared" si="0"/>
        <v>6550686056.5790234</v>
      </c>
      <c r="H24" s="25"/>
      <c r="I24" s="293">
        <v>93400797.848242313</v>
      </c>
      <c r="J24" s="294">
        <v>101154419.9406831</v>
      </c>
      <c r="K24" s="295">
        <f t="shared" si="2"/>
        <v>194555217.78892541</v>
      </c>
    </row>
    <row r="25" spans="1:11" x14ac:dyDescent="0.25">
      <c r="A25" s="26">
        <f t="shared" si="1"/>
        <v>13</v>
      </c>
      <c r="B25" s="290">
        <v>388308602.55638105</v>
      </c>
      <c r="C25" s="290">
        <v>1515600000</v>
      </c>
      <c r="D25" s="290">
        <v>1482700000</v>
      </c>
      <c r="E25" s="290">
        <v>1553200000</v>
      </c>
      <c r="F25" s="290">
        <v>1508800000</v>
      </c>
      <c r="G25" s="291">
        <f t="shared" si="0"/>
        <v>6448608602.5563812</v>
      </c>
      <c r="H25" s="25"/>
      <c r="I25" s="293">
        <v>92477763.766283587</v>
      </c>
      <c r="J25" s="294">
        <v>102077454.02264182</v>
      </c>
      <c r="K25" s="295">
        <f t="shared" si="2"/>
        <v>194555217.78892541</v>
      </c>
    </row>
    <row r="26" spans="1:11" x14ac:dyDescent="0.25">
      <c r="A26" s="26">
        <f t="shared" si="1"/>
        <v>14</v>
      </c>
      <c r="B26" s="290">
        <v>285299691.76578259</v>
      </c>
      <c r="C26" s="290">
        <v>1515600000</v>
      </c>
      <c r="D26" s="290">
        <v>1482700000</v>
      </c>
      <c r="E26" s="290">
        <v>1553200000</v>
      </c>
      <c r="F26" s="290">
        <v>1508800000</v>
      </c>
      <c r="G26" s="291">
        <f t="shared" si="0"/>
        <v>6345599691.7657824</v>
      </c>
      <c r="H26" s="25"/>
      <c r="I26" s="293">
        <v>91546306.998326972</v>
      </c>
      <c r="J26" s="294">
        <v>103008910.79059844</v>
      </c>
      <c r="K26" s="295">
        <f t="shared" si="2"/>
        <v>194555217.78892541</v>
      </c>
    </row>
    <row r="27" spans="1:11" x14ac:dyDescent="0.25">
      <c r="A27" s="26">
        <f t="shared" si="1"/>
        <v>15</v>
      </c>
      <c r="B27" s="290">
        <v>181350824.66421998</v>
      </c>
      <c r="C27" s="290">
        <v>1515600000</v>
      </c>
      <c r="D27" s="290">
        <v>1482700000</v>
      </c>
      <c r="E27" s="290">
        <v>1553200000</v>
      </c>
      <c r="F27" s="290">
        <v>1508800000</v>
      </c>
      <c r="G27" s="291">
        <f t="shared" si="0"/>
        <v>6241650824.6642199</v>
      </c>
      <c r="H27" s="25"/>
      <c r="I27" s="293">
        <v>90606350.687362775</v>
      </c>
      <c r="J27" s="294">
        <v>103948867.10156263</v>
      </c>
      <c r="K27" s="295">
        <f t="shared" si="2"/>
        <v>194555217.78892541</v>
      </c>
    </row>
    <row r="28" spans="1:11" x14ac:dyDescent="0.25">
      <c r="A28" s="26">
        <f t="shared" si="1"/>
        <v>16</v>
      </c>
      <c r="B28" s="290">
        <v>76453424.150355577</v>
      </c>
      <c r="C28" s="290">
        <v>1515600000</v>
      </c>
      <c r="D28" s="290">
        <v>1482700000</v>
      </c>
      <c r="E28" s="290">
        <v>1553200000</v>
      </c>
      <c r="F28" s="290">
        <v>1508800000</v>
      </c>
      <c r="G28" s="291">
        <f t="shared" si="0"/>
        <v>6136753424.1503553</v>
      </c>
      <c r="H28" s="25"/>
      <c r="I28" s="293">
        <v>89657817.275061011</v>
      </c>
      <c r="J28" s="294">
        <v>104897400.5138644</v>
      </c>
      <c r="K28" s="295">
        <f t="shared" si="2"/>
        <v>194555217.78892541</v>
      </c>
    </row>
    <row r="29" spans="1:11" x14ac:dyDescent="0.25">
      <c r="A29" s="26">
        <f t="shared" si="1"/>
        <v>17</v>
      </c>
      <c r="B29" s="290">
        <v>0</v>
      </c>
      <c r="C29" s="290">
        <v>1486198834.8568022</v>
      </c>
      <c r="D29" s="290">
        <v>1482700000</v>
      </c>
      <c r="E29" s="290">
        <v>1553200000</v>
      </c>
      <c r="F29" s="290">
        <v>1508800000</v>
      </c>
      <c r="G29" s="291">
        <f t="shared" si="0"/>
        <v>6030898834.856802</v>
      </c>
      <c r="H29" s="25"/>
      <c r="I29" s="293">
        <v>88700628.495371997</v>
      </c>
      <c r="J29" s="294">
        <v>105854589.29355341</v>
      </c>
      <c r="K29" s="295">
        <f t="shared" si="2"/>
        <v>194555217.78892541</v>
      </c>
    </row>
    <row r="30" spans="1:11" x14ac:dyDescent="0.25">
      <c r="A30" s="26">
        <f t="shared" si="1"/>
        <v>18</v>
      </c>
      <c r="B30" s="290">
        <v>0</v>
      </c>
      <c r="C30" s="290">
        <v>1379261746.8161523</v>
      </c>
      <c r="D30" s="290">
        <v>1482700000</v>
      </c>
      <c r="E30" s="290">
        <v>1553200000</v>
      </c>
      <c r="F30" s="290">
        <v>1508800000</v>
      </c>
      <c r="G30" s="291">
        <f t="shared" si="0"/>
        <v>5923961746.8161526</v>
      </c>
      <c r="H30" s="25"/>
      <c r="I30" s="293">
        <v>87618129.748275548</v>
      </c>
      <c r="J30" s="294">
        <v>106937088.04064986</v>
      </c>
      <c r="K30" s="295">
        <f t="shared" si="2"/>
        <v>194555217.78892541</v>
      </c>
    </row>
    <row r="31" spans="1:11" x14ac:dyDescent="0.25">
      <c r="A31" s="26">
        <f t="shared" si="1"/>
        <v>19</v>
      </c>
      <c r="B31" s="290">
        <v>0</v>
      </c>
      <c r="C31" s="290">
        <v>1270924852.2930503</v>
      </c>
      <c r="D31" s="290">
        <v>1482700000</v>
      </c>
      <c r="E31" s="290">
        <v>1553200000</v>
      </c>
      <c r="F31" s="290">
        <v>1508800000</v>
      </c>
      <c r="G31" s="291">
        <f t="shared" si="0"/>
        <v>5815624852.2930508</v>
      </c>
      <c r="H31" s="25"/>
      <c r="I31" s="293">
        <v>86218323.265823439</v>
      </c>
      <c r="J31" s="294">
        <v>108336894.52310197</v>
      </c>
      <c r="K31" s="295">
        <f t="shared" si="2"/>
        <v>194555217.78892541</v>
      </c>
    </row>
    <row r="32" spans="1:11" x14ac:dyDescent="0.25">
      <c r="A32" s="26">
        <f t="shared" si="1"/>
        <v>20</v>
      </c>
      <c r="B32" s="290">
        <v>0</v>
      </c>
      <c r="C32" s="290">
        <v>1161169827.8206408</v>
      </c>
      <c r="D32" s="290">
        <v>1482700000</v>
      </c>
      <c r="E32" s="290">
        <v>1553200000</v>
      </c>
      <c r="F32" s="290">
        <v>1508800000</v>
      </c>
      <c r="G32" s="291">
        <f t="shared" si="0"/>
        <v>5705869827.8206406</v>
      </c>
      <c r="H32" s="25"/>
      <c r="I32" s="293">
        <v>84800193.316516027</v>
      </c>
      <c r="J32" s="294">
        <v>109755024.47240938</v>
      </c>
      <c r="K32" s="295">
        <f t="shared" si="2"/>
        <v>194555217.78892541</v>
      </c>
    </row>
    <row r="33" spans="1:11" x14ac:dyDescent="0.25">
      <c r="A33" s="26">
        <f t="shared" si="1"/>
        <v>21</v>
      </c>
      <c r="B33" s="290">
        <v>0</v>
      </c>
      <c r="C33" s="290">
        <v>1049978110.0778875</v>
      </c>
      <c r="D33" s="290">
        <v>1482700000</v>
      </c>
      <c r="E33" s="290">
        <v>1553200000</v>
      </c>
      <c r="F33" s="290">
        <v>1508800000</v>
      </c>
      <c r="G33" s="291">
        <f t="shared" si="0"/>
        <v>5594678110.0778875</v>
      </c>
      <c r="H33" s="25"/>
      <c r="I33" s="293">
        <v>83363500.046172187</v>
      </c>
      <c r="J33" s="294">
        <v>111191717.74275322</v>
      </c>
      <c r="K33" s="295">
        <f t="shared" si="2"/>
        <v>194555217.78892541</v>
      </c>
    </row>
    <row r="34" spans="1:11" x14ac:dyDescent="0.25">
      <c r="A34" s="26">
        <f t="shared" si="1"/>
        <v>22</v>
      </c>
      <c r="B34" s="290">
        <v>0</v>
      </c>
      <c r="C34" s="290">
        <v>937330892.74988174</v>
      </c>
      <c r="D34" s="290">
        <v>1482700000</v>
      </c>
      <c r="E34" s="290">
        <v>1553200000</v>
      </c>
      <c r="F34" s="290">
        <v>1508800000</v>
      </c>
      <c r="G34" s="291">
        <f t="shared" si="0"/>
        <v>5482030892.7498817</v>
      </c>
      <c r="H34" s="25"/>
      <c r="I34" s="293">
        <v>81908000.460919559</v>
      </c>
      <c r="J34" s="294">
        <v>112647217.32800585</v>
      </c>
      <c r="K34" s="295">
        <f t="shared" si="2"/>
        <v>194555217.78892541</v>
      </c>
    </row>
    <row r="35" spans="1:11" x14ac:dyDescent="0.25">
      <c r="A35" s="26">
        <f t="shared" si="1"/>
        <v>23</v>
      </c>
      <c r="B35" s="290">
        <v>0</v>
      </c>
      <c r="C35" s="290">
        <v>823209123.34705234</v>
      </c>
      <c r="D35" s="290">
        <v>1482700000</v>
      </c>
      <c r="E35" s="290">
        <v>1553200000</v>
      </c>
      <c r="F35" s="290">
        <v>1508800000</v>
      </c>
      <c r="G35" s="291">
        <f t="shared" si="0"/>
        <v>5367909123.3470526</v>
      </c>
      <c r="H35" s="25"/>
      <c r="I35" s="293">
        <v>80433448.386095956</v>
      </c>
      <c r="J35" s="294">
        <v>114121769.40282945</v>
      </c>
      <c r="K35" s="295">
        <f t="shared" si="2"/>
        <v>194555217.78892541</v>
      </c>
    </row>
    <row r="36" spans="1:11" x14ac:dyDescent="0.25">
      <c r="A36" s="26">
        <f t="shared" si="1"/>
        <v>24</v>
      </c>
      <c r="B36" s="290">
        <v>0</v>
      </c>
      <c r="C36" s="290">
        <v>707593499.98273981</v>
      </c>
      <c r="D36" s="290">
        <v>1482700000</v>
      </c>
      <c r="E36" s="290">
        <v>1553200000</v>
      </c>
      <c r="F36" s="290">
        <v>1508800000</v>
      </c>
      <c r="G36" s="291">
        <f t="shared" si="0"/>
        <v>5252293499.9827404</v>
      </c>
      <c r="H36" s="25"/>
      <c r="I36" s="293">
        <v>78939594.424612924</v>
      </c>
      <c r="J36" s="294">
        <v>115615623.36431248</v>
      </c>
      <c r="K36" s="295">
        <f t="shared" si="2"/>
        <v>194555217.78892541</v>
      </c>
    </row>
    <row r="37" spans="1:11" x14ac:dyDescent="0.25">
      <c r="A37" s="26">
        <f t="shared" si="1"/>
        <v>25</v>
      </c>
      <c r="B37" s="290">
        <v>0</v>
      </c>
      <c r="C37" s="290">
        <v>590464468.10858846</v>
      </c>
      <c r="D37" s="290">
        <v>1482700000</v>
      </c>
      <c r="E37" s="290">
        <v>1553200000</v>
      </c>
      <c r="F37" s="290">
        <v>1508800000</v>
      </c>
      <c r="G37" s="291">
        <f t="shared" si="0"/>
        <v>5135164468.1085882</v>
      </c>
      <c r="H37" s="25"/>
      <c r="I37" s="293">
        <v>77426185.91477406</v>
      </c>
      <c r="J37" s="294">
        <v>117129031.87415135</v>
      </c>
      <c r="K37" s="295">
        <f t="shared" si="2"/>
        <v>194555217.78892541</v>
      </c>
    </row>
    <row r="38" spans="1:11" x14ac:dyDescent="0.25">
      <c r="A38" s="26">
        <f t="shared" si="1"/>
        <v>26</v>
      </c>
      <c r="B38" s="290">
        <v>0</v>
      </c>
      <c r="C38" s="290">
        <v>471802217.20720446</v>
      </c>
      <c r="D38" s="290">
        <v>1482700000</v>
      </c>
      <c r="E38" s="290">
        <v>1553200000</v>
      </c>
      <c r="F38" s="290">
        <v>1508800000</v>
      </c>
      <c r="G38" s="291">
        <f t="shared" si="0"/>
        <v>5016502217.2072048</v>
      </c>
      <c r="H38" s="25"/>
      <c r="I38" s="293">
        <v>75892966.887541428</v>
      </c>
      <c r="J38" s="294">
        <v>118662250.90138398</v>
      </c>
      <c r="K38" s="295">
        <f t="shared" si="2"/>
        <v>194555217.78892541</v>
      </c>
    </row>
    <row r="39" spans="1:11" x14ac:dyDescent="0.25">
      <c r="A39" s="26">
        <f t="shared" si="1"/>
        <v>27</v>
      </c>
      <c r="B39" s="290">
        <v>0</v>
      </c>
      <c r="C39" s="290">
        <v>351586677.44152135</v>
      </c>
      <c r="D39" s="290">
        <v>1482700000</v>
      </c>
      <c r="E39" s="290">
        <v>1553200000</v>
      </c>
      <c r="F39" s="290">
        <v>1508800000</v>
      </c>
      <c r="G39" s="291">
        <f t="shared" si="0"/>
        <v>4896286677.4415216</v>
      </c>
      <c r="H39" s="25"/>
      <c r="I39" s="293">
        <v>74339678.02324231</v>
      </c>
      <c r="J39" s="294">
        <v>120215539.7656831</v>
      </c>
      <c r="K39" s="295">
        <f t="shared" si="2"/>
        <v>194555217.78892541</v>
      </c>
    </row>
    <row r="40" spans="1:11" x14ac:dyDescent="0.25">
      <c r="A40" s="26">
        <f t="shared" si="1"/>
        <v>28</v>
      </c>
      <c r="B40" s="290">
        <v>0</v>
      </c>
      <c r="C40" s="290">
        <v>229797516.26030546</v>
      </c>
      <c r="D40" s="290">
        <v>1482700000</v>
      </c>
      <c r="E40" s="290">
        <v>1553200000</v>
      </c>
      <c r="F40" s="290">
        <v>1508800000</v>
      </c>
      <c r="G40" s="291">
        <f t="shared" si="0"/>
        <v>4774497516.2603054</v>
      </c>
      <c r="H40" s="25"/>
      <c r="I40" s="293">
        <v>72766056.607709512</v>
      </c>
      <c r="J40" s="294">
        <v>121789161.1812159</v>
      </c>
      <c r="K40" s="295">
        <f t="shared" si="2"/>
        <v>194555217.78892541</v>
      </c>
    </row>
    <row r="41" spans="1:11" x14ac:dyDescent="0.25">
      <c r="A41" s="26">
        <f t="shared" si="1"/>
        <v>29</v>
      </c>
      <c r="B41" s="290">
        <v>0</v>
      </c>
      <c r="C41" s="290">
        <v>106414134.95922746</v>
      </c>
      <c r="D41" s="290">
        <v>1482700000</v>
      </c>
      <c r="E41" s="290">
        <v>1553200000</v>
      </c>
      <c r="F41" s="290">
        <v>1508800000</v>
      </c>
      <c r="G41" s="291">
        <f t="shared" si="0"/>
        <v>4651114134.9592276</v>
      </c>
      <c r="H41" s="25"/>
      <c r="I41" s="293">
        <v>71171836.487847403</v>
      </c>
      <c r="J41" s="294">
        <v>123383381.30107801</v>
      </c>
      <c r="K41" s="295">
        <f t="shared" si="2"/>
        <v>194555217.78892541</v>
      </c>
    </row>
    <row r="42" spans="1:11" x14ac:dyDescent="0.25">
      <c r="A42" s="26">
        <f t="shared" si="1"/>
        <v>30</v>
      </c>
      <c r="B42" s="290">
        <v>0</v>
      </c>
      <c r="C42" s="290">
        <v>0</v>
      </c>
      <c r="D42" s="290">
        <v>1464115665.1969182</v>
      </c>
      <c r="E42" s="290">
        <v>1553200000</v>
      </c>
      <c r="F42" s="290">
        <v>1508800000</v>
      </c>
      <c r="G42" s="291">
        <f t="shared" si="0"/>
        <v>4526115665.1969185</v>
      </c>
      <c r="H42" s="27"/>
      <c r="I42" s="293">
        <v>69556748.02661629</v>
      </c>
      <c r="J42" s="294">
        <v>124998469.76230912</v>
      </c>
      <c r="K42" s="295">
        <f t="shared" si="2"/>
        <v>194555217.78892541</v>
      </c>
    </row>
    <row r="43" spans="1:11" x14ac:dyDescent="0.25">
      <c r="A43" s="26">
        <f t="shared" si="1"/>
        <v>31</v>
      </c>
      <c r="B43" s="290">
        <v>0</v>
      </c>
      <c r="C43" s="290">
        <v>0</v>
      </c>
      <c r="D43" s="290">
        <v>1337463124.5040095</v>
      </c>
      <c r="E43" s="290">
        <v>1553200000</v>
      </c>
      <c r="F43" s="290">
        <v>1508800000</v>
      </c>
      <c r="G43" s="291">
        <f t="shared" si="0"/>
        <v>4399463124.5040092</v>
      </c>
      <c r="H43" s="27"/>
      <c r="I43" s="293">
        <v>67902677.096016705</v>
      </c>
      <c r="J43" s="294">
        <v>126652540.6929087</v>
      </c>
      <c r="K43" s="295">
        <f t="shared" si="2"/>
        <v>194555217.78892541</v>
      </c>
    </row>
    <row r="44" spans="1:11" x14ac:dyDescent="0.25">
      <c r="A44" s="26">
        <f t="shared" si="1"/>
        <v>32</v>
      </c>
      <c r="B44" s="290">
        <v>0</v>
      </c>
      <c r="C44" s="290">
        <v>0</v>
      </c>
      <c r="D44" s="290">
        <v>1209031115.6143653</v>
      </c>
      <c r="E44" s="290">
        <v>1553200000</v>
      </c>
      <c r="F44" s="290">
        <v>1508800000</v>
      </c>
      <c r="G44" s="291">
        <f t="shared" si="0"/>
        <v>4271031115.6143656</v>
      </c>
      <c r="H44" s="27"/>
      <c r="I44" s="293">
        <v>66123208.899281338</v>
      </c>
      <c r="J44" s="294">
        <v>128432008.88964407</v>
      </c>
      <c r="K44" s="295">
        <f t="shared" si="2"/>
        <v>194555217.78892541</v>
      </c>
    </row>
    <row r="45" spans="1:11" x14ac:dyDescent="0.25">
      <c r="A45" s="26">
        <f t="shared" si="1"/>
        <v>33</v>
      </c>
      <c r="B45" s="290">
        <v>0</v>
      </c>
      <c r="C45" s="290">
        <v>0</v>
      </c>
      <c r="D45" s="290">
        <v>1078794636.9998217</v>
      </c>
      <c r="E45" s="290">
        <v>1553200000</v>
      </c>
      <c r="F45" s="290">
        <v>1508800000</v>
      </c>
      <c r="G45" s="291">
        <f t="shared" si="0"/>
        <v>4140794636.9998217</v>
      </c>
      <c r="H45" s="27"/>
      <c r="I45" s="293">
        <v>64318739.174381837</v>
      </c>
      <c r="J45" s="294">
        <v>130236478.61454357</v>
      </c>
      <c r="K45" s="295">
        <f t="shared" si="2"/>
        <v>194555217.78892541</v>
      </c>
    </row>
    <row r="46" spans="1:11" x14ac:dyDescent="0.25">
      <c r="A46" s="26">
        <f t="shared" si="1"/>
        <v>34</v>
      </c>
      <c r="B46" s="290">
        <v>0</v>
      </c>
      <c r="C46" s="290">
        <v>0</v>
      </c>
      <c r="D46" s="290">
        <v>946728335.86074376</v>
      </c>
      <c r="E46" s="290">
        <v>1553200000</v>
      </c>
      <c r="F46" s="290">
        <v>1508800000</v>
      </c>
      <c r="G46" s="291">
        <f t="shared" si="0"/>
        <v>4008728335.8607435</v>
      </c>
      <c r="H46" s="27"/>
      <c r="I46" s="293">
        <v>62488916.649847493</v>
      </c>
      <c r="J46" s="294">
        <v>132066301.13907792</v>
      </c>
      <c r="K46" s="295">
        <f t="shared" si="2"/>
        <v>194555217.78892541</v>
      </c>
    </row>
    <row r="47" spans="1:11" x14ac:dyDescent="0.25">
      <c r="A47" s="26">
        <f t="shared" si="1"/>
        <v>35</v>
      </c>
      <c r="B47" s="290">
        <v>0</v>
      </c>
      <c r="C47" s="290">
        <v>0</v>
      </c>
      <c r="D47" s="290">
        <v>812806503.19066179</v>
      </c>
      <c r="E47" s="290">
        <v>1553200000</v>
      </c>
      <c r="F47" s="290">
        <v>1508800000</v>
      </c>
      <c r="G47" s="291">
        <f t="shared" si="0"/>
        <v>3874806503.1906619</v>
      </c>
      <c r="H47" s="27"/>
      <c r="I47" s="293">
        <v>60633385.118843451</v>
      </c>
      <c r="J47" s="294">
        <v>133921832.67008196</v>
      </c>
      <c r="K47" s="295">
        <f t="shared" si="2"/>
        <v>194555217.78892541</v>
      </c>
    </row>
    <row r="48" spans="1:11" x14ac:dyDescent="0.25">
      <c r="A48" s="26">
        <f t="shared" si="1"/>
        <v>36</v>
      </c>
      <c r="B48" s="290">
        <v>0</v>
      </c>
      <c r="C48" s="290">
        <v>0</v>
      </c>
      <c r="D48" s="290">
        <v>677003068.7715652</v>
      </c>
      <c r="E48" s="290">
        <v>1553200000</v>
      </c>
      <c r="F48" s="290">
        <v>1508800000</v>
      </c>
      <c r="G48" s="291">
        <f t="shared" si="0"/>
        <v>3739003068.7715654</v>
      </c>
      <c r="H48" s="27"/>
      <c r="I48" s="293">
        <v>58751783.369828805</v>
      </c>
      <c r="J48" s="294">
        <v>135803434.41909659</v>
      </c>
      <c r="K48" s="295">
        <f t="shared" si="2"/>
        <v>194555217.78892541</v>
      </c>
    </row>
    <row r="49" spans="1:11" x14ac:dyDescent="0.25">
      <c r="A49" s="26">
        <f t="shared" si="1"/>
        <v>37</v>
      </c>
      <c r="B49" s="290">
        <v>0</v>
      </c>
      <c r="C49" s="290">
        <v>0</v>
      </c>
      <c r="D49" s="290">
        <v>539291596.09888029</v>
      </c>
      <c r="E49" s="290">
        <v>1553200000</v>
      </c>
      <c r="F49" s="290">
        <v>1508800000</v>
      </c>
      <c r="G49" s="291">
        <f t="shared" si="0"/>
        <v>3601291596.0988803</v>
      </c>
      <c r="H49" s="27"/>
      <c r="I49" s="293">
        <v>56843745.116240494</v>
      </c>
      <c r="J49" s="294">
        <v>137711472.67268491</v>
      </c>
      <c r="K49" s="295">
        <f t="shared" si="2"/>
        <v>194555217.78892541</v>
      </c>
    </row>
    <row r="50" spans="1:11" x14ac:dyDescent="0.25">
      <c r="A50" s="26">
        <f t="shared" si="1"/>
        <v>38</v>
      </c>
      <c r="B50" s="290">
        <v>0</v>
      </c>
      <c r="C50" s="290">
        <v>0</v>
      </c>
      <c r="D50" s="290">
        <v>399645277.23514414</v>
      </c>
      <c r="E50" s="290">
        <v>1553200000</v>
      </c>
      <c r="F50" s="290">
        <v>1508800000</v>
      </c>
      <c r="G50" s="291">
        <f t="shared" si="0"/>
        <v>3461645277.2351441</v>
      </c>
      <c r="H50" s="27"/>
      <c r="I50" s="293">
        <v>54908898.925189272</v>
      </c>
      <c r="J50" s="294">
        <v>139646318.86373615</v>
      </c>
      <c r="K50" s="295">
        <f t="shared" si="2"/>
        <v>194555217.78892541</v>
      </c>
    </row>
    <row r="51" spans="1:11" x14ac:dyDescent="0.25">
      <c r="A51" s="26">
        <f t="shared" si="1"/>
        <v>39</v>
      </c>
      <c r="B51" s="290">
        <v>0</v>
      </c>
      <c r="C51" s="290">
        <v>0</v>
      </c>
      <c r="D51" s="290">
        <v>258036927.59137249</v>
      </c>
      <c r="E51" s="290">
        <v>1553200000</v>
      </c>
      <c r="F51" s="290">
        <v>1508800000</v>
      </c>
      <c r="G51" s="291">
        <f t="shared" si="0"/>
        <v>3320036927.5913725</v>
      </c>
      <c r="H51" s="27"/>
      <c r="I51" s="293">
        <v>52946868.145153776</v>
      </c>
      <c r="J51" s="294">
        <v>141608349.64377165</v>
      </c>
      <c r="K51" s="295">
        <f t="shared" si="2"/>
        <v>194555217.78892541</v>
      </c>
    </row>
    <row r="52" spans="1:11" x14ac:dyDescent="0.25">
      <c r="A52" s="26">
        <f t="shared" si="1"/>
        <v>40</v>
      </c>
      <c r="B52" s="290">
        <v>0</v>
      </c>
      <c r="C52" s="290">
        <v>0</v>
      </c>
      <c r="D52" s="290">
        <v>114438980.63510585</v>
      </c>
      <c r="E52" s="290">
        <v>1553200000</v>
      </c>
      <c r="F52" s="290">
        <v>1508800000</v>
      </c>
      <c r="G52" s="291">
        <f t="shared" si="0"/>
        <v>3176438980.6351061</v>
      </c>
      <c r="H52" s="27"/>
      <c r="I52" s="293">
        <v>50957270.832658783</v>
      </c>
      <c r="J52" s="294">
        <v>143597946.95626664</v>
      </c>
      <c r="K52" s="295">
        <f t="shared" si="2"/>
        <v>194555217.78892541</v>
      </c>
    </row>
    <row r="53" spans="1:11" x14ac:dyDescent="0.25">
      <c r="A53" s="26">
        <f t="shared" si="1"/>
        <v>41</v>
      </c>
      <c r="B53" s="290">
        <v>0</v>
      </c>
      <c r="C53" s="290">
        <v>0</v>
      </c>
      <c r="D53" s="290">
        <v>0</v>
      </c>
      <c r="E53" s="290">
        <v>1522023482.5241036</v>
      </c>
      <c r="F53" s="290">
        <v>1508800000</v>
      </c>
      <c r="G53" s="291">
        <f t="shared" si="0"/>
        <v>3030823482.5241036</v>
      </c>
      <c r="H53" s="27"/>
      <c r="I53" s="293">
        <v>48939719.67792324</v>
      </c>
      <c r="J53" s="294">
        <v>145615498.11100218</v>
      </c>
      <c r="K53" s="295">
        <f t="shared" si="2"/>
        <v>194555217.78892541</v>
      </c>
    </row>
    <row r="54" spans="1:11" x14ac:dyDescent="0.25">
      <c r="A54" s="26">
        <f t="shared" si="1"/>
        <v>42</v>
      </c>
      <c r="B54" s="290">
        <v>0</v>
      </c>
      <c r="C54" s="290">
        <v>0</v>
      </c>
      <c r="D54" s="290">
        <v>0</v>
      </c>
      <c r="E54" s="290">
        <v>1374333404.268564</v>
      </c>
      <c r="F54" s="290">
        <v>1508800000</v>
      </c>
      <c r="G54" s="291">
        <f t="shared" si="0"/>
        <v>2883133404.2685642</v>
      </c>
      <c r="H54" s="27"/>
      <c r="I54" s="293">
        <v>46865139.533385836</v>
      </c>
      <c r="J54" s="294">
        <v>147690078.25553957</v>
      </c>
      <c r="K54" s="295">
        <f t="shared" si="2"/>
        <v>194555217.78892541</v>
      </c>
    </row>
    <row r="55" spans="1:11" x14ac:dyDescent="0.25">
      <c r="A55" s="26">
        <f t="shared" si="1"/>
        <v>43</v>
      </c>
      <c r="B55" s="290">
        <v>0</v>
      </c>
      <c r="C55" s="290">
        <v>0</v>
      </c>
      <c r="D55" s="290">
        <v>0</v>
      </c>
      <c r="E55" s="290">
        <v>1224432405.541539</v>
      </c>
      <c r="F55" s="290">
        <v>1508800000</v>
      </c>
      <c r="G55" s="291">
        <f t="shared" si="0"/>
        <v>2733232405.5415392</v>
      </c>
      <c r="H55" s="27"/>
      <c r="I55" s="293">
        <v>44654219.061900407</v>
      </c>
      <c r="J55" s="294">
        <v>149900998.727025</v>
      </c>
      <c r="K55" s="295">
        <f t="shared" si="2"/>
        <v>194555217.78892541</v>
      </c>
    </row>
    <row r="56" spans="1:11" x14ac:dyDescent="0.25">
      <c r="A56" s="26">
        <f t="shared" si="1"/>
        <v>44</v>
      </c>
      <c r="B56" s="290">
        <v>0</v>
      </c>
      <c r="C56" s="290">
        <v>0</v>
      </c>
      <c r="D56" s="290">
        <v>0</v>
      </c>
      <c r="E56" s="290">
        <v>1072287388.8635705</v>
      </c>
      <c r="F56" s="290">
        <v>1508800000</v>
      </c>
      <c r="G56" s="291">
        <f t="shared" si="0"/>
        <v>2581087388.8635702</v>
      </c>
      <c r="H56" s="27"/>
      <c r="I56" s="293">
        <v>42410201.110956848</v>
      </c>
      <c r="J56" s="294">
        <v>152145016.67796856</v>
      </c>
      <c r="K56" s="295">
        <f t="shared" si="2"/>
        <v>194555217.78892541</v>
      </c>
    </row>
    <row r="57" spans="1:11" x14ac:dyDescent="0.25">
      <c r="A57" s="26">
        <f t="shared" si="1"/>
        <v>45</v>
      </c>
      <c r="B57" s="290">
        <v>0</v>
      </c>
      <c r="C57" s="290">
        <v>0</v>
      </c>
      <c r="D57" s="290">
        <v>0</v>
      </c>
      <c r="E57" s="290">
        <v>917864761.28593266</v>
      </c>
      <c r="F57" s="290">
        <v>1508800000</v>
      </c>
      <c r="G57" s="291">
        <f t="shared" si="0"/>
        <v>2426664761.2859325</v>
      </c>
      <c r="H57" s="27"/>
      <c r="I57" s="293">
        <v>40132590.211287655</v>
      </c>
      <c r="J57" s="294">
        <v>154422627.57763776</v>
      </c>
      <c r="K57" s="295">
        <f t="shared" si="2"/>
        <v>194555217.78892541</v>
      </c>
    </row>
    <row r="58" spans="1:11" x14ac:dyDescent="0.25">
      <c r="A58" s="26">
        <f t="shared" si="1"/>
        <v>46</v>
      </c>
      <c r="B58" s="290">
        <v>0</v>
      </c>
      <c r="C58" s="290">
        <v>0</v>
      </c>
      <c r="D58" s="290">
        <v>0</v>
      </c>
      <c r="E58" s="290">
        <v>761130426.97345769</v>
      </c>
      <c r="F58" s="290">
        <v>1508800000</v>
      </c>
      <c r="G58" s="291">
        <f t="shared" si="0"/>
        <v>2269930426.9734578</v>
      </c>
      <c r="H58" s="27"/>
      <c r="I58" s="293">
        <v>37820883.476450413</v>
      </c>
      <c r="J58" s="294">
        <v>156734334.312475</v>
      </c>
      <c r="K58" s="295">
        <f t="shared" si="2"/>
        <v>194555217.78892541</v>
      </c>
    </row>
    <row r="59" spans="1:11" x14ac:dyDescent="0.25">
      <c r="A59" s="26">
        <f t="shared" si="1"/>
        <v>47</v>
      </c>
      <c r="B59" s="290">
        <v>0</v>
      </c>
      <c r="C59" s="290">
        <v>0</v>
      </c>
      <c r="D59" s="290">
        <v>0</v>
      </c>
      <c r="E59" s="290">
        <v>602049779.67632496</v>
      </c>
      <c r="F59" s="290">
        <v>1508800000</v>
      </c>
      <c r="G59" s="291">
        <f t="shared" si="0"/>
        <v>2110849779.6763248</v>
      </c>
      <c r="H59" s="27"/>
      <c r="I59" s="293">
        <v>35474570.491792664</v>
      </c>
      <c r="J59" s="294">
        <v>159080647.29713273</v>
      </c>
      <c r="K59" s="295">
        <f t="shared" si="2"/>
        <v>194555217.78892541</v>
      </c>
    </row>
    <row r="60" spans="1:11" x14ac:dyDescent="0.25">
      <c r="A60" s="26">
        <f t="shared" si="1"/>
        <v>48</v>
      </c>
      <c r="B60" s="290">
        <v>0</v>
      </c>
      <c r="C60" s="290">
        <v>0</v>
      </c>
      <c r="D60" s="290">
        <v>0</v>
      </c>
      <c r="E60" s="290">
        <v>440587695.08915412</v>
      </c>
      <c r="F60" s="290">
        <v>1508800000</v>
      </c>
      <c r="G60" s="291">
        <f t="shared" si="0"/>
        <v>1949387695.0891542</v>
      </c>
      <c r="H60" s="27"/>
      <c r="I60" s="293">
        <v>33093133.201754589</v>
      </c>
      <c r="J60" s="294">
        <v>161462084.58717081</v>
      </c>
      <c r="K60" s="295">
        <f t="shared" si="2"/>
        <v>194555217.78892541</v>
      </c>
    </row>
    <row r="61" spans="1:11" x14ac:dyDescent="0.25">
      <c r="A61" s="26">
        <f t="shared" si="1"/>
        <v>49</v>
      </c>
      <c r="B61" s="290">
        <v>0</v>
      </c>
      <c r="C61" s="290">
        <v>0</v>
      </c>
      <c r="D61" s="290">
        <v>0</v>
      </c>
      <c r="E61" s="290">
        <v>276708523.09571338</v>
      </c>
      <c r="F61" s="290">
        <v>1508800000</v>
      </c>
      <c r="G61" s="291">
        <f t="shared" si="0"/>
        <v>1785508523.0957134</v>
      </c>
      <c r="H61" s="27"/>
      <c r="I61" s="293">
        <v>30676045.79548464</v>
      </c>
      <c r="J61" s="294">
        <v>163879171.99344078</v>
      </c>
      <c r="K61" s="295">
        <f t="shared" si="2"/>
        <v>194555217.78892541</v>
      </c>
    </row>
    <row r="62" spans="1:11" x14ac:dyDescent="0.25">
      <c r="A62" s="26">
        <f t="shared" si="1"/>
        <v>50</v>
      </c>
      <c r="B62" s="290">
        <v>0</v>
      </c>
      <c r="C62" s="290">
        <v>0</v>
      </c>
      <c r="D62" s="290">
        <v>0</v>
      </c>
      <c r="E62" s="290">
        <v>110376079.89753079</v>
      </c>
      <c r="F62" s="290">
        <v>1508800000</v>
      </c>
      <c r="G62" s="291">
        <f t="shared" si="0"/>
        <v>1619176079.8975308</v>
      </c>
      <c r="H62" s="27"/>
      <c r="I62" s="293">
        <v>28222774.590742834</v>
      </c>
      <c r="J62" s="294">
        <v>166332443.19818258</v>
      </c>
      <c r="K62" s="295">
        <f t="shared" si="2"/>
        <v>194555217.78892541</v>
      </c>
    </row>
    <row r="63" spans="1:11" x14ac:dyDescent="0.25">
      <c r="A63" s="26">
        <f t="shared" si="1"/>
        <v>51</v>
      </c>
      <c r="B63" s="290">
        <v>0</v>
      </c>
      <c r="C63" s="290">
        <v>0</v>
      </c>
      <c r="D63" s="290">
        <v>0</v>
      </c>
      <c r="E63" s="290">
        <v>0</v>
      </c>
      <c r="F63" s="290">
        <v>1450353640.0246716</v>
      </c>
      <c r="G63" s="291">
        <f t="shared" si="0"/>
        <v>1450353640.0246716</v>
      </c>
      <c r="H63" s="27"/>
      <c r="I63" s="293">
        <v>25732777.916066039</v>
      </c>
      <c r="J63" s="294">
        <v>168822439.87285936</v>
      </c>
      <c r="K63" s="295">
        <f t="shared" si="2"/>
        <v>194555217.78892541</v>
      </c>
    </row>
    <row r="64" spans="1:11" x14ac:dyDescent="0.25">
      <c r="A64" s="26">
        <f t="shared" si="1"/>
        <v>52</v>
      </c>
      <c r="B64" s="290">
        <v>0</v>
      </c>
      <c r="C64" s="290">
        <v>0</v>
      </c>
      <c r="D64" s="290">
        <v>0</v>
      </c>
      <c r="E64" s="290">
        <v>0</v>
      </c>
      <c r="F64" s="290">
        <v>1278946066.3305399</v>
      </c>
      <c r="G64" s="291">
        <f t="shared" si="0"/>
        <v>1278946066.3305399</v>
      </c>
      <c r="H64" s="27"/>
      <c r="I64" s="293">
        <v>23147644.094793759</v>
      </c>
      <c r="J64" s="294">
        <v>171407573.69413164</v>
      </c>
      <c r="K64" s="295">
        <f t="shared" si="2"/>
        <v>194555217.78892541</v>
      </c>
    </row>
    <row r="65" spans="1:11" x14ac:dyDescent="0.25">
      <c r="A65" s="26">
        <f t="shared" si="1"/>
        <v>53</v>
      </c>
      <c r="B65" s="290">
        <v>0</v>
      </c>
      <c r="C65" s="290">
        <v>0</v>
      </c>
      <c r="D65" s="290">
        <v>0</v>
      </c>
      <c r="E65" s="290">
        <v>0</v>
      </c>
      <c r="F65" s="290">
        <v>1104802827.7602499</v>
      </c>
      <c r="G65" s="291">
        <f t="shared" si="0"/>
        <v>1104802827.7602499</v>
      </c>
      <c r="H65" s="27"/>
      <c r="I65" s="293">
        <v>20411979.218635421</v>
      </c>
      <c r="J65" s="294">
        <v>174143238.57029</v>
      </c>
      <c r="K65" s="295">
        <f t="shared" si="2"/>
        <v>194555217.78892541</v>
      </c>
    </row>
    <row r="66" spans="1:11" x14ac:dyDescent="0.25">
      <c r="A66" s="26">
        <f t="shared" si="1"/>
        <v>54</v>
      </c>
      <c r="B66" s="290">
        <v>0</v>
      </c>
      <c r="C66" s="290">
        <v>0</v>
      </c>
      <c r="D66" s="290">
        <v>0</v>
      </c>
      <c r="E66" s="290">
        <v>0</v>
      </c>
      <c r="F66" s="290">
        <v>927880263.10237801</v>
      </c>
      <c r="G66" s="291">
        <f t="shared" si="0"/>
        <v>927880263.10237801</v>
      </c>
      <c r="H66" s="27"/>
      <c r="I66" s="293">
        <v>17632653.131053589</v>
      </c>
      <c r="J66" s="294">
        <v>176922564.65787181</v>
      </c>
      <c r="K66" s="295">
        <f t="shared" si="2"/>
        <v>194555217.78892541</v>
      </c>
    </row>
    <row r="67" spans="1:11" x14ac:dyDescent="0.25">
      <c r="A67" s="26">
        <f t="shared" si="1"/>
        <v>55</v>
      </c>
      <c r="B67" s="290">
        <v>0</v>
      </c>
      <c r="C67" s="290">
        <v>0</v>
      </c>
      <c r="D67" s="290">
        <v>0</v>
      </c>
      <c r="E67" s="290">
        <v>0</v>
      </c>
      <c r="F67" s="290">
        <v>748134014.31256652</v>
      </c>
      <c r="G67" s="291">
        <f t="shared" si="0"/>
        <v>748134014.31256652</v>
      </c>
      <c r="H67" s="27"/>
      <c r="I67" s="293">
        <v>14808968.999113955</v>
      </c>
      <c r="J67" s="294">
        <v>179746248.78981146</v>
      </c>
      <c r="K67" s="295">
        <f t="shared" si="2"/>
        <v>194555217.78892541</v>
      </c>
    </row>
    <row r="68" spans="1:11" x14ac:dyDescent="0.25">
      <c r="A68" s="26">
        <f t="shared" si="1"/>
        <v>56</v>
      </c>
      <c r="B68" s="290">
        <v>0</v>
      </c>
      <c r="C68" s="290">
        <v>0</v>
      </c>
      <c r="D68" s="290">
        <v>0</v>
      </c>
      <c r="E68" s="290">
        <v>0</v>
      </c>
      <c r="F68" s="290">
        <v>565519015.3920697</v>
      </c>
      <c r="G68" s="291">
        <f t="shared" si="0"/>
        <v>565519015.3920697</v>
      </c>
      <c r="H68" s="27"/>
      <c r="I68" s="293">
        <v>11940218.868428564</v>
      </c>
      <c r="J68" s="294">
        <v>182614998.92049685</v>
      </c>
      <c r="K68" s="295">
        <f t="shared" si="2"/>
        <v>194555217.78892541</v>
      </c>
    </row>
    <row r="69" spans="1:11" x14ac:dyDescent="0.25">
      <c r="A69" s="26">
        <f t="shared" si="1"/>
        <v>57</v>
      </c>
      <c r="B69" s="290">
        <v>0</v>
      </c>
      <c r="C69" s="290">
        <v>0</v>
      </c>
      <c r="D69" s="290">
        <v>0</v>
      </c>
      <c r="E69" s="290">
        <v>0</v>
      </c>
      <c r="F69" s="290">
        <v>379989481.08880174</v>
      </c>
      <c r="G69" s="291">
        <f t="shared" si="0"/>
        <v>379989481.08880174</v>
      </c>
      <c r="H69" s="27"/>
      <c r="I69" s="293">
        <v>9025683.485657433</v>
      </c>
      <c r="J69" s="294">
        <v>185529534.30326799</v>
      </c>
      <c r="K69" s="295">
        <f t="shared" si="2"/>
        <v>194555217.78892541</v>
      </c>
    </row>
    <row r="70" spans="1:11" x14ac:dyDescent="0.25">
      <c r="A70" s="26">
        <f t="shared" si="1"/>
        <v>58</v>
      </c>
      <c r="B70" s="290">
        <v>0</v>
      </c>
      <c r="C70" s="290">
        <v>0</v>
      </c>
      <c r="D70" s="290">
        <v>0</v>
      </c>
      <c r="E70" s="290">
        <v>0</v>
      </c>
      <c r="F70" s="290">
        <v>191498895.4180536</v>
      </c>
      <c r="G70" s="291">
        <f t="shared" si="0"/>
        <v>191498895.4180536</v>
      </c>
      <c r="H70" s="27"/>
      <c r="I70" s="293">
        <v>6064632.1181772761</v>
      </c>
      <c r="J70" s="294">
        <v>188490585.67074814</v>
      </c>
      <c r="K70" s="295">
        <f t="shared" si="2"/>
        <v>194555217.78892541</v>
      </c>
    </row>
    <row r="71" spans="1:11" x14ac:dyDescent="0.25">
      <c r="A71" s="28">
        <f t="shared" si="1"/>
        <v>59</v>
      </c>
      <c r="B71" s="306">
        <v>0</v>
      </c>
      <c r="C71" s="306">
        <v>0</v>
      </c>
      <c r="D71" s="306">
        <v>0</v>
      </c>
      <c r="E71" s="306">
        <v>0</v>
      </c>
      <c r="F71" s="306">
        <v>3.2782554626464844E-7</v>
      </c>
      <c r="G71" s="306">
        <f t="shared" si="0"/>
        <v>3.2782554626464844E-7</v>
      </c>
      <c r="H71" s="27"/>
      <c r="I71" s="303">
        <v>3056322.3708721357</v>
      </c>
      <c r="J71" s="304">
        <v>191498895.41805327</v>
      </c>
      <c r="K71" s="305">
        <f t="shared" si="2"/>
        <v>194555217.78892541</v>
      </c>
    </row>
  </sheetData>
  <mergeCells count="3">
    <mergeCell ref="B10:G10"/>
    <mergeCell ref="I10:K10"/>
    <mergeCell ref="I8:K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2:Q31"/>
  <sheetViews>
    <sheetView showGridLines="0" view="pageBreakPreview" zoomScale="85" zoomScaleNormal="85" zoomScaleSheetLayoutView="85" workbookViewId="0">
      <selection activeCell="C37" sqref="C37"/>
    </sheetView>
  </sheetViews>
  <sheetFormatPr defaultColWidth="9.140625" defaultRowHeight="14.25" x14ac:dyDescent="0.2"/>
  <cols>
    <col min="1" max="1" width="4.85546875" style="5" customWidth="1"/>
    <col min="2" max="2" width="41.42578125" style="5" customWidth="1"/>
    <col min="3" max="16384" width="9.140625" style="5"/>
  </cols>
  <sheetData>
    <row r="2" spans="1:17" ht="15" x14ac:dyDescent="0.25">
      <c r="B2" s="307" t="s">
        <v>106</v>
      </c>
      <c r="C2" s="307"/>
      <c r="D2" s="307"/>
      <c r="E2" s="307"/>
      <c r="F2" s="307"/>
      <c r="G2" s="307"/>
      <c r="H2" s="307"/>
      <c r="I2" s="307"/>
      <c r="J2" s="307"/>
      <c r="K2" s="307"/>
      <c r="L2" s="307"/>
      <c r="M2" s="307"/>
      <c r="N2" s="307"/>
      <c r="O2" s="307"/>
      <c r="P2" s="307"/>
      <c r="Q2" s="307"/>
    </row>
    <row r="3" spans="1:17" ht="15" x14ac:dyDescent="0.25">
      <c r="B3" s="307" t="s">
        <v>107</v>
      </c>
      <c r="C3" s="307"/>
      <c r="D3" s="307"/>
      <c r="E3" s="307"/>
      <c r="F3" s="307"/>
      <c r="G3" s="307"/>
      <c r="H3" s="307"/>
      <c r="I3" s="307"/>
      <c r="J3" s="307"/>
      <c r="K3" s="307"/>
      <c r="L3" s="307"/>
      <c r="M3" s="307"/>
      <c r="N3" s="307"/>
      <c r="O3" s="307"/>
      <c r="P3" s="307"/>
      <c r="Q3" s="307"/>
    </row>
    <row r="4" spans="1:17" x14ac:dyDescent="0.2">
      <c r="B4" s="308" t="s">
        <v>5</v>
      </c>
      <c r="C4" s="308"/>
      <c r="D4" s="308"/>
      <c r="E4" s="308"/>
      <c r="F4" s="308"/>
      <c r="G4" s="308"/>
      <c r="H4" s="308"/>
      <c r="I4" s="308"/>
      <c r="J4" s="308"/>
      <c r="K4" s="308"/>
      <c r="L4" s="308"/>
      <c r="M4" s="308"/>
      <c r="N4" s="308"/>
      <c r="O4" s="308"/>
      <c r="P4" s="308"/>
      <c r="Q4" s="308"/>
    </row>
    <row r="6" spans="1:17" ht="15" x14ac:dyDescent="0.25">
      <c r="C6" s="197">
        <f>'Exhibit 3-2'!E13</f>
        <v>2021</v>
      </c>
      <c r="D6" s="197">
        <f>'Exhibit 3-2'!F13</f>
        <v>2022</v>
      </c>
      <c r="E6" s="197">
        <f>'Exhibit 3-2'!G13</f>
        <v>2023</v>
      </c>
      <c r="F6" s="197">
        <f>'Exhibit 3-2'!H13</f>
        <v>2024</v>
      </c>
      <c r="G6" s="197">
        <f>'Exhibit 3-2'!I13</f>
        <v>2025</v>
      </c>
      <c r="H6" s="197">
        <f>'Exhibit 3-2'!J13</f>
        <v>2026</v>
      </c>
      <c r="I6" s="197">
        <f>'Exhibit 3-2'!K13</f>
        <v>2027</v>
      </c>
      <c r="J6" s="197">
        <f>'Exhibit 3-2'!L13</f>
        <v>2028</v>
      </c>
      <c r="K6" s="197">
        <f>'Exhibit 3-2'!M13</f>
        <v>2029</v>
      </c>
      <c r="L6" s="197">
        <f>'Exhibit 3-2'!N13</f>
        <v>2030</v>
      </c>
      <c r="M6" s="197">
        <f>'Exhibit 3-2'!O13</f>
        <v>2031</v>
      </c>
      <c r="N6" s="197">
        <f>'Exhibit 3-2'!P13</f>
        <v>2032</v>
      </c>
      <c r="O6" s="197">
        <f>'Exhibit 3-2'!Q13</f>
        <v>2033</v>
      </c>
      <c r="P6" s="197">
        <f>'Exhibit 3-2'!R13</f>
        <v>2034</v>
      </c>
      <c r="Q6" s="197">
        <f>'Exhibit 3-2'!S13</f>
        <v>2035</v>
      </c>
    </row>
    <row r="7" spans="1:17" ht="15" x14ac:dyDescent="0.25">
      <c r="A7" s="159">
        <f>'Exhibit 3-2'!A14</f>
        <v>1</v>
      </c>
      <c r="B7" s="196" t="str">
        <f>'Exhibit 3-2'!B14</f>
        <v>Fixed Recovery Charge (FRC)</v>
      </c>
    </row>
    <row r="8" spans="1:17" x14ac:dyDescent="0.2">
      <c r="A8" s="159">
        <f>'Exhibit 3-2'!A15</f>
        <v>2</v>
      </c>
      <c r="B8" s="158" t="str">
        <f>'Exhibit 3-2'!B15</f>
        <v>Annual Debt Service</v>
      </c>
      <c r="C8" s="122">
        <f>'Exhibit 3-2'!E15</f>
        <v>186.42713313463253</v>
      </c>
      <c r="D8" s="122">
        <f>'Exhibit 3-2'!F15</f>
        <v>299.61503539494515</v>
      </c>
      <c r="E8" s="122">
        <f>'Exhibit 3-2'!G15</f>
        <v>299.61503539494515</v>
      </c>
      <c r="F8" s="122">
        <f>'Exhibit 3-2'!H15</f>
        <v>389.11043557785081</v>
      </c>
      <c r="G8" s="122">
        <f>'Exhibit 3-2'!I15</f>
        <v>389.11043557785081</v>
      </c>
      <c r="H8" s="122">
        <f>'Exhibit 3-2'!J15</f>
        <v>389.11043557785081</v>
      </c>
      <c r="I8" s="122">
        <f>'Exhibit 3-2'!K15</f>
        <v>389.11043557785081</v>
      </c>
      <c r="J8" s="122">
        <f>'Exhibit 3-2'!L15</f>
        <v>389.11043557785081</v>
      </c>
      <c r="K8" s="122">
        <f>'Exhibit 3-2'!M15</f>
        <v>389.11043557785081</v>
      </c>
      <c r="L8" s="122">
        <f>'Exhibit 3-2'!N15</f>
        <v>389.11043557785081</v>
      </c>
      <c r="M8" s="122">
        <f>'Exhibit 3-2'!O15</f>
        <v>389.11043557785081</v>
      </c>
      <c r="N8" s="122">
        <f>'Exhibit 3-2'!P15</f>
        <v>389.11043557785081</v>
      </c>
      <c r="O8" s="122">
        <f>'Exhibit 3-2'!Q15</f>
        <v>389.11043557785081</v>
      </c>
      <c r="P8" s="122">
        <f>'Exhibit 3-2'!R15</f>
        <v>389.11043557785081</v>
      </c>
      <c r="Q8" s="122">
        <f>'Exhibit 3-2'!S15</f>
        <v>389.11043557785081</v>
      </c>
    </row>
    <row r="9" spans="1:17" x14ac:dyDescent="0.2">
      <c r="A9" s="159">
        <f>'Exhibit 3-2'!A16</f>
        <v>3</v>
      </c>
      <c r="B9" s="90" t="str">
        <f>'Exhibit 3-2'!B16</f>
        <v>Servicing &amp; Administrative Fees (PG&amp;E)</v>
      </c>
      <c r="C9" s="122">
        <f>'Exhibit 3-2'!E16</f>
        <v>2.8687500000000004</v>
      </c>
      <c r="D9" s="122">
        <f>'Exhibit 3-2'!F16</f>
        <v>3.8250000000000002</v>
      </c>
      <c r="E9" s="122">
        <f>'Exhibit 3-2'!G16</f>
        <v>3.8250000000000002</v>
      </c>
      <c r="F9" s="122">
        <f>'Exhibit 3-2'!H16</f>
        <v>3.8250000000000002</v>
      </c>
      <c r="G9" s="122">
        <f>'Exhibit 3-2'!I16</f>
        <v>3.8250000000000002</v>
      </c>
      <c r="H9" s="122">
        <f>'Exhibit 3-2'!J16</f>
        <v>3.8250000000000002</v>
      </c>
      <c r="I9" s="122">
        <f>'Exhibit 3-2'!K16</f>
        <v>3.8250000000000002</v>
      </c>
      <c r="J9" s="122">
        <f>'Exhibit 3-2'!L16</f>
        <v>3.8250000000000002</v>
      </c>
      <c r="K9" s="122">
        <f>'Exhibit 3-2'!M16</f>
        <v>3.8250000000000002</v>
      </c>
      <c r="L9" s="122">
        <f>'Exhibit 3-2'!N16</f>
        <v>3.8250000000000002</v>
      </c>
      <c r="M9" s="122">
        <f>'Exhibit 3-2'!O16</f>
        <v>3.8250000000000002</v>
      </c>
      <c r="N9" s="122">
        <f>'Exhibit 3-2'!P16</f>
        <v>3.8250000000000002</v>
      </c>
      <c r="O9" s="122">
        <f>'Exhibit 3-2'!Q16</f>
        <v>3.8250000000000002</v>
      </c>
      <c r="P9" s="122">
        <f>'Exhibit 3-2'!R16</f>
        <v>3.8250000000000002</v>
      </c>
      <c r="Q9" s="122">
        <f>'Exhibit 3-2'!S16</f>
        <v>3.8250000000000002</v>
      </c>
    </row>
    <row r="10" spans="1:17" x14ac:dyDescent="0.2">
      <c r="A10" s="159">
        <f>'Exhibit 3-2'!A17</f>
        <v>4</v>
      </c>
      <c r="B10" s="90" t="str">
        <f>'Exhibit 3-2'!B17</f>
        <v>Rating Agency Fees</v>
      </c>
      <c r="C10" s="122">
        <f>'Exhibit 3-2'!E17</f>
        <v>0.16874999999999998</v>
      </c>
      <c r="D10" s="122">
        <f>'Exhibit 3-2'!F17</f>
        <v>0.22500000000000001</v>
      </c>
      <c r="E10" s="122">
        <f>'Exhibit 3-2'!G17</f>
        <v>0.22500000000000001</v>
      </c>
      <c r="F10" s="122">
        <f>'Exhibit 3-2'!H17</f>
        <v>0.22500000000000001</v>
      </c>
      <c r="G10" s="122">
        <f>'Exhibit 3-2'!I17</f>
        <v>0.22500000000000001</v>
      </c>
      <c r="H10" s="122">
        <f>'Exhibit 3-2'!J17</f>
        <v>0.22500000000000001</v>
      </c>
      <c r="I10" s="122">
        <f>'Exhibit 3-2'!K17</f>
        <v>0.22500000000000001</v>
      </c>
      <c r="J10" s="122">
        <f>'Exhibit 3-2'!L17</f>
        <v>0.22500000000000001</v>
      </c>
      <c r="K10" s="122">
        <f>'Exhibit 3-2'!M17</f>
        <v>0.22500000000000001</v>
      </c>
      <c r="L10" s="122">
        <f>'Exhibit 3-2'!N17</f>
        <v>0.22500000000000001</v>
      </c>
      <c r="M10" s="122">
        <f>'Exhibit 3-2'!O17</f>
        <v>0.22500000000000001</v>
      </c>
      <c r="N10" s="122">
        <f>'Exhibit 3-2'!P17</f>
        <v>0.22500000000000001</v>
      </c>
      <c r="O10" s="122">
        <f>'Exhibit 3-2'!Q17</f>
        <v>0.22500000000000001</v>
      </c>
      <c r="P10" s="122">
        <f>'Exhibit 3-2'!R17</f>
        <v>0.22500000000000001</v>
      </c>
      <c r="Q10" s="122">
        <f>'Exhibit 3-2'!S17</f>
        <v>0.22500000000000001</v>
      </c>
    </row>
    <row r="11" spans="1:17" ht="16.5" x14ac:dyDescent="0.2">
      <c r="A11" s="159">
        <f>'Exhibit 3-2'!A18</f>
        <v>5</v>
      </c>
      <c r="B11" s="90" t="s">
        <v>41</v>
      </c>
      <c r="C11" s="122">
        <f>'Exhibit 3-2'!E18</f>
        <v>0.20625000000000002</v>
      </c>
      <c r="D11" s="122">
        <f>'Exhibit 3-2'!F18</f>
        <v>0.27500000000000002</v>
      </c>
      <c r="E11" s="122">
        <f>'Exhibit 3-2'!G18</f>
        <v>0.27500000000000002</v>
      </c>
      <c r="F11" s="122">
        <f>'Exhibit 3-2'!H18</f>
        <v>0.27500000000000002</v>
      </c>
      <c r="G11" s="122">
        <f>'Exhibit 3-2'!I18</f>
        <v>0.27500000000000002</v>
      </c>
      <c r="H11" s="122">
        <f>'Exhibit 3-2'!J18</f>
        <v>0.27500000000000002</v>
      </c>
      <c r="I11" s="122">
        <f>'Exhibit 3-2'!K18</f>
        <v>0.27500000000000002</v>
      </c>
      <c r="J11" s="122">
        <f>'Exhibit 3-2'!L18</f>
        <v>0.27500000000000002</v>
      </c>
      <c r="K11" s="122">
        <f>'Exhibit 3-2'!M18</f>
        <v>0.27500000000000002</v>
      </c>
      <c r="L11" s="122">
        <f>'Exhibit 3-2'!N18</f>
        <v>0.27500000000000002</v>
      </c>
      <c r="M11" s="122">
        <f>'Exhibit 3-2'!O18</f>
        <v>0.27500000000000002</v>
      </c>
      <c r="N11" s="122">
        <f>'Exhibit 3-2'!P18</f>
        <v>0.27500000000000002</v>
      </c>
      <c r="O11" s="122">
        <f>'Exhibit 3-2'!Q18</f>
        <v>0.27500000000000002</v>
      </c>
      <c r="P11" s="122">
        <f>'Exhibit 3-2'!R18</f>
        <v>0.27500000000000002</v>
      </c>
      <c r="Q11" s="122">
        <f>'Exhibit 3-2'!S18</f>
        <v>0.27500000000000002</v>
      </c>
    </row>
    <row r="12" spans="1:17" x14ac:dyDescent="0.2">
      <c r="A12" s="159">
        <f>'Exhibit 3-2'!A19</f>
        <v>6</v>
      </c>
      <c r="B12" s="91" t="str">
        <f>'Exhibit 3-2'!B19</f>
        <v>Subtotal</v>
      </c>
      <c r="C12" s="125">
        <f>'Exhibit 3-2'!E19</f>
        <v>189.67088313463253</v>
      </c>
      <c r="D12" s="125">
        <f>'Exhibit 3-2'!F19</f>
        <v>303.94003539494514</v>
      </c>
      <c r="E12" s="125">
        <f>'Exhibit 3-2'!G19</f>
        <v>303.94003539494514</v>
      </c>
      <c r="F12" s="125">
        <f>'Exhibit 3-2'!H19</f>
        <v>393.4354355778508</v>
      </c>
      <c r="G12" s="125">
        <f>'Exhibit 3-2'!I19</f>
        <v>393.4354355778508</v>
      </c>
      <c r="H12" s="125">
        <f>'Exhibit 3-2'!J19</f>
        <v>393.4354355778508</v>
      </c>
      <c r="I12" s="125">
        <f>'Exhibit 3-2'!K19</f>
        <v>393.4354355778508</v>
      </c>
      <c r="J12" s="125">
        <f>'Exhibit 3-2'!L19</f>
        <v>393.4354355778508</v>
      </c>
      <c r="K12" s="125">
        <f>'Exhibit 3-2'!M19</f>
        <v>393.4354355778508</v>
      </c>
      <c r="L12" s="125">
        <f>'Exhibit 3-2'!N19</f>
        <v>393.4354355778508</v>
      </c>
      <c r="M12" s="125">
        <f>'Exhibit 3-2'!O19</f>
        <v>393.4354355778508</v>
      </c>
      <c r="N12" s="125">
        <f>'Exhibit 3-2'!P19</f>
        <v>393.4354355778508</v>
      </c>
      <c r="O12" s="125">
        <f>'Exhibit 3-2'!Q19</f>
        <v>393.4354355778508</v>
      </c>
      <c r="P12" s="125">
        <f>'Exhibit 3-2'!R19</f>
        <v>393.4354355778508</v>
      </c>
      <c r="Q12" s="125">
        <f>'Exhibit 3-2'!S19</f>
        <v>393.4354355778508</v>
      </c>
    </row>
    <row r="13" spans="1:17" ht="16.5" x14ac:dyDescent="0.2">
      <c r="A13" s="159">
        <f>'Exhibit 3-2'!A20</f>
        <v>7</v>
      </c>
      <c r="B13" s="90" t="s">
        <v>42</v>
      </c>
      <c r="C13" s="122">
        <f>'Exhibit 3-2'!E20</f>
        <v>63.223627711544161</v>
      </c>
      <c r="D13" s="122">
        <f>'Exhibit 3-2'!F20</f>
        <v>0</v>
      </c>
      <c r="E13" s="122">
        <f>'Exhibit 3-2'!G20</f>
        <v>0</v>
      </c>
      <c r="F13" s="122">
        <f>'Exhibit 3-2'!H20</f>
        <v>0</v>
      </c>
      <c r="G13" s="122">
        <f>'Exhibit 3-2'!I20</f>
        <v>0</v>
      </c>
      <c r="H13" s="122">
        <f>'Exhibit 3-2'!J20</f>
        <v>0</v>
      </c>
      <c r="I13" s="122">
        <f>'Exhibit 3-2'!K20</f>
        <v>0</v>
      </c>
      <c r="J13" s="122">
        <f>'Exhibit 3-2'!L20</f>
        <v>0</v>
      </c>
      <c r="K13" s="122">
        <f>'Exhibit 3-2'!M20</f>
        <v>0</v>
      </c>
      <c r="L13" s="122">
        <f>'Exhibit 3-2'!N20</f>
        <v>0</v>
      </c>
      <c r="M13" s="122">
        <f>'Exhibit 3-2'!O20</f>
        <v>0</v>
      </c>
      <c r="N13" s="122">
        <f>'Exhibit 3-2'!P20</f>
        <v>0</v>
      </c>
      <c r="O13" s="122">
        <f>'Exhibit 3-2'!Q20</f>
        <v>0</v>
      </c>
      <c r="P13" s="122">
        <f>'Exhibit 3-2'!R20</f>
        <v>0</v>
      </c>
      <c r="Q13" s="122">
        <f>'Exhibit 3-2'!S20</f>
        <v>0</v>
      </c>
    </row>
    <row r="14" spans="1:17" x14ac:dyDescent="0.2">
      <c r="A14" s="159">
        <f>'Exhibit 3-2'!A21</f>
        <v>8</v>
      </c>
      <c r="B14" s="15" t="str">
        <f>'Exhibit 3-2'!B21</f>
        <v xml:space="preserve">Uncollectibles </v>
      </c>
      <c r="C14" s="125">
        <f>'Exhibit 3-2'!E21</f>
        <v>0.83731502537611391</v>
      </c>
      <c r="D14" s="125">
        <f>'Exhibit 3-2'!F21</f>
        <v>1.0063229826460385</v>
      </c>
      <c r="E14" s="125">
        <f>'Exhibit 3-2'!G21</f>
        <v>1.0063229826460385</v>
      </c>
      <c r="F14" s="125">
        <f>'Exhibit 3-2'!H21</f>
        <v>1.3026356350023995</v>
      </c>
      <c r="G14" s="125">
        <f>'Exhibit 3-2'!I21</f>
        <v>1.3026356350023995</v>
      </c>
      <c r="H14" s="125">
        <f>'Exhibit 3-2'!J21</f>
        <v>1.3026356350023995</v>
      </c>
      <c r="I14" s="125">
        <f>'Exhibit 3-2'!K21</f>
        <v>1.3026356350023995</v>
      </c>
      <c r="J14" s="125">
        <f>'Exhibit 3-2'!L21</f>
        <v>1.3026356350023995</v>
      </c>
      <c r="K14" s="125">
        <f>'Exhibit 3-2'!M21</f>
        <v>1.3026356350023995</v>
      </c>
      <c r="L14" s="125">
        <f>'Exhibit 3-2'!N21</f>
        <v>1.3026356350023995</v>
      </c>
      <c r="M14" s="125">
        <f>'Exhibit 3-2'!O21</f>
        <v>1.3026356350023995</v>
      </c>
      <c r="N14" s="125">
        <f>'Exhibit 3-2'!P21</f>
        <v>1.3026356350023995</v>
      </c>
      <c r="O14" s="125">
        <f>'Exhibit 3-2'!Q21</f>
        <v>1.3026356350023995</v>
      </c>
      <c r="P14" s="125">
        <f>'Exhibit 3-2'!R21</f>
        <v>1.3026356350023995</v>
      </c>
      <c r="Q14" s="125">
        <f>'Exhibit 3-2'!S21</f>
        <v>1.3026356350023995</v>
      </c>
    </row>
    <row r="15" spans="1:17" ht="15" x14ac:dyDescent="0.25">
      <c r="A15" s="159">
        <f>'Exhibit 3-2'!A22</f>
        <v>9</v>
      </c>
      <c r="B15" s="196" t="str">
        <f>'Exhibit 3-2'!B22</f>
        <v>Annual FRC RRQ</v>
      </c>
      <c r="C15" s="198">
        <f>'Exhibit 3-2'!E22</f>
        <v>253.73182587155281</v>
      </c>
      <c r="D15" s="198">
        <f>'Exhibit 3-2'!F22</f>
        <v>304.9463583775912</v>
      </c>
      <c r="E15" s="198">
        <f>'Exhibit 3-2'!G22</f>
        <v>304.9463583775912</v>
      </c>
      <c r="F15" s="198">
        <f>'Exhibit 3-2'!H22</f>
        <v>394.73807121285319</v>
      </c>
      <c r="G15" s="198">
        <f>'Exhibit 3-2'!I22</f>
        <v>394.73807121285319</v>
      </c>
      <c r="H15" s="198">
        <f>'Exhibit 3-2'!J22</f>
        <v>394.73807121285319</v>
      </c>
      <c r="I15" s="198">
        <f>'Exhibit 3-2'!K22</f>
        <v>394.73807121285319</v>
      </c>
      <c r="J15" s="198">
        <f>'Exhibit 3-2'!L22</f>
        <v>394.73807121285319</v>
      </c>
      <c r="K15" s="198">
        <f>'Exhibit 3-2'!M22</f>
        <v>394.73807121285319</v>
      </c>
      <c r="L15" s="198">
        <f>'Exhibit 3-2'!N22</f>
        <v>394.73807121285319</v>
      </c>
      <c r="M15" s="198">
        <f>'Exhibit 3-2'!O22</f>
        <v>394.73807121285319</v>
      </c>
      <c r="N15" s="198">
        <f>'Exhibit 3-2'!P22</f>
        <v>394.73807121285319</v>
      </c>
      <c r="O15" s="198">
        <f>'Exhibit 3-2'!Q22</f>
        <v>394.73807121285319</v>
      </c>
      <c r="P15" s="198">
        <f>'Exhibit 3-2'!R22</f>
        <v>394.73807121285319</v>
      </c>
      <c r="Q15" s="198">
        <f>'Exhibit 3-2'!S22</f>
        <v>394.73807121285319</v>
      </c>
    </row>
    <row r="16" spans="1:17" x14ac:dyDescent="0.2">
      <c r="A16" s="159"/>
    </row>
    <row r="17" spans="1:17" ht="15" x14ac:dyDescent="0.25">
      <c r="A17" s="159">
        <f>'Exhibit 3-2'!A14</f>
        <v>1</v>
      </c>
      <c r="B17" s="196" t="str">
        <f>'Exhibit 3-2'!B14</f>
        <v>Fixed Recovery Charge (FRC)</v>
      </c>
      <c r="C17" s="197">
        <f>'Exhibit 3-2'!T13</f>
        <v>2036</v>
      </c>
      <c r="D17" s="197">
        <f>'Exhibit 3-2'!U13</f>
        <v>2037</v>
      </c>
      <c r="E17" s="197">
        <f>'Exhibit 3-2'!V13</f>
        <v>2038</v>
      </c>
      <c r="F17" s="197">
        <f>'Exhibit 3-2'!W13</f>
        <v>2039</v>
      </c>
      <c r="G17" s="197">
        <f>'Exhibit 3-2'!X13</f>
        <v>2040</v>
      </c>
      <c r="H17" s="197">
        <f>'Exhibit 3-2'!Y13</f>
        <v>2041</v>
      </c>
      <c r="I17" s="197">
        <f>'Exhibit 3-2'!Z13</f>
        <v>2042</v>
      </c>
      <c r="J17" s="197">
        <f>'Exhibit 3-2'!AA13</f>
        <v>2043</v>
      </c>
      <c r="K17" s="197">
        <f>'Exhibit 3-2'!AB13</f>
        <v>2044</v>
      </c>
      <c r="L17" s="197">
        <f>'Exhibit 3-2'!AC13</f>
        <v>2045</v>
      </c>
      <c r="M17" s="197">
        <f>'Exhibit 3-2'!AD13</f>
        <v>2046</v>
      </c>
      <c r="N17" s="197">
        <f>'Exhibit 3-2'!AE13</f>
        <v>2047</v>
      </c>
      <c r="O17" s="197">
        <f>'Exhibit 3-2'!AF13</f>
        <v>2048</v>
      </c>
      <c r="P17" s="197">
        <f>'Exhibit 3-2'!AG13</f>
        <v>2049</v>
      </c>
      <c r="Q17" s="197">
        <f>'Exhibit 3-2'!AH13</f>
        <v>2050</v>
      </c>
    </row>
    <row r="18" spans="1:17" x14ac:dyDescent="0.2">
      <c r="A18" s="159">
        <f>'Exhibit 3-2'!A15</f>
        <v>2</v>
      </c>
      <c r="B18" s="158" t="str">
        <f>'Exhibit 3-2'!B15</f>
        <v>Annual Debt Service</v>
      </c>
      <c r="C18" s="122">
        <f>'Exhibit 3-2'!T15</f>
        <v>389.11043557785081</v>
      </c>
      <c r="D18" s="122">
        <f>'Exhibit 3-2'!U15</f>
        <v>389.11043557785081</v>
      </c>
      <c r="E18" s="122">
        <f>'Exhibit 3-2'!V15</f>
        <v>389.11043557785081</v>
      </c>
      <c r="F18" s="122">
        <f>'Exhibit 3-2'!W15</f>
        <v>389.11043557785081</v>
      </c>
      <c r="G18" s="122">
        <f>'Exhibit 3-2'!X15</f>
        <v>389.11043557785081</v>
      </c>
      <c r="H18" s="122">
        <f>'Exhibit 3-2'!Y15</f>
        <v>389.11043557785081</v>
      </c>
      <c r="I18" s="122">
        <f>'Exhibit 3-2'!Z15</f>
        <v>389.11043557785081</v>
      </c>
      <c r="J18" s="122">
        <f>'Exhibit 3-2'!AA15</f>
        <v>389.11043557785081</v>
      </c>
      <c r="K18" s="122">
        <f>'Exhibit 3-2'!AB15</f>
        <v>389.11043557785081</v>
      </c>
      <c r="L18" s="122">
        <f>'Exhibit 3-2'!AC15</f>
        <v>389.11043557785081</v>
      </c>
      <c r="M18" s="122">
        <f>'Exhibit 3-2'!AD15</f>
        <v>389.11043557785081</v>
      </c>
      <c r="N18" s="122">
        <f>'Exhibit 3-2'!AE15</f>
        <v>389.11043557785081</v>
      </c>
      <c r="O18" s="122">
        <f>'Exhibit 3-2'!AF15</f>
        <v>389.11043557785081</v>
      </c>
      <c r="P18" s="122">
        <f>'Exhibit 3-2'!AG15</f>
        <v>389.11043557785081</v>
      </c>
      <c r="Q18" s="122">
        <f>'Exhibit 3-2'!AH15</f>
        <v>389.11043557785081</v>
      </c>
    </row>
    <row r="19" spans="1:17" x14ac:dyDescent="0.2">
      <c r="A19" s="159">
        <f>'Exhibit 3-2'!A16</f>
        <v>3</v>
      </c>
      <c r="B19" s="6" t="str">
        <f>'Exhibit 3-2'!B16</f>
        <v>Servicing &amp; Administrative Fees (PG&amp;E)</v>
      </c>
      <c r="C19" s="122">
        <f>'Exhibit 3-2'!T16</f>
        <v>3.8250000000000002</v>
      </c>
      <c r="D19" s="122">
        <f>'Exhibit 3-2'!U16</f>
        <v>3.8250000000000002</v>
      </c>
      <c r="E19" s="122">
        <f>'Exhibit 3-2'!V16</f>
        <v>3.8250000000000002</v>
      </c>
      <c r="F19" s="122">
        <f>'Exhibit 3-2'!W16</f>
        <v>3.8250000000000002</v>
      </c>
      <c r="G19" s="122">
        <f>'Exhibit 3-2'!X16</f>
        <v>3.8250000000000002</v>
      </c>
      <c r="H19" s="122">
        <f>'Exhibit 3-2'!Y16</f>
        <v>3.8250000000000002</v>
      </c>
      <c r="I19" s="122">
        <f>'Exhibit 3-2'!Z16</f>
        <v>3.8250000000000002</v>
      </c>
      <c r="J19" s="122">
        <f>'Exhibit 3-2'!AA16</f>
        <v>3.8250000000000002</v>
      </c>
      <c r="K19" s="122">
        <f>'Exhibit 3-2'!AB16</f>
        <v>3.8250000000000002</v>
      </c>
      <c r="L19" s="122">
        <f>'Exhibit 3-2'!AC16</f>
        <v>3.8250000000000002</v>
      </c>
      <c r="M19" s="122">
        <f>'Exhibit 3-2'!AD16</f>
        <v>3.8250000000000002</v>
      </c>
      <c r="N19" s="122">
        <f>'Exhibit 3-2'!AE16</f>
        <v>3.8250000000000002</v>
      </c>
      <c r="O19" s="122">
        <f>'Exhibit 3-2'!AF16</f>
        <v>3.8250000000000002</v>
      </c>
      <c r="P19" s="122">
        <f>'Exhibit 3-2'!AG16</f>
        <v>3.8250000000000002</v>
      </c>
      <c r="Q19" s="122">
        <f>'Exhibit 3-2'!AH16</f>
        <v>3.8250000000000002</v>
      </c>
    </row>
    <row r="20" spans="1:17" x14ac:dyDescent="0.2">
      <c r="A20" s="159">
        <f>'Exhibit 3-2'!A17</f>
        <v>4</v>
      </c>
      <c r="B20" s="6" t="str">
        <f>'Exhibit 3-2'!B17</f>
        <v>Rating Agency Fees</v>
      </c>
      <c r="C20" s="122">
        <f>'Exhibit 3-2'!T17</f>
        <v>0.22500000000000001</v>
      </c>
      <c r="D20" s="122">
        <f>'Exhibit 3-2'!U17</f>
        <v>0.22500000000000001</v>
      </c>
      <c r="E20" s="122">
        <f>'Exhibit 3-2'!V17</f>
        <v>0.22500000000000001</v>
      </c>
      <c r="F20" s="122">
        <f>'Exhibit 3-2'!W17</f>
        <v>0.22500000000000001</v>
      </c>
      <c r="G20" s="122">
        <f>'Exhibit 3-2'!X17</f>
        <v>0.22500000000000001</v>
      </c>
      <c r="H20" s="122">
        <f>'Exhibit 3-2'!Y17</f>
        <v>0.22500000000000001</v>
      </c>
      <c r="I20" s="122">
        <f>'Exhibit 3-2'!Z17</f>
        <v>0.22500000000000001</v>
      </c>
      <c r="J20" s="122">
        <f>'Exhibit 3-2'!AA17</f>
        <v>0.22500000000000001</v>
      </c>
      <c r="K20" s="122">
        <f>'Exhibit 3-2'!AB17</f>
        <v>0.22500000000000001</v>
      </c>
      <c r="L20" s="122">
        <f>'Exhibit 3-2'!AC17</f>
        <v>0.22500000000000001</v>
      </c>
      <c r="M20" s="122">
        <f>'Exhibit 3-2'!AD17</f>
        <v>0.22500000000000001</v>
      </c>
      <c r="N20" s="122">
        <f>'Exhibit 3-2'!AE17</f>
        <v>0.22500000000000001</v>
      </c>
      <c r="O20" s="122">
        <f>'Exhibit 3-2'!AF17</f>
        <v>0.22500000000000001</v>
      </c>
      <c r="P20" s="122">
        <f>'Exhibit 3-2'!AG17</f>
        <v>0.22500000000000001</v>
      </c>
      <c r="Q20" s="122">
        <f>'Exhibit 3-2'!AH17</f>
        <v>0.22500000000000001</v>
      </c>
    </row>
    <row r="21" spans="1:17" ht="16.5" x14ac:dyDescent="0.2">
      <c r="A21" s="159">
        <f>'Exhibit 3-2'!A18</f>
        <v>5</v>
      </c>
      <c r="B21" s="90" t="s">
        <v>41</v>
      </c>
      <c r="C21" s="122">
        <f>'Exhibit 3-2'!T18</f>
        <v>0.27500000000000002</v>
      </c>
      <c r="D21" s="122">
        <f>'Exhibit 3-2'!U18</f>
        <v>0.27500000000000002</v>
      </c>
      <c r="E21" s="122">
        <f>'Exhibit 3-2'!V18</f>
        <v>0.27500000000000002</v>
      </c>
      <c r="F21" s="122">
        <f>'Exhibit 3-2'!W18</f>
        <v>0.27500000000000002</v>
      </c>
      <c r="G21" s="122">
        <f>'Exhibit 3-2'!X18</f>
        <v>0.27500000000000002</v>
      </c>
      <c r="H21" s="122">
        <f>'Exhibit 3-2'!Y18</f>
        <v>0.27500000000000002</v>
      </c>
      <c r="I21" s="122">
        <f>'Exhibit 3-2'!Z18</f>
        <v>0.27500000000000002</v>
      </c>
      <c r="J21" s="122">
        <f>'Exhibit 3-2'!AA18</f>
        <v>0.27500000000000002</v>
      </c>
      <c r="K21" s="122">
        <f>'Exhibit 3-2'!AB18</f>
        <v>0.27500000000000002</v>
      </c>
      <c r="L21" s="122">
        <f>'Exhibit 3-2'!AC18</f>
        <v>0.27500000000000002</v>
      </c>
      <c r="M21" s="122">
        <f>'Exhibit 3-2'!AD18</f>
        <v>0.27500000000000002</v>
      </c>
      <c r="N21" s="122">
        <f>'Exhibit 3-2'!AE18</f>
        <v>0.27500000000000002</v>
      </c>
      <c r="O21" s="122">
        <f>'Exhibit 3-2'!AF18</f>
        <v>0.27500000000000002</v>
      </c>
      <c r="P21" s="122">
        <f>'Exhibit 3-2'!AG18</f>
        <v>0.27500000000000002</v>
      </c>
      <c r="Q21" s="122">
        <f>'Exhibit 3-2'!AH18</f>
        <v>0.27500000000000002</v>
      </c>
    </row>
    <row r="22" spans="1:17" x14ac:dyDescent="0.2">
      <c r="A22" s="159">
        <f>'Exhibit 3-2'!A19</f>
        <v>6</v>
      </c>
      <c r="B22" s="11" t="str">
        <f>'Exhibit 3-2'!B19</f>
        <v>Subtotal</v>
      </c>
      <c r="C22" s="125">
        <f>'Exhibit 3-2'!T19</f>
        <v>393.4354355778508</v>
      </c>
      <c r="D22" s="125">
        <f>'Exhibit 3-2'!U19</f>
        <v>393.4354355778508</v>
      </c>
      <c r="E22" s="125">
        <f>'Exhibit 3-2'!V19</f>
        <v>393.4354355778508</v>
      </c>
      <c r="F22" s="125">
        <f>'Exhibit 3-2'!W19</f>
        <v>393.4354355778508</v>
      </c>
      <c r="G22" s="125">
        <f>'Exhibit 3-2'!X19</f>
        <v>393.4354355778508</v>
      </c>
      <c r="H22" s="125">
        <f>'Exhibit 3-2'!Y19</f>
        <v>393.4354355778508</v>
      </c>
      <c r="I22" s="125">
        <f>'Exhibit 3-2'!Z19</f>
        <v>393.4354355778508</v>
      </c>
      <c r="J22" s="125">
        <f>'Exhibit 3-2'!AA19</f>
        <v>393.4354355778508</v>
      </c>
      <c r="K22" s="125">
        <f>'Exhibit 3-2'!AB19</f>
        <v>393.4354355778508</v>
      </c>
      <c r="L22" s="125">
        <f>'Exhibit 3-2'!AC19</f>
        <v>393.4354355778508</v>
      </c>
      <c r="M22" s="125">
        <f>'Exhibit 3-2'!AD19</f>
        <v>393.4354355778508</v>
      </c>
      <c r="N22" s="125">
        <f>'Exhibit 3-2'!AE19</f>
        <v>393.4354355778508</v>
      </c>
      <c r="O22" s="125">
        <f>'Exhibit 3-2'!AF19</f>
        <v>393.4354355778508</v>
      </c>
      <c r="P22" s="125">
        <f>'Exhibit 3-2'!AG19</f>
        <v>393.4354355778508</v>
      </c>
      <c r="Q22" s="125">
        <f>'Exhibit 3-2'!AH19</f>
        <v>393.4354355778508</v>
      </c>
    </row>
    <row r="23" spans="1:17" ht="16.5" x14ac:dyDescent="0.2">
      <c r="A23" s="159">
        <f>'Exhibit 3-2'!A20</f>
        <v>7</v>
      </c>
      <c r="B23" s="90" t="s">
        <v>42</v>
      </c>
      <c r="C23" s="122">
        <f>'Exhibit 3-2'!T20</f>
        <v>0</v>
      </c>
      <c r="D23" s="122">
        <f>'Exhibit 3-2'!U20</f>
        <v>0</v>
      </c>
      <c r="E23" s="122">
        <f>'Exhibit 3-2'!V20</f>
        <v>0</v>
      </c>
      <c r="F23" s="122">
        <f>'Exhibit 3-2'!W20</f>
        <v>0</v>
      </c>
      <c r="G23" s="122">
        <f>'Exhibit 3-2'!X20</f>
        <v>0</v>
      </c>
      <c r="H23" s="122">
        <f>'Exhibit 3-2'!Y20</f>
        <v>0</v>
      </c>
      <c r="I23" s="122">
        <f>'Exhibit 3-2'!Z20</f>
        <v>0</v>
      </c>
      <c r="J23" s="122">
        <f>'Exhibit 3-2'!AA20</f>
        <v>0</v>
      </c>
      <c r="K23" s="122">
        <f>'Exhibit 3-2'!AB20</f>
        <v>0</v>
      </c>
      <c r="L23" s="122">
        <f>'Exhibit 3-2'!AC20</f>
        <v>0</v>
      </c>
      <c r="M23" s="122">
        <f>'Exhibit 3-2'!AD20</f>
        <v>0</v>
      </c>
      <c r="N23" s="122">
        <f>'Exhibit 3-2'!AE20</f>
        <v>0</v>
      </c>
      <c r="O23" s="122">
        <f>'Exhibit 3-2'!AF20</f>
        <v>0</v>
      </c>
      <c r="P23" s="122">
        <f>'Exhibit 3-2'!AG20</f>
        <v>0</v>
      </c>
      <c r="Q23" s="122">
        <f>'Exhibit 3-2'!AH20</f>
        <v>-63.223627711544161</v>
      </c>
    </row>
    <row r="24" spans="1:17" x14ac:dyDescent="0.2">
      <c r="A24" s="159">
        <f>'Exhibit 3-2'!A21</f>
        <v>8</v>
      </c>
      <c r="B24" s="117" t="str">
        <f>'Exhibit 3-2'!B21</f>
        <v xml:space="preserve">Uncollectibles </v>
      </c>
      <c r="C24" s="125">
        <f>'Exhibit 3-2'!T21</f>
        <v>1.3026356350023995</v>
      </c>
      <c r="D24" s="125">
        <f>'Exhibit 3-2'!U21</f>
        <v>1.3026356350023995</v>
      </c>
      <c r="E24" s="125">
        <f>'Exhibit 3-2'!V21</f>
        <v>1.3026356350023995</v>
      </c>
      <c r="F24" s="125">
        <f>'Exhibit 3-2'!W21</f>
        <v>1.3026356350023995</v>
      </c>
      <c r="G24" s="125">
        <f>'Exhibit 3-2'!X21</f>
        <v>1.3026356350023995</v>
      </c>
      <c r="H24" s="125">
        <f>'Exhibit 3-2'!Y21</f>
        <v>1.3026356350023995</v>
      </c>
      <c r="I24" s="125">
        <f>'Exhibit 3-2'!Z21</f>
        <v>1.3026356350023995</v>
      </c>
      <c r="J24" s="125">
        <f>'Exhibit 3-2'!AA21</f>
        <v>1.3026356350023995</v>
      </c>
      <c r="K24" s="125">
        <f>'Exhibit 3-2'!AB21</f>
        <v>1.3026356350023995</v>
      </c>
      <c r="L24" s="125">
        <f>'Exhibit 3-2'!AC21</f>
        <v>1.3026356350023995</v>
      </c>
      <c r="M24" s="125">
        <f>'Exhibit 3-2'!AD21</f>
        <v>1.3026356350023995</v>
      </c>
      <c r="N24" s="125">
        <f>'Exhibit 3-2'!AE21</f>
        <v>1.3026356350023995</v>
      </c>
      <c r="O24" s="125">
        <f>'Exhibit 3-2'!AF21</f>
        <v>1.3026356350023995</v>
      </c>
      <c r="P24" s="125">
        <f>'Exhibit 3-2'!AG21</f>
        <v>1.3026356350023995</v>
      </c>
      <c r="Q24" s="125">
        <f>'Exhibit 3-2'!AH21</f>
        <v>1.0933068786583711</v>
      </c>
    </row>
    <row r="25" spans="1:17" ht="15" x14ac:dyDescent="0.25">
      <c r="A25" s="159">
        <f>'Exhibit 3-2'!A22</f>
        <v>9</v>
      </c>
      <c r="B25" s="196" t="str">
        <f>'Exhibit 3-2'!B22</f>
        <v>Annual FRC RRQ</v>
      </c>
      <c r="C25" s="198">
        <f>'Exhibit 3-2'!T22</f>
        <v>394.73807121285319</v>
      </c>
      <c r="D25" s="198">
        <f>'Exhibit 3-2'!U22</f>
        <v>394.73807121285319</v>
      </c>
      <c r="E25" s="198">
        <f>'Exhibit 3-2'!V22</f>
        <v>394.73807121285319</v>
      </c>
      <c r="F25" s="198">
        <f>'Exhibit 3-2'!W22</f>
        <v>394.73807121285319</v>
      </c>
      <c r="G25" s="198">
        <f>'Exhibit 3-2'!X22</f>
        <v>394.73807121285319</v>
      </c>
      <c r="H25" s="198">
        <f>'Exhibit 3-2'!Y22</f>
        <v>394.73807121285319</v>
      </c>
      <c r="I25" s="198">
        <f>'Exhibit 3-2'!Z22</f>
        <v>394.73807121285319</v>
      </c>
      <c r="J25" s="198">
        <f>'Exhibit 3-2'!AA22</f>
        <v>394.73807121285319</v>
      </c>
      <c r="K25" s="198">
        <f>'Exhibit 3-2'!AB22</f>
        <v>394.73807121285319</v>
      </c>
      <c r="L25" s="198">
        <f>'Exhibit 3-2'!AC22</f>
        <v>394.73807121285319</v>
      </c>
      <c r="M25" s="198">
        <f>'Exhibit 3-2'!AD22</f>
        <v>394.73807121285319</v>
      </c>
      <c r="N25" s="198">
        <f>'Exhibit 3-2'!AE22</f>
        <v>394.73807121285319</v>
      </c>
      <c r="O25" s="198">
        <f>'Exhibit 3-2'!AF22</f>
        <v>394.73807121285319</v>
      </c>
      <c r="P25" s="198">
        <f>'Exhibit 3-2'!AG22</f>
        <v>394.73807121285319</v>
      </c>
      <c r="Q25" s="198">
        <f>'Exhibit 3-2'!AH22</f>
        <v>331.30511474496501</v>
      </c>
    </row>
    <row r="26" spans="1:17" x14ac:dyDescent="0.2">
      <c r="A26" s="159"/>
      <c r="B26" s="158"/>
    </row>
    <row r="27" spans="1:17" x14ac:dyDescent="0.2">
      <c r="A27" s="159"/>
      <c r="B27" s="17" t="s">
        <v>178</v>
      </c>
    </row>
    <row r="28" spans="1:17" x14ac:dyDescent="0.2">
      <c r="A28" s="159"/>
      <c r="B28" s="158"/>
    </row>
    <row r="29" spans="1:17" ht="16.5" x14ac:dyDescent="0.2">
      <c r="B29" s="88" t="s">
        <v>164</v>
      </c>
    </row>
    <row r="30" spans="1:17" ht="16.5" x14ac:dyDescent="0.2">
      <c r="B30" s="88" t="s">
        <v>154</v>
      </c>
    </row>
    <row r="31" spans="1:17" ht="16.5" x14ac:dyDescent="0.2">
      <c r="B31" s="88" t="s">
        <v>169</v>
      </c>
    </row>
  </sheetData>
  <mergeCells count="3">
    <mergeCell ref="B2:Q2"/>
    <mergeCell ref="B3:Q3"/>
    <mergeCell ref="B4:Q4"/>
  </mergeCells>
  <pageMargins left="0.7" right="0.7" top="0.75" bottom="0.75" header="0.3" footer="0.3"/>
  <pageSetup scale="6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2:G31"/>
  <sheetViews>
    <sheetView showGridLines="0" tabSelected="1" view="pageBreakPreview" zoomScale="70" zoomScaleNormal="70" zoomScaleSheetLayoutView="70" workbookViewId="0">
      <selection activeCell="I24" sqref="I24"/>
    </sheetView>
  </sheetViews>
  <sheetFormatPr defaultColWidth="8.85546875" defaultRowHeight="15" x14ac:dyDescent="0.25"/>
  <cols>
    <col min="1" max="1" width="4.85546875" customWidth="1"/>
    <col min="2" max="2" width="49.42578125" customWidth="1"/>
    <col min="3" max="3" width="18.42578125" bestFit="1" customWidth="1"/>
    <col min="4" max="4" width="2.42578125" customWidth="1"/>
    <col min="5" max="5" width="15.85546875" bestFit="1" customWidth="1"/>
    <col min="6" max="6" width="2.42578125" customWidth="1"/>
    <col min="7" max="7" width="10.42578125" bestFit="1" customWidth="1"/>
  </cols>
  <sheetData>
    <row r="2" spans="1:7" x14ac:dyDescent="0.25">
      <c r="A2" s="307" t="s">
        <v>61</v>
      </c>
      <c r="B2" s="307"/>
      <c r="C2" s="307"/>
      <c r="D2" s="307"/>
      <c r="E2" s="307"/>
      <c r="F2" s="307"/>
      <c r="G2" s="307"/>
    </row>
    <row r="3" spans="1:7" x14ac:dyDescent="0.25">
      <c r="A3" s="307" t="str">
        <f>'Table 6-1'!B2</f>
        <v>Estimate of Shareholder Tax Benefits and Ratepayer NOLs as of February 18, 2020</v>
      </c>
      <c r="B3" s="307"/>
      <c r="C3" s="307"/>
      <c r="D3" s="307"/>
      <c r="E3" s="307"/>
      <c r="F3" s="307"/>
      <c r="G3" s="307"/>
    </row>
    <row r="4" spans="1:7" x14ac:dyDescent="0.25">
      <c r="A4" s="308" t="s">
        <v>5</v>
      </c>
      <c r="B4" s="308"/>
      <c r="C4" s="308"/>
      <c r="D4" s="308"/>
      <c r="E4" s="308"/>
      <c r="F4" s="308"/>
      <c r="G4" s="308"/>
    </row>
    <row r="5" spans="1:7" x14ac:dyDescent="0.25">
      <c r="A5" s="5"/>
    </row>
    <row r="6" spans="1:7" x14ac:dyDescent="0.25">
      <c r="A6" s="5"/>
      <c r="B6" s="81" t="str">
        <f>'Table 6-1'!B5</f>
        <v>Estimate of Total Shareholder Tax Benefits</v>
      </c>
      <c r="C6" s="118"/>
      <c r="D6" s="118"/>
      <c r="E6" s="118"/>
      <c r="F6" s="118"/>
      <c r="G6" s="118"/>
    </row>
    <row r="7" spans="1:7" x14ac:dyDescent="0.25">
      <c r="A7" s="5">
        <v>1</v>
      </c>
      <c r="C7" s="84" t="str">
        <f>'Table 6-1'!C6</f>
        <v>2020E Federal</v>
      </c>
      <c r="E7" s="84" t="str">
        <f>'Table 6-1'!E6</f>
        <v>2020E State</v>
      </c>
      <c r="G7" s="84" t="str">
        <f>'Table 6-1'!G6</f>
        <v>Total</v>
      </c>
    </row>
    <row r="8" spans="1:7" x14ac:dyDescent="0.25">
      <c r="A8" s="5">
        <v>2</v>
      </c>
      <c r="B8" s="35" t="str">
        <f>'Table 6-1'!B7</f>
        <v>Wildfire Claims Settlements</v>
      </c>
      <c r="C8" s="36">
        <f>'Table 6-1'!C7</f>
        <v>-25500</v>
      </c>
      <c r="E8" s="36">
        <f>'Table 6-1'!E7</f>
        <v>-25500</v>
      </c>
    </row>
    <row r="9" spans="1:7" ht="17.25" x14ac:dyDescent="0.25">
      <c r="A9" s="5">
        <v>3</v>
      </c>
      <c r="B9" s="35" t="s">
        <v>179</v>
      </c>
      <c r="C9" s="36">
        <f>'Table 6-1'!C8</f>
        <v>-320</v>
      </c>
      <c r="E9" s="36">
        <f>'Table 6-1'!E8</f>
        <v>-4800</v>
      </c>
    </row>
    <row r="10" spans="1:7" x14ac:dyDescent="0.25">
      <c r="A10" s="5">
        <v>4</v>
      </c>
      <c r="B10" s="35" t="s">
        <v>180</v>
      </c>
      <c r="C10" s="36">
        <f>'Table 6-1'!C9</f>
        <v>-192</v>
      </c>
      <c r="E10" s="36">
        <f>'Table 6-1'!E9</f>
        <v>-192</v>
      </c>
    </row>
    <row r="11" spans="1:7" x14ac:dyDescent="0.25">
      <c r="A11" s="5">
        <v>5</v>
      </c>
      <c r="B11" s="35" t="s">
        <v>53</v>
      </c>
      <c r="C11" s="36">
        <f>'Table 6-1'!C10</f>
        <v>2200</v>
      </c>
      <c r="E11" s="36">
        <f>'Table 6-1'!E10</f>
        <v>2200</v>
      </c>
    </row>
    <row r="12" spans="1:7" x14ac:dyDescent="0.25">
      <c r="A12" s="5">
        <v>6</v>
      </c>
      <c r="B12" s="120" t="str">
        <f>'Table 6-1'!B11</f>
        <v xml:space="preserve">Total Wildfire Related Tax Deductions Created </v>
      </c>
      <c r="C12" s="56">
        <f>'Table 6-1'!C11</f>
        <v>-23812</v>
      </c>
      <c r="D12" s="96"/>
      <c r="E12" s="56">
        <f>'Table 6-1'!E11</f>
        <v>-28292</v>
      </c>
    </row>
    <row r="13" spans="1:7" x14ac:dyDescent="0.25">
      <c r="A13" s="5">
        <v>7</v>
      </c>
      <c r="B13" s="35"/>
      <c r="C13" s="36"/>
      <c r="E13" s="36"/>
    </row>
    <row r="14" spans="1:7" x14ac:dyDescent="0.25">
      <c r="A14" s="5">
        <v>8</v>
      </c>
      <c r="B14" s="35" t="str">
        <f>'Table 6-1'!B13</f>
        <v>Existing Shareholder Deductions</v>
      </c>
      <c r="C14" s="36">
        <f>'Table 6-1'!C13</f>
        <v>423</v>
      </c>
      <c r="E14" s="36">
        <f>'Table 6-1'!E13</f>
        <v>0</v>
      </c>
    </row>
    <row r="15" spans="1:7" x14ac:dyDescent="0.25">
      <c r="A15" s="5">
        <v>9</v>
      </c>
      <c r="B15" s="35" t="str">
        <f>'Table 6-1'!B14</f>
        <v>Plus: Wildfire Related Deductions Created</v>
      </c>
      <c r="C15" s="36">
        <f>'Table 6-1'!C14</f>
        <v>23812</v>
      </c>
      <c r="E15" s="36">
        <f>'Table 6-1'!E14</f>
        <v>28292</v>
      </c>
    </row>
    <row r="16" spans="1:7" x14ac:dyDescent="0.25">
      <c r="A16" s="5">
        <v>10</v>
      </c>
      <c r="B16" s="120" t="str">
        <f>'Table 6-1'!B15</f>
        <v>Total Shareholder Deductions</v>
      </c>
      <c r="C16" s="56">
        <f>'Table 6-1'!C15</f>
        <v>24235</v>
      </c>
      <c r="D16" s="96"/>
      <c r="E16" s="56">
        <f>'Table 6-1'!E15</f>
        <v>28292</v>
      </c>
    </row>
    <row r="17" spans="1:7" x14ac:dyDescent="0.25">
      <c r="A17" s="5">
        <v>11</v>
      </c>
      <c r="B17" s="35"/>
      <c r="C17" s="36"/>
      <c r="E17" s="36"/>
    </row>
    <row r="18" spans="1:7" ht="15.75" thickBot="1" x14ac:dyDescent="0.3">
      <c r="A18" s="5">
        <v>12</v>
      </c>
      <c r="B18" s="35" t="str">
        <f>'Table 6-1'!B17</f>
        <v>(x) Applicable Tax Rate</v>
      </c>
      <c r="C18" s="155">
        <f>'Table 6-1'!C17</f>
        <v>0.21</v>
      </c>
      <c r="D18" s="155"/>
      <c r="E18" s="155">
        <f>'Table 6-1'!E17</f>
        <v>8.8400000000000006E-2</v>
      </c>
      <c r="F18" s="32"/>
      <c r="G18" s="32"/>
    </row>
    <row r="19" spans="1:7" ht="15.75" thickBot="1" x14ac:dyDescent="0.3">
      <c r="A19" s="5">
        <v>13</v>
      </c>
      <c r="B19" s="259" t="str">
        <f>'Table 6-1'!B18</f>
        <v>Customer Credit Trust Cap</v>
      </c>
      <c r="C19" s="260">
        <f>'Table 6-1'!C18</f>
        <v>5089.3499999999995</v>
      </c>
      <c r="D19" s="260"/>
      <c r="E19" s="260">
        <f>'Table 6-1'!E18</f>
        <v>2501.0128</v>
      </c>
      <c r="F19" s="260"/>
      <c r="G19" s="261">
        <f>'Table 6-1'!G18</f>
        <v>7590.362799999999</v>
      </c>
    </row>
    <row r="20" spans="1:7" x14ac:dyDescent="0.25">
      <c r="A20" s="5">
        <v>14</v>
      </c>
      <c r="B20" s="35"/>
      <c r="C20" s="36"/>
      <c r="E20" s="36"/>
    </row>
    <row r="21" spans="1:7" x14ac:dyDescent="0.25">
      <c r="A21" s="5">
        <v>15</v>
      </c>
      <c r="B21" s="35"/>
      <c r="C21" s="36"/>
      <c r="E21" s="36"/>
    </row>
    <row r="22" spans="1:7" x14ac:dyDescent="0.25">
      <c r="A22" s="5">
        <v>16</v>
      </c>
      <c r="B22" s="137" t="str">
        <f>'Table 6-1'!B21</f>
        <v xml:space="preserve">Estimate of Ratepayer NOLs </v>
      </c>
      <c r="C22" s="119"/>
      <c r="D22" s="118"/>
      <c r="E22" s="119"/>
      <c r="F22" s="118"/>
      <c r="G22" s="118"/>
    </row>
    <row r="23" spans="1:7" x14ac:dyDescent="0.25">
      <c r="A23" s="5">
        <v>17</v>
      </c>
      <c r="B23" s="35"/>
      <c r="C23" s="84" t="str">
        <f>'Table 6-1'!C22</f>
        <v>Pre-2020 Federal</v>
      </c>
      <c r="E23" s="84" t="str">
        <f>'Table 6-1'!E22</f>
        <v>Pre-2020 State</v>
      </c>
      <c r="F23" s="84"/>
      <c r="G23" s="84" t="str">
        <f>'Table 6-1'!G22</f>
        <v>Total</v>
      </c>
    </row>
    <row r="24" spans="1:7" x14ac:dyDescent="0.25">
      <c r="A24" s="5">
        <v>18</v>
      </c>
      <c r="B24" s="35" t="str">
        <f>'Table 6-1'!B23</f>
        <v>NOL carryforward at emergence, through 2018</v>
      </c>
      <c r="C24" s="36">
        <f>'Table 6-1'!C23</f>
        <v>3557.2939999999999</v>
      </c>
      <c r="E24" s="36">
        <f>'Table 6-1'!E23</f>
        <v>0</v>
      </c>
    </row>
    <row r="25" spans="1:7" x14ac:dyDescent="0.25">
      <c r="A25" s="5">
        <v>19</v>
      </c>
      <c r="B25" s="35" t="str">
        <f>'Table 6-1'!B24</f>
        <v>NOL carryforward at emergence, 2019</v>
      </c>
      <c r="C25" s="36">
        <f>'Table 6-1'!C24</f>
        <v>1904.3453199999999</v>
      </c>
      <c r="E25" s="36">
        <f>'Table 6-1'!E24</f>
        <v>1910.9701520000001</v>
      </c>
    </row>
    <row r="26" spans="1:7" x14ac:dyDescent="0.25">
      <c r="A26" s="5">
        <v>20</v>
      </c>
      <c r="B26" s="120" t="str">
        <f>'Table 6-1'!B25</f>
        <v>Total Ratepayer NOLs</v>
      </c>
      <c r="C26" s="56">
        <f>'Table 6-1'!C25</f>
        <v>5461.6393200000002</v>
      </c>
      <c r="D26" s="96"/>
      <c r="E26" s="56">
        <f>'Table 6-1'!E25</f>
        <v>1910.9701520000001</v>
      </c>
    </row>
    <row r="27" spans="1:7" x14ac:dyDescent="0.25">
      <c r="A27" s="5">
        <v>21</v>
      </c>
      <c r="B27" s="35"/>
      <c r="C27" s="36"/>
      <c r="D27" s="32"/>
      <c r="E27" s="36"/>
      <c r="F27" s="32"/>
      <c r="G27" s="32"/>
    </row>
    <row r="28" spans="1:7" x14ac:dyDescent="0.25">
      <c r="A28" s="5">
        <v>22</v>
      </c>
      <c r="B28" s="60" t="str">
        <f>'Table 6-1'!B27</f>
        <v>(x) Applicable Tax Rate</v>
      </c>
      <c r="C28" s="145">
        <f>'Table 6-1'!C27</f>
        <v>0.21</v>
      </c>
      <c r="D28" s="145"/>
      <c r="E28" s="145">
        <f>'Table 6-1'!E27</f>
        <v>8.8400000000000006E-2</v>
      </c>
      <c r="F28" s="118"/>
      <c r="G28" s="118"/>
    </row>
    <row r="29" spans="1:7" x14ac:dyDescent="0.25">
      <c r="A29" s="5">
        <v>23</v>
      </c>
      <c r="B29" s="120" t="str">
        <f>'Table 6-1'!B28</f>
        <v>Total Tax Deductions Savings</v>
      </c>
      <c r="C29" s="56">
        <f>'Table 6-1'!C28</f>
        <v>1146.9442572</v>
      </c>
      <c r="D29" s="96"/>
      <c r="E29" s="56">
        <f>'Table 6-1'!E28</f>
        <v>168.92976143680002</v>
      </c>
      <c r="F29" s="96"/>
      <c r="G29" s="56">
        <f>'Table 6-1'!G28</f>
        <v>1315.8740186368</v>
      </c>
    </row>
    <row r="30" spans="1:7" x14ac:dyDescent="0.25">
      <c r="A30" s="5"/>
    </row>
    <row r="31" spans="1:7" ht="46.5" customHeight="1" x14ac:dyDescent="0.25">
      <c r="B31" s="309" t="s">
        <v>155</v>
      </c>
      <c r="C31" s="309"/>
      <c r="D31" s="309"/>
      <c r="E31" s="309"/>
      <c r="F31" s="309"/>
      <c r="G31" s="309"/>
    </row>
  </sheetData>
  <mergeCells count="4">
    <mergeCell ref="A3:G3"/>
    <mergeCell ref="A2:G2"/>
    <mergeCell ref="A4:G4"/>
    <mergeCell ref="B31:G31"/>
  </mergeCells>
  <pageMargins left="0.7" right="0.7" top="0.75" bottom="0.75" header="0.3" footer="0.3"/>
  <pageSetup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pageSetUpPr fitToPage="1"/>
  </sheetPr>
  <dimension ref="A1:M48"/>
  <sheetViews>
    <sheetView showGridLines="0" view="pageBreakPreview" topLeftCell="A4" zoomScale="85" zoomScaleNormal="100" zoomScaleSheetLayoutView="85" workbookViewId="0">
      <selection activeCell="O36" sqref="O36"/>
    </sheetView>
  </sheetViews>
  <sheetFormatPr defaultColWidth="8.85546875" defaultRowHeight="15" x14ac:dyDescent="0.25"/>
  <cols>
    <col min="1" max="1" width="3.7109375" bestFit="1" customWidth="1"/>
    <col min="2" max="2" width="47.7109375" customWidth="1"/>
    <col min="3" max="3" width="11.42578125" bestFit="1" customWidth="1"/>
    <col min="4" max="12" width="10.7109375" bestFit="1" customWidth="1"/>
    <col min="13" max="13" width="10.28515625" bestFit="1" customWidth="1"/>
  </cols>
  <sheetData>
    <row r="1" spans="1:13" x14ac:dyDescent="0.25">
      <c r="A1" s="5"/>
      <c r="B1" s="307" t="s">
        <v>63</v>
      </c>
      <c r="C1" s="307"/>
      <c r="D1" s="307"/>
      <c r="E1" s="307"/>
      <c r="F1" s="307"/>
      <c r="G1" s="307"/>
      <c r="H1" s="307"/>
      <c r="I1" s="307"/>
      <c r="J1" s="307"/>
      <c r="K1" s="307"/>
      <c r="L1" s="307"/>
    </row>
    <row r="2" spans="1:13" x14ac:dyDescent="0.25">
      <c r="A2" s="5"/>
      <c r="B2" s="307" t="s">
        <v>91</v>
      </c>
      <c r="C2" s="307"/>
      <c r="D2" s="307"/>
      <c r="E2" s="307"/>
      <c r="F2" s="307"/>
      <c r="G2" s="307"/>
      <c r="H2" s="307"/>
      <c r="I2" s="307"/>
      <c r="J2" s="307"/>
      <c r="K2" s="307"/>
      <c r="L2" s="307"/>
    </row>
    <row r="3" spans="1:13" x14ac:dyDescent="0.25">
      <c r="A3" s="5"/>
      <c r="B3" s="308" t="s">
        <v>5</v>
      </c>
      <c r="C3" s="308"/>
      <c r="D3" s="308"/>
      <c r="E3" s="308"/>
      <c r="F3" s="308"/>
      <c r="G3" s="308"/>
      <c r="H3" s="308"/>
      <c r="I3" s="308"/>
      <c r="J3" s="308"/>
      <c r="K3" s="308"/>
      <c r="L3" s="308"/>
    </row>
    <row r="4" spans="1:13" x14ac:dyDescent="0.25">
      <c r="A4" s="5"/>
    </row>
    <row r="5" spans="1:13" x14ac:dyDescent="0.25">
      <c r="A5" s="5">
        <f>'Table 6-2'!A5</f>
        <v>1</v>
      </c>
      <c r="C5" s="51">
        <f>'Table 6-2'!D5</f>
        <v>2020</v>
      </c>
      <c r="D5" s="51">
        <f>'Table 6-2'!E5</f>
        <v>2021</v>
      </c>
      <c r="E5" s="51">
        <f>'Table 6-2'!F5</f>
        <v>2022</v>
      </c>
      <c r="F5" s="51">
        <f>'Table 6-2'!G5</f>
        <v>2023</v>
      </c>
      <c r="G5" s="51">
        <f>'Table 6-2'!H5</f>
        <v>2024</v>
      </c>
      <c r="H5" s="51">
        <f>'Table 6-2'!I5</f>
        <v>2025</v>
      </c>
      <c r="I5" s="51">
        <f>'Table 6-2'!J5</f>
        <v>2026</v>
      </c>
      <c r="J5" s="51">
        <f>'Table 6-2'!K5</f>
        <v>2027</v>
      </c>
      <c r="K5" s="51">
        <f>'Table 6-2'!L5</f>
        <v>2028</v>
      </c>
      <c r="L5" s="51">
        <f>'Table 6-2'!M5</f>
        <v>2029</v>
      </c>
      <c r="M5" s="51">
        <f>'Table 6-2'!N5</f>
        <v>2030</v>
      </c>
    </row>
    <row r="6" spans="1:13" x14ac:dyDescent="0.25">
      <c r="A6" s="5">
        <f>'Table 6-2'!A6</f>
        <v>2</v>
      </c>
      <c r="B6" s="8" t="str">
        <f>'Table 6-2'!B6</f>
        <v>Federal</v>
      </c>
      <c r="C6" s="8"/>
    </row>
    <row r="7" spans="1:13" x14ac:dyDescent="0.25">
      <c r="A7" s="5">
        <f>'Table 6-2'!A7</f>
        <v>3</v>
      </c>
      <c r="B7" s="138" t="str">
        <f>'Table 6-2'!B7</f>
        <v>Consolidated Forecast Taxable Income</v>
      </c>
      <c r="C7" s="123">
        <f>'Table 6-2'!D7</f>
        <v>-20599.161553780759</v>
      </c>
      <c r="D7" s="123">
        <f>'Table 6-2'!E7</f>
        <v>-1324.5441026827157</v>
      </c>
      <c r="E7" s="123">
        <f>'Table 6-2'!F7</f>
        <v>-166.24919191295024</v>
      </c>
      <c r="F7" s="123">
        <f>'Table 6-2'!G7</f>
        <v>1588.1296796893023</v>
      </c>
      <c r="G7" s="123">
        <f>'Table 6-2'!H7</f>
        <v>1935.9125362298423</v>
      </c>
      <c r="H7" s="123">
        <f>'Table 6-2'!I7</f>
        <v>2109.432666810435</v>
      </c>
      <c r="I7" s="123">
        <f>'Table 6-2'!J7</f>
        <v>2355.3161761197489</v>
      </c>
      <c r="J7" s="123">
        <f>'Table 6-2'!K7</f>
        <v>2622.9878386211394</v>
      </c>
      <c r="K7" s="123">
        <f>'Table 6-2'!L7</f>
        <v>2913.4203557214896</v>
      </c>
      <c r="L7" s="123">
        <f>'Table 6-2'!M7</f>
        <v>3220.9033299193152</v>
      </c>
      <c r="M7" s="123">
        <f>'Table 6-2'!N7</f>
        <v>3561.570726575555</v>
      </c>
    </row>
    <row r="8" spans="1:13" x14ac:dyDescent="0.25">
      <c r="A8" s="5">
        <f>'Table 6-2'!A8</f>
        <v>4</v>
      </c>
      <c r="B8" s="6" t="str">
        <f>'Table 6-2'!B8</f>
        <v>Ratepayer NOL, Beginning of Year (BOY)</v>
      </c>
      <c r="C8" s="123">
        <f>'Table 6-2'!D8</f>
        <v>5461.6393200000002</v>
      </c>
      <c r="D8" s="123">
        <f>'Table 6-2'!E8</f>
        <v>5461.6393200000002</v>
      </c>
      <c r="E8" s="123">
        <f>'Table 6-2'!F8</f>
        <v>5461.6393200000002</v>
      </c>
      <c r="F8" s="123">
        <f>'Table 6-2'!G8</f>
        <v>5461.6393200000002</v>
      </c>
      <c r="G8" s="123">
        <f>'Table 6-2'!H8</f>
        <v>3873.5096403106982</v>
      </c>
      <c r="H8" s="123">
        <f>'Table 6-2'!I8</f>
        <v>1937.5971040808558</v>
      </c>
      <c r="I8" s="123">
        <f>'Table 6-2'!J8</f>
        <v>216.79918655165261</v>
      </c>
      <c r="J8" s="123">
        <f>'Table 6-2'!K8</f>
        <v>0</v>
      </c>
      <c r="K8" s="123">
        <f>'Table 6-2'!L8</f>
        <v>0</v>
      </c>
      <c r="L8" s="123">
        <f>'Table 6-2'!M8</f>
        <v>0</v>
      </c>
      <c r="M8" s="123">
        <f>'Table 6-2'!N8</f>
        <v>0</v>
      </c>
    </row>
    <row r="9" spans="1:13" x14ac:dyDescent="0.25">
      <c r="A9" s="5">
        <f>'Table 6-2'!A9</f>
        <v>5</v>
      </c>
      <c r="B9" s="124" t="str">
        <f>'Table 6-2'!B9</f>
        <v>less: Ratepayer NOLs applied</v>
      </c>
      <c r="C9" s="123">
        <f>'Table 6-2'!D9</f>
        <v>0</v>
      </c>
      <c r="D9" s="123">
        <f>'Table 6-2'!E9</f>
        <v>0</v>
      </c>
      <c r="E9" s="123">
        <f>'Table 6-2'!F9</f>
        <v>0</v>
      </c>
      <c r="F9" s="123">
        <f>'Table 6-2'!G9</f>
        <v>-1588.1296796893023</v>
      </c>
      <c r="G9" s="123">
        <f>'Table 6-2'!H9</f>
        <v>-1935.9125362298423</v>
      </c>
      <c r="H9" s="123">
        <f>'Table 6-2'!I9</f>
        <v>-1720.7979175292032</v>
      </c>
      <c r="I9" s="123">
        <f>'Table 6-2'!J9</f>
        <v>-216.79918655165261</v>
      </c>
      <c r="J9" s="123">
        <f>'Table 6-2'!K9</f>
        <v>0</v>
      </c>
      <c r="K9" s="123">
        <f>'Table 6-2'!L9</f>
        <v>0</v>
      </c>
      <c r="L9" s="123">
        <f>'Table 6-2'!M9</f>
        <v>0</v>
      </c>
      <c r="M9" s="123">
        <f>'Table 6-2'!N9</f>
        <v>0</v>
      </c>
    </row>
    <row r="10" spans="1:13" x14ac:dyDescent="0.25">
      <c r="A10" s="5">
        <f>'Table 6-2'!A10</f>
        <v>6</v>
      </c>
      <c r="B10" s="6" t="str">
        <f>'Table 6-2'!B10</f>
        <v>Ratepayer NOL, End of Year (EOY)</v>
      </c>
      <c r="C10" s="123">
        <f>'Table 6-2'!D10</f>
        <v>5461.6393200000002</v>
      </c>
      <c r="D10" s="123">
        <f>'Table 6-2'!E10</f>
        <v>5461.6393200000002</v>
      </c>
      <c r="E10" s="123">
        <f>'Table 6-2'!F10</f>
        <v>5461.6393200000002</v>
      </c>
      <c r="F10" s="123">
        <f>'Table 6-2'!G10</f>
        <v>3873.5096403106982</v>
      </c>
      <c r="G10" s="123">
        <f>'Table 6-2'!H10</f>
        <v>1937.5971040808558</v>
      </c>
      <c r="H10" s="123">
        <f>'Table 6-2'!I10</f>
        <v>216.79918655165261</v>
      </c>
      <c r="I10" s="123">
        <f>'Table 6-2'!J10</f>
        <v>0</v>
      </c>
      <c r="J10" s="123">
        <f>'Table 6-2'!K10</f>
        <v>0</v>
      </c>
      <c r="K10" s="123">
        <f>'Table 6-2'!L10</f>
        <v>0</v>
      </c>
      <c r="L10" s="123">
        <f>'Table 6-2'!M10</f>
        <v>0</v>
      </c>
      <c r="M10" s="123">
        <f>'Table 6-2'!N10</f>
        <v>0</v>
      </c>
    </row>
    <row r="11" spans="1:13" x14ac:dyDescent="0.25">
      <c r="A11" s="5">
        <f>'Table 6-2'!A11</f>
        <v>7</v>
      </c>
      <c r="B11" s="6" t="str">
        <f>'Table 6-2'!B11</f>
        <v>Shareholder Deductions BOY</v>
      </c>
      <c r="C11" s="123">
        <f>'Table 6-2'!D11</f>
        <v>24235</v>
      </c>
      <c r="D11" s="123">
        <f>'Table 6-2'!E11</f>
        <v>24235</v>
      </c>
      <c r="E11" s="123">
        <f>'Table 6-2'!F11</f>
        <v>24235</v>
      </c>
      <c r="F11" s="123">
        <f>'Table 6-2'!G11</f>
        <v>24235</v>
      </c>
      <c r="G11" s="123">
        <f>'Table 6-2'!H11</f>
        <v>24235</v>
      </c>
      <c r="H11" s="123">
        <f>'Table 6-2'!I11</f>
        <v>24235</v>
      </c>
      <c r="I11" s="123">
        <f>'Table 6-2'!J11</f>
        <v>24235</v>
      </c>
      <c r="J11" s="123">
        <f>'Table 6-2'!K11</f>
        <v>22567.546245655853</v>
      </c>
      <c r="K11" s="123">
        <f>'Table 6-2'!L11</f>
        <v>20469.155974758942</v>
      </c>
      <c r="L11" s="123">
        <f>'Table 6-2'!M11</f>
        <v>18138.419690181749</v>
      </c>
      <c r="M11" s="123">
        <f>'Table 6-2'!N11</f>
        <v>15561.697026246296</v>
      </c>
    </row>
    <row r="12" spans="1:13" x14ac:dyDescent="0.25">
      <c r="A12" s="5">
        <f>'Table 6-2'!A12</f>
        <v>8</v>
      </c>
      <c r="B12" s="143" t="str">
        <f>'Table 6-2'!B12</f>
        <v>less: Shareholder Deductions Applied</v>
      </c>
      <c r="C12" s="144">
        <f>'Table 6-2'!D12</f>
        <v>0</v>
      </c>
      <c r="D12" s="144">
        <f>'Table 6-2'!E12</f>
        <v>0</v>
      </c>
      <c r="E12" s="144">
        <f>'Table 6-2'!F12</f>
        <v>0</v>
      </c>
      <c r="F12" s="144">
        <f>'Table 6-2'!G12</f>
        <v>0</v>
      </c>
      <c r="G12" s="144">
        <f>'Table 6-2'!H12</f>
        <v>0</v>
      </c>
      <c r="H12" s="144">
        <f>'Table 6-2'!I12</f>
        <v>0</v>
      </c>
      <c r="I12" s="144">
        <f>'Table 6-2'!J12</f>
        <v>-1667.4537543441465</v>
      </c>
      <c r="J12" s="144">
        <f>'Table 6-2'!K12</f>
        <v>-2098.3902708969117</v>
      </c>
      <c r="K12" s="144">
        <f>'Table 6-2'!L12</f>
        <v>-2330.7362845771918</v>
      </c>
      <c r="L12" s="144">
        <f>'Table 6-2'!M12</f>
        <v>-2576.7226639354521</v>
      </c>
      <c r="M12" s="144">
        <f>'Table 6-2'!N12</f>
        <v>-2849.2565812604444</v>
      </c>
    </row>
    <row r="13" spans="1:13" x14ac:dyDescent="0.25">
      <c r="A13" s="5">
        <f>'Table 6-2'!A13</f>
        <v>9</v>
      </c>
      <c r="B13" s="6" t="str">
        <f>'Table 6-2'!B13</f>
        <v>Shareholder Deductions EOY</v>
      </c>
      <c r="C13" s="123">
        <f>'Table 6-2'!D13</f>
        <v>24235</v>
      </c>
      <c r="D13" s="123">
        <f>'Table 6-2'!E13</f>
        <v>24235</v>
      </c>
      <c r="E13" s="123">
        <f>'Table 6-2'!F13</f>
        <v>24235</v>
      </c>
      <c r="F13" s="123">
        <f>'Table 6-2'!G13</f>
        <v>24235</v>
      </c>
      <c r="G13" s="123">
        <f>'Table 6-2'!H13</f>
        <v>24235</v>
      </c>
      <c r="H13" s="123">
        <f>'Table 6-2'!I13</f>
        <v>24235</v>
      </c>
      <c r="I13" s="123">
        <f>'Table 6-2'!J13</f>
        <v>22567.546245655853</v>
      </c>
      <c r="J13" s="123">
        <f>'Table 6-2'!K13</f>
        <v>20469.155974758942</v>
      </c>
      <c r="K13" s="123">
        <f>'Table 6-2'!L13</f>
        <v>18138.419690181749</v>
      </c>
      <c r="L13" s="123">
        <f>'Table 6-2'!M13</f>
        <v>15561.697026246296</v>
      </c>
      <c r="M13" s="123">
        <f>'Table 6-2'!N13</f>
        <v>12712.440444985852</v>
      </c>
    </row>
    <row r="14" spans="1:13" x14ac:dyDescent="0.25">
      <c r="A14" s="5">
        <f>'Table 6-2'!A14</f>
        <v>10</v>
      </c>
      <c r="B14" s="8"/>
      <c r="C14" s="123"/>
      <c r="D14" s="123"/>
      <c r="E14" s="123"/>
      <c r="F14" s="123"/>
      <c r="G14" s="123"/>
      <c r="H14" s="123"/>
      <c r="I14" s="123"/>
      <c r="J14" s="123"/>
      <c r="K14" s="123"/>
      <c r="L14" s="123"/>
      <c r="M14" s="123"/>
    </row>
    <row r="15" spans="1:13" x14ac:dyDescent="0.25">
      <c r="A15" s="5">
        <f>'Table 6-2'!A15</f>
        <v>11</v>
      </c>
      <c r="B15" s="8" t="str">
        <f>'Table 6-2'!B15</f>
        <v>State</v>
      </c>
      <c r="C15" s="123"/>
      <c r="D15" s="123"/>
      <c r="E15" s="123"/>
      <c r="F15" s="123"/>
      <c r="G15" s="123"/>
      <c r="H15" s="123"/>
      <c r="I15" s="123"/>
      <c r="J15" s="123"/>
      <c r="K15" s="123"/>
      <c r="L15" s="123"/>
      <c r="M15" s="123"/>
    </row>
    <row r="16" spans="1:13" x14ac:dyDescent="0.25">
      <c r="A16" s="5">
        <f>'Table 6-2'!A16</f>
        <v>12</v>
      </c>
      <c r="B16" s="138" t="str">
        <f>'Table 6-2'!B16</f>
        <v>Consolidated Forecast Taxable Income</v>
      </c>
      <c r="C16" s="123">
        <f>'Table 6-2'!D16</f>
        <v>-25868.277739482168</v>
      </c>
      <c r="D16" s="123">
        <f>'Table 6-2'!E16</f>
        <v>-1679.0451146826831</v>
      </c>
      <c r="E16" s="123">
        <f>'Table 6-2'!F16</f>
        <v>-523.97331137729111</v>
      </c>
      <c r="F16" s="123">
        <f>'Table 6-2'!G16</f>
        <v>1023.9572647095306</v>
      </c>
      <c r="G16" s="123">
        <f>'Table 6-2'!H16</f>
        <v>1357.383366642533</v>
      </c>
      <c r="H16" s="123">
        <f>'Table 6-2'!I16</f>
        <v>1495.5004420653017</v>
      </c>
      <c r="I16" s="123">
        <f>'Table 6-2'!J16</f>
        <v>1704.2944823557432</v>
      </c>
      <c r="J16" s="123">
        <f>'Table 6-2'!K16</f>
        <v>1933.4574130069391</v>
      </c>
      <c r="K16" s="123">
        <f>'Table 6-2'!L16</f>
        <v>2184.439622741867</v>
      </c>
      <c r="L16" s="123">
        <f>'Table 6-2'!M16</f>
        <v>2452.3704823444059</v>
      </c>
      <c r="M16" s="123">
        <f>'Table 6-2'!N16</f>
        <v>2908.9701163836876</v>
      </c>
    </row>
    <row r="17" spans="1:13" x14ac:dyDescent="0.25">
      <c r="A17" s="5">
        <f>'Table 6-2'!A17</f>
        <v>13</v>
      </c>
      <c r="B17" s="6" t="str">
        <f>'Table 6-2'!B17</f>
        <v>Ratepayer NOL, BOY</v>
      </c>
      <c r="C17" s="123">
        <f>'Table 6-2'!D17</f>
        <v>1910.9701520000001</v>
      </c>
      <c r="D17" s="123">
        <f>'Table 6-2'!E17</f>
        <v>1910.9701520000001</v>
      </c>
      <c r="E17" s="123">
        <f>'Table 6-2'!F17</f>
        <v>1910.9701520000001</v>
      </c>
      <c r="F17" s="123">
        <f>'Table 6-2'!G17</f>
        <v>1910.9701520000001</v>
      </c>
      <c r="G17" s="123">
        <f>'Table 6-2'!H17</f>
        <v>887.01288729046951</v>
      </c>
      <c r="H17" s="123">
        <f>'Table 6-2'!I17</f>
        <v>0</v>
      </c>
      <c r="I17" s="123">
        <f>'Table 6-2'!J17</f>
        <v>0</v>
      </c>
      <c r="J17" s="123">
        <f>'Table 6-2'!K17</f>
        <v>0</v>
      </c>
      <c r="K17" s="123">
        <f>'Table 6-2'!L17</f>
        <v>0</v>
      </c>
      <c r="L17" s="123">
        <f>'Table 6-2'!M17</f>
        <v>0</v>
      </c>
      <c r="M17" s="123">
        <f>'Table 6-2'!N17</f>
        <v>0</v>
      </c>
    </row>
    <row r="18" spans="1:13" x14ac:dyDescent="0.25">
      <c r="A18" s="5">
        <f>'Table 6-2'!A18</f>
        <v>14</v>
      </c>
      <c r="B18" s="124" t="str">
        <f>'Table 6-2'!B18</f>
        <v>less: Ratepayer NOLs applied</v>
      </c>
      <c r="C18" s="123">
        <f>'Table 6-2'!D18</f>
        <v>0</v>
      </c>
      <c r="D18" s="123">
        <f>'Table 6-2'!E18</f>
        <v>0</v>
      </c>
      <c r="E18" s="123">
        <f>'Table 6-2'!F18</f>
        <v>0</v>
      </c>
      <c r="F18" s="123">
        <f>'Table 6-2'!G18</f>
        <v>-1023.9572647095306</v>
      </c>
      <c r="G18" s="123">
        <f>'Table 6-2'!H18</f>
        <v>-887.01288729046951</v>
      </c>
      <c r="H18" s="123">
        <f>'Table 6-2'!I18</f>
        <v>0</v>
      </c>
      <c r="I18" s="123">
        <f>'Table 6-2'!J18</f>
        <v>0</v>
      </c>
      <c r="J18" s="123">
        <f>'Table 6-2'!K18</f>
        <v>0</v>
      </c>
      <c r="K18" s="123">
        <f>'Table 6-2'!L18</f>
        <v>0</v>
      </c>
      <c r="L18" s="123">
        <f>'Table 6-2'!M18</f>
        <v>0</v>
      </c>
      <c r="M18" s="123">
        <f>'Table 6-2'!N18</f>
        <v>0</v>
      </c>
    </row>
    <row r="19" spans="1:13" x14ac:dyDescent="0.25">
      <c r="A19" s="5">
        <f>'Table 6-2'!A19</f>
        <v>15</v>
      </c>
      <c r="B19" s="6" t="str">
        <f>'Table 6-2'!B19</f>
        <v>Ratepayer NOL, EOY</v>
      </c>
      <c r="C19" s="123">
        <f>'Table 6-2'!D19</f>
        <v>1910.9701520000001</v>
      </c>
      <c r="D19" s="123">
        <f>'Table 6-2'!E19</f>
        <v>1910.9701520000001</v>
      </c>
      <c r="E19" s="123">
        <f>'Table 6-2'!F19</f>
        <v>1910.9701520000001</v>
      </c>
      <c r="F19" s="123">
        <f>'Table 6-2'!G19</f>
        <v>887.01288729046951</v>
      </c>
      <c r="G19" s="123">
        <f>'Table 6-2'!H19</f>
        <v>0</v>
      </c>
      <c r="H19" s="123">
        <f>'Table 6-2'!I19</f>
        <v>0</v>
      </c>
      <c r="I19" s="123">
        <f>'Table 6-2'!J19</f>
        <v>0</v>
      </c>
      <c r="J19" s="123">
        <f>'Table 6-2'!K19</f>
        <v>0</v>
      </c>
      <c r="K19" s="123">
        <f>'Table 6-2'!L19</f>
        <v>0</v>
      </c>
      <c r="L19" s="123">
        <f>'Table 6-2'!M19</f>
        <v>0</v>
      </c>
      <c r="M19" s="123">
        <f>'Table 6-2'!N19</f>
        <v>0</v>
      </c>
    </row>
    <row r="20" spans="1:13" x14ac:dyDescent="0.25">
      <c r="A20" s="5">
        <f>'Table 6-2'!A20</f>
        <v>16</v>
      </c>
      <c r="B20" s="6" t="str">
        <f>'Table 6-2'!B20</f>
        <v>Shareholder Deductions BOY</v>
      </c>
      <c r="C20" s="123">
        <f>'Table 6-2'!D20</f>
        <v>28292</v>
      </c>
      <c r="D20" s="123">
        <f>'Table 6-2'!E20</f>
        <v>28292</v>
      </c>
      <c r="E20" s="123">
        <f>'Table 6-2'!F20</f>
        <v>28292</v>
      </c>
      <c r="F20" s="123">
        <f>'Table 6-2'!G20</f>
        <v>28292</v>
      </c>
      <c r="G20" s="123">
        <f>'Table 6-2'!H20</f>
        <v>28292</v>
      </c>
      <c r="H20" s="123">
        <f>'Table 6-2'!I20</f>
        <v>27821.629520647937</v>
      </c>
      <c r="I20" s="123">
        <f>'Table 6-2'!J20</f>
        <v>26326.129078582635</v>
      </c>
      <c r="J20" s="123">
        <f>'Table 6-2'!K20</f>
        <v>24621.83459622689</v>
      </c>
      <c r="K20" s="123">
        <f>'Table 6-2'!L20</f>
        <v>22688.377183219953</v>
      </c>
      <c r="L20" s="123">
        <f>'Table 6-2'!M20</f>
        <v>20503.937560478087</v>
      </c>
      <c r="M20" s="123">
        <f>'Table 6-2'!N20</f>
        <v>18051.567078133681</v>
      </c>
    </row>
    <row r="21" spans="1:13" x14ac:dyDescent="0.25">
      <c r="A21" s="5">
        <f>'Table 6-2'!A21</f>
        <v>17</v>
      </c>
      <c r="B21" s="143" t="str">
        <f>'Table 6-2'!B21</f>
        <v>less: Shareholder Deductions Applied</v>
      </c>
      <c r="C21" s="144">
        <f>'Table 6-2'!D21</f>
        <v>0</v>
      </c>
      <c r="D21" s="144">
        <f>'Table 6-2'!E21</f>
        <v>0</v>
      </c>
      <c r="E21" s="144">
        <f>'Table 6-2'!F21</f>
        <v>0</v>
      </c>
      <c r="F21" s="144">
        <f>'Table 6-2'!G21</f>
        <v>0</v>
      </c>
      <c r="G21" s="144">
        <f>'Table 6-2'!H21</f>
        <v>-470.37047935206351</v>
      </c>
      <c r="H21" s="144">
        <f>'Table 6-2'!I21</f>
        <v>-1495.5004420653017</v>
      </c>
      <c r="I21" s="144">
        <f>'Table 6-2'!J21</f>
        <v>-1704.2944823557432</v>
      </c>
      <c r="J21" s="144">
        <f>'Table 6-2'!K21</f>
        <v>-1933.4574130069391</v>
      </c>
      <c r="K21" s="144">
        <f>'Table 6-2'!L21</f>
        <v>-2184.439622741867</v>
      </c>
      <c r="L21" s="144">
        <f>'Table 6-2'!M21</f>
        <v>-2452.3704823444059</v>
      </c>
      <c r="M21" s="144">
        <f>'Table 6-2'!N21</f>
        <v>-2908.9701163836876</v>
      </c>
    </row>
    <row r="22" spans="1:13" x14ac:dyDescent="0.25">
      <c r="A22" s="5">
        <f>'Table 6-2'!A22</f>
        <v>18</v>
      </c>
      <c r="B22" s="6" t="str">
        <f>'Table 6-2'!B22</f>
        <v>Shareholder Deductions EOY</v>
      </c>
      <c r="C22" s="123">
        <f>'Table 6-2'!D22</f>
        <v>28292</v>
      </c>
      <c r="D22" s="123">
        <f>'Table 6-2'!E22</f>
        <v>28292</v>
      </c>
      <c r="E22" s="123">
        <f>'Table 6-2'!F22</f>
        <v>28292</v>
      </c>
      <c r="F22" s="123">
        <f>'Table 6-2'!G22</f>
        <v>28292</v>
      </c>
      <c r="G22" s="123">
        <f>'Table 6-2'!H22</f>
        <v>27821.629520647937</v>
      </c>
      <c r="H22" s="123">
        <f>'Table 6-2'!I22</f>
        <v>26326.129078582635</v>
      </c>
      <c r="I22" s="123">
        <f>'Table 6-2'!J22</f>
        <v>24621.83459622689</v>
      </c>
      <c r="J22" s="123">
        <f>'Table 6-2'!K22</f>
        <v>22688.377183219953</v>
      </c>
      <c r="K22" s="123">
        <f>'Table 6-2'!L22</f>
        <v>20503.937560478087</v>
      </c>
      <c r="L22" s="123">
        <f>'Table 6-2'!M22</f>
        <v>18051.567078133681</v>
      </c>
      <c r="M22" s="123">
        <f>'Table 6-2'!N22</f>
        <v>15142.596961749994</v>
      </c>
    </row>
    <row r="23" spans="1:13" x14ac:dyDescent="0.25">
      <c r="A23" s="5">
        <f>'Table 6-2'!A23</f>
        <v>19</v>
      </c>
      <c r="B23" s="6"/>
      <c r="C23" s="123"/>
      <c r="D23" s="123"/>
      <c r="E23" s="123"/>
      <c r="F23" s="123"/>
      <c r="G23" s="123"/>
      <c r="H23" s="123"/>
      <c r="I23" s="123"/>
      <c r="J23" s="123"/>
      <c r="K23" s="123"/>
      <c r="L23" s="123"/>
      <c r="M23" s="123"/>
    </row>
    <row r="24" spans="1:13" x14ac:dyDescent="0.25">
      <c r="A24" s="5">
        <f>'Table 6-2'!A24</f>
        <v>20</v>
      </c>
      <c r="B24" s="262" t="str">
        <f>'Table 6-2'!B24</f>
        <v>Additional Contributions to Trust</v>
      </c>
      <c r="C24" s="123">
        <f>'Table 6-2'!D24</f>
        <v>0</v>
      </c>
      <c r="D24" s="123">
        <f>'Table 6-2'!E24</f>
        <v>0</v>
      </c>
      <c r="E24" s="123">
        <f>'Table 6-2'!F24</f>
        <v>0</v>
      </c>
      <c r="F24" s="123">
        <f>'Table 6-2'!G24</f>
        <v>0</v>
      </c>
      <c r="G24" s="123">
        <f>'Table 6-2'!H24</f>
        <v>41.58075037472242</v>
      </c>
      <c r="H24" s="123">
        <f>'Table 6-2'!I24</f>
        <v>132.20223907857269</v>
      </c>
      <c r="I24" s="123">
        <f>'Table 6-2'!J24</f>
        <v>500.82492065251847</v>
      </c>
      <c r="J24" s="123">
        <f>'Table 6-2'!K24</f>
        <v>611.57959219816485</v>
      </c>
      <c r="K24" s="123">
        <f>'Table 6-2'!L24</f>
        <v>682.55908241159136</v>
      </c>
      <c r="L24" s="123">
        <f>'Table 6-2'!M24</f>
        <v>757.90131006569038</v>
      </c>
      <c r="M24" s="123">
        <f>'Table 6-2'!N24</f>
        <v>855.49684035301129</v>
      </c>
    </row>
    <row r="25" spans="1:13" x14ac:dyDescent="0.25">
      <c r="A25" s="5"/>
      <c r="B25" s="8"/>
      <c r="C25" s="8"/>
      <c r="D25" s="36"/>
      <c r="E25" s="36"/>
      <c r="F25" s="36"/>
      <c r="G25" s="36"/>
      <c r="H25" s="36"/>
      <c r="I25" s="36"/>
      <c r="J25" s="36"/>
      <c r="K25" s="36"/>
      <c r="L25" s="36"/>
      <c r="M25" s="36"/>
    </row>
    <row r="26" spans="1:13" x14ac:dyDescent="0.25">
      <c r="A26" s="5">
        <f t="shared" ref="A26:A45" si="0">A5</f>
        <v>1</v>
      </c>
      <c r="C26" s="51">
        <f>'Table 6-2'!O5</f>
        <v>2031</v>
      </c>
      <c r="D26" s="51">
        <f>'Table 6-2'!P5</f>
        <v>2032</v>
      </c>
      <c r="E26" s="51">
        <f>'Table 6-2'!Q5</f>
        <v>2033</v>
      </c>
      <c r="F26" s="51">
        <f>'Table 6-2'!R5</f>
        <v>2034</v>
      </c>
      <c r="G26" s="51">
        <f>'Table 6-2'!S5</f>
        <v>2035</v>
      </c>
      <c r="H26" s="51">
        <f>'Table 6-2'!T5</f>
        <v>2036</v>
      </c>
      <c r="I26" s="51">
        <f>'Table 6-2'!U5</f>
        <v>2037</v>
      </c>
      <c r="J26" s="51">
        <f>'Table 6-2'!V5</f>
        <v>2038</v>
      </c>
      <c r="K26" s="51">
        <f>'Table 6-2'!W5</f>
        <v>2039</v>
      </c>
      <c r="L26" s="51">
        <f>'Table 6-2'!X5</f>
        <v>2040</v>
      </c>
    </row>
    <row r="27" spans="1:13" x14ac:dyDescent="0.25">
      <c r="A27" s="5">
        <f t="shared" si="0"/>
        <v>2</v>
      </c>
      <c r="B27" s="8" t="str">
        <f t="shared" ref="B27:B34" si="1">B6</f>
        <v>Federal</v>
      </c>
      <c r="C27" s="123"/>
      <c r="D27" s="123"/>
      <c r="E27" s="123"/>
      <c r="F27" s="123"/>
      <c r="G27" s="123"/>
      <c r="H27" s="123"/>
      <c r="I27" s="123"/>
      <c r="J27" s="123"/>
      <c r="K27" s="123"/>
      <c r="L27" s="123"/>
    </row>
    <row r="28" spans="1:13" x14ac:dyDescent="0.25">
      <c r="A28" s="5">
        <f t="shared" si="0"/>
        <v>3</v>
      </c>
      <c r="B28" s="138" t="str">
        <f t="shared" si="1"/>
        <v>Consolidated Forecast Taxable Income</v>
      </c>
      <c r="C28" s="123">
        <f>'Table 6-2'!O7</f>
        <v>3796.5018317924014</v>
      </c>
      <c r="D28" s="123">
        <f>'Table 6-2'!P7</f>
        <v>4058.3640258702385</v>
      </c>
      <c r="E28" s="123">
        <f>'Table 6-2'!Q7</f>
        <v>4334.9809649487288</v>
      </c>
      <c r="F28" s="123">
        <f>'Table 6-2'!R7</f>
        <v>4627.2239459445418</v>
      </c>
      <c r="G28" s="123">
        <f>'Table 6-2'!S7</f>
        <v>5452.1310258324856</v>
      </c>
      <c r="H28" s="123">
        <f>'Table 6-2'!T7</f>
        <v>5754.0465965050698</v>
      </c>
      <c r="I28" s="123">
        <f>'Table 6-2'!U7</f>
        <v>6051.8123733380007</v>
      </c>
      <c r="J28" s="123">
        <f>'Table 6-2'!V7</f>
        <v>6361.7355749454691</v>
      </c>
      <c r="K28" s="123">
        <f>'Table 6-2'!W7</f>
        <v>6687.1364393129306</v>
      </c>
      <c r="L28" s="123">
        <f>'Table 6-2'!X7</f>
        <v>7028.7877195169012</v>
      </c>
    </row>
    <row r="29" spans="1:13" x14ac:dyDescent="0.25">
      <c r="A29" s="5">
        <f t="shared" si="0"/>
        <v>4</v>
      </c>
      <c r="B29" s="6" t="str">
        <f t="shared" si="1"/>
        <v>Ratepayer NOL, Beginning of Year (BOY)</v>
      </c>
      <c r="C29" s="123">
        <f>'Table 6-2'!O8</f>
        <v>0</v>
      </c>
      <c r="D29" s="123">
        <f>'Table 6-2'!P8</f>
        <v>0</v>
      </c>
      <c r="E29" s="123">
        <f>'Table 6-2'!Q8</f>
        <v>0</v>
      </c>
      <c r="F29" s="123">
        <f>'Table 6-2'!R8</f>
        <v>0</v>
      </c>
      <c r="G29" s="123">
        <f>'Table 6-2'!S8</f>
        <v>0</v>
      </c>
      <c r="H29" s="123">
        <f>'Table 6-2'!T8</f>
        <v>0</v>
      </c>
      <c r="I29" s="123">
        <f>'Table 6-2'!U8</f>
        <v>0</v>
      </c>
      <c r="J29" s="123">
        <f>'Table 6-2'!V8</f>
        <v>0</v>
      </c>
      <c r="K29" s="123">
        <f>'Table 6-2'!W8</f>
        <v>0</v>
      </c>
      <c r="L29" s="123">
        <f>'Table 6-2'!X8</f>
        <v>0</v>
      </c>
    </row>
    <row r="30" spans="1:13" x14ac:dyDescent="0.25">
      <c r="A30" s="5">
        <f t="shared" si="0"/>
        <v>5</v>
      </c>
      <c r="B30" s="124" t="str">
        <f t="shared" si="1"/>
        <v>less: Ratepayer NOLs applied</v>
      </c>
      <c r="C30" s="123">
        <f>'Table 6-2'!O9</f>
        <v>0</v>
      </c>
      <c r="D30" s="123">
        <f>'Table 6-2'!P9</f>
        <v>0</v>
      </c>
      <c r="E30" s="123">
        <f>'Table 6-2'!Q9</f>
        <v>0</v>
      </c>
      <c r="F30" s="123">
        <f>'Table 6-2'!R9</f>
        <v>0</v>
      </c>
      <c r="G30" s="123">
        <f>'Table 6-2'!S9</f>
        <v>0</v>
      </c>
      <c r="H30" s="123">
        <f>'Table 6-2'!T9</f>
        <v>0</v>
      </c>
      <c r="I30" s="123">
        <f>'Table 6-2'!U9</f>
        <v>0</v>
      </c>
      <c r="J30" s="123">
        <f>'Table 6-2'!V9</f>
        <v>0</v>
      </c>
      <c r="K30" s="123">
        <f>'Table 6-2'!W9</f>
        <v>0</v>
      </c>
      <c r="L30" s="123">
        <f>'Table 6-2'!X9</f>
        <v>0</v>
      </c>
    </row>
    <row r="31" spans="1:13" x14ac:dyDescent="0.25">
      <c r="A31" s="5">
        <f t="shared" si="0"/>
        <v>6</v>
      </c>
      <c r="B31" s="6" t="str">
        <f t="shared" si="1"/>
        <v>Ratepayer NOL, End of Year (EOY)</v>
      </c>
      <c r="C31" s="123">
        <f>'Table 6-2'!O10</f>
        <v>0</v>
      </c>
      <c r="D31" s="123">
        <f>'Table 6-2'!P10</f>
        <v>0</v>
      </c>
      <c r="E31" s="123">
        <f>'Table 6-2'!Q10</f>
        <v>0</v>
      </c>
      <c r="F31" s="123">
        <f>'Table 6-2'!R10</f>
        <v>0</v>
      </c>
      <c r="G31" s="123">
        <f>'Table 6-2'!S10</f>
        <v>0</v>
      </c>
      <c r="H31" s="123">
        <f>'Table 6-2'!T10</f>
        <v>0</v>
      </c>
      <c r="I31" s="123">
        <f>'Table 6-2'!U10</f>
        <v>0</v>
      </c>
      <c r="J31" s="123">
        <f>'Table 6-2'!V10</f>
        <v>0</v>
      </c>
      <c r="K31" s="123">
        <f>'Table 6-2'!W10</f>
        <v>0</v>
      </c>
      <c r="L31" s="123">
        <f>'Table 6-2'!X10</f>
        <v>0</v>
      </c>
    </row>
    <row r="32" spans="1:13" x14ac:dyDescent="0.25">
      <c r="A32" s="5">
        <f t="shared" si="0"/>
        <v>7</v>
      </c>
      <c r="B32" s="124" t="str">
        <f t="shared" si="1"/>
        <v>Shareholder Deductions BOY</v>
      </c>
      <c r="C32" s="123">
        <f>'Table 6-2'!O11</f>
        <v>12712.440444985852</v>
      </c>
      <c r="D32" s="123">
        <f>'Table 6-2'!P11</f>
        <v>9675.2389795519302</v>
      </c>
      <c r="E32" s="123">
        <f>'Table 6-2'!Q11</f>
        <v>6428.5477588557387</v>
      </c>
      <c r="F32" s="123">
        <f>'Table 6-2'!R11</f>
        <v>2960.5629868967553</v>
      </c>
      <c r="G32" s="123">
        <f>'Table 6-2'!S11</f>
        <v>0</v>
      </c>
      <c r="H32" s="123">
        <f>'Table 6-2'!T11</f>
        <v>0</v>
      </c>
      <c r="I32" s="123">
        <f>'Table 6-2'!U11</f>
        <v>0</v>
      </c>
      <c r="J32" s="123">
        <f>'Table 6-2'!V11</f>
        <v>0</v>
      </c>
      <c r="K32" s="123">
        <f>'Table 6-2'!W11</f>
        <v>0</v>
      </c>
      <c r="L32" s="123">
        <f>'Table 6-2'!X11</f>
        <v>0</v>
      </c>
    </row>
    <row r="33" spans="1:12" x14ac:dyDescent="0.25">
      <c r="A33" s="5">
        <f t="shared" si="0"/>
        <v>8</v>
      </c>
      <c r="B33" s="142" t="str">
        <f t="shared" si="1"/>
        <v>less: Shareholder Deductions Applied</v>
      </c>
      <c r="C33" s="141">
        <f>'Table 6-2'!O12</f>
        <v>-3037.2014654339214</v>
      </c>
      <c r="D33" s="141">
        <f>'Table 6-2'!P12</f>
        <v>-3246.6912206961911</v>
      </c>
      <c r="E33" s="141">
        <f>'Table 6-2'!Q12</f>
        <v>-3467.9847719589834</v>
      </c>
      <c r="F33" s="141">
        <f>'Table 6-2'!R12</f>
        <v>-2960.5629868967553</v>
      </c>
      <c r="G33" s="141">
        <f>'Table 6-2'!S12</f>
        <v>0</v>
      </c>
      <c r="H33" s="141">
        <f>'Table 6-2'!T12</f>
        <v>0</v>
      </c>
      <c r="I33" s="141">
        <f>'Table 6-2'!U12</f>
        <v>0</v>
      </c>
      <c r="J33" s="141">
        <f>'Table 6-2'!V12</f>
        <v>0</v>
      </c>
      <c r="K33" s="141">
        <f>'Table 6-2'!W12</f>
        <v>0</v>
      </c>
      <c r="L33" s="141">
        <f>'Table 6-2'!X12</f>
        <v>0</v>
      </c>
    </row>
    <row r="34" spans="1:12" x14ac:dyDescent="0.25">
      <c r="A34" s="5">
        <f t="shared" si="0"/>
        <v>9</v>
      </c>
      <c r="B34" s="6" t="str">
        <f t="shared" si="1"/>
        <v>Shareholder Deductions EOY</v>
      </c>
      <c r="C34" s="123">
        <f>'Table 6-2'!O13</f>
        <v>9675.2389795519302</v>
      </c>
      <c r="D34" s="123">
        <f>'Table 6-2'!P13</f>
        <v>6428.5477588557387</v>
      </c>
      <c r="E34" s="123">
        <f>'Table 6-2'!Q13</f>
        <v>2960.5629868967553</v>
      </c>
      <c r="F34" s="123">
        <f>'Table 6-2'!R13</f>
        <v>0</v>
      </c>
      <c r="G34" s="123">
        <f>'Table 6-2'!S13</f>
        <v>0</v>
      </c>
      <c r="H34" s="123">
        <f>'Table 6-2'!T13</f>
        <v>0</v>
      </c>
      <c r="I34" s="123">
        <f>'Table 6-2'!U13</f>
        <v>0</v>
      </c>
      <c r="J34" s="123">
        <f>'Table 6-2'!V13</f>
        <v>0</v>
      </c>
      <c r="K34" s="123">
        <f>'Table 6-2'!W13</f>
        <v>0</v>
      </c>
      <c r="L34" s="123">
        <f>'Table 6-2'!X13</f>
        <v>0</v>
      </c>
    </row>
    <row r="35" spans="1:12" x14ac:dyDescent="0.25">
      <c r="A35" s="5">
        <f t="shared" si="0"/>
        <v>10</v>
      </c>
      <c r="C35" s="123"/>
      <c r="D35" s="123"/>
      <c r="E35" s="123"/>
      <c r="F35" s="123"/>
      <c r="G35" s="123"/>
      <c r="H35" s="123"/>
      <c r="I35" s="123"/>
      <c r="J35" s="123"/>
      <c r="K35" s="123"/>
      <c r="L35" s="123"/>
    </row>
    <row r="36" spans="1:12" x14ac:dyDescent="0.25">
      <c r="A36" s="5">
        <f t="shared" si="0"/>
        <v>11</v>
      </c>
      <c r="B36" s="8" t="str">
        <f t="shared" ref="B36:B45" si="2">B15</f>
        <v>State</v>
      </c>
      <c r="C36" s="123"/>
      <c r="D36" s="123"/>
      <c r="E36" s="123"/>
      <c r="F36" s="123"/>
      <c r="G36" s="123"/>
      <c r="H36" s="123"/>
      <c r="I36" s="123"/>
      <c r="J36" s="123"/>
      <c r="K36" s="123"/>
      <c r="L36" s="123"/>
    </row>
    <row r="37" spans="1:12" x14ac:dyDescent="0.25">
      <c r="A37" s="5">
        <f t="shared" si="0"/>
        <v>12</v>
      </c>
      <c r="B37" s="138" t="str">
        <f t="shared" si="2"/>
        <v>Consolidated Forecast Taxable Income</v>
      </c>
      <c r="C37" s="123">
        <f>'Table 6-2'!O16</f>
        <v>3085.3051458861451</v>
      </c>
      <c r="D37" s="123">
        <f>'Table 6-2'!P16</f>
        <v>3285.641460463874</v>
      </c>
      <c r="E37" s="123">
        <f>'Table 6-2'!Q16</f>
        <v>3497.6562260672513</v>
      </c>
      <c r="F37" s="123">
        <f>'Table 6-2'!R16</f>
        <v>3722.0669249141947</v>
      </c>
      <c r="G37" s="123">
        <f>'Table 6-2'!S16</f>
        <v>3956.4292044499225</v>
      </c>
      <c r="H37" s="123">
        <f>'Table 6-2'!T16</f>
        <v>4183.559684053379</v>
      </c>
      <c r="I37" s="123">
        <f>'Table 6-2'!U16</f>
        <v>4402.8011152637237</v>
      </c>
      <c r="J37" s="123">
        <f>'Table 6-2'!V16</f>
        <v>4630.2737539674799</v>
      </c>
      <c r="K37" s="123">
        <f>'Table 6-2'!W16</f>
        <v>4869.1015272860413</v>
      </c>
      <c r="L37" s="123">
        <f>'Table 6-2'!X16</f>
        <v>5119.8510618886667</v>
      </c>
    </row>
    <row r="38" spans="1:12" x14ac:dyDescent="0.25">
      <c r="A38" s="5">
        <f t="shared" si="0"/>
        <v>13</v>
      </c>
      <c r="B38" s="6" t="str">
        <f t="shared" si="2"/>
        <v>Ratepayer NOL, BOY</v>
      </c>
      <c r="C38" s="123">
        <f>'Table 6-2'!O17</f>
        <v>0</v>
      </c>
      <c r="D38" s="123">
        <f>'Table 6-2'!P17</f>
        <v>0</v>
      </c>
      <c r="E38" s="123">
        <f>'Table 6-2'!Q17</f>
        <v>0</v>
      </c>
      <c r="F38" s="123">
        <f>'Table 6-2'!R17</f>
        <v>0</v>
      </c>
      <c r="G38" s="123">
        <f>'Table 6-2'!S17</f>
        <v>0</v>
      </c>
      <c r="H38" s="123">
        <f>'Table 6-2'!T17</f>
        <v>0</v>
      </c>
      <c r="I38" s="123">
        <f>'Table 6-2'!U17</f>
        <v>0</v>
      </c>
      <c r="J38" s="123">
        <f>'Table 6-2'!V17</f>
        <v>0</v>
      </c>
      <c r="K38" s="123">
        <f>'Table 6-2'!W17</f>
        <v>0</v>
      </c>
      <c r="L38" s="123">
        <f>'Table 6-2'!X17</f>
        <v>0</v>
      </c>
    </row>
    <row r="39" spans="1:12" x14ac:dyDescent="0.25">
      <c r="A39" s="5">
        <f t="shared" si="0"/>
        <v>14</v>
      </c>
      <c r="B39" s="124" t="str">
        <f t="shared" si="2"/>
        <v>less: Ratepayer NOLs applied</v>
      </c>
      <c r="C39" s="123">
        <f>'Table 6-2'!O18</f>
        <v>0</v>
      </c>
      <c r="D39" s="123">
        <f>'Table 6-2'!P18</f>
        <v>0</v>
      </c>
      <c r="E39" s="123">
        <f>'Table 6-2'!Q18</f>
        <v>0</v>
      </c>
      <c r="F39" s="123">
        <f>'Table 6-2'!R18</f>
        <v>0</v>
      </c>
      <c r="G39" s="123">
        <f>'Table 6-2'!S18</f>
        <v>0</v>
      </c>
      <c r="H39" s="123">
        <f>'Table 6-2'!T18</f>
        <v>0</v>
      </c>
      <c r="I39" s="123">
        <f>'Table 6-2'!U18</f>
        <v>0</v>
      </c>
      <c r="J39" s="123">
        <f>'Table 6-2'!V18</f>
        <v>0</v>
      </c>
      <c r="K39" s="123">
        <f>'Table 6-2'!W18</f>
        <v>0</v>
      </c>
      <c r="L39" s="123">
        <f>'Table 6-2'!X18</f>
        <v>0</v>
      </c>
    </row>
    <row r="40" spans="1:12" x14ac:dyDescent="0.25">
      <c r="A40" s="5">
        <f t="shared" si="0"/>
        <v>15</v>
      </c>
      <c r="B40" s="6" t="str">
        <f t="shared" si="2"/>
        <v>Ratepayer NOL, EOY</v>
      </c>
      <c r="C40" s="123">
        <f>'Table 6-2'!O19</f>
        <v>0</v>
      </c>
      <c r="D40" s="123">
        <f>'Table 6-2'!P19</f>
        <v>0</v>
      </c>
      <c r="E40" s="123">
        <f>'Table 6-2'!Q19</f>
        <v>0</v>
      </c>
      <c r="F40" s="123">
        <f>'Table 6-2'!R19</f>
        <v>0</v>
      </c>
      <c r="G40" s="123">
        <f>'Table 6-2'!S19</f>
        <v>0</v>
      </c>
      <c r="H40" s="123">
        <f>'Table 6-2'!T19</f>
        <v>0</v>
      </c>
      <c r="I40" s="123">
        <f>'Table 6-2'!U19</f>
        <v>0</v>
      </c>
      <c r="J40" s="123">
        <f>'Table 6-2'!V19</f>
        <v>0</v>
      </c>
      <c r="K40" s="123">
        <f>'Table 6-2'!W19</f>
        <v>0</v>
      </c>
      <c r="L40" s="123">
        <f>'Table 6-2'!X19</f>
        <v>0</v>
      </c>
    </row>
    <row r="41" spans="1:12" x14ac:dyDescent="0.25">
      <c r="A41" s="5">
        <f t="shared" si="0"/>
        <v>16</v>
      </c>
      <c r="B41" s="6" t="str">
        <f t="shared" si="2"/>
        <v>Shareholder Deductions BOY</v>
      </c>
      <c r="C41" s="123">
        <f>'Table 6-2'!O20</f>
        <v>15142.596961749994</v>
      </c>
      <c r="D41" s="123">
        <f>'Table 6-2'!P20</f>
        <v>12057.291815863849</v>
      </c>
      <c r="E41" s="123">
        <f>'Table 6-2'!Q20</f>
        <v>8771.6503553999755</v>
      </c>
      <c r="F41" s="123">
        <f>'Table 6-2'!R20</f>
        <v>5273.9941293327247</v>
      </c>
      <c r="G41" s="123">
        <f>'Table 6-2'!S20</f>
        <v>1551.92720441853</v>
      </c>
      <c r="H41" s="123">
        <f>'Table 6-2'!T20</f>
        <v>0</v>
      </c>
      <c r="I41" s="123">
        <f>'Table 6-2'!U20</f>
        <v>0</v>
      </c>
      <c r="J41" s="123">
        <f>'Table 6-2'!V20</f>
        <v>0</v>
      </c>
      <c r="K41" s="123">
        <f>'Table 6-2'!W20</f>
        <v>0</v>
      </c>
      <c r="L41" s="123">
        <f>'Table 6-2'!X20</f>
        <v>0</v>
      </c>
    </row>
    <row r="42" spans="1:12" x14ac:dyDescent="0.25">
      <c r="A42" s="5">
        <f t="shared" si="0"/>
        <v>17</v>
      </c>
      <c r="B42" s="140" t="str">
        <f t="shared" si="2"/>
        <v>less: Shareholder Deductions Applied</v>
      </c>
      <c r="C42" s="141">
        <f>'Table 6-2'!O21</f>
        <v>-3085.3051458861451</v>
      </c>
      <c r="D42" s="141">
        <f>'Table 6-2'!P21</f>
        <v>-3285.641460463874</v>
      </c>
      <c r="E42" s="141">
        <f>'Table 6-2'!Q21</f>
        <v>-3497.6562260672513</v>
      </c>
      <c r="F42" s="141">
        <f>'Table 6-2'!R21</f>
        <v>-3722.0669249141947</v>
      </c>
      <c r="G42" s="141">
        <f>'Table 6-2'!S21</f>
        <v>-1551.92720441853</v>
      </c>
      <c r="H42" s="141">
        <f>'Table 6-2'!T21</f>
        <v>0</v>
      </c>
      <c r="I42" s="141">
        <f>'Table 6-2'!U21</f>
        <v>0</v>
      </c>
      <c r="J42" s="141">
        <f>'Table 6-2'!V21</f>
        <v>0</v>
      </c>
      <c r="K42" s="141">
        <f>'Table 6-2'!W21</f>
        <v>0</v>
      </c>
      <c r="L42" s="141">
        <f>'Table 6-2'!X21</f>
        <v>0</v>
      </c>
    </row>
    <row r="43" spans="1:12" x14ac:dyDescent="0.25">
      <c r="A43" s="5">
        <f t="shared" si="0"/>
        <v>18</v>
      </c>
      <c r="B43" s="6" t="str">
        <f t="shared" si="2"/>
        <v>Shareholder Deductions EOY</v>
      </c>
      <c r="C43" s="123">
        <f>'Table 6-2'!O22</f>
        <v>12057.291815863849</v>
      </c>
      <c r="D43" s="123">
        <f>'Table 6-2'!P22</f>
        <v>8771.6503553999755</v>
      </c>
      <c r="E43" s="123">
        <f>'Table 6-2'!Q22</f>
        <v>5273.9941293327247</v>
      </c>
      <c r="F43" s="123">
        <f>'Table 6-2'!R22</f>
        <v>1551.92720441853</v>
      </c>
      <c r="G43" s="123">
        <f>'Table 6-2'!S22</f>
        <v>0</v>
      </c>
      <c r="H43" s="123">
        <f>'Table 6-2'!T22</f>
        <v>0</v>
      </c>
      <c r="I43" s="123">
        <f>'Table 6-2'!U22</f>
        <v>0</v>
      </c>
      <c r="J43" s="123">
        <f>'Table 6-2'!V22</f>
        <v>0</v>
      </c>
      <c r="K43" s="123">
        <f>'Table 6-2'!W22</f>
        <v>0</v>
      </c>
      <c r="L43" s="123">
        <f>'Table 6-2'!X22</f>
        <v>0</v>
      </c>
    </row>
    <row r="44" spans="1:12" x14ac:dyDescent="0.25">
      <c r="A44" s="5">
        <f t="shared" si="0"/>
        <v>19</v>
      </c>
      <c r="B44" s="6"/>
      <c r="C44" s="123"/>
      <c r="D44" s="123"/>
      <c r="E44" s="123"/>
      <c r="F44" s="123"/>
      <c r="G44" s="123"/>
      <c r="H44" s="123"/>
      <c r="I44" s="123"/>
      <c r="J44" s="123"/>
      <c r="K44" s="123"/>
      <c r="L44" s="123"/>
    </row>
    <row r="45" spans="1:12" x14ac:dyDescent="0.25">
      <c r="A45" s="5">
        <f t="shared" si="0"/>
        <v>20</v>
      </c>
      <c r="B45" s="262" t="str">
        <f t="shared" si="2"/>
        <v>Additional Contributions to Trust</v>
      </c>
      <c r="C45" s="123">
        <f>'Table 6-2'!O24</f>
        <v>910.55328263745878</v>
      </c>
      <c r="D45" s="123">
        <f>'Table 6-2'!P24</f>
        <v>972.25586145120656</v>
      </c>
      <c r="E45" s="123">
        <f>'Table 6-2'!Q24</f>
        <v>1037.4696124957316</v>
      </c>
      <c r="F45" s="123">
        <f>'Table 6-2'!R24</f>
        <v>950.74894341073343</v>
      </c>
      <c r="G45" s="123">
        <f>'Table 6-2'!S24</f>
        <v>137.19036487059807</v>
      </c>
      <c r="H45" s="123">
        <f>'Table 6-2'!T24</f>
        <v>0</v>
      </c>
      <c r="I45" s="123">
        <f>'Table 6-2'!U24</f>
        <v>0</v>
      </c>
      <c r="J45" s="123">
        <f>'Table 6-2'!V24</f>
        <v>0</v>
      </c>
      <c r="K45" s="123">
        <f>'Table 6-2'!W24</f>
        <v>0</v>
      </c>
      <c r="L45" s="123">
        <f>'Table 6-2'!X24</f>
        <v>0</v>
      </c>
    </row>
    <row r="47" spans="1:12" x14ac:dyDescent="0.25">
      <c r="B47" s="5" t="s">
        <v>171</v>
      </c>
      <c r="C47" s="5"/>
    </row>
    <row r="48" spans="1:12" x14ac:dyDescent="0.25">
      <c r="B48" s="5" t="s">
        <v>165</v>
      </c>
      <c r="C48" s="5"/>
    </row>
  </sheetData>
  <mergeCells count="3">
    <mergeCell ref="B1:L1"/>
    <mergeCell ref="B2:L2"/>
    <mergeCell ref="B3:L3"/>
  </mergeCells>
  <pageMargins left="0.7" right="0.7" top="0.75" bottom="0.75" header="0.3" footer="0.3"/>
  <pageSetup scale="53"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R78"/>
  <sheetViews>
    <sheetView showGridLines="0" view="pageBreakPreview" topLeftCell="A28" zoomScale="70" zoomScaleNormal="70" zoomScaleSheetLayoutView="70" zoomScalePageLayoutView="60" workbookViewId="0">
      <selection activeCell="W53" sqref="W53"/>
    </sheetView>
  </sheetViews>
  <sheetFormatPr defaultColWidth="8.85546875" defaultRowHeight="15" x14ac:dyDescent="0.25"/>
  <cols>
    <col min="1" max="1" width="3.7109375" style="5" customWidth="1"/>
    <col min="2" max="2" width="4" style="17" bestFit="1" customWidth="1"/>
    <col min="3" max="3" width="41.42578125" style="32" customWidth="1"/>
    <col min="4" max="12" width="11.140625" style="32" bestFit="1" customWidth="1"/>
    <col min="13" max="14" width="10.85546875" style="32" bestFit="1" customWidth="1"/>
    <col min="15" max="15" width="10.85546875" bestFit="1" customWidth="1"/>
    <col min="16" max="16" width="11.140625" customWidth="1"/>
    <col min="17" max="18" width="11.140625" bestFit="1" customWidth="1"/>
  </cols>
  <sheetData>
    <row r="1" spans="2:18" x14ac:dyDescent="0.25">
      <c r="B1" s="5"/>
      <c r="C1"/>
      <c r="D1"/>
      <c r="E1"/>
      <c r="F1"/>
      <c r="G1"/>
      <c r="H1"/>
      <c r="I1"/>
      <c r="J1"/>
      <c r="K1"/>
      <c r="L1"/>
      <c r="M1"/>
      <c r="N1"/>
    </row>
    <row r="2" spans="2:18" x14ac:dyDescent="0.25">
      <c r="B2" s="307" t="s">
        <v>64</v>
      </c>
      <c r="C2" s="307"/>
      <c r="D2" s="307"/>
      <c r="E2" s="307"/>
      <c r="F2" s="307"/>
      <c r="G2" s="307"/>
      <c r="H2" s="307"/>
      <c r="I2" s="307"/>
      <c r="J2" s="307"/>
      <c r="K2" s="307"/>
      <c r="L2" s="307"/>
      <c r="M2" s="307"/>
      <c r="N2" s="307"/>
      <c r="O2" s="307"/>
      <c r="P2" s="307"/>
      <c r="Q2" s="307"/>
      <c r="R2" s="307"/>
    </row>
    <row r="3" spans="2:18" x14ac:dyDescent="0.25">
      <c r="B3" s="307" t="s">
        <v>100</v>
      </c>
      <c r="C3" s="307"/>
      <c r="D3" s="307"/>
      <c r="E3" s="307"/>
      <c r="F3" s="307"/>
      <c r="G3" s="307"/>
      <c r="H3" s="307"/>
      <c r="I3" s="307"/>
      <c r="J3" s="307"/>
      <c r="K3" s="307"/>
      <c r="L3" s="307"/>
      <c r="M3" s="307"/>
      <c r="N3" s="307"/>
      <c r="O3" s="307"/>
      <c r="P3" s="307"/>
      <c r="Q3" s="307"/>
      <c r="R3" s="307"/>
    </row>
    <row r="4" spans="2:18" x14ac:dyDescent="0.25">
      <c r="B4" s="308" t="s">
        <v>5</v>
      </c>
      <c r="C4" s="308"/>
      <c r="D4" s="308"/>
      <c r="E4" s="308"/>
      <c r="F4" s="308"/>
      <c r="G4" s="308"/>
      <c r="H4" s="308"/>
      <c r="I4" s="308"/>
      <c r="J4" s="308"/>
      <c r="K4" s="308"/>
      <c r="L4" s="308"/>
      <c r="M4" s="308"/>
      <c r="N4" s="308"/>
      <c r="O4" s="308"/>
      <c r="P4" s="308"/>
      <c r="Q4" s="308"/>
      <c r="R4" s="308"/>
    </row>
    <row r="6" spans="2:18" x14ac:dyDescent="0.25">
      <c r="B6" s="5">
        <f>'Table 6-3'!A15</f>
        <v>1</v>
      </c>
      <c r="C6" s="8" t="str">
        <f>'Table 6-3'!B15</f>
        <v>Fixed Recovery Charge (FRC)</v>
      </c>
      <c r="D6" s="51">
        <f>'Table 6-3'!E15</f>
        <v>2021</v>
      </c>
      <c r="E6" s="51">
        <f>'Table 6-3'!F15</f>
        <v>2022</v>
      </c>
      <c r="F6" s="51">
        <f>'Table 6-3'!G15</f>
        <v>2023</v>
      </c>
      <c r="G6" s="51">
        <f>'Table 6-3'!H15</f>
        <v>2024</v>
      </c>
      <c r="H6" s="51">
        <f>'Table 6-3'!I15</f>
        <v>2025</v>
      </c>
      <c r="I6" s="51">
        <f>'Table 6-3'!J15</f>
        <v>2026</v>
      </c>
      <c r="J6" s="51">
        <f>'Table 6-3'!K15</f>
        <v>2027</v>
      </c>
      <c r="K6" s="51">
        <f>'Table 6-3'!L15</f>
        <v>2028</v>
      </c>
      <c r="L6" s="51">
        <f>'Table 6-3'!M15</f>
        <v>2029</v>
      </c>
      <c r="M6" s="51">
        <f>'Table 6-3'!N15</f>
        <v>2030</v>
      </c>
      <c r="N6" s="51">
        <f>'Table 6-3'!O15</f>
        <v>2031</v>
      </c>
      <c r="O6" s="51">
        <f>'Table 6-3'!P15</f>
        <v>2032</v>
      </c>
      <c r="P6" s="51">
        <f>'Table 6-3'!Q15</f>
        <v>2033</v>
      </c>
      <c r="Q6" s="51">
        <f>'Table 6-3'!R15</f>
        <v>2034</v>
      </c>
      <c r="R6" s="51">
        <f>'Table 6-3'!S15</f>
        <v>2035</v>
      </c>
    </row>
    <row r="7" spans="2:18" x14ac:dyDescent="0.25">
      <c r="B7" s="5">
        <f>'Table 6-3'!A16</f>
        <v>2</v>
      </c>
      <c r="C7" s="88" t="str">
        <f>'Table 6-3'!B16</f>
        <v>Annual Debt Service</v>
      </c>
      <c r="D7" s="122">
        <f>'Table 6-3'!E16</f>
        <v>186.42713313463253</v>
      </c>
      <c r="E7" s="122">
        <f>'Table 6-3'!F16</f>
        <v>299.61503539494515</v>
      </c>
      <c r="F7" s="122">
        <f>'Table 6-3'!G16</f>
        <v>299.61503539494515</v>
      </c>
      <c r="G7" s="122">
        <f>'Table 6-3'!H16</f>
        <v>389.11043557785081</v>
      </c>
      <c r="H7" s="122">
        <f>'Table 6-3'!I16</f>
        <v>389.11043557785081</v>
      </c>
      <c r="I7" s="122">
        <f>'Table 6-3'!J16</f>
        <v>389.11043557785081</v>
      </c>
      <c r="J7" s="122">
        <f>'Table 6-3'!K16</f>
        <v>389.11043557785081</v>
      </c>
      <c r="K7" s="122">
        <f>'Table 6-3'!L16</f>
        <v>389.11043557785081</v>
      </c>
      <c r="L7" s="122">
        <f>'Table 6-3'!M16</f>
        <v>389.11043557785081</v>
      </c>
      <c r="M7" s="122">
        <f>'Table 6-3'!N16</f>
        <v>389.11043557785081</v>
      </c>
      <c r="N7" s="122">
        <f>'Table 6-3'!O16</f>
        <v>389.11043557785081</v>
      </c>
      <c r="O7" s="122">
        <f>'Table 6-3'!P16</f>
        <v>389.11043557785081</v>
      </c>
      <c r="P7" s="122">
        <f>'Table 6-3'!Q16</f>
        <v>389.11043557785081</v>
      </c>
      <c r="Q7" s="122">
        <f>'Table 6-3'!R16</f>
        <v>389.11043557785081</v>
      </c>
      <c r="R7" s="122">
        <f>'Table 6-3'!S16</f>
        <v>389.11043557785081</v>
      </c>
    </row>
    <row r="8" spans="2:18" x14ac:dyDescent="0.25">
      <c r="B8" s="5">
        <f>'Table 6-3'!A17</f>
        <v>3</v>
      </c>
      <c r="C8" s="6" t="str">
        <f>'Table 6-3'!B17</f>
        <v>Servicing &amp; Administrative Fees (PG&amp;E)</v>
      </c>
      <c r="D8" s="122">
        <f>'Table 6-3'!E17</f>
        <v>2.8687500000000004</v>
      </c>
      <c r="E8" s="122">
        <f>'Table 6-3'!F17</f>
        <v>3.8250000000000002</v>
      </c>
      <c r="F8" s="122">
        <f>'Table 6-3'!G17</f>
        <v>3.8250000000000002</v>
      </c>
      <c r="G8" s="122">
        <f>'Table 6-3'!H17</f>
        <v>3.8250000000000002</v>
      </c>
      <c r="H8" s="122">
        <f>'Table 6-3'!I17</f>
        <v>3.8250000000000002</v>
      </c>
      <c r="I8" s="122">
        <f>'Table 6-3'!J17</f>
        <v>3.8250000000000002</v>
      </c>
      <c r="J8" s="122">
        <f>'Table 6-3'!K17</f>
        <v>3.8250000000000002</v>
      </c>
      <c r="K8" s="122">
        <f>'Table 6-3'!L17</f>
        <v>3.8250000000000002</v>
      </c>
      <c r="L8" s="122">
        <f>'Table 6-3'!M17</f>
        <v>3.8250000000000002</v>
      </c>
      <c r="M8" s="122">
        <f>'Table 6-3'!N17</f>
        <v>3.8250000000000002</v>
      </c>
      <c r="N8" s="122">
        <f>'Table 6-3'!O17</f>
        <v>3.8250000000000002</v>
      </c>
      <c r="O8" s="122">
        <f>'Table 6-3'!P17</f>
        <v>3.8250000000000002</v>
      </c>
      <c r="P8" s="122">
        <f>'Table 6-3'!Q17</f>
        <v>3.8250000000000002</v>
      </c>
      <c r="Q8" s="122">
        <f>'Table 6-3'!R17</f>
        <v>3.8250000000000002</v>
      </c>
      <c r="R8" s="122">
        <f>'Table 6-3'!S17</f>
        <v>3.8250000000000002</v>
      </c>
    </row>
    <row r="9" spans="2:18" x14ac:dyDescent="0.25">
      <c r="B9" s="5">
        <f>'Table 6-3'!A18</f>
        <v>4</v>
      </c>
      <c r="C9" s="6" t="str">
        <f>'Table 6-3'!B18</f>
        <v>Rating Agency Fees</v>
      </c>
      <c r="D9" s="122">
        <f>'Table 6-3'!E18</f>
        <v>0.16874999999999998</v>
      </c>
      <c r="E9" s="122">
        <f>'Table 6-3'!F18</f>
        <v>0.22500000000000001</v>
      </c>
      <c r="F9" s="122">
        <f>'Table 6-3'!G18</f>
        <v>0.22500000000000001</v>
      </c>
      <c r="G9" s="122">
        <f>'Table 6-3'!H18</f>
        <v>0.22500000000000001</v>
      </c>
      <c r="H9" s="122">
        <f>'Table 6-3'!I18</f>
        <v>0.22500000000000001</v>
      </c>
      <c r="I9" s="122">
        <f>'Table 6-3'!J18</f>
        <v>0.22500000000000001</v>
      </c>
      <c r="J9" s="122">
        <f>'Table 6-3'!K18</f>
        <v>0.22500000000000001</v>
      </c>
      <c r="K9" s="122">
        <f>'Table 6-3'!L18</f>
        <v>0.22500000000000001</v>
      </c>
      <c r="L9" s="122">
        <f>'Table 6-3'!M18</f>
        <v>0.22500000000000001</v>
      </c>
      <c r="M9" s="122">
        <f>'Table 6-3'!N18</f>
        <v>0.22500000000000001</v>
      </c>
      <c r="N9" s="122">
        <f>'Table 6-3'!O18</f>
        <v>0.22500000000000001</v>
      </c>
      <c r="O9" s="122">
        <f>'Table 6-3'!P18</f>
        <v>0.22500000000000001</v>
      </c>
      <c r="P9" s="122">
        <f>'Table 6-3'!Q18</f>
        <v>0.22500000000000001</v>
      </c>
      <c r="Q9" s="122">
        <f>'Table 6-3'!R18</f>
        <v>0.22500000000000001</v>
      </c>
      <c r="R9" s="122">
        <f>'Table 6-3'!S18</f>
        <v>0.22500000000000001</v>
      </c>
    </row>
    <row r="10" spans="2:18" ht="17.25" x14ac:dyDescent="0.25">
      <c r="B10" s="5">
        <f>'Table 6-3'!A19</f>
        <v>5</v>
      </c>
      <c r="C10" s="6" t="s">
        <v>41</v>
      </c>
      <c r="D10" s="122">
        <f>'Table 6-3'!E19</f>
        <v>0.20625000000000002</v>
      </c>
      <c r="E10" s="122">
        <f>'Table 6-3'!F19</f>
        <v>0.27500000000000002</v>
      </c>
      <c r="F10" s="122">
        <f>'Table 6-3'!G19</f>
        <v>0.27500000000000002</v>
      </c>
      <c r="G10" s="122">
        <f>'Table 6-3'!H19</f>
        <v>0.27500000000000002</v>
      </c>
      <c r="H10" s="122">
        <f>'Table 6-3'!I19</f>
        <v>0.27500000000000002</v>
      </c>
      <c r="I10" s="122">
        <f>'Table 6-3'!J19</f>
        <v>0.27500000000000002</v>
      </c>
      <c r="J10" s="122">
        <f>'Table 6-3'!K19</f>
        <v>0.27500000000000002</v>
      </c>
      <c r="K10" s="122">
        <f>'Table 6-3'!L19</f>
        <v>0.27500000000000002</v>
      </c>
      <c r="L10" s="122">
        <f>'Table 6-3'!M19</f>
        <v>0.27500000000000002</v>
      </c>
      <c r="M10" s="122">
        <f>'Table 6-3'!N19</f>
        <v>0.27500000000000002</v>
      </c>
      <c r="N10" s="122">
        <f>'Table 6-3'!O19</f>
        <v>0.27500000000000002</v>
      </c>
      <c r="O10" s="122">
        <f>'Table 6-3'!P19</f>
        <v>0.27500000000000002</v>
      </c>
      <c r="P10" s="122">
        <f>'Table 6-3'!Q19</f>
        <v>0.27500000000000002</v>
      </c>
      <c r="Q10" s="122">
        <f>'Table 6-3'!R19</f>
        <v>0.27500000000000002</v>
      </c>
      <c r="R10" s="122">
        <f>'Table 6-3'!S19</f>
        <v>0.27500000000000002</v>
      </c>
    </row>
    <row r="11" spans="2:18" x14ac:dyDescent="0.25">
      <c r="B11" s="5">
        <f>'Table 6-3'!A20</f>
        <v>6</v>
      </c>
      <c r="C11" s="276" t="str">
        <f>'Table 6-3'!B20</f>
        <v>Subtotal</v>
      </c>
      <c r="D11" s="125">
        <f>'Table 6-3'!E20</f>
        <v>189.67088313463253</v>
      </c>
      <c r="E11" s="125">
        <f>'Table 6-3'!F20</f>
        <v>303.94003539494514</v>
      </c>
      <c r="F11" s="125">
        <f>'Table 6-3'!G20</f>
        <v>303.94003539494514</v>
      </c>
      <c r="G11" s="125">
        <f>'Table 6-3'!H20</f>
        <v>393.4354355778508</v>
      </c>
      <c r="H11" s="125">
        <f>'Table 6-3'!I20</f>
        <v>393.4354355778508</v>
      </c>
      <c r="I11" s="125">
        <f>'Table 6-3'!J20</f>
        <v>393.4354355778508</v>
      </c>
      <c r="J11" s="125">
        <f>'Table 6-3'!K20</f>
        <v>393.4354355778508</v>
      </c>
      <c r="K11" s="125">
        <f>'Table 6-3'!L20</f>
        <v>393.4354355778508</v>
      </c>
      <c r="L11" s="125">
        <f>'Table 6-3'!M20</f>
        <v>393.4354355778508</v>
      </c>
      <c r="M11" s="125">
        <f>'Table 6-3'!N20</f>
        <v>393.4354355778508</v>
      </c>
      <c r="N11" s="125">
        <f>'Table 6-3'!O20</f>
        <v>393.4354355778508</v>
      </c>
      <c r="O11" s="125">
        <f>'Table 6-3'!P20</f>
        <v>393.4354355778508</v>
      </c>
      <c r="P11" s="125">
        <f>'Table 6-3'!Q20</f>
        <v>393.4354355778508</v>
      </c>
      <c r="Q11" s="125">
        <f>'Table 6-3'!R20</f>
        <v>393.4354355778508</v>
      </c>
      <c r="R11" s="125">
        <f>'Table 6-3'!S20</f>
        <v>393.4354355778508</v>
      </c>
    </row>
    <row r="12" spans="2:18" ht="17.25" x14ac:dyDescent="0.25">
      <c r="B12" s="5">
        <f>'Table 6-3'!A21</f>
        <v>7</v>
      </c>
      <c r="C12" s="90" t="s">
        <v>42</v>
      </c>
      <c r="D12" s="122">
        <f>'Table 6-3'!E21</f>
        <v>63.223627711544161</v>
      </c>
      <c r="E12" s="122"/>
      <c r="F12" s="122"/>
      <c r="G12" s="122"/>
      <c r="H12" s="122"/>
      <c r="I12" s="122"/>
      <c r="J12" s="122"/>
      <c r="K12" s="122"/>
      <c r="L12" s="122"/>
      <c r="M12" s="122"/>
      <c r="N12" s="122"/>
      <c r="O12" s="122"/>
      <c r="P12" s="122"/>
      <c r="Q12" s="122"/>
      <c r="R12" s="122"/>
    </row>
    <row r="13" spans="2:18" x14ac:dyDescent="0.25">
      <c r="B13" s="5">
        <f>'Table 6-3'!A22</f>
        <v>8</v>
      </c>
      <c r="C13" s="117" t="str">
        <f>'Table 6-3'!B22</f>
        <v xml:space="preserve">Uncollectibles </v>
      </c>
      <c r="D13" s="125">
        <f>'Table 6-3'!E22</f>
        <v>0.83731502537611391</v>
      </c>
      <c r="E13" s="125">
        <f>'Table 6-3'!F22</f>
        <v>1.0063229826460385</v>
      </c>
      <c r="F13" s="125">
        <f>'Table 6-3'!G22</f>
        <v>1.0063229826460385</v>
      </c>
      <c r="G13" s="125">
        <f>'Table 6-3'!H22</f>
        <v>1.3026356350023995</v>
      </c>
      <c r="H13" s="125">
        <f>'Table 6-3'!I22</f>
        <v>1.3026356350023995</v>
      </c>
      <c r="I13" s="125">
        <f>'Table 6-3'!J22</f>
        <v>1.3026356350023995</v>
      </c>
      <c r="J13" s="125">
        <f>'Table 6-3'!K22</f>
        <v>1.3026356350023995</v>
      </c>
      <c r="K13" s="125">
        <f>'Table 6-3'!L22</f>
        <v>1.3026356350023995</v>
      </c>
      <c r="L13" s="125">
        <f>'Table 6-3'!M22</f>
        <v>1.3026356350023995</v>
      </c>
      <c r="M13" s="125">
        <f>'Table 6-3'!N22</f>
        <v>1.3026356350023995</v>
      </c>
      <c r="N13" s="125">
        <f>'Table 6-3'!O22</f>
        <v>1.3026356350023995</v>
      </c>
      <c r="O13" s="125">
        <f>'Table 6-3'!P22</f>
        <v>1.3026356350023995</v>
      </c>
      <c r="P13" s="125">
        <f>'Table 6-3'!Q22</f>
        <v>1.3026356350023995</v>
      </c>
      <c r="Q13" s="125">
        <f>'Table 6-3'!R22</f>
        <v>1.3026356350023995</v>
      </c>
      <c r="R13" s="125">
        <f>'Table 6-3'!S22</f>
        <v>1.3026356350023995</v>
      </c>
    </row>
    <row r="14" spans="2:18" x14ac:dyDescent="0.25">
      <c r="B14" s="5">
        <f>'Table 6-3'!A23</f>
        <v>9</v>
      </c>
      <c r="C14" s="201" t="str">
        <f>'Table 6-3'!B23</f>
        <v>Annual FRC RRQ</v>
      </c>
      <c r="D14" s="122">
        <f>'Table 6-3'!E23</f>
        <v>253.73182587155281</v>
      </c>
      <c r="E14" s="122">
        <f>'Table 6-3'!F23</f>
        <v>304.9463583775912</v>
      </c>
      <c r="F14" s="122">
        <f>'Table 6-3'!G23</f>
        <v>304.9463583775912</v>
      </c>
      <c r="G14" s="122">
        <f>'Table 6-3'!H23</f>
        <v>394.73807121285319</v>
      </c>
      <c r="H14" s="122">
        <f>'Table 6-3'!I23</f>
        <v>394.73807121285319</v>
      </c>
      <c r="I14" s="122">
        <f>'Table 6-3'!J23</f>
        <v>394.73807121285319</v>
      </c>
      <c r="J14" s="122">
        <f>'Table 6-3'!K23</f>
        <v>394.73807121285319</v>
      </c>
      <c r="K14" s="122">
        <f>'Table 6-3'!L23</f>
        <v>394.73807121285319</v>
      </c>
      <c r="L14" s="122">
        <f>'Table 6-3'!M23</f>
        <v>394.73807121285319</v>
      </c>
      <c r="M14" s="122">
        <f>'Table 6-3'!N23</f>
        <v>394.73807121285319</v>
      </c>
      <c r="N14" s="122">
        <f>'Table 6-3'!O23</f>
        <v>394.73807121285319</v>
      </c>
      <c r="O14" s="122">
        <f>'Table 6-3'!P23</f>
        <v>394.73807121285319</v>
      </c>
      <c r="P14" s="122">
        <f>'Table 6-3'!Q23</f>
        <v>394.73807121285319</v>
      </c>
      <c r="Q14" s="122">
        <f>'Table 6-3'!R23</f>
        <v>394.73807121285319</v>
      </c>
      <c r="R14" s="122">
        <f>'Table 6-3'!S23</f>
        <v>394.73807121285319</v>
      </c>
    </row>
    <row r="15" spans="2:18" x14ac:dyDescent="0.25">
      <c r="B15" s="5">
        <f>'Table 6-3'!A24</f>
        <v>10</v>
      </c>
      <c r="C15" s="6"/>
      <c r="D15" s="123"/>
      <c r="E15" s="123"/>
      <c r="F15" s="123"/>
      <c r="G15" s="123"/>
      <c r="H15" s="123"/>
      <c r="I15" s="123"/>
      <c r="J15" s="123"/>
      <c r="K15" s="123"/>
      <c r="L15" s="123"/>
      <c r="M15" s="123"/>
      <c r="N15" s="122"/>
      <c r="O15" s="122"/>
      <c r="P15" s="122"/>
      <c r="Q15" s="122"/>
      <c r="R15" s="122"/>
    </row>
    <row r="16" spans="2:18" x14ac:dyDescent="0.25">
      <c r="B16" s="5">
        <f>'Table 6-3'!A25</f>
        <v>11</v>
      </c>
      <c r="C16" s="201" t="str">
        <f>'Table 6-3'!B25</f>
        <v>PG&amp;E Customer Credit</v>
      </c>
      <c r="D16" s="123"/>
      <c r="E16" s="123"/>
      <c r="F16" s="123"/>
      <c r="G16" s="123"/>
      <c r="H16" s="123"/>
      <c r="I16" s="123"/>
      <c r="J16" s="123"/>
      <c r="K16" s="123"/>
      <c r="L16" s="123"/>
      <c r="M16" s="123"/>
      <c r="N16" s="122"/>
      <c r="O16" s="122"/>
      <c r="P16" s="122"/>
      <c r="Q16" s="122"/>
      <c r="R16" s="122"/>
    </row>
    <row r="17" spans="2:18" ht="17.25" x14ac:dyDescent="0.25">
      <c r="B17" s="5">
        <f>'Table 6-3'!A26</f>
        <v>12</v>
      </c>
      <c r="C17" s="5" t="s">
        <v>162</v>
      </c>
      <c r="D17" s="122">
        <f>'Table 6-3'!E26</f>
        <v>-253.73182587155281</v>
      </c>
      <c r="E17" s="122">
        <f>'Table 6-3'!F26</f>
        <v>-304.9463583775912</v>
      </c>
      <c r="F17" s="122">
        <f>'Table 6-3'!G26</f>
        <v>-304.9463583775912</v>
      </c>
      <c r="G17" s="122">
        <f>'Table 6-3'!H26</f>
        <v>-394.73807121285319</v>
      </c>
      <c r="H17" s="122">
        <f>'Table 6-3'!I26</f>
        <v>-394.73807121285319</v>
      </c>
      <c r="I17" s="122">
        <f>'Table 6-3'!J26</f>
        <v>-394.73807121285319</v>
      </c>
      <c r="J17" s="122">
        <f>'Table 6-3'!K26</f>
        <v>-394.73807121285319</v>
      </c>
      <c r="K17" s="122">
        <f>'Table 6-3'!L26</f>
        <v>-394.73807121285319</v>
      </c>
      <c r="L17" s="122">
        <f>'Table 6-3'!M26</f>
        <v>-394.73807121285319</v>
      </c>
      <c r="M17" s="122">
        <f>'Table 6-3'!N26</f>
        <v>-394.73807121285319</v>
      </c>
      <c r="N17" s="122">
        <f>'Table 6-3'!O26</f>
        <v>-394.73807121285319</v>
      </c>
      <c r="O17" s="122">
        <f>'Table 6-3'!P26</f>
        <v>-394.73807121285319</v>
      </c>
      <c r="P17" s="122">
        <f>'Table 6-3'!Q26</f>
        <v>-394.73807121285319</v>
      </c>
      <c r="Q17" s="122">
        <f>'Table 6-3'!R26</f>
        <v>-394.73807121285319</v>
      </c>
      <c r="R17" s="122">
        <f>'Table 6-3'!S26</f>
        <v>-394.73807121285319</v>
      </c>
    </row>
    <row r="18" spans="2:18" x14ac:dyDescent="0.25">
      <c r="B18" s="5">
        <f>'Table 6-3'!A27</f>
        <v>13</v>
      </c>
      <c r="C18" s="6" t="str">
        <f>'Table 6-3'!B27</f>
        <v>Servicing &amp; Administrative Fee from SPE</v>
      </c>
      <c r="D18" s="122">
        <f>'Table 6-3'!E27</f>
        <v>-2.8687500000000004</v>
      </c>
      <c r="E18" s="122">
        <f>'Table 6-3'!F27</f>
        <v>-3.8250000000000002</v>
      </c>
      <c r="F18" s="122">
        <f>'Table 6-3'!G27</f>
        <v>-3.8250000000000002</v>
      </c>
      <c r="G18" s="122">
        <f>'Table 6-3'!H27</f>
        <v>-3.8250000000000002</v>
      </c>
      <c r="H18" s="122">
        <f>'Table 6-3'!I27</f>
        <v>-3.8250000000000002</v>
      </c>
      <c r="I18" s="122">
        <f>'Table 6-3'!J27</f>
        <v>-3.8250000000000002</v>
      </c>
      <c r="J18" s="122">
        <f>'Table 6-3'!K27</f>
        <v>-3.8250000000000002</v>
      </c>
      <c r="K18" s="122">
        <f>'Table 6-3'!L27</f>
        <v>-3.8250000000000002</v>
      </c>
      <c r="L18" s="122">
        <f>'Table 6-3'!M27</f>
        <v>-3.8250000000000002</v>
      </c>
      <c r="M18" s="122">
        <f>'Table 6-3'!N27</f>
        <v>-3.8250000000000002</v>
      </c>
      <c r="N18" s="122">
        <f>'Table 6-3'!O27</f>
        <v>-3.8250000000000002</v>
      </c>
      <c r="O18" s="122">
        <f>'Table 6-3'!P27</f>
        <v>-3.8250000000000002</v>
      </c>
      <c r="P18" s="122">
        <f>'Table 6-3'!Q27</f>
        <v>-3.8250000000000002</v>
      </c>
      <c r="Q18" s="122">
        <f>'Table 6-3'!R27</f>
        <v>-3.8250000000000002</v>
      </c>
      <c r="R18" s="122">
        <f>'Table 6-3'!S27</f>
        <v>-3.8250000000000002</v>
      </c>
    </row>
    <row r="19" spans="2:18" x14ac:dyDescent="0.25">
      <c r="B19" s="5">
        <f>'Table 6-3'!A28</f>
        <v>14</v>
      </c>
      <c r="C19" s="6" t="str">
        <f>'Table 6-3'!B28</f>
        <v xml:space="preserve">Uncollectibles </v>
      </c>
      <c r="D19" s="122">
        <f>'Table 6-3'!E28</f>
        <v>-0.83731502537611391</v>
      </c>
      <c r="E19" s="122">
        <f>'Table 6-3'!F28</f>
        <v>-1.0063229826460385</v>
      </c>
      <c r="F19" s="122">
        <f>'Table 6-3'!G28</f>
        <v>-1.0063229826460385</v>
      </c>
      <c r="G19" s="122">
        <f>'Table 6-3'!H28</f>
        <v>-1.3026356350023995</v>
      </c>
      <c r="H19" s="122">
        <f>'Table 6-3'!I28</f>
        <v>-1.3026356350023995</v>
      </c>
      <c r="I19" s="122">
        <f>'Table 6-3'!J28</f>
        <v>-1.3026356350023995</v>
      </c>
      <c r="J19" s="122">
        <f>'Table 6-3'!K28</f>
        <v>-1.3026356350023995</v>
      </c>
      <c r="K19" s="122">
        <f>'Table 6-3'!L28</f>
        <v>-1.3026356350023995</v>
      </c>
      <c r="L19" s="122">
        <f>'Table 6-3'!M28</f>
        <v>-1.3026356350023995</v>
      </c>
      <c r="M19" s="122">
        <f>'Table 6-3'!N28</f>
        <v>-1.3026356350023995</v>
      </c>
      <c r="N19" s="122">
        <f>'Table 6-3'!O28</f>
        <v>-1.3026356350023995</v>
      </c>
      <c r="O19" s="122">
        <f>'Table 6-3'!P28</f>
        <v>-1.3026356350023995</v>
      </c>
      <c r="P19" s="122">
        <f>'Table 6-3'!Q28</f>
        <v>-1.3026356350023995</v>
      </c>
      <c r="Q19" s="122">
        <f>'Table 6-3'!R28</f>
        <v>-1.3026356350023995</v>
      </c>
      <c r="R19" s="122">
        <f>'Table 6-3'!S28</f>
        <v>-1.3026356350023995</v>
      </c>
    </row>
    <row r="20" spans="2:18" x14ac:dyDescent="0.25">
      <c r="B20" s="5">
        <f>'Table 6-3'!A29</f>
        <v>15</v>
      </c>
      <c r="C20" s="6" t="str">
        <f>'Table 6-3'!B29</f>
        <v>Trust Funded</v>
      </c>
      <c r="D20" s="122">
        <f>'Table 6-3'!E29</f>
        <v>-186.80213313463253</v>
      </c>
      <c r="E20" s="122">
        <f>'Table 6-3'!F29</f>
        <v>-300.11503539494515</v>
      </c>
      <c r="F20" s="122">
        <f>'Table 6-3'!G29</f>
        <v>-300.11503539494515</v>
      </c>
      <c r="G20" s="122">
        <f>'Table 6-3'!H29</f>
        <v>-389.61043557785081</v>
      </c>
      <c r="H20" s="122">
        <f>'Table 6-3'!I29</f>
        <v>-389.61043557785081</v>
      </c>
      <c r="I20" s="122">
        <f>'Table 6-3'!J29</f>
        <v>-389.61043557785081</v>
      </c>
      <c r="J20" s="122">
        <f>'Table 6-3'!K29</f>
        <v>-389.61043557785081</v>
      </c>
      <c r="K20" s="122">
        <f>'Table 6-3'!L29</f>
        <v>-389.61043557785081</v>
      </c>
      <c r="L20" s="122">
        <f>'Table 6-3'!M29</f>
        <v>-389.61043557785081</v>
      </c>
      <c r="M20" s="122">
        <f>'Table 6-3'!N29</f>
        <v>-389.61043557785081</v>
      </c>
      <c r="N20" s="122">
        <f>'Table 6-3'!O29</f>
        <v>-389.61043557785081</v>
      </c>
      <c r="O20" s="122">
        <f>'Table 6-3'!P29</f>
        <v>-389.61043557785081</v>
      </c>
      <c r="P20" s="122">
        <f>'Table 6-3'!Q29</f>
        <v>-389.61043557785081</v>
      </c>
      <c r="Q20" s="122">
        <f>'Table 6-3'!R29</f>
        <v>-389.61043557785081</v>
      </c>
      <c r="R20" s="122">
        <f>'Table 6-3'!S29</f>
        <v>-389.61043557785081</v>
      </c>
    </row>
    <row r="21" spans="2:18" ht="17.25" x14ac:dyDescent="0.25">
      <c r="B21" s="5">
        <f>'Table 6-3'!A30</f>
        <v>16</v>
      </c>
      <c r="C21" s="6" t="s">
        <v>157</v>
      </c>
      <c r="D21" s="122">
        <f>'Table 6-3'!E30</f>
        <v>-63.223627711544161</v>
      </c>
      <c r="E21" s="122">
        <f>'Table 6-3'!F30</f>
        <v>0</v>
      </c>
      <c r="F21" s="122">
        <f>'Table 6-3'!G30</f>
        <v>0</v>
      </c>
      <c r="G21" s="122">
        <f>'Table 6-3'!H30</f>
        <v>0</v>
      </c>
      <c r="H21" s="122">
        <f>'Table 6-3'!I30</f>
        <v>0</v>
      </c>
      <c r="I21" s="122">
        <f>'Table 6-3'!J30</f>
        <v>0</v>
      </c>
      <c r="J21" s="122">
        <f>'Table 6-3'!K30</f>
        <v>0</v>
      </c>
      <c r="K21" s="122">
        <f>'Table 6-3'!L30</f>
        <v>0</v>
      </c>
      <c r="L21" s="122">
        <f>'Table 6-3'!M30</f>
        <v>0</v>
      </c>
      <c r="M21" s="122">
        <f>'Table 6-3'!N30</f>
        <v>0</v>
      </c>
      <c r="N21" s="122">
        <f>'Table 6-3'!O30</f>
        <v>0</v>
      </c>
      <c r="O21" s="122">
        <f>'Table 6-3'!P30</f>
        <v>0</v>
      </c>
      <c r="P21" s="122">
        <f>'Table 6-3'!Q30</f>
        <v>0</v>
      </c>
      <c r="Q21" s="122">
        <f>'Table 6-3'!R30</f>
        <v>0</v>
      </c>
      <c r="R21" s="122">
        <f>'Table 6-3'!S30</f>
        <v>0</v>
      </c>
    </row>
    <row r="22" spans="2:18" x14ac:dyDescent="0.25">
      <c r="B22" s="5">
        <f>'Table 6-3'!A31</f>
        <v>17</v>
      </c>
      <c r="C22" s="6"/>
      <c r="D22" s="122"/>
      <c r="E22" s="122"/>
      <c r="F22" s="122"/>
      <c r="G22" s="122"/>
      <c r="H22" s="122"/>
      <c r="I22" s="122"/>
      <c r="J22" s="122"/>
      <c r="K22" s="122"/>
      <c r="L22" s="122"/>
      <c r="M22" s="122"/>
      <c r="N22" s="122"/>
      <c r="O22" s="122"/>
      <c r="P22" s="122"/>
      <c r="Q22" s="122"/>
      <c r="R22" s="122"/>
    </row>
    <row r="23" spans="2:18" x14ac:dyDescent="0.25">
      <c r="B23" s="5">
        <f>'Table 6-3'!A32</f>
        <v>18</v>
      </c>
      <c r="C23" s="201" t="str">
        <f>'Table 6-3'!B32</f>
        <v>Customer Credit Trust</v>
      </c>
      <c r="D23" s="122"/>
      <c r="E23" s="122"/>
      <c r="F23" s="122"/>
      <c r="G23" s="122"/>
      <c r="H23" s="122"/>
      <c r="I23" s="122"/>
      <c r="J23" s="122"/>
      <c r="K23" s="122"/>
      <c r="L23" s="122"/>
      <c r="M23" s="122"/>
      <c r="N23" s="122"/>
      <c r="O23" s="122"/>
      <c r="P23" s="122"/>
      <c r="Q23" s="122"/>
      <c r="R23" s="122"/>
    </row>
    <row r="24" spans="2:18" x14ac:dyDescent="0.25">
      <c r="B24" s="5">
        <f>'Table 6-3'!A33</f>
        <v>19</v>
      </c>
      <c r="C24" s="276" t="str">
        <f>'Table 6-3'!B33</f>
        <v>Customer Credit Trust, BOY</v>
      </c>
      <c r="D24" s="125">
        <f>'Table 6-3'!E33</f>
        <v>1800</v>
      </c>
      <c r="E24" s="125">
        <f>'Table 6-3'!F33</f>
        <v>1649.3408773358533</v>
      </c>
      <c r="F24" s="125">
        <f>'Table 6-3'!G33</f>
        <v>1391.5623769865806</v>
      </c>
      <c r="G24" s="125">
        <f>'Table 6-3'!H33</f>
        <v>1126.5047666252485</v>
      </c>
      <c r="H24" s="125">
        <f>'Table 6-3'!I33</f>
        <v>805.37134675438188</v>
      </c>
      <c r="I24" s="125">
        <f>'Table 6-3'!J33</f>
        <v>567.07077690647236</v>
      </c>
      <c r="J24" s="125">
        <f>'Table 6-3'!K33</f>
        <v>695.86834900927261</v>
      </c>
      <c r="K24" s="125">
        <f>'Table 6-3'!L33</f>
        <v>940.62129564137035</v>
      </c>
      <c r="L24" s="125">
        <f>'Table 6-3'!M33</f>
        <v>1264.2671829122737</v>
      </c>
      <c r="M24" s="125">
        <f>'Table 6-3'!N33</f>
        <v>1673.4581122560728</v>
      </c>
      <c r="N24" s="125">
        <f>'Table 6-3'!O33</f>
        <v>2193.1771868528967</v>
      </c>
      <c r="O24" s="125">
        <f>'Table 6-3'!P33</f>
        <v>2783.4057894806106</v>
      </c>
      <c r="P24" s="125">
        <f>'Table 6-3'!Q33</f>
        <v>3452.8749302719493</v>
      </c>
      <c r="Q24" s="125">
        <f>'Table 6-3'!R33</f>
        <v>4207.382937672729</v>
      </c>
      <c r="R24" s="125">
        <f>'Table 6-3'!S33</f>
        <v>4895.2515556085791</v>
      </c>
    </row>
    <row r="25" spans="2:18" x14ac:dyDescent="0.25">
      <c r="B25" s="5">
        <f>'Table 6-3'!A34</f>
        <v>20</v>
      </c>
      <c r="C25" s="6" t="str">
        <f>'Table 6-3'!B34</f>
        <v>Initial Shareholder Contribution</v>
      </c>
      <c r="D25" s="122">
        <f>'Table 6-3'!E34</f>
        <v>1800</v>
      </c>
      <c r="E25" s="122">
        <f>'Table 6-3'!F34</f>
        <v>0</v>
      </c>
      <c r="F25" s="122">
        <f>'Table 6-3'!G34</f>
        <v>0</v>
      </c>
      <c r="G25" s="122">
        <f>'Table 6-3'!H34</f>
        <v>0</v>
      </c>
      <c r="H25" s="122">
        <f>'Table 6-3'!I34</f>
        <v>0</v>
      </c>
      <c r="I25" s="122">
        <f>'Table 6-3'!J34</f>
        <v>0</v>
      </c>
      <c r="J25" s="122">
        <f>'Table 6-3'!K34</f>
        <v>0</v>
      </c>
      <c r="K25" s="122">
        <f>'Table 6-3'!L34</f>
        <v>0</v>
      </c>
      <c r="L25" s="122">
        <f>'Table 6-3'!M34</f>
        <v>0</v>
      </c>
      <c r="M25" s="122">
        <f>'Table 6-3'!N34</f>
        <v>0</v>
      </c>
      <c r="N25" s="122">
        <f>'Table 6-3'!O34</f>
        <v>0</v>
      </c>
      <c r="O25" s="122">
        <f>'Table 6-3'!P34</f>
        <v>0</v>
      </c>
      <c r="P25" s="122">
        <f>'Table 6-3'!Q34</f>
        <v>0</v>
      </c>
      <c r="Q25" s="122">
        <f>'Table 6-3'!R34</f>
        <v>0</v>
      </c>
      <c r="R25" s="122">
        <f>'Table 6-3'!S34</f>
        <v>0</v>
      </c>
    </row>
    <row r="26" spans="2:18" x14ac:dyDescent="0.25">
      <c r="B26" s="5">
        <f>'Table 6-3'!A35</f>
        <v>21</v>
      </c>
      <c r="C26" s="6" t="str">
        <f>'Table 6-3'!B35</f>
        <v>Additional Contributions</v>
      </c>
      <c r="D26" s="122">
        <f>'Table 6-3'!E35</f>
        <v>0</v>
      </c>
      <c r="E26" s="122">
        <f>'Table 6-3'!F35</f>
        <v>0</v>
      </c>
      <c r="F26" s="122">
        <f>'Table 6-3'!G35</f>
        <v>0</v>
      </c>
      <c r="G26" s="122">
        <f>'Table 6-3'!H35</f>
        <v>41.58075037472242</v>
      </c>
      <c r="H26" s="122">
        <f>'Table 6-3'!I35</f>
        <v>132.20223907857269</v>
      </c>
      <c r="I26" s="122">
        <f>'Table 6-3'!J35</f>
        <v>500.82492065251847</v>
      </c>
      <c r="J26" s="122">
        <f>'Table 6-3'!K35</f>
        <v>611.57959219816485</v>
      </c>
      <c r="K26" s="122">
        <f>'Table 6-3'!L35</f>
        <v>682.55908241159136</v>
      </c>
      <c r="L26" s="122">
        <f>'Table 6-3'!M35</f>
        <v>757.90131006569038</v>
      </c>
      <c r="M26" s="122">
        <f>'Table 6-3'!N35</f>
        <v>855.49684035301129</v>
      </c>
      <c r="N26" s="122">
        <f>'Table 6-3'!O35</f>
        <v>910.55328263745878</v>
      </c>
      <c r="O26" s="122">
        <f>'Table 6-3'!P35</f>
        <v>972.25586145120656</v>
      </c>
      <c r="P26" s="122">
        <f>'Table 6-3'!Q35</f>
        <v>1037.4696124957316</v>
      </c>
      <c r="Q26" s="122">
        <f>'Table 6-3'!R35</f>
        <v>950.74894341073343</v>
      </c>
      <c r="R26" s="122">
        <f>'Table 6-3'!S35</f>
        <v>137.19036487059807</v>
      </c>
    </row>
    <row r="27" spans="2:18" x14ac:dyDescent="0.25">
      <c r="B27" s="5">
        <f>'Table 6-3'!A36</f>
        <v>22</v>
      </c>
      <c r="C27" s="6" t="str">
        <f>'Table 6-3'!B36</f>
        <v>Customer Credit</v>
      </c>
      <c r="D27" s="122">
        <f>'Table 6-3'!E36</f>
        <v>-186.80213313463253</v>
      </c>
      <c r="E27" s="122">
        <f>'Table 6-3'!F36</f>
        <v>-300.11503539494515</v>
      </c>
      <c r="F27" s="122">
        <f>'Table 6-3'!G36</f>
        <v>-300.11503539494515</v>
      </c>
      <c r="G27" s="122">
        <f>'Table 6-3'!H36</f>
        <v>-389.61043557785081</v>
      </c>
      <c r="H27" s="122">
        <f>'Table 6-3'!I36</f>
        <v>-389.61043557785081</v>
      </c>
      <c r="I27" s="122">
        <f>'Table 6-3'!J36</f>
        <v>-389.61043557785081</v>
      </c>
      <c r="J27" s="122">
        <f>'Table 6-3'!K36</f>
        <v>-389.61043557785081</v>
      </c>
      <c r="K27" s="122">
        <f>'Table 6-3'!L36</f>
        <v>-389.61043557785081</v>
      </c>
      <c r="L27" s="122">
        <f>'Table 6-3'!M36</f>
        <v>-389.61043557785081</v>
      </c>
      <c r="M27" s="122">
        <f>'Table 6-3'!N36</f>
        <v>-389.61043557785081</v>
      </c>
      <c r="N27" s="122">
        <f>'Table 6-3'!O36</f>
        <v>-389.61043557785081</v>
      </c>
      <c r="O27" s="122">
        <f>'Table 6-3'!P36</f>
        <v>-389.61043557785081</v>
      </c>
      <c r="P27" s="122">
        <f>'Table 6-3'!Q36</f>
        <v>-389.61043557785081</v>
      </c>
      <c r="Q27" s="122">
        <f>'Table 6-3'!R36</f>
        <v>-389.61043557785081</v>
      </c>
      <c r="R27" s="122">
        <f>'Table 6-3'!S36</f>
        <v>-389.61043557785081</v>
      </c>
    </row>
    <row r="28" spans="2:18" ht="17.25" x14ac:dyDescent="0.25">
      <c r="B28" s="5">
        <f>'Table 6-3'!A37</f>
        <v>23</v>
      </c>
      <c r="C28" s="117" t="s">
        <v>158</v>
      </c>
      <c r="D28" s="125">
        <f>'Table 6-3'!E37</f>
        <v>36.143010470485827</v>
      </c>
      <c r="E28" s="125">
        <f>'Table 6-3'!F37</f>
        <v>42.336535045672548</v>
      </c>
      <c r="F28" s="125">
        <f>'Table 6-3'!G37</f>
        <v>35.057425033613079</v>
      </c>
      <c r="G28" s="125">
        <f>'Table 6-3'!H37</f>
        <v>26.896265332261745</v>
      </c>
      <c r="H28" s="125">
        <f>'Table 6-3'!I37</f>
        <v>19.107626651368651</v>
      </c>
      <c r="I28" s="125">
        <f>'Table 6-3'!J37</f>
        <v>17.583087028132599</v>
      </c>
      <c r="J28" s="125">
        <f>'Table 6-3'!K37</f>
        <v>22.783790011783747</v>
      </c>
      <c r="K28" s="125">
        <f>'Table 6-3'!L37</f>
        <v>30.697240437162602</v>
      </c>
      <c r="L28" s="125">
        <f>'Table 6-3'!M37</f>
        <v>40.900054855959539</v>
      </c>
      <c r="M28" s="125">
        <f>'Table 6-3'!N37</f>
        <v>53.832669821663444</v>
      </c>
      <c r="N28" s="125">
        <f>'Table 6-3'!O37</f>
        <v>69.285755568105571</v>
      </c>
      <c r="O28" s="125">
        <f>'Table 6-3'!P37</f>
        <v>86.823714917982485</v>
      </c>
      <c r="P28" s="125">
        <f>'Table 6-3'!Q37</f>
        <v>106.64883048289886</v>
      </c>
      <c r="Q28" s="125">
        <f>'Table 6-3'!R37</f>
        <v>126.73011010296671</v>
      </c>
      <c r="R28" s="125">
        <f>'Table 6-3'!S37</f>
        <v>134.66746773287716</v>
      </c>
    </row>
    <row r="29" spans="2:18" x14ac:dyDescent="0.25">
      <c r="B29" s="5">
        <f>'Table 6-3'!A38</f>
        <v>24</v>
      </c>
      <c r="C29" s="88" t="str">
        <f>'Table 6-3'!B38</f>
        <v>Customer Credit Trust, EOY</v>
      </c>
      <c r="D29" s="122">
        <f>'Table 6-3'!E38</f>
        <v>1649.3408773358533</v>
      </c>
      <c r="E29" s="122">
        <f>'Table 6-3'!F38</f>
        <v>1391.5623769865806</v>
      </c>
      <c r="F29" s="122">
        <f>'Table 6-3'!G38</f>
        <v>1126.5047666252485</v>
      </c>
      <c r="G29" s="122">
        <f>'Table 6-3'!H38</f>
        <v>805.37134675438188</v>
      </c>
      <c r="H29" s="122">
        <f>'Table 6-3'!I38</f>
        <v>567.07077690647236</v>
      </c>
      <c r="I29" s="122">
        <f>'Table 6-3'!J38</f>
        <v>695.86834900927261</v>
      </c>
      <c r="J29" s="122">
        <f>'Table 6-3'!K38</f>
        <v>940.62129564137035</v>
      </c>
      <c r="K29" s="122">
        <f>'Table 6-3'!L38</f>
        <v>1264.2671829122737</v>
      </c>
      <c r="L29" s="122">
        <f>'Table 6-3'!M38</f>
        <v>1673.4581122560728</v>
      </c>
      <c r="M29" s="122">
        <f>'Table 6-3'!N38</f>
        <v>2193.1771868528967</v>
      </c>
      <c r="N29" s="122">
        <f>'Table 6-3'!O38</f>
        <v>2783.4057894806106</v>
      </c>
      <c r="O29" s="122">
        <f>'Table 6-3'!P38</f>
        <v>3452.8749302719493</v>
      </c>
      <c r="P29" s="122">
        <f>'Table 6-3'!Q38</f>
        <v>4207.382937672729</v>
      </c>
      <c r="Q29" s="122">
        <f>'Table 6-3'!R38</f>
        <v>4895.2515556085791</v>
      </c>
      <c r="R29" s="122">
        <f>'Table 6-3'!S38</f>
        <v>4777.4989526342042</v>
      </c>
    </row>
    <row r="30" spans="2:18" ht="15.75" thickBot="1" x14ac:dyDescent="0.3">
      <c r="B30" s="5">
        <f>'Table 6-3'!A39</f>
        <v>25</v>
      </c>
      <c r="C30" s="6"/>
      <c r="D30" s="122"/>
      <c r="E30" s="122"/>
      <c r="F30" s="122"/>
      <c r="G30" s="122"/>
      <c r="H30" s="122"/>
      <c r="I30" s="122"/>
      <c r="J30" s="122"/>
      <c r="K30" s="122"/>
      <c r="L30" s="122"/>
      <c r="M30" s="122"/>
      <c r="N30" s="122"/>
      <c r="O30" s="122"/>
      <c r="P30" s="122"/>
      <c r="Q30" s="122"/>
      <c r="R30" s="122"/>
    </row>
    <row r="31" spans="2:18" ht="15.75" thickBot="1" x14ac:dyDescent="0.3">
      <c r="B31" s="5">
        <f>'Table 6-3'!A40</f>
        <v>26</v>
      </c>
      <c r="C31" s="273" t="str">
        <f>'Table 6-3'!B40</f>
        <v>Customer Net Bill Impact</v>
      </c>
      <c r="D31" s="274">
        <f>'Table 6-3'!E40</f>
        <v>0</v>
      </c>
      <c r="E31" s="274">
        <f>'Table 6-3'!F40</f>
        <v>0</v>
      </c>
      <c r="F31" s="274">
        <f>'Table 6-3'!G40</f>
        <v>0</v>
      </c>
      <c r="G31" s="274">
        <f>'Table 6-3'!H40</f>
        <v>0</v>
      </c>
      <c r="H31" s="274">
        <f>'Table 6-3'!I40</f>
        <v>0</v>
      </c>
      <c r="I31" s="274">
        <f>'Table 6-3'!J40</f>
        <v>0</v>
      </c>
      <c r="J31" s="274">
        <f>'Table 6-3'!K40</f>
        <v>0</v>
      </c>
      <c r="K31" s="274">
        <f>'Table 6-3'!L40</f>
        <v>0</v>
      </c>
      <c r="L31" s="274">
        <f>'Table 6-3'!M40</f>
        <v>0</v>
      </c>
      <c r="M31" s="274">
        <f>'Table 6-3'!N40</f>
        <v>0</v>
      </c>
      <c r="N31" s="274">
        <f>'Table 6-3'!O40</f>
        <v>0</v>
      </c>
      <c r="O31" s="274">
        <f>'Table 6-3'!P40</f>
        <v>0</v>
      </c>
      <c r="P31" s="274">
        <f>'Table 6-3'!Q40</f>
        <v>0</v>
      </c>
      <c r="Q31" s="274">
        <f>'Table 6-3'!R40</f>
        <v>0</v>
      </c>
      <c r="R31" s="275">
        <f>'Table 6-3'!S40</f>
        <v>0</v>
      </c>
    </row>
    <row r="32" spans="2:18" x14ac:dyDescent="0.25">
      <c r="B32" s="5"/>
    </row>
    <row r="33" spans="2:18" x14ac:dyDescent="0.25">
      <c r="B33" s="5"/>
    </row>
    <row r="34" spans="2:18" x14ac:dyDescent="0.25">
      <c r="B34" s="5">
        <f t="shared" ref="B34:C47" si="0">B6</f>
        <v>1</v>
      </c>
      <c r="C34" s="8" t="str">
        <f t="shared" si="0"/>
        <v>Fixed Recovery Charge (FRC)</v>
      </c>
      <c r="D34" s="51">
        <f>'Table 6-3'!T15</f>
        <v>2036</v>
      </c>
      <c r="E34" s="51">
        <f>'Table 6-3'!U15</f>
        <v>2037</v>
      </c>
      <c r="F34" s="51">
        <f>'Table 6-3'!V15</f>
        <v>2038</v>
      </c>
      <c r="G34" s="51">
        <f>'Table 6-3'!W15</f>
        <v>2039</v>
      </c>
      <c r="H34" s="51">
        <f>'Table 6-3'!X15</f>
        <v>2040</v>
      </c>
      <c r="I34" s="51">
        <f>'Table 6-3'!Y15</f>
        <v>2041</v>
      </c>
      <c r="J34" s="51">
        <f>'Table 6-3'!Z15</f>
        <v>2042</v>
      </c>
      <c r="K34" s="51">
        <f>'Table 6-3'!AA15</f>
        <v>2043</v>
      </c>
      <c r="L34" s="51">
        <f>'Table 6-3'!AB15</f>
        <v>2044</v>
      </c>
      <c r="M34" s="51">
        <f>'Table 6-3'!AC15</f>
        <v>2045</v>
      </c>
      <c r="N34" s="51">
        <f>'Table 6-3'!AD15</f>
        <v>2046</v>
      </c>
      <c r="O34" s="51">
        <f>'Table 6-3'!AE15</f>
        <v>2047</v>
      </c>
      <c r="P34" s="51">
        <f>'Table 6-3'!AF15</f>
        <v>2048</v>
      </c>
      <c r="Q34" s="51">
        <f>'Table 6-3'!AG15</f>
        <v>2049</v>
      </c>
      <c r="R34" s="51">
        <f>'Table 6-3'!AH15</f>
        <v>2050</v>
      </c>
    </row>
    <row r="35" spans="2:18" x14ac:dyDescent="0.25">
      <c r="B35" s="5">
        <f t="shared" si="0"/>
        <v>2</v>
      </c>
      <c r="C35" s="5" t="str">
        <f>C7</f>
        <v>Annual Debt Service</v>
      </c>
      <c r="D35" s="122">
        <f>'Table 6-3'!T16</f>
        <v>389.11043557785081</v>
      </c>
      <c r="E35" s="122">
        <f>'Table 6-3'!U16</f>
        <v>389.11043557785081</v>
      </c>
      <c r="F35" s="122">
        <f>'Table 6-3'!V16</f>
        <v>389.11043557785081</v>
      </c>
      <c r="G35" s="122">
        <f>'Table 6-3'!W16</f>
        <v>389.11043557785081</v>
      </c>
      <c r="H35" s="122">
        <f>'Table 6-3'!X16</f>
        <v>389.11043557785081</v>
      </c>
      <c r="I35" s="122">
        <f>'Table 6-3'!Y16</f>
        <v>389.11043557785081</v>
      </c>
      <c r="J35" s="122">
        <f>'Table 6-3'!Z16</f>
        <v>389.11043557785081</v>
      </c>
      <c r="K35" s="122">
        <f>'Table 6-3'!AA16</f>
        <v>389.11043557785081</v>
      </c>
      <c r="L35" s="122">
        <f>'Table 6-3'!AB16</f>
        <v>389.11043557785081</v>
      </c>
      <c r="M35" s="122">
        <f>'Table 6-3'!AC16</f>
        <v>389.11043557785081</v>
      </c>
      <c r="N35" s="122">
        <f>'Table 6-3'!AD16</f>
        <v>389.11043557785081</v>
      </c>
      <c r="O35" s="122">
        <f>'Table 6-3'!AE16</f>
        <v>389.11043557785081</v>
      </c>
      <c r="P35" s="122">
        <f>'Table 6-3'!AF16</f>
        <v>389.11043557785081</v>
      </c>
      <c r="Q35" s="122">
        <f>'Table 6-3'!AG16</f>
        <v>389.11043557785081</v>
      </c>
      <c r="R35" s="122">
        <f>'Table 6-3'!AH16</f>
        <v>389.11043557785081</v>
      </c>
    </row>
    <row r="36" spans="2:18" x14ac:dyDescent="0.25">
      <c r="B36" s="5">
        <f t="shared" si="0"/>
        <v>3</v>
      </c>
      <c r="C36" s="6" t="str">
        <f>'Table 6-3'!B17</f>
        <v>Servicing &amp; Administrative Fees (PG&amp;E)</v>
      </c>
      <c r="D36" s="122">
        <f>'Table 6-3'!T17</f>
        <v>3.8250000000000002</v>
      </c>
      <c r="E36" s="122">
        <f>'Table 6-3'!U17</f>
        <v>3.8250000000000002</v>
      </c>
      <c r="F36" s="122">
        <f>'Table 6-3'!V17</f>
        <v>3.8250000000000002</v>
      </c>
      <c r="G36" s="122">
        <f>'Table 6-3'!W17</f>
        <v>3.8250000000000002</v>
      </c>
      <c r="H36" s="122">
        <f>'Table 6-3'!X17</f>
        <v>3.8250000000000002</v>
      </c>
      <c r="I36" s="122">
        <f>'Table 6-3'!Y17</f>
        <v>3.8250000000000002</v>
      </c>
      <c r="J36" s="122">
        <f>'Table 6-3'!Z17</f>
        <v>3.8250000000000002</v>
      </c>
      <c r="K36" s="122">
        <f>'Table 6-3'!AA17</f>
        <v>3.8250000000000002</v>
      </c>
      <c r="L36" s="122">
        <f>'Table 6-3'!AB17</f>
        <v>3.8250000000000002</v>
      </c>
      <c r="M36" s="122">
        <f>'Table 6-3'!AC17</f>
        <v>3.8250000000000002</v>
      </c>
      <c r="N36" s="122">
        <f>'Table 6-3'!AD17</f>
        <v>3.8250000000000002</v>
      </c>
      <c r="O36" s="122">
        <f>'Table 6-3'!AE17</f>
        <v>3.8250000000000002</v>
      </c>
      <c r="P36" s="122">
        <f>'Table 6-3'!AF17</f>
        <v>3.8250000000000002</v>
      </c>
      <c r="Q36" s="122">
        <f>'Table 6-3'!AG17</f>
        <v>3.8250000000000002</v>
      </c>
      <c r="R36" s="122">
        <f>'Table 6-3'!AH17</f>
        <v>3.8250000000000002</v>
      </c>
    </row>
    <row r="37" spans="2:18" x14ac:dyDescent="0.25">
      <c r="B37" s="5">
        <f t="shared" si="0"/>
        <v>4</v>
      </c>
      <c r="C37" s="6" t="str">
        <f>'Table 6-3'!B18</f>
        <v>Rating Agency Fees</v>
      </c>
      <c r="D37" s="122">
        <f>'Table 6-3'!T18</f>
        <v>0.22500000000000001</v>
      </c>
      <c r="E37" s="122">
        <f>'Table 6-3'!U18</f>
        <v>0.22500000000000001</v>
      </c>
      <c r="F37" s="122">
        <f>'Table 6-3'!V18</f>
        <v>0.22500000000000001</v>
      </c>
      <c r="G37" s="122">
        <f>'Table 6-3'!W18</f>
        <v>0.22500000000000001</v>
      </c>
      <c r="H37" s="122">
        <f>'Table 6-3'!X18</f>
        <v>0.22500000000000001</v>
      </c>
      <c r="I37" s="122">
        <f>'Table 6-3'!Y18</f>
        <v>0.22500000000000001</v>
      </c>
      <c r="J37" s="122">
        <f>'Table 6-3'!Z18</f>
        <v>0.22500000000000001</v>
      </c>
      <c r="K37" s="122">
        <f>'Table 6-3'!AA18</f>
        <v>0.22500000000000001</v>
      </c>
      <c r="L37" s="122">
        <f>'Table 6-3'!AB18</f>
        <v>0.22500000000000001</v>
      </c>
      <c r="M37" s="122">
        <f>'Table 6-3'!AC18</f>
        <v>0.22500000000000001</v>
      </c>
      <c r="N37" s="122">
        <f>'Table 6-3'!AD18</f>
        <v>0.22500000000000001</v>
      </c>
      <c r="O37" s="122">
        <f>'Table 6-3'!AE18</f>
        <v>0.22500000000000001</v>
      </c>
      <c r="P37" s="122">
        <f>'Table 6-3'!AF18</f>
        <v>0.22500000000000001</v>
      </c>
      <c r="Q37" s="122">
        <f>'Table 6-3'!AG18</f>
        <v>0.22500000000000001</v>
      </c>
      <c r="R37" s="122">
        <f>'Table 6-3'!AH18</f>
        <v>0.22500000000000001</v>
      </c>
    </row>
    <row r="38" spans="2:18" ht="17.25" x14ac:dyDescent="0.25">
      <c r="B38" s="5">
        <f t="shared" si="0"/>
        <v>5</v>
      </c>
      <c r="C38" s="6" t="s">
        <v>41</v>
      </c>
      <c r="D38" s="122">
        <f>'Table 6-3'!T19</f>
        <v>0.27500000000000002</v>
      </c>
      <c r="E38" s="122">
        <f>'Table 6-3'!U19</f>
        <v>0.27500000000000002</v>
      </c>
      <c r="F38" s="122">
        <f>'Table 6-3'!V19</f>
        <v>0.27500000000000002</v>
      </c>
      <c r="G38" s="122">
        <f>'Table 6-3'!W19</f>
        <v>0.27500000000000002</v>
      </c>
      <c r="H38" s="122">
        <f>'Table 6-3'!X19</f>
        <v>0.27500000000000002</v>
      </c>
      <c r="I38" s="122">
        <f>'Table 6-3'!Y19</f>
        <v>0.27500000000000002</v>
      </c>
      <c r="J38" s="122">
        <f>'Table 6-3'!Z19</f>
        <v>0.27500000000000002</v>
      </c>
      <c r="K38" s="122">
        <f>'Table 6-3'!AA19</f>
        <v>0.27500000000000002</v>
      </c>
      <c r="L38" s="122">
        <f>'Table 6-3'!AB19</f>
        <v>0.27500000000000002</v>
      </c>
      <c r="M38" s="122">
        <f>'Table 6-3'!AC19</f>
        <v>0.27500000000000002</v>
      </c>
      <c r="N38" s="122">
        <f>'Table 6-3'!AD19</f>
        <v>0.27500000000000002</v>
      </c>
      <c r="O38" s="122">
        <f>'Table 6-3'!AE19</f>
        <v>0.27500000000000002</v>
      </c>
      <c r="P38" s="122">
        <f>'Table 6-3'!AF19</f>
        <v>0.27500000000000002</v>
      </c>
      <c r="Q38" s="122">
        <f>'Table 6-3'!AG19</f>
        <v>0.27500000000000002</v>
      </c>
      <c r="R38" s="122">
        <f>'Table 6-3'!AH19</f>
        <v>0.27500000000000002</v>
      </c>
    </row>
    <row r="39" spans="2:18" x14ac:dyDescent="0.25">
      <c r="B39" s="5">
        <f t="shared" si="0"/>
        <v>6</v>
      </c>
      <c r="C39" s="11" t="str">
        <f>C11</f>
        <v>Subtotal</v>
      </c>
      <c r="D39" s="125">
        <f>'Table 6-3'!T20</f>
        <v>393.4354355778508</v>
      </c>
      <c r="E39" s="125">
        <f>'Table 6-3'!U20</f>
        <v>393.4354355778508</v>
      </c>
      <c r="F39" s="125">
        <f>'Table 6-3'!V20</f>
        <v>393.4354355778508</v>
      </c>
      <c r="G39" s="125">
        <f>'Table 6-3'!W20</f>
        <v>393.4354355778508</v>
      </c>
      <c r="H39" s="125">
        <f>'Table 6-3'!X20</f>
        <v>393.4354355778508</v>
      </c>
      <c r="I39" s="125">
        <f>'Table 6-3'!Y20</f>
        <v>393.4354355778508</v>
      </c>
      <c r="J39" s="125">
        <f>'Table 6-3'!Z20</f>
        <v>393.4354355778508</v>
      </c>
      <c r="K39" s="125">
        <f>'Table 6-3'!AA20</f>
        <v>393.4354355778508</v>
      </c>
      <c r="L39" s="125">
        <f>'Table 6-3'!AB20</f>
        <v>393.4354355778508</v>
      </c>
      <c r="M39" s="125">
        <f>'Table 6-3'!AC20</f>
        <v>393.4354355778508</v>
      </c>
      <c r="N39" s="125">
        <f>'Table 6-3'!AD20</f>
        <v>393.4354355778508</v>
      </c>
      <c r="O39" s="125">
        <f>'Table 6-3'!AE20</f>
        <v>393.4354355778508</v>
      </c>
      <c r="P39" s="125">
        <f>'Table 6-3'!AF20</f>
        <v>393.4354355778508</v>
      </c>
      <c r="Q39" s="125">
        <f>'Table 6-3'!AG20</f>
        <v>393.4354355778508</v>
      </c>
      <c r="R39" s="125">
        <f>'Table 6-3'!AH20</f>
        <v>393.4354355778508</v>
      </c>
    </row>
    <row r="40" spans="2:18" ht="17.25" x14ac:dyDescent="0.25">
      <c r="B40" s="5">
        <f t="shared" si="0"/>
        <v>7</v>
      </c>
      <c r="C40" s="90" t="s">
        <v>42</v>
      </c>
      <c r="D40" s="122">
        <f>'Table 6-3'!T21</f>
        <v>0</v>
      </c>
      <c r="E40" s="122">
        <f>'Table 6-3'!U21</f>
        <v>0</v>
      </c>
      <c r="F40" s="122">
        <f>'Table 6-3'!V21</f>
        <v>0</v>
      </c>
      <c r="G40" s="122">
        <f>'Table 6-3'!W21</f>
        <v>0</v>
      </c>
      <c r="H40" s="122">
        <f>'Table 6-3'!X21</f>
        <v>0</v>
      </c>
      <c r="I40" s="122">
        <f>'Table 6-3'!Y21</f>
        <v>0</v>
      </c>
      <c r="J40" s="122">
        <f>'Table 6-3'!Z21</f>
        <v>0</v>
      </c>
      <c r="K40" s="122">
        <f>'Table 6-3'!AA21</f>
        <v>0</v>
      </c>
      <c r="L40" s="122">
        <f>'Table 6-3'!AB21</f>
        <v>0</v>
      </c>
      <c r="M40" s="122">
        <f>'Table 6-3'!AC21</f>
        <v>0</v>
      </c>
      <c r="N40" s="122">
        <f>'Table 6-3'!AD21</f>
        <v>0</v>
      </c>
      <c r="O40" s="122">
        <f>'Table 6-3'!AE21</f>
        <v>0</v>
      </c>
      <c r="P40" s="122">
        <f>'Table 6-3'!AF21</f>
        <v>0</v>
      </c>
      <c r="Q40" s="122">
        <f>'Table 6-3'!AG21</f>
        <v>0</v>
      </c>
      <c r="R40" s="122">
        <f>'Table 6-3'!AH21</f>
        <v>-63.223627711544161</v>
      </c>
    </row>
    <row r="41" spans="2:18" x14ac:dyDescent="0.25">
      <c r="B41" s="5">
        <f t="shared" si="0"/>
        <v>8</v>
      </c>
      <c r="C41" s="117" t="str">
        <f>C13</f>
        <v xml:space="preserve">Uncollectibles </v>
      </c>
      <c r="D41" s="125">
        <f>'Table 6-3'!T22</f>
        <v>1.3026356350023995</v>
      </c>
      <c r="E41" s="125">
        <f>'Table 6-3'!U22</f>
        <v>1.3026356350023995</v>
      </c>
      <c r="F41" s="125">
        <f>'Table 6-3'!V22</f>
        <v>1.3026356350023995</v>
      </c>
      <c r="G41" s="125">
        <f>'Table 6-3'!W22</f>
        <v>1.3026356350023995</v>
      </c>
      <c r="H41" s="125">
        <f>'Table 6-3'!X22</f>
        <v>1.3026356350023995</v>
      </c>
      <c r="I41" s="125">
        <f>'Table 6-3'!Y22</f>
        <v>1.3026356350023995</v>
      </c>
      <c r="J41" s="125">
        <f>'Table 6-3'!Z22</f>
        <v>1.3026356350023995</v>
      </c>
      <c r="K41" s="125">
        <f>'Table 6-3'!AA22</f>
        <v>1.3026356350023995</v>
      </c>
      <c r="L41" s="125">
        <f>'Table 6-3'!AB22</f>
        <v>1.3026356350023995</v>
      </c>
      <c r="M41" s="125">
        <f>'Table 6-3'!AC22</f>
        <v>1.3026356350023995</v>
      </c>
      <c r="N41" s="125">
        <f>'Table 6-3'!AD22</f>
        <v>1.3026356350023995</v>
      </c>
      <c r="O41" s="125">
        <f>'Table 6-3'!AE22</f>
        <v>1.3026356350023995</v>
      </c>
      <c r="P41" s="125">
        <f>'Table 6-3'!AF22</f>
        <v>1.3026356350023995</v>
      </c>
      <c r="Q41" s="125">
        <f>'Table 6-3'!AG22</f>
        <v>1.3026356350023995</v>
      </c>
      <c r="R41" s="125">
        <f>'Table 6-3'!AH22</f>
        <v>1.0933068786583711</v>
      </c>
    </row>
    <row r="42" spans="2:18" x14ac:dyDescent="0.25">
      <c r="B42" s="5">
        <f t="shared" si="0"/>
        <v>9</v>
      </c>
      <c r="C42" s="8" t="str">
        <f>C14</f>
        <v>Annual FRC RRQ</v>
      </c>
      <c r="D42" s="122">
        <f>'Table 6-3'!T23</f>
        <v>394.73807121285319</v>
      </c>
      <c r="E42" s="122">
        <f>'Table 6-3'!U23</f>
        <v>394.73807121285319</v>
      </c>
      <c r="F42" s="122">
        <f>'Table 6-3'!V23</f>
        <v>394.73807121285319</v>
      </c>
      <c r="G42" s="122">
        <f>'Table 6-3'!W23</f>
        <v>394.73807121285319</v>
      </c>
      <c r="H42" s="122">
        <f>'Table 6-3'!X23</f>
        <v>394.73807121285319</v>
      </c>
      <c r="I42" s="122">
        <f>'Table 6-3'!Y23</f>
        <v>394.73807121285319</v>
      </c>
      <c r="J42" s="122">
        <f>'Table 6-3'!Z23</f>
        <v>394.73807121285319</v>
      </c>
      <c r="K42" s="122">
        <f>'Table 6-3'!AA23</f>
        <v>394.73807121285319</v>
      </c>
      <c r="L42" s="122">
        <f>'Table 6-3'!AB23</f>
        <v>394.73807121285319</v>
      </c>
      <c r="M42" s="122">
        <f>'Table 6-3'!AC23</f>
        <v>394.73807121285319</v>
      </c>
      <c r="N42" s="122">
        <f>'Table 6-3'!AD23</f>
        <v>394.73807121285319</v>
      </c>
      <c r="O42" s="122">
        <f>'Table 6-3'!AE23</f>
        <v>394.73807121285319</v>
      </c>
      <c r="P42" s="122">
        <f>'Table 6-3'!AF23</f>
        <v>394.73807121285319</v>
      </c>
      <c r="Q42" s="122">
        <f>'Table 6-3'!AG23</f>
        <v>394.73807121285319</v>
      </c>
      <c r="R42" s="122">
        <f>'Table 6-3'!AH23</f>
        <v>331.30511474496501</v>
      </c>
    </row>
    <row r="43" spans="2:18" x14ac:dyDescent="0.25">
      <c r="B43" s="5">
        <f t="shared" si="0"/>
        <v>10</v>
      </c>
      <c r="C43" s="5"/>
      <c r="D43" s="122"/>
      <c r="E43" s="122"/>
      <c r="F43" s="122"/>
      <c r="G43" s="122"/>
      <c r="H43" s="122"/>
      <c r="I43" s="122"/>
      <c r="J43" s="122"/>
      <c r="K43" s="122"/>
      <c r="L43" s="122"/>
      <c r="M43" s="122"/>
      <c r="N43" s="122"/>
      <c r="O43" s="122"/>
      <c r="P43" s="122"/>
      <c r="Q43" s="122"/>
      <c r="R43" s="122"/>
    </row>
    <row r="44" spans="2:18" x14ac:dyDescent="0.25">
      <c r="B44" s="5">
        <f t="shared" si="0"/>
        <v>11</v>
      </c>
      <c r="C44" s="8" t="str">
        <f>C16</f>
        <v>PG&amp;E Customer Credit</v>
      </c>
      <c r="D44" s="122"/>
      <c r="E44" s="122"/>
      <c r="F44" s="122"/>
      <c r="G44" s="122"/>
      <c r="H44" s="122"/>
      <c r="I44" s="122"/>
      <c r="J44" s="122"/>
      <c r="K44" s="122"/>
      <c r="L44" s="122"/>
      <c r="M44" s="122"/>
      <c r="N44" s="122"/>
      <c r="O44" s="122"/>
      <c r="P44" s="122"/>
      <c r="Q44" s="122"/>
      <c r="R44" s="122"/>
    </row>
    <row r="45" spans="2:18" ht="17.25" x14ac:dyDescent="0.25">
      <c r="B45" s="5">
        <f t="shared" si="0"/>
        <v>12</v>
      </c>
      <c r="C45" s="5" t="s">
        <v>162</v>
      </c>
      <c r="D45" s="122">
        <f>'Table 6-3'!T26</f>
        <v>-394.73807121285319</v>
      </c>
      <c r="E45" s="122">
        <f>'Table 6-3'!U26</f>
        <v>-394.73807121285319</v>
      </c>
      <c r="F45" s="122">
        <f>'Table 6-3'!V26</f>
        <v>-394.73807121285319</v>
      </c>
      <c r="G45" s="122">
        <f>'Table 6-3'!W26</f>
        <v>-394.73807121285319</v>
      </c>
      <c r="H45" s="122">
        <f>'Table 6-3'!X26</f>
        <v>-394.73807121285319</v>
      </c>
      <c r="I45" s="122">
        <f>'Table 6-3'!Y26</f>
        <v>-394.73807121285319</v>
      </c>
      <c r="J45" s="122">
        <f>'Table 6-3'!Z26</f>
        <v>-394.73807121285319</v>
      </c>
      <c r="K45" s="122">
        <f>'Table 6-3'!AA26</f>
        <v>-394.73807121285319</v>
      </c>
      <c r="L45" s="122">
        <f>'Table 6-3'!AB26</f>
        <v>-394.73807121285319</v>
      </c>
      <c r="M45" s="122">
        <f>'Table 6-3'!AC26</f>
        <v>-394.73807121285319</v>
      </c>
      <c r="N45" s="122">
        <f>'Table 6-3'!AD26</f>
        <v>-394.73807121285319</v>
      </c>
      <c r="O45" s="122">
        <f>'Table 6-3'!AE26</f>
        <v>-394.73807121285319</v>
      </c>
      <c r="P45" s="122">
        <f>'Table 6-3'!AF26</f>
        <v>-394.73807121285319</v>
      </c>
      <c r="Q45" s="122">
        <f>'Table 6-3'!AG26</f>
        <v>-394.73807121285319</v>
      </c>
      <c r="R45" s="122">
        <f>'Table 6-3'!AH26</f>
        <v>-331.30511474496501</v>
      </c>
    </row>
    <row r="46" spans="2:18" x14ac:dyDescent="0.25">
      <c r="B46" s="5">
        <f t="shared" si="0"/>
        <v>13</v>
      </c>
      <c r="C46" s="6" t="str">
        <f t="shared" si="0"/>
        <v>Servicing &amp; Administrative Fee from SPE</v>
      </c>
      <c r="D46" s="122">
        <f>'Table 6-3'!T27</f>
        <v>-3.8250000000000002</v>
      </c>
      <c r="E46" s="122">
        <f>'Table 6-3'!U27</f>
        <v>-3.8250000000000002</v>
      </c>
      <c r="F46" s="122">
        <f>'Table 6-3'!V27</f>
        <v>-3.8250000000000002</v>
      </c>
      <c r="G46" s="122">
        <f>'Table 6-3'!W27</f>
        <v>-3.8250000000000002</v>
      </c>
      <c r="H46" s="122">
        <f>'Table 6-3'!X27</f>
        <v>-3.8250000000000002</v>
      </c>
      <c r="I46" s="122">
        <f>'Table 6-3'!Y27</f>
        <v>-3.8250000000000002</v>
      </c>
      <c r="J46" s="122">
        <f>'Table 6-3'!Z27</f>
        <v>-3.8250000000000002</v>
      </c>
      <c r="K46" s="122">
        <f>'Table 6-3'!AA27</f>
        <v>-3.8250000000000002</v>
      </c>
      <c r="L46" s="122">
        <f>'Table 6-3'!AB27</f>
        <v>-3.8250000000000002</v>
      </c>
      <c r="M46" s="122">
        <f>'Table 6-3'!AC27</f>
        <v>-3.8250000000000002</v>
      </c>
      <c r="N46" s="122">
        <f>'Table 6-3'!AD27</f>
        <v>-3.8250000000000002</v>
      </c>
      <c r="O46" s="122">
        <f>'Table 6-3'!AE27</f>
        <v>-3.8250000000000002</v>
      </c>
      <c r="P46" s="122">
        <f>'Table 6-3'!AF27</f>
        <v>-3.8250000000000002</v>
      </c>
      <c r="Q46" s="122">
        <f>'Table 6-3'!AG27</f>
        <v>-3.8250000000000002</v>
      </c>
      <c r="R46" s="122">
        <f>'Table 6-3'!AH27</f>
        <v>-3.8250000000000002</v>
      </c>
    </row>
    <row r="47" spans="2:18" x14ac:dyDescent="0.25">
      <c r="B47" s="5">
        <f t="shared" si="0"/>
        <v>14</v>
      </c>
      <c r="C47" s="6" t="str">
        <f t="shared" si="0"/>
        <v xml:space="preserve">Uncollectibles </v>
      </c>
      <c r="D47" s="122">
        <f>'Table 6-3'!T28</f>
        <v>-1.3026356350023995</v>
      </c>
      <c r="E47" s="122">
        <f>'Table 6-3'!U28</f>
        <v>-1.3026356350023995</v>
      </c>
      <c r="F47" s="122">
        <f>'Table 6-3'!V28</f>
        <v>-1.3026356350023995</v>
      </c>
      <c r="G47" s="122">
        <f>'Table 6-3'!W28</f>
        <v>-1.3026356350023995</v>
      </c>
      <c r="H47" s="122">
        <f>'Table 6-3'!X28</f>
        <v>-1.3026356350023995</v>
      </c>
      <c r="I47" s="122">
        <f>'Table 6-3'!Y28</f>
        <v>-1.3026356350023995</v>
      </c>
      <c r="J47" s="122">
        <f>'Table 6-3'!Z28</f>
        <v>-1.3026356350023995</v>
      </c>
      <c r="K47" s="122">
        <f>'Table 6-3'!AA28</f>
        <v>-1.3026356350023995</v>
      </c>
      <c r="L47" s="122">
        <f>'Table 6-3'!AB28</f>
        <v>-1.3026356350023995</v>
      </c>
      <c r="M47" s="122">
        <f>'Table 6-3'!AC28</f>
        <v>-1.3026356350023995</v>
      </c>
      <c r="N47" s="122">
        <f>'Table 6-3'!AD28</f>
        <v>-1.3026356350023995</v>
      </c>
      <c r="O47" s="122">
        <f>'Table 6-3'!AE28</f>
        <v>-1.3026356350023995</v>
      </c>
      <c r="P47" s="122">
        <f>'Table 6-3'!AF28</f>
        <v>-1.3026356350023995</v>
      </c>
      <c r="Q47" s="122">
        <f>'Table 6-3'!AG28</f>
        <v>-1.3026356350023995</v>
      </c>
      <c r="R47" s="122">
        <f>'Table 6-3'!AH28</f>
        <v>-1.0933068786583711</v>
      </c>
    </row>
    <row r="48" spans="2:18" x14ac:dyDescent="0.25">
      <c r="B48" s="5">
        <f t="shared" ref="B48" si="1">B20</f>
        <v>15</v>
      </c>
      <c r="C48" s="6" t="str">
        <f t="shared" ref="C48" si="2">C20</f>
        <v>Trust Funded</v>
      </c>
      <c r="D48" s="122">
        <f>'Table 6-3'!T29</f>
        <v>-389.61043557785081</v>
      </c>
      <c r="E48" s="122">
        <f>'Table 6-3'!U29</f>
        <v>-389.61043557785081</v>
      </c>
      <c r="F48" s="122">
        <f>'Table 6-3'!V29</f>
        <v>-389.61043557785081</v>
      </c>
      <c r="G48" s="122">
        <f>'Table 6-3'!W29</f>
        <v>-389.61043557785081</v>
      </c>
      <c r="H48" s="122">
        <f>'Table 6-3'!X29</f>
        <v>-389.61043557785081</v>
      </c>
      <c r="I48" s="122">
        <f>'Table 6-3'!Y29</f>
        <v>-389.61043557785081</v>
      </c>
      <c r="J48" s="122">
        <f>'Table 6-3'!Z29</f>
        <v>-389.61043557785081</v>
      </c>
      <c r="K48" s="122">
        <f>'Table 6-3'!AA29</f>
        <v>-389.61043557785081</v>
      </c>
      <c r="L48" s="122">
        <f>'Table 6-3'!AB29</f>
        <v>-389.61043557785081</v>
      </c>
      <c r="M48" s="122">
        <f>'Table 6-3'!AC29</f>
        <v>-389.61043557785081</v>
      </c>
      <c r="N48" s="122">
        <f>'Table 6-3'!AD29</f>
        <v>-389.61043557785081</v>
      </c>
      <c r="O48" s="122">
        <f>'Table 6-3'!AE29</f>
        <v>-389.61043557785081</v>
      </c>
      <c r="P48" s="122">
        <f>'Table 6-3'!AF29</f>
        <v>-389.61043557785081</v>
      </c>
      <c r="Q48" s="122">
        <f>'Table 6-3'!AG29</f>
        <v>-389.61043557785081</v>
      </c>
      <c r="R48" s="122">
        <f>'Table 6-3'!AH29</f>
        <v>-389.61043557785081</v>
      </c>
    </row>
    <row r="49" spans="2:18" ht="17.25" x14ac:dyDescent="0.25">
      <c r="B49" s="5">
        <f t="shared" ref="B49" si="3">B21</f>
        <v>16</v>
      </c>
      <c r="C49" s="6" t="s">
        <v>157</v>
      </c>
      <c r="D49" s="122">
        <f>'Table 6-3'!T30</f>
        <v>0</v>
      </c>
      <c r="E49" s="122">
        <f>'Table 6-3'!U30</f>
        <v>0</v>
      </c>
      <c r="F49" s="122">
        <f>'Table 6-3'!V30</f>
        <v>0</v>
      </c>
      <c r="G49" s="122">
        <f>'Table 6-3'!W30</f>
        <v>0</v>
      </c>
      <c r="H49" s="122">
        <f>'Table 6-3'!X30</f>
        <v>0</v>
      </c>
      <c r="I49" s="122">
        <f>'Table 6-3'!Y30</f>
        <v>0</v>
      </c>
      <c r="J49" s="122">
        <f>'Table 6-3'!Z30</f>
        <v>0</v>
      </c>
      <c r="K49" s="122">
        <f>'Table 6-3'!AA30</f>
        <v>0</v>
      </c>
      <c r="L49" s="122">
        <f>'Table 6-3'!AB30</f>
        <v>0</v>
      </c>
      <c r="M49" s="122">
        <f>'Table 6-3'!AC30</f>
        <v>0</v>
      </c>
      <c r="N49" s="122">
        <f>'Table 6-3'!AD30</f>
        <v>0</v>
      </c>
      <c r="O49" s="122">
        <f>'Table 6-3'!AE30</f>
        <v>0</v>
      </c>
      <c r="P49" s="122">
        <f>'Table 6-3'!AF30</f>
        <v>0</v>
      </c>
      <c r="Q49" s="122">
        <f>'Table 6-3'!AG30</f>
        <v>0</v>
      </c>
      <c r="R49" s="122">
        <f>'Table 6-3'!AH30</f>
        <v>63.223627711544161</v>
      </c>
    </row>
    <row r="50" spans="2:18" x14ac:dyDescent="0.25">
      <c r="B50" s="5">
        <f t="shared" ref="B50" si="4">B22</f>
        <v>17</v>
      </c>
      <c r="C50" s="6"/>
      <c r="D50" s="122"/>
      <c r="E50" s="122"/>
      <c r="F50" s="122"/>
      <c r="G50" s="122"/>
      <c r="H50" s="122"/>
      <c r="I50" s="122"/>
      <c r="J50" s="122"/>
      <c r="K50" s="122"/>
      <c r="L50" s="122"/>
      <c r="M50" s="122"/>
      <c r="N50" s="122"/>
      <c r="O50" s="122"/>
      <c r="P50" s="122"/>
      <c r="Q50" s="122"/>
      <c r="R50" s="122"/>
    </row>
    <row r="51" spans="2:18" x14ac:dyDescent="0.25">
      <c r="B51" s="5">
        <f t="shared" ref="B51" si="5">B23</f>
        <v>18</v>
      </c>
      <c r="C51" s="201" t="str">
        <f t="shared" ref="C51" si="6">C23</f>
        <v>Customer Credit Trust</v>
      </c>
      <c r="D51" s="122"/>
      <c r="E51" s="122"/>
      <c r="F51" s="122"/>
      <c r="G51" s="122"/>
      <c r="H51" s="122"/>
      <c r="I51" s="122"/>
      <c r="J51" s="122"/>
      <c r="K51" s="122"/>
      <c r="L51" s="122"/>
      <c r="M51" s="122"/>
      <c r="N51" s="122"/>
      <c r="O51" s="122"/>
      <c r="P51" s="122"/>
      <c r="Q51" s="122"/>
      <c r="R51" s="122"/>
    </row>
    <row r="52" spans="2:18" x14ac:dyDescent="0.25">
      <c r="B52" s="5">
        <f t="shared" ref="B52" si="7">B24</f>
        <v>19</v>
      </c>
      <c r="C52" s="276" t="str">
        <f t="shared" ref="C52" si="8">C24</f>
        <v>Customer Credit Trust, BOY</v>
      </c>
      <c r="D52" s="125">
        <f>'Table 6-3'!T33</f>
        <v>4777.4989526342042</v>
      </c>
      <c r="E52" s="125">
        <f>'Table 6-3'!U33</f>
        <v>4517.2939244208801</v>
      </c>
      <c r="F52" s="125">
        <f>'Table 6-3'!V33</f>
        <v>4249.7412662714305</v>
      </c>
      <c r="G52" s="125">
        <f>'Table 6-3'!W33</f>
        <v>3974.6334969313662</v>
      </c>
      <c r="H52" s="125">
        <f>'Table 6-3'!X33</f>
        <v>3691.7572763221492</v>
      </c>
      <c r="I52" s="125">
        <f>'Table 6-3'!Y33</f>
        <v>3400.8932401006132</v>
      </c>
      <c r="J52" s="125">
        <f>'Table 6-3'!Z33</f>
        <v>3101.8158295466969</v>
      </c>
      <c r="K52" s="125">
        <f>'Table 6-3'!AA33</f>
        <v>2794.2931166475728</v>
      </c>
      <c r="L52" s="125">
        <f>'Table 6-3'!AB33</f>
        <v>2478.0866242425291</v>
      </c>
      <c r="M52" s="125">
        <f>'Table 6-3'!AC33</f>
        <v>2152.9511410891291</v>
      </c>
      <c r="N52" s="125">
        <f>'Table 6-3'!AD33</f>
        <v>1818.6345317072387</v>
      </c>
      <c r="O52" s="125">
        <f>'Table 6-3'!AE33</f>
        <v>1474.8775408534557</v>
      </c>
      <c r="P52" s="125">
        <f>'Table 6-3'!AF33</f>
        <v>1121.4135924743211</v>
      </c>
      <c r="Q52" s="125">
        <f>'Table 6-3'!AG33</f>
        <v>757.96858298239977</v>
      </c>
      <c r="R52" s="125">
        <f>'Table 6-3'!AH33</f>
        <v>384.26066869492269</v>
      </c>
    </row>
    <row r="53" spans="2:18" x14ac:dyDescent="0.25">
      <c r="B53" s="5">
        <f t="shared" ref="B53" si="9">B25</f>
        <v>20</v>
      </c>
      <c r="C53" s="6" t="str">
        <f t="shared" ref="C53" si="10">C25</f>
        <v>Initial Shareholder Contribution</v>
      </c>
      <c r="D53" s="122">
        <f>'Table 6-3'!T34</f>
        <v>0</v>
      </c>
      <c r="E53" s="122">
        <f>'Table 6-3'!U34</f>
        <v>0</v>
      </c>
      <c r="F53" s="122">
        <f>'Table 6-3'!V34</f>
        <v>0</v>
      </c>
      <c r="G53" s="122">
        <f>'Table 6-3'!W34</f>
        <v>0</v>
      </c>
      <c r="H53" s="122">
        <f>'Table 6-3'!X34</f>
        <v>0</v>
      </c>
      <c r="I53" s="122">
        <f>'Table 6-3'!Y34</f>
        <v>0</v>
      </c>
      <c r="J53" s="122">
        <f>'Table 6-3'!Z34</f>
        <v>0</v>
      </c>
      <c r="K53" s="122">
        <f>'Table 6-3'!AA34</f>
        <v>0</v>
      </c>
      <c r="L53" s="122">
        <f>'Table 6-3'!AB34</f>
        <v>0</v>
      </c>
      <c r="M53" s="122">
        <f>'Table 6-3'!AC34</f>
        <v>0</v>
      </c>
      <c r="N53" s="122">
        <f>'Table 6-3'!AD34</f>
        <v>0</v>
      </c>
      <c r="O53" s="122">
        <f>'Table 6-3'!AE34</f>
        <v>0</v>
      </c>
      <c r="P53" s="122">
        <f>'Table 6-3'!AF34</f>
        <v>0</v>
      </c>
      <c r="Q53" s="122">
        <f>'Table 6-3'!AG34</f>
        <v>0</v>
      </c>
      <c r="R53" s="122">
        <f>'Table 6-3'!AH34</f>
        <v>0</v>
      </c>
    </row>
    <row r="54" spans="2:18" x14ac:dyDescent="0.25">
      <c r="B54" s="5">
        <f t="shared" ref="B54" si="11">B26</f>
        <v>21</v>
      </c>
      <c r="C54" s="6" t="str">
        <f t="shared" ref="C54" si="12">C26</f>
        <v>Additional Contributions</v>
      </c>
      <c r="D54" s="122">
        <f>'Table 6-3'!T35</f>
        <v>0</v>
      </c>
      <c r="E54" s="122">
        <f>'Table 6-3'!U35</f>
        <v>0</v>
      </c>
      <c r="F54" s="122">
        <f>'Table 6-3'!V35</f>
        <v>0</v>
      </c>
      <c r="G54" s="122">
        <f>'Table 6-3'!W35</f>
        <v>0</v>
      </c>
      <c r="H54" s="122">
        <f>'Table 6-3'!X35</f>
        <v>0</v>
      </c>
      <c r="I54" s="122">
        <f>'Table 6-3'!Y35</f>
        <v>0</v>
      </c>
      <c r="J54" s="122">
        <f>'Table 6-3'!Z35</f>
        <v>0</v>
      </c>
      <c r="K54" s="122">
        <f>'Table 6-3'!AA35</f>
        <v>0</v>
      </c>
      <c r="L54" s="122">
        <f>'Table 6-3'!AB35</f>
        <v>0</v>
      </c>
      <c r="M54" s="122">
        <f>'Table 6-3'!AC35</f>
        <v>0</v>
      </c>
      <c r="N54" s="122">
        <f>'Table 6-3'!AD35</f>
        <v>0</v>
      </c>
      <c r="O54" s="122">
        <f>'Table 6-3'!AE35</f>
        <v>0</v>
      </c>
      <c r="P54" s="122">
        <f>'Table 6-3'!AF35</f>
        <v>0</v>
      </c>
      <c r="Q54" s="122">
        <f>'Table 6-3'!AG35</f>
        <v>0</v>
      </c>
      <c r="R54" s="122">
        <f>'Table 6-3'!AH35</f>
        <v>0</v>
      </c>
    </row>
    <row r="55" spans="2:18" x14ac:dyDescent="0.25">
      <c r="B55" s="5">
        <f t="shared" ref="B55" si="13">B27</f>
        <v>22</v>
      </c>
      <c r="C55" s="6" t="str">
        <f t="shared" ref="C55" si="14">C27</f>
        <v>Customer Credit</v>
      </c>
      <c r="D55" s="122">
        <f>'Table 6-3'!T36</f>
        <v>-389.61043557785081</v>
      </c>
      <c r="E55" s="122">
        <f>'Table 6-3'!U36</f>
        <v>-389.61043557785081</v>
      </c>
      <c r="F55" s="122">
        <f>'Table 6-3'!V36</f>
        <v>-389.61043557785081</v>
      </c>
      <c r="G55" s="122">
        <f>'Table 6-3'!W36</f>
        <v>-389.61043557785081</v>
      </c>
      <c r="H55" s="122">
        <f>'Table 6-3'!X36</f>
        <v>-389.61043557785081</v>
      </c>
      <c r="I55" s="122">
        <f>'Table 6-3'!Y36</f>
        <v>-389.61043557785081</v>
      </c>
      <c r="J55" s="122">
        <f>'Table 6-3'!Z36</f>
        <v>-389.61043557785081</v>
      </c>
      <c r="K55" s="122">
        <f>'Table 6-3'!AA36</f>
        <v>-389.61043557785081</v>
      </c>
      <c r="L55" s="122">
        <f>'Table 6-3'!AB36</f>
        <v>-389.61043557785081</v>
      </c>
      <c r="M55" s="122">
        <f>'Table 6-3'!AC36</f>
        <v>-389.61043557785081</v>
      </c>
      <c r="N55" s="122">
        <f>'Table 6-3'!AD36</f>
        <v>-389.61043557785081</v>
      </c>
      <c r="O55" s="122">
        <f>'Table 6-3'!AE36</f>
        <v>-389.61043557785081</v>
      </c>
      <c r="P55" s="122">
        <f>'Table 6-3'!AF36</f>
        <v>-389.61043557785081</v>
      </c>
      <c r="Q55" s="122">
        <f>'Table 6-3'!AG36</f>
        <v>-389.61043557785081</v>
      </c>
      <c r="R55" s="122">
        <f>'Table 6-3'!AH36</f>
        <v>-389.61043557785081</v>
      </c>
    </row>
    <row r="56" spans="2:18" ht="17.25" x14ac:dyDescent="0.25">
      <c r="B56" s="5">
        <f t="shared" ref="B56" si="15">B28</f>
        <v>23</v>
      </c>
      <c r="C56" s="117" t="s">
        <v>158</v>
      </c>
      <c r="D56" s="125">
        <f>'Table 6-3'!T37</f>
        <v>129.40540736452689</v>
      </c>
      <c r="E56" s="125">
        <f>'Table 6-3'!U37</f>
        <v>122.05777742840152</v>
      </c>
      <c r="F56" s="125">
        <f>'Table 6-3'!V37</f>
        <v>114.50266623778636</v>
      </c>
      <c r="G56" s="125">
        <f>'Table 6-3'!W37</f>
        <v>106.73421496863358</v>
      </c>
      <c r="H56" s="125">
        <f>'Table 6-3'!X37</f>
        <v>98.746399356314598</v>
      </c>
      <c r="I56" s="125">
        <f>'Table 6-3'!Y37</f>
        <v>90.533025023934272</v>
      </c>
      <c r="J56" s="125">
        <f>'Table 6-3'!Z37</f>
        <v>82.087722678726578</v>
      </c>
      <c r="K56" s="125">
        <f>'Table 6-3'!AA37</f>
        <v>73.403943172806976</v>
      </c>
      <c r="L56" s="125">
        <f>'Table 6-3'!AB37</f>
        <v>64.474952424450905</v>
      </c>
      <c r="M56" s="125">
        <f>'Table 6-3'!AC37</f>
        <v>55.2938261959602</v>
      </c>
      <c r="N56" s="125">
        <f>'Table 6-3'!AD37</f>
        <v>45.853444724067749</v>
      </c>
      <c r="O56" s="125">
        <f>'Table 6-3'!AE37</f>
        <v>36.146487198716208</v>
      </c>
      <c r="P56" s="125">
        <f>'Table 6-3'!AF37</f>
        <v>26.165426085929386</v>
      </c>
      <c r="Q56" s="125">
        <f>'Table 6-3'!AG37</f>
        <v>15.902521290373738</v>
      </c>
      <c r="R56" s="125">
        <f>'Table 6-3'!AH37</f>
        <v>5.3498141530831402</v>
      </c>
    </row>
    <row r="57" spans="2:18" x14ac:dyDescent="0.25">
      <c r="B57" s="5">
        <f t="shared" ref="B57" si="16">B29</f>
        <v>24</v>
      </c>
      <c r="C57" s="88" t="str">
        <f t="shared" ref="C57" si="17">C29</f>
        <v>Customer Credit Trust, EOY</v>
      </c>
      <c r="D57" s="122">
        <f>'Table 6-3'!T38</f>
        <v>4517.2939244208801</v>
      </c>
      <c r="E57" s="122">
        <f>'Table 6-3'!U38</f>
        <v>4249.7412662714305</v>
      </c>
      <c r="F57" s="122">
        <f>'Table 6-3'!V38</f>
        <v>3974.6334969313662</v>
      </c>
      <c r="G57" s="122">
        <f>'Table 6-3'!W38</f>
        <v>3691.7572763221492</v>
      </c>
      <c r="H57" s="122">
        <f>'Table 6-3'!X38</f>
        <v>3400.8932401006132</v>
      </c>
      <c r="I57" s="122">
        <f>'Table 6-3'!Y38</f>
        <v>3101.8158295466969</v>
      </c>
      <c r="J57" s="122">
        <f>'Table 6-3'!Z38</f>
        <v>2794.2931166475728</v>
      </c>
      <c r="K57" s="122">
        <f>'Table 6-3'!AA38</f>
        <v>2478.0866242425291</v>
      </c>
      <c r="L57" s="122">
        <f>'Table 6-3'!AB38</f>
        <v>2152.9511410891291</v>
      </c>
      <c r="M57" s="122">
        <f>'Table 6-3'!AC38</f>
        <v>1818.6345317072387</v>
      </c>
      <c r="N57" s="122">
        <f>'Table 6-3'!AD38</f>
        <v>1474.8775408534557</v>
      </c>
      <c r="O57" s="122">
        <f>'Table 6-3'!AE38</f>
        <v>1121.4135924743211</v>
      </c>
      <c r="P57" s="122">
        <f>'Table 6-3'!AF38</f>
        <v>757.96858298239977</v>
      </c>
      <c r="Q57" s="122">
        <f>'Table 6-3'!AG38</f>
        <v>384.26066869492269</v>
      </c>
      <c r="R57" s="122">
        <f>'Table 6-3'!AH38</f>
        <v>4.7270155017820059E-5</v>
      </c>
    </row>
    <row r="58" spans="2:18" ht="15.75" thickBot="1" x14ac:dyDescent="0.3">
      <c r="B58" s="5">
        <f t="shared" ref="B58" si="18">B30</f>
        <v>25</v>
      </c>
      <c r="C58" s="6"/>
      <c r="D58" s="122"/>
      <c r="E58" s="122"/>
      <c r="F58" s="122"/>
      <c r="G58" s="122"/>
      <c r="H58" s="122"/>
      <c r="I58" s="122"/>
      <c r="J58" s="122"/>
      <c r="K58" s="122"/>
      <c r="L58" s="122"/>
      <c r="M58" s="122"/>
      <c r="N58" s="122"/>
      <c r="O58" s="122"/>
      <c r="P58" s="122"/>
      <c r="Q58" s="122"/>
      <c r="R58" s="122"/>
    </row>
    <row r="59" spans="2:18" ht="15.75" thickBot="1" x14ac:dyDescent="0.3">
      <c r="B59" s="5">
        <f t="shared" ref="B59" si="19">B31</f>
        <v>26</v>
      </c>
      <c r="C59" s="273" t="str">
        <f t="shared" ref="C59" si="20">C31</f>
        <v>Customer Net Bill Impact</v>
      </c>
      <c r="D59" s="274">
        <f>'Table 6-3'!T40</f>
        <v>0</v>
      </c>
      <c r="E59" s="274">
        <f>'Table 6-3'!U40</f>
        <v>0</v>
      </c>
      <c r="F59" s="274">
        <f>'Table 6-3'!V40</f>
        <v>0</v>
      </c>
      <c r="G59" s="274">
        <f>'Table 6-3'!W40</f>
        <v>0</v>
      </c>
      <c r="H59" s="274">
        <f>'Table 6-3'!X40</f>
        <v>0</v>
      </c>
      <c r="I59" s="274">
        <f>'Table 6-3'!Y40</f>
        <v>0</v>
      </c>
      <c r="J59" s="274">
        <f>'Table 6-3'!Z40</f>
        <v>0</v>
      </c>
      <c r="K59" s="274">
        <f>'Table 6-3'!AA40</f>
        <v>0</v>
      </c>
      <c r="L59" s="274">
        <f>'Table 6-3'!AB40</f>
        <v>0</v>
      </c>
      <c r="M59" s="274">
        <f>'Table 6-3'!AC40</f>
        <v>0</v>
      </c>
      <c r="N59" s="274">
        <f>'Table 6-3'!AD40</f>
        <v>0</v>
      </c>
      <c r="O59" s="274">
        <f>'Table 6-3'!AE40</f>
        <v>0</v>
      </c>
      <c r="P59" s="274">
        <f>'Table 6-3'!AF40</f>
        <v>0</v>
      </c>
      <c r="Q59" s="274">
        <f>'Table 6-3'!AG40</f>
        <v>0</v>
      </c>
      <c r="R59" s="275">
        <f>'Table 6-3'!AH40</f>
        <v>0</v>
      </c>
    </row>
    <row r="60" spans="2:18" x14ac:dyDescent="0.25">
      <c r="B60" s="5"/>
      <c r="C60" s="6"/>
      <c r="D60" s="122"/>
      <c r="E60" s="122"/>
      <c r="F60" s="122"/>
      <c r="G60" s="122"/>
      <c r="H60" s="122"/>
      <c r="I60" s="122"/>
      <c r="J60" s="122"/>
      <c r="K60" s="122"/>
      <c r="L60" s="122"/>
      <c r="M60" s="122"/>
      <c r="N60" s="122"/>
      <c r="O60" s="122"/>
      <c r="P60" s="122"/>
      <c r="Q60" s="122"/>
      <c r="R60" s="122"/>
    </row>
    <row r="61" spans="2:18" x14ac:dyDescent="0.25">
      <c r="B61" s="5"/>
      <c r="C61" s="17" t="s">
        <v>178</v>
      </c>
      <c r="D61" s="122"/>
      <c r="E61" s="122"/>
      <c r="F61" s="122"/>
      <c r="G61" s="122"/>
      <c r="H61" s="122"/>
      <c r="I61" s="122"/>
      <c r="J61" s="122"/>
      <c r="K61" s="122"/>
      <c r="L61" s="122"/>
      <c r="M61" s="122"/>
    </row>
    <row r="62" spans="2:18" x14ac:dyDescent="0.25">
      <c r="B62" s="5"/>
      <c r="C62" s="17" t="s">
        <v>166</v>
      </c>
      <c r="E62" s="122"/>
      <c r="F62" s="139">
        <f>'Table 6-3'!C6</f>
        <v>2.7850035382594687E-2</v>
      </c>
      <c r="H62" s="122"/>
      <c r="I62" s="122"/>
      <c r="J62" s="122"/>
      <c r="K62" s="122"/>
      <c r="L62" s="122"/>
      <c r="M62" s="122"/>
    </row>
    <row r="63" spans="2:18" x14ac:dyDescent="0.25">
      <c r="B63" s="5"/>
      <c r="C63" s="17"/>
      <c r="D63" s="122"/>
      <c r="E63" s="122"/>
      <c r="F63" s="122"/>
      <c r="G63" s="122"/>
      <c r="H63" s="122"/>
      <c r="I63" s="122"/>
      <c r="J63" s="122"/>
      <c r="K63" s="122"/>
      <c r="L63" s="122"/>
      <c r="M63" s="122"/>
    </row>
    <row r="64" spans="2:18" ht="17.25" x14ac:dyDescent="0.25">
      <c r="B64" s="5"/>
      <c r="C64" s="88" t="s">
        <v>164</v>
      </c>
      <c r="D64" s="122"/>
      <c r="E64" s="122"/>
      <c r="F64" s="122"/>
      <c r="G64" s="122"/>
      <c r="H64" s="122"/>
      <c r="I64" s="122"/>
      <c r="J64" s="122"/>
      <c r="K64" s="122"/>
      <c r="L64" s="122"/>
      <c r="M64" s="122"/>
    </row>
    <row r="65" spans="2:13" ht="17.25" x14ac:dyDescent="0.25">
      <c r="B65" s="5"/>
      <c r="C65" s="88" t="s">
        <v>154</v>
      </c>
      <c r="D65" s="139"/>
      <c r="E65" s="122"/>
      <c r="F65" s="122"/>
      <c r="G65" s="122"/>
      <c r="H65" s="122"/>
      <c r="I65" s="122"/>
      <c r="J65" s="122"/>
      <c r="K65" s="122"/>
      <c r="L65" s="122"/>
      <c r="M65" s="122"/>
    </row>
    <row r="66" spans="2:13" ht="17.25" x14ac:dyDescent="0.25">
      <c r="B66" s="5"/>
      <c r="C66" s="88" t="s">
        <v>169</v>
      </c>
      <c r="D66" s="139"/>
      <c r="E66" s="122"/>
      <c r="F66" s="122"/>
      <c r="G66" s="122"/>
      <c r="H66" s="122"/>
      <c r="I66" s="122"/>
      <c r="J66" s="122"/>
      <c r="K66" s="122"/>
      <c r="L66" s="122"/>
      <c r="M66" s="122"/>
    </row>
    <row r="67" spans="2:13" ht="17.25" x14ac:dyDescent="0.25">
      <c r="B67" s="5"/>
      <c r="C67" s="127" t="s">
        <v>167</v>
      </c>
      <c r="D67" s="139"/>
      <c r="G67" s="122"/>
      <c r="H67" s="122"/>
      <c r="I67" s="122"/>
      <c r="J67" s="122"/>
      <c r="K67" s="122"/>
      <c r="L67" s="122"/>
      <c r="M67" s="122"/>
    </row>
    <row r="68" spans="2:13" ht="17.25" x14ac:dyDescent="0.25">
      <c r="B68" s="5"/>
      <c r="C68" s="127" t="s">
        <v>168</v>
      </c>
      <c r="D68" s="139"/>
      <c r="G68" s="122"/>
      <c r="H68" s="122"/>
      <c r="I68" s="122"/>
      <c r="J68" s="122"/>
      <c r="K68" s="122"/>
      <c r="L68" s="122"/>
      <c r="M68" s="122"/>
    </row>
    <row r="69" spans="2:13" ht="17.25" x14ac:dyDescent="0.25">
      <c r="B69" s="5"/>
      <c r="C69" s="127" t="s">
        <v>156</v>
      </c>
      <c r="D69" s="139"/>
      <c r="G69" s="122"/>
      <c r="H69" s="122"/>
      <c r="I69" s="122"/>
      <c r="J69" s="122"/>
      <c r="K69" s="122"/>
      <c r="L69" s="122"/>
      <c r="M69" s="122"/>
    </row>
    <row r="70" spans="2:13" x14ac:dyDescent="0.25">
      <c r="B70" s="5"/>
      <c r="G70" s="122"/>
      <c r="H70" s="122"/>
      <c r="I70" s="122"/>
      <c r="J70" s="122"/>
      <c r="K70" s="122"/>
      <c r="L70" s="122"/>
      <c r="M70" s="122"/>
    </row>
    <row r="71" spans="2:13" x14ac:dyDescent="0.25">
      <c r="B71" s="5"/>
      <c r="G71" s="122"/>
      <c r="H71" s="122"/>
      <c r="I71" s="122"/>
      <c r="J71" s="122"/>
      <c r="K71" s="122"/>
      <c r="L71" s="122"/>
      <c r="M71" s="122"/>
    </row>
    <row r="72" spans="2:13" x14ac:dyDescent="0.25">
      <c r="B72" s="5"/>
      <c r="C72" s="88"/>
      <c r="D72" s="139"/>
      <c r="G72" s="122"/>
      <c r="H72" s="122"/>
      <c r="I72" s="122"/>
      <c r="J72" s="122"/>
      <c r="K72" s="122"/>
      <c r="L72" s="122"/>
      <c r="M72" s="122"/>
    </row>
    <row r="73" spans="2:13" x14ac:dyDescent="0.25">
      <c r="B73" s="5"/>
    </row>
    <row r="74" spans="2:13" x14ac:dyDescent="0.25">
      <c r="B74" s="5"/>
      <c r="E74" s="122"/>
      <c r="F74" s="122"/>
      <c r="G74" s="122"/>
      <c r="H74" s="122"/>
      <c r="I74" s="122"/>
      <c r="J74" s="122"/>
      <c r="K74" s="122"/>
      <c r="L74" s="122"/>
      <c r="M74" s="122"/>
    </row>
    <row r="75" spans="2:13" x14ac:dyDescent="0.25">
      <c r="B75" s="5"/>
      <c r="C75" s="17"/>
      <c r="D75" s="122"/>
      <c r="E75" s="122"/>
      <c r="F75" s="122"/>
      <c r="G75" s="122"/>
      <c r="H75" s="122"/>
      <c r="I75" s="122"/>
      <c r="J75" s="122"/>
      <c r="K75" s="122"/>
      <c r="L75" s="122"/>
      <c r="M75" s="122"/>
    </row>
    <row r="76" spans="2:13" x14ac:dyDescent="0.25">
      <c r="B76" s="5"/>
      <c r="C76" s="17"/>
      <c r="D76" s="122"/>
      <c r="E76" s="122"/>
      <c r="F76" s="122"/>
      <c r="G76" s="122"/>
      <c r="H76" s="122"/>
      <c r="I76" s="122"/>
      <c r="J76" s="122"/>
      <c r="K76" s="122"/>
      <c r="L76" s="122"/>
      <c r="M76" s="122"/>
    </row>
    <row r="77" spans="2:13" x14ac:dyDescent="0.25">
      <c r="C77" s="133"/>
    </row>
    <row r="78" spans="2:13" ht="30.75" customHeight="1" x14ac:dyDescent="0.25">
      <c r="C78" s="133"/>
    </row>
  </sheetData>
  <mergeCells count="3">
    <mergeCell ref="B2:R2"/>
    <mergeCell ref="B3:R3"/>
    <mergeCell ref="B4:R4"/>
  </mergeCells>
  <phoneticPr fontId="52" type="noConversion"/>
  <pageMargins left="0.7" right="0.7" top="0.75" bottom="0.75" header="0.3" footer="0.3"/>
  <pageSetup scale="57" fitToHeight="3" orientation="landscape" r:id="rId1"/>
  <rowBreaks count="1" manualBreakCount="1">
    <brk id="32" min="1"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A1:Q43"/>
  <sheetViews>
    <sheetView showGridLines="0" view="pageBreakPreview" zoomScale="85" zoomScaleNormal="100" zoomScaleSheetLayoutView="85" workbookViewId="0">
      <selection activeCell="B38" sqref="B38"/>
    </sheetView>
  </sheetViews>
  <sheetFormatPr defaultColWidth="8.85546875" defaultRowHeight="15" x14ac:dyDescent="0.25"/>
  <cols>
    <col min="1" max="1" width="5.85546875" customWidth="1"/>
    <col min="2" max="2" width="27" customWidth="1"/>
    <col min="3" max="17" width="9.140625" bestFit="1" customWidth="1"/>
  </cols>
  <sheetData>
    <row r="1" spans="1:17" x14ac:dyDescent="0.25">
      <c r="A1" s="5"/>
    </row>
    <row r="2" spans="1:17" x14ac:dyDescent="0.25">
      <c r="A2" s="307" t="s">
        <v>108</v>
      </c>
      <c r="B2" s="307"/>
      <c r="C2" s="307"/>
      <c r="D2" s="307"/>
      <c r="E2" s="307"/>
      <c r="F2" s="307"/>
      <c r="G2" s="307"/>
      <c r="H2" s="307"/>
      <c r="I2" s="307"/>
      <c r="J2" s="307"/>
      <c r="K2" s="307"/>
      <c r="L2" s="307"/>
      <c r="M2" s="307"/>
      <c r="N2" s="307"/>
      <c r="O2" s="307"/>
      <c r="P2" s="307"/>
      <c r="Q2" s="307"/>
    </row>
    <row r="3" spans="1:17" x14ac:dyDescent="0.25">
      <c r="A3" s="307" t="s">
        <v>117</v>
      </c>
      <c r="B3" s="307"/>
      <c r="C3" s="307"/>
      <c r="D3" s="307"/>
      <c r="E3" s="307"/>
      <c r="F3" s="307"/>
      <c r="G3" s="307"/>
      <c r="H3" s="307"/>
      <c r="I3" s="307"/>
      <c r="J3" s="307"/>
      <c r="K3" s="307"/>
      <c r="L3" s="307"/>
      <c r="M3" s="307"/>
      <c r="N3" s="307"/>
      <c r="O3" s="307"/>
      <c r="P3" s="307"/>
      <c r="Q3" s="307"/>
    </row>
    <row r="4" spans="1:17" x14ac:dyDescent="0.25">
      <c r="A4" s="308" t="s">
        <v>5</v>
      </c>
      <c r="B4" s="308"/>
      <c r="C4" s="308"/>
      <c r="D4" s="308"/>
      <c r="E4" s="308"/>
      <c r="F4" s="308"/>
      <c r="G4" s="308"/>
      <c r="H4" s="308"/>
      <c r="I4" s="308"/>
      <c r="J4" s="308"/>
      <c r="K4" s="308"/>
      <c r="L4" s="308"/>
      <c r="M4" s="308"/>
      <c r="N4" s="308"/>
      <c r="O4" s="308"/>
      <c r="P4" s="308"/>
      <c r="Q4" s="308"/>
    </row>
    <row r="5" spans="1:17" x14ac:dyDescent="0.25">
      <c r="A5" s="5"/>
    </row>
    <row r="6" spans="1:17" x14ac:dyDescent="0.25">
      <c r="A6" s="5">
        <f>'Table 7-1'!A32</f>
        <v>1</v>
      </c>
      <c r="B6" s="8" t="str">
        <f>'Table 7-1'!C32</f>
        <v>Reg Asset Rev Req</v>
      </c>
      <c r="C6" s="51">
        <f>'[1]Table 7-1'!D33</f>
        <v>2021</v>
      </c>
      <c r="D6" s="51">
        <f>'[1]Table 7-1'!E33</f>
        <v>2022</v>
      </c>
      <c r="E6" s="51">
        <f>'[1]Table 7-1'!F33</f>
        <v>2023</v>
      </c>
      <c r="F6" s="51">
        <f>'[1]Table 7-1'!G33</f>
        <v>2024</v>
      </c>
      <c r="G6" s="51">
        <f>'[1]Table 7-1'!H33</f>
        <v>2025</v>
      </c>
      <c r="H6" s="51">
        <f>'[1]Table 7-1'!I33</f>
        <v>2026</v>
      </c>
      <c r="I6" s="51">
        <f>'[1]Table 7-1'!J33</f>
        <v>2027</v>
      </c>
      <c r="J6" s="51">
        <f>'[1]Table 7-1'!K33</f>
        <v>2028</v>
      </c>
      <c r="K6" s="51">
        <f>'[1]Table 7-1'!L33</f>
        <v>2029</v>
      </c>
      <c r="L6" s="51">
        <f>'[1]Table 7-1'!M33</f>
        <v>2030</v>
      </c>
      <c r="M6" s="51">
        <f>'[1]Table 7-1'!N33</f>
        <v>2031</v>
      </c>
      <c r="N6" s="51">
        <f>'[1]Table 7-1'!O33</f>
        <v>2032</v>
      </c>
      <c r="O6" s="51">
        <f>'[1]Table 7-1'!P33</f>
        <v>2033</v>
      </c>
      <c r="P6" s="51">
        <f>'[1]Table 7-1'!Q33</f>
        <v>2034</v>
      </c>
      <c r="Q6" s="51">
        <f>'[1]Table 7-1'!R33</f>
        <v>2035</v>
      </c>
    </row>
    <row r="7" spans="1:17" x14ac:dyDescent="0.25">
      <c r="A7" s="5">
        <f>'Table 7-1'!A33</f>
        <v>2</v>
      </c>
      <c r="B7" s="5" t="str">
        <f>'Table 7-1'!C33</f>
        <v xml:space="preserve">Interest </v>
      </c>
      <c r="C7" s="13">
        <f>'Table 7-1'!D33</f>
        <v>145.97521874999998</v>
      </c>
      <c r="D7" s="13">
        <f>'Table 7-1'!E33</f>
        <v>141.02690625</v>
      </c>
      <c r="E7" s="13">
        <f>'Table 7-1'!F33</f>
        <v>136.07859374999998</v>
      </c>
      <c r="F7" s="13">
        <f>'Table 7-1'!G33</f>
        <v>131.13028125</v>
      </c>
      <c r="G7" s="13">
        <f>'Table 7-1'!H33</f>
        <v>126.18196875</v>
      </c>
      <c r="H7" s="13">
        <f>'Table 7-1'!I33</f>
        <v>121.23365625</v>
      </c>
      <c r="I7" s="13">
        <f>'Table 7-1'!J33</f>
        <v>116.28534375</v>
      </c>
      <c r="J7" s="13">
        <f>'Table 7-1'!K33</f>
        <v>111.33703125</v>
      </c>
      <c r="K7" s="13">
        <f>'Table 7-1'!L33</f>
        <v>106.38871875</v>
      </c>
      <c r="L7" s="13">
        <f>'Table 7-1'!M33</f>
        <v>101.44040625</v>
      </c>
      <c r="M7" s="13">
        <f>'Table 7-1'!N33</f>
        <v>96.492093749999995</v>
      </c>
      <c r="N7" s="13">
        <f>'Table 7-1'!O33</f>
        <v>91.543781249999995</v>
      </c>
      <c r="O7" s="13">
        <f>'Table 7-1'!P33</f>
        <v>86.595468749999995</v>
      </c>
      <c r="P7" s="13">
        <f>'Table 7-1'!Q33</f>
        <v>81.647156249999995</v>
      </c>
      <c r="Q7" s="13">
        <f>'Table 7-1'!R33</f>
        <v>76.698843749999995</v>
      </c>
    </row>
    <row r="8" spans="1:17" x14ac:dyDescent="0.25">
      <c r="A8" s="5">
        <f>'Table 7-1'!A34</f>
        <v>3</v>
      </c>
      <c r="B8" s="5" t="str">
        <f>'Table 7-1'!C34</f>
        <v>Preferred Dividend</v>
      </c>
      <c r="C8" s="13">
        <f>'Table 7-1'!D34</f>
        <v>2.0354999999999999</v>
      </c>
      <c r="D8" s="13">
        <f>'Table 7-1'!E34</f>
        <v>1.9664999999999999</v>
      </c>
      <c r="E8" s="13">
        <f>'Table 7-1'!F34</f>
        <v>1.8975</v>
      </c>
      <c r="F8" s="13">
        <f>'Table 7-1'!G34</f>
        <v>1.8285</v>
      </c>
      <c r="G8" s="13">
        <f>'Table 7-1'!H34</f>
        <v>1.7594999999999998</v>
      </c>
      <c r="H8" s="13">
        <f>'Table 7-1'!I34</f>
        <v>1.6904999999999999</v>
      </c>
      <c r="I8" s="13">
        <f>'Table 7-1'!J34</f>
        <v>1.6214999999999999</v>
      </c>
      <c r="J8" s="13">
        <f>'Table 7-1'!K34</f>
        <v>1.5525</v>
      </c>
      <c r="K8" s="13">
        <f>'Table 7-1'!L34</f>
        <v>1.4834999999999998</v>
      </c>
      <c r="L8" s="13">
        <f>'Table 7-1'!M34</f>
        <v>1.4144999999999999</v>
      </c>
      <c r="M8" s="13">
        <f>'Table 7-1'!N34</f>
        <v>1.3454999999999999</v>
      </c>
      <c r="N8" s="13">
        <f>'Table 7-1'!O34</f>
        <v>1.2765</v>
      </c>
      <c r="O8" s="13">
        <f>'Table 7-1'!P34</f>
        <v>1.2075</v>
      </c>
      <c r="P8" s="13">
        <f>'Table 7-1'!Q34</f>
        <v>1.1384999999999998</v>
      </c>
      <c r="Q8" s="13">
        <f>'Table 7-1'!R34</f>
        <v>1.0694999999999999</v>
      </c>
    </row>
    <row r="9" spans="1:17" x14ac:dyDescent="0.25">
      <c r="A9" s="5">
        <f>'Table 7-1'!A35</f>
        <v>4</v>
      </c>
      <c r="B9" s="5" t="str">
        <f>'Table 7-1'!C35</f>
        <v>Earning for Common</v>
      </c>
      <c r="C9" s="13">
        <f>'Table 7-1'!D35</f>
        <v>393.08749999999998</v>
      </c>
      <c r="D9" s="13">
        <f>'Table 7-1'!E35</f>
        <v>379.76249999999999</v>
      </c>
      <c r="E9" s="13">
        <f>'Table 7-1'!F35</f>
        <v>366.4375</v>
      </c>
      <c r="F9" s="13">
        <f>'Table 7-1'!G35</f>
        <v>353.11250000000001</v>
      </c>
      <c r="G9" s="13">
        <f>'Table 7-1'!H35</f>
        <v>339.78750000000002</v>
      </c>
      <c r="H9" s="13">
        <f>'Table 7-1'!I35</f>
        <v>326.46249999999998</v>
      </c>
      <c r="I9" s="13">
        <f>'Table 7-1'!J35</f>
        <v>313.13749999999999</v>
      </c>
      <c r="J9" s="13">
        <f>'Table 7-1'!K35</f>
        <v>299.8125</v>
      </c>
      <c r="K9" s="13">
        <f>'Table 7-1'!L35</f>
        <v>286.48750000000001</v>
      </c>
      <c r="L9" s="13">
        <f>'Table 7-1'!M35</f>
        <v>273.16250000000002</v>
      </c>
      <c r="M9" s="13">
        <f>'Table 7-1'!N35</f>
        <v>259.83749999999998</v>
      </c>
      <c r="N9" s="13">
        <f>'Table 7-1'!O35</f>
        <v>246.51249999999999</v>
      </c>
      <c r="O9" s="13">
        <f>'Table 7-1'!P35</f>
        <v>233.1875</v>
      </c>
      <c r="P9" s="13">
        <f>'Table 7-1'!Q35</f>
        <v>219.86250000000001</v>
      </c>
      <c r="Q9" s="13">
        <f>'Table 7-1'!R35</f>
        <v>206.53749999999999</v>
      </c>
    </row>
    <row r="10" spans="1:17" x14ac:dyDescent="0.25">
      <c r="A10" s="5">
        <f>'Table 7-1'!A36</f>
        <v>5</v>
      </c>
      <c r="B10" s="5" t="str">
        <f>'Table 7-1'!C36</f>
        <v>Taxes on Return</v>
      </c>
      <c r="C10" s="13">
        <f>'Table 7-1'!D36</f>
        <v>153.50654734795893</v>
      </c>
      <c r="D10" s="13">
        <f>'Table 7-1'!E36</f>
        <v>148.30293557345186</v>
      </c>
      <c r="E10" s="13">
        <f>'Table 7-1'!F36</f>
        <v>143.09932379894474</v>
      </c>
      <c r="F10" s="13">
        <f>'Table 7-1'!G36</f>
        <v>137.89571202443773</v>
      </c>
      <c r="G10" s="13">
        <f>'Table 7-1'!H36</f>
        <v>132.6921002499306</v>
      </c>
      <c r="H10" s="13">
        <f>'Table 7-1'!I36</f>
        <v>127.48848847542354</v>
      </c>
      <c r="I10" s="13">
        <f>'Table 7-1'!J36</f>
        <v>122.28487670091647</v>
      </c>
      <c r="J10" s="13">
        <f>'Table 7-1'!K36</f>
        <v>117.08126492640935</v>
      </c>
      <c r="K10" s="13">
        <f>'Table 7-1'!L36</f>
        <v>111.87765315190228</v>
      </c>
      <c r="L10" s="13">
        <f>'Table 7-1'!M36</f>
        <v>106.67404137739521</v>
      </c>
      <c r="M10" s="13">
        <f>'Table 7-1'!N36</f>
        <v>101.47042960288809</v>
      </c>
      <c r="N10" s="13">
        <f>'Table 7-1'!O36</f>
        <v>96.266817828381022</v>
      </c>
      <c r="O10" s="13">
        <f>'Table 7-1'!P36</f>
        <v>91.063206053873927</v>
      </c>
      <c r="P10" s="13">
        <f>'Table 7-1'!Q36</f>
        <v>85.85959427936686</v>
      </c>
      <c r="Q10" s="13">
        <f>'Table 7-1'!R36</f>
        <v>80.655982504859793</v>
      </c>
    </row>
    <row r="11" spans="1:17" x14ac:dyDescent="0.25">
      <c r="A11" s="5">
        <f>'Table 7-1'!A37</f>
        <v>6</v>
      </c>
      <c r="B11" s="5" t="str">
        <f>'Table 7-1'!C37</f>
        <v>Return</v>
      </c>
      <c r="C11" s="13">
        <f>'Table 7-1'!D37</f>
        <v>694.60476609795887</v>
      </c>
      <c r="D11" s="13">
        <f>'Table 7-1'!E37</f>
        <v>671.05884182345176</v>
      </c>
      <c r="E11" s="13">
        <f>'Table 7-1'!F37</f>
        <v>647.51291754894476</v>
      </c>
      <c r="F11" s="13">
        <f>'Table 7-1'!G37</f>
        <v>623.96699327443775</v>
      </c>
      <c r="G11" s="13">
        <f>'Table 7-1'!H37</f>
        <v>600.42106899993064</v>
      </c>
      <c r="H11" s="13">
        <f>'Table 7-1'!I37</f>
        <v>576.87514472542352</v>
      </c>
      <c r="I11" s="13">
        <f>'Table 7-1'!J37</f>
        <v>553.32922045091641</v>
      </c>
      <c r="J11" s="13">
        <f>'Table 7-1'!K37</f>
        <v>529.78329617640929</v>
      </c>
      <c r="K11" s="13">
        <f>'Table 7-1'!L37</f>
        <v>506.23737190190229</v>
      </c>
      <c r="L11" s="13">
        <f>'Table 7-1'!M37</f>
        <v>482.69144762739523</v>
      </c>
      <c r="M11" s="13">
        <f>'Table 7-1'!N37</f>
        <v>459.14552335288806</v>
      </c>
      <c r="N11" s="13">
        <f>'Table 7-1'!O37</f>
        <v>435.599599078381</v>
      </c>
      <c r="O11" s="13">
        <f>'Table 7-1'!P37</f>
        <v>412.05367480387395</v>
      </c>
      <c r="P11" s="13">
        <f>'Table 7-1'!Q37</f>
        <v>388.50775052936683</v>
      </c>
      <c r="Q11" s="13">
        <f>'Table 7-1'!R37</f>
        <v>364.96182625485983</v>
      </c>
    </row>
    <row r="12" spans="1:17" x14ac:dyDescent="0.25">
      <c r="A12" s="5">
        <f>'Table 7-1'!A38</f>
        <v>7</v>
      </c>
      <c r="B12" s="11" t="str">
        <f>'Table 7-1'!C38</f>
        <v>Principal Amortization</v>
      </c>
      <c r="C12" s="14">
        <f>'Table 7-1'!D38</f>
        <v>250</v>
      </c>
      <c r="D12" s="14">
        <f>'Table 7-1'!E38</f>
        <v>250</v>
      </c>
      <c r="E12" s="14">
        <f>'Table 7-1'!F38</f>
        <v>250</v>
      </c>
      <c r="F12" s="14">
        <f>'Table 7-1'!G38</f>
        <v>250</v>
      </c>
      <c r="G12" s="14">
        <f>'Table 7-1'!H38</f>
        <v>250</v>
      </c>
      <c r="H12" s="14">
        <f>'Table 7-1'!I38</f>
        <v>250</v>
      </c>
      <c r="I12" s="14">
        <f>'Table 7-1'!J38</f>
        <v>250</v>
      </c>
      <c r="J12" s="14">
        <f>'Table 7-1'!K38</f>
        <v>250</v>
      </c>
      <c r="K12" s="14">
        <f>'Table 7-1'!L38</f>
        <v>250</v>
      </c>
      <c r="L12" s="14">
        <f>'Table 7-1'!M38</f>
        <v>250</v>
      </c>
      <c r="M12" s="14">
        <f>'Table 7-1'!N38</f>
        <v>250</v>
      </c>
      <c r="N12" s="14">
        <f>'Table 7-1'!O38</f>
        <v>250</v>
      </c>
      <c r="O12" s="14">
        <f>'Table 7-1'!P38</f>
        <v>250</v>
      </c>
      <c r="P12" s="14">
        <f>'Table 7-1'!Q38</f>
        <v>250</v>
      </c>
      <c r="Q12" s="14">
        <f>'Table 7-1'!R38</f>
        <v>250</v>
      </c>
    </row>
    <row r="13" spans="1:17" x14ac:dyDescent="0.25">
      <c r="A13" s="5">
        <f>'Table 7-1'!A39</f>
        <v>8</v>
      </c>
      <c r="B13" s="5" t="str">
        <f>'Table 7-1'!C39</f>
        <v>Subtotal</v>
      </c>
      <c r="C13" s="13">
        <f>'Table 7-1'!D39</f>
        <v>944.60476609795887</v>
      </c>
      <c r="D13" s="13">
        <f>'Table 7-1'!E39</f>
        <v>921.05884182345176</v>
      </c>
      <c r="E13" s="13">
        <f>'Table 7-1'!F39</f>
        <v>897.51291754894476</v>
      </c>
      <c r="F13" s="13">
        <f>'Table 7-1'!G39</f>
        <v>873.96699327443775</v>
      </c>
      <c r="G13" s="13">
        <f>'Table 7-1'!H39</f>
        <v>850.42106899993064</v>
      </c>
      <c r="H13" s="13">
        <f>'Table 7-1'!I39</f>
        <v>826.87514472542352</v>
      </c>
      <c r="I13" s="13">
        <f>'Table 7-1'!J39</f>
        <v>803.32922045091641</v>
      </c>
      <c r="J13" s="13">
        <f>'Table 7-1'!K39</f>
        <v>779.78329617640929</v>
      </c>
      <c r="K13" s="13">
        <f>'Table 7-1'!L39</f>
        <v>756.23737190190229</v>
      </c>
      <c r="L13" s="13">
        <f>'Table 7-1'!M39</f>
        <v>732.69144762739529</v>
      </c>
      <c r="M13" s="13">
        <f>'Table 7-1'!N39</f>
        <v>709.14552335288806</v>
      </c>
      <c r="N13" s="13">
        <f>'Table 7-1'!O39</f>
        <v>685.59959907838106</v>
      </c>
      <c r="O13" s="13">
        <f>'Table 7-1'!P39</f>
        <v>662.05367480387395</v>
      </c>
      <c r="P13" s="13">
        <f>'Table 7-1'!Q39</f>
        <v>638.50775052936683</v>
      </c>
      <c r="Q13" s="13">
        <f>'Table 7-1'!R39</f>
        <v>614.96182625485983</v>
      </c>
    </row>
    <row r="14" spans="1:17" x14ac:dyDescent="0.25">
      <c r="A14" s="5">
        <f>'Table 7-1'!A40</f>
        <v>9</v>
      </c>
      <c r="B14" s="11" t="str">
        <f>'Table 7-1'!C40</f>
        <v>Uncollectibles</v>
      </c>
      <c r="C14" s="14">
        <f>'Table 7-1'!D40</f>
        <v>3.1171957281232641</v>
      </c>
      <c r="D14" s="14">
        <f>'Table 7-1'!E40</f>
        <v>3.039494178017391</v>
      </c>
      <c r="E14" s="14">
        <f>'Table 7-1'!F40</f>
        <v>2.9617926279115179</v>
      </c>
      <c r="F14" s="14">
        <f>'Table 7-1'!G40</f>
        <v>2.8840910778056448</v>
      </c>
      <c r="G14" s="14">
        <f>'Table 7-1'!H40</f>
        <v>2.8063895276997712</v>
      </c>
      <c r="H14" s="14">
        <f>'Table 7-1'!I40</f>
        <v>2.7286879775938977</v>
      </c>
      <c r="I14" s="14">
        <f>'Table 7-1'!J40</f>
        <v>2.6509864274880242</v>
      </c>
      <c r="J14" s="14">
        <f>'Table 7-1'!K40</f>
        <v>2.5732848773821506</v>
      </c>
      <c r="K14" s="14">
        <f>'Table 7-1'!L40</f>
        <v>2.4955833272762775</v>
      </c>
      <c r="L14" s="14">
        <f>'Table 7-1'!M40</f>
        <v>2.4178817771704044</v>
      </c>
      <c r="M14" s="14">
        <f>'Table 7-1'!N40</f>
        <v>2.3401802270645304</v>
      </c>
      <c r="N14" s="14">
        <f>'Table 7-1'!O40</f>
        <v>2.2624786769586573</v>
      </c>
      <c r="O14" s="14">
        <f>'Table 7-1'!P40</f>
        <v>2.1847771268527838</v>
      </c>
      <c r="P14" s="14">
        <f>'Table 7-1'!Q40</f>
        <v>2.1070755767469107</v>
      </c>
      <c r="Q14" s="14">
        <f>'Table 7-1'!R40</f>
        <v>2.0293740266410376</v>
      </c>
    </row>
    <row r="15" spans="1:17" x14ac:dyDescent="0.25">
      <c r="A15" s="5">
        <f>'Table 7-1'!A41</f>
        <v>10</v>
      </c>
      <c r="B15" s="5" t="str">
        <f>'Table 7-1'!C41</f>
        <v>Total Rev Req</v>
      </c>
      <c r="C15" s="13">
        <f>'Table 7-1'!D41</f>
        <v>947.72196182608218</v>
      </c>
      <c r="D15" s="13">
        <f>'Table 7-1'!E41</f>
        <v>924.09833600146919</v>
      </c>
      <c r="E15" s="13">
        <f>'Table 7-1'!F41</f>
        <v>900.47471017685632</v>
      </c>
      <c r="F15" s="13">
        <f>'Table 7-1'!G41</f>
        <v>876.85108435224345</v>
      </c>
      <c r="G15" s="13">
        <f>'Table 7-1'!H41</f>
        <v>853.22745852763046</v>
      </c>
      <c r="H15" s="13">
        <f>'Table 7-1'!I41</f>
        <v>829.60383270301747</v>
      </c>
      <c r="I15" s="13">
        <f>'Table 7-1'!J41</f>
        <v>805.98020687840449</v>
      </c>
      <c r="J15" s="13">
        <f>'Table 7-1'!K41</f>
        <v>782.3565810537915</v>
      </c>
      <c r="K15" s="13">
        <f>'Table 7-1'!L41</f>
        <v>758.73295522917851</v>
      </c>
      <c r="L15" s="13">
        <f>'Table 7-1'!M41</f>
        <v>735.10932940456564</v>
      </c>
      <c r="M15" s="13">
        <f>'Table 7-1'!N41</f>
        <v>711.48570357995254</v>
      </c>
      <c r="N15" s="13">
        <f>'Table 7-1'!O41</f>
        <v>687.86207775533967</v>
      </c>
      <c r="O15" s="13">
        <f>'Table 7-1'!P41</f>
        <v>664.23845193072668</v>
      </c>
      <c r="P15" s="13">
        <f>'Table 7-1'!Q41</f>
        <v>640.6148261061137</v>
      </c>
      <c r="Q15" s="13">
        <f>'Table 7-1'!R41</f>
        <v>616.99120028150082</v>
      </c>
    </row>
    <row r="16" spans="1:17" x14ac:dyDescent="0.25">
      <c r="A16" s="5">
        <f>'Table 7-1'!A42</f>
        <v>11</v>
      </c>
      <c r="B16" s="5"/>
      <c r="C16" s="13"/>
      <c r="D16" s="13"/>
      <c r="E16" s="13"/>
      <c r="F16" s="13"/>
      <c r="G16" s="13"/>
      <c r="H16" s="13"/>
      <c r="I16" s="13"/>
      <c r="J16" s="13"/>
      <c r="K16" s="13"/>
      <c r="L16" s="13"/>
      <c r="M16" s="13"/>
      <c r="N16" s="13"/>
      <c r="O16" s="13"/>
      <c r="P16" s="13"/>
      <c r="Q16" s="13"/>
    </row>
    <row r="17" spans="1:17" x14ac:dyDescent="0.25">
      <c r="A17" s="5">
        <f>'Table 7-1'!A43</f>
        <v>12</v>
      </c>
      <c r="B17" s="8" t="str">
        <f>'Table 7-1'!C43</f>
        <v>Reg Asset Balance</v>
      </c>
      <c r="C17" s="13"/>
      <c r="D17" s="13"/>
      <c r="E17" s="13"/>
      <c r="F17" s="13"/>
      <c r="G17" s="13"/>
      <c r="H17" s="13"/>
      <c r="I17" s="13"/>
      <c r="J17" s="13"/>
      <c r="K17" s="13"/>
      <c r="L17" s="13"/>
      <c r="M17" s="13"/>
      <c r="N17" s="13"/>
      <c r="O17" s="13"/>
      <c r="P17" s="13"/>
      <c r="Q17" s="13"/>
    </row>
    <row r="18" spans="1:17" x14ac:dyDescent="0.25">
      <c r="A18" s="5">
        <f>'Table 7-1'!A44</f>
        <v>13</v>
      </c>
      <c r="B18" s="5" t="str">
        <f>'Table 7-1'!C44</f>
        <v>BOY Reg Asset Bal</v>
      </c>
      <c r="C18" s="20">
        <f>'Table 7-1'!D44</f>
        <v>7500</v>
      </c>
      <c r="D18" s="20">
        <f>'Table 7-1'!E44</f>
        <v>7250</v>
      </c>
      <c r="E18" s="20">
        <f>'Table 7-1'!F44</f>
        <v>7000</v>
      </c>
      <c r="F18" s="20">
        <f>'Table 7-1'!G44</f>
        <v>6750</v>
      </c>
      <c r="G18" s="20">
        <f>'Table 7-1'!H44</f>
        <v>6500</v>
      </c>
      <c r="H18" s="20">
        <f>'Table 7-1'!I44</f>
        <v>6250</v>
      </c>
      <c r="I18" s="20">
        <f>'Table 7-1'!J44</f>
        <v>6000</v>
      </c>
      <c r="J18" s="20">
        <f>'Table 7-1'!K44</f>
        <v>5750</v>
      </c>
      <c r="K18" s="20">
        <f>'Table 7-1'!L44</f>
        <v>5500</v>
      </c>
      <c r="L18" s="20">
        <f>'Table 7-1'!M44</f>
        <v>5250</v>
      </c>
      <c r="M18" s="20">
        <f>'Table 7-1'!N44</f>
        <v>5000</v>
      </c>
      <c r="N18" s="20">
        <f>'Table 7-1'!O44</f>
        <v>4750</v>
      </c>
      <c r="O18" s="20">
        <f>'Table 7-1'!P44</f>
        <v>4500</v>
      </c>
      <c r="P18" s="20">
        <f>'Table 7-1'!Q44</f>
        <v>4250</v>
      </c>
      <c r="Q18" s="20">
        <f>'Table 7-1'!R44</f>
        <v>4000</v>
      </c>
    </row>
    <row r="19" spans="1:17" x14ac:dyDescent="0.25">
      <c r="A19" s="5">
        <f>'Table 7-1'!A45</f>
        <v>14</v>
      </c>
      <c r="B19" s="5" t="str">
        <f>'Table 7-1'!C45</f>
        <v xml:space="preserve">Amortization </v>
      </c>
      <c r="C19" s="20">
        <f>'Table 7-1'!D45</f>
        <v>-250</v>
      </c>
      <c r="D19" s="20">
        <f>'Table 7-1'!E45</f>
        <v>-250</v>
      </c>
      <c r="E19" s="20">
        <f>'Table 7-1'!F45</f>
        <v>-250</v>
      </c>
      <c r="F19" s="20">
        <f>'Table 7-1'!G45</f>
        <v>-250</v>
      </c>
      <c r="G19" s="20">
        <f>'Table 7-1'!H45</f>
        <v>-250</v>
      </c>
      <c r="H19" s="20">
        <f>'Table 7-1'!I45</f>
        <v>-250</v>
      </c>
      <c r="I19" s="20">
        <f>'Table 7-1'!J45</f>
        <v>-250</v>
      </c>
      <c r="J19" s="20">
        <f>'Table 7-1'!K45</f>
        <v>-250</v>
      </c>
      <c r="K19" s="20">
        <f>'Table 7-1'!L45</f>
        <v>-250</v>
      </c>
      <c r="L19" s="20">
        <f>'Table 7-1'!M45</f>
        <v>-250</v>
      </c>
      <c r="M19" s="20">
        <f>'Table 7-1'!N45</f>
        <v>-250</v>
      </c>
      <c r="N19" s="20">
        <f>'Table 7-1'!O45</f>
        <v>-250</v>
      </c>
      <c r="O19" s="20">
        <f>'Table 7-1'!P45</f>
        <v>-250</v>
      </c>
      <c r="P19" s="20">
        <f>'Table 7-1'!Q45</f>
        <v>-250</v>
      </c>
      <c r="Q19" s="20">
        <f>'Table 7-1'!R45</f>
        <v>-250</v>
      </c>
    </row>
    <row r="20" spans="1:17" x14ac:dyDescent="0.25">
      <c r="A20" s="5">
        <f>'Table 7-1'!A46</f>
        <v>15</v>
      </c>
      <c r="B20" s="5" t="str">
        <f>'Table 7-1'!C46</f>
        <v>EOY Reg Asset Balance</v>
      </c>
      <c r="C20" s="20">
        <f>'Table 7-1'!D46</f>
        <v>7250</v>
      </c>
      <c r="D20" s="20">
        <f>'Table 7-1'!E46</f>
        <v>7000</v>
      </c>
      <c r="E20" s="20">
        <f>'Table 7-1'!F46</f>
        <v>6750</v>
      </c>
      <c r="F20" s="20">
        <f>'Table 7-1'!G46</f>
        <v>6500</v>
      </c>
      <c r="G20" s="20">
        <f>'Table 7-1'!H46</f>
        <v>6250</v>
      </c>
      <c r="H20" s="20">
        <f>'Table 7-1'!I46</f>
        <v>6000</v>
      </c>
      <c r="I20" s="20">
        <f>'Table 7-1'!J46</f>
        <v>5750</v>
      </c>
      <c r="J20" s="20">
        <f>'Table 7-1'!K46</f>
        <v>5500</v>
      </c>
      <c r="K20" s="20">
        <f>'Table 7-1'!L46</f>
        <v>5250</v>
      </c>
      <c r="L20" s="20">
        <f>'Table 7-1'!M46</f>
        <v>5000</v>
      </c>
      <c r="M20" s="20">
        <f>'Table 7-1'!N46</f>
        <v>4750</v>
      </c>
      <c r="N20" s="20">
        <f>'Table 7-1'!O46</f>
        <v>4500</v>
      </c>
      <c r="O20" s="20">
        <f>'Table 7-1'!P46</f>
        <v>4250</v>
      </c>
      <c r="P20" s="20">
        <f>'Table 7-1'!Q46</f>
        <v>4000</v>
      </c>
      <c r="Q20" s="20">
        <f>'Table 7-1'!R46</f>
        <v>3750</v>
      </c>
    </row>
    <row r="21" spans="1:17" x14ac:dyDescent="0.25">
      <c r="A21" s="5"/>
      <c r="B21" s="5"/>
      <c r="C21" s="123"/>
      <c r="D21" s="123"/>
      <c r="E21" s="123"/>
      <c r="F21" s="123"/>
      <c r="G21" s="123"/>
      <c r="H21" s="123"/>
      <c r="I21" s="123"/>
      <c r="J21" s="123"/>
      <c r="K21" s="123"/>
      <c r="L21" s="123"/>
    </row>
    <row r="22" spans="1:17" x14ac:dyDescent="0.25">
      <c r="A22" s="5">
        <f>'Table 7-1'!A32</f>
        <v>1</v>
      </c>
      <c r="B22" s="8" t="str">
        <f t="shared" ref="B22" si="0">B6</f>
        <v>Reg Asset Rev Req</v>
      </c>
      <c r="C22" s="51">
        <f>'[1]Table 7-1'!S33</f>
        <v>2036</v>
      </c>
      <c r="D22" s="51">
        <f>'[1]Table 7-1'!T33</f>
        <v>2037</v>
      </c>
      <c r="E22" s="51">
        <f>'[1]Table 7-1'!U33</f>
        <v>2038</v>
      </c>
      <c r="F22" s="51">
        <f>'[1]Table 7-1'!V33</f>
        <v>2039</v>
      </c>
      <c r="G22" s="51">
        <f>'[1]Table 7-1'!W33</f>
        <v>2040</v>
      </c>
      <c r="H22" s="51">
        <f>'[1]Table 7-1'!X33</f>
        <v>2041</v>
      </c>
      <c r="I22" s="51">
        <f>'[1]Table 7-1'!Y33</f>
        <v>2042</v>
      </c>
      <c r="J22" s="51">
        <f>'[1]Table 7-1'!Z33</f>
        <v>2043</v>
      </c>
      <c r="K22" s="51">
        <f>'[1]Table 7-1'!AA33</f>
        <v>2044</v>
      </c>
      <c r="L22" s="51">
        <f>'[1]Table 7-1'!AB33</f>
        <v>2045</v>
      </c>
      <c r="M22" s="51">
        <f>'[1]Table 7-1'!AC33</f>
        <v>2046</v>
      </c>
      <c r="N22" s="51">
        <f>'[1]Table 7-1'!AD33</f>
        <v>2047</v>
      </c>
      <c r="O22" s="51">
        <f>'[1]Table 7-1'!AE33</f>
        <v>2048</v>
      </c>
      <c r="P22" s="51">
        <f>'[1]Table 7-1'!AF33</f>
        <v>2049</v>
      </c>
      <c r="Q22" s="51">
        <f>'[1]Table 7-1'!AG33</f>
        <v>2050</v>
      </c>
    </row>
    <row r="23" spans="1:17" x14ac:dyDescent="0.25">
      <c r="A23" s="5">
        <f>'Table 7-1'!A33</f>
        <v>2</v>
      </c>
      <c r="B23" s="5" t="str">
        <f>'Table 7-1'!C33</f>
        <v xml:space="preserve">Interest </v>
      </c>
      <c r="C23" s="122">
        <f>'[1]Table 7-1'!S34</f>
        <v>88.848749999999995</v>
      </c>
      <c r="D23" s="122">
        <f>'[1]Table 7-1'!T34</f>
        <v>82.721249999999998</v>
      </c>
      <c r="E23" s="122">
        <f>'[1]Table 7-1'!U34</f>
        <v>76.59375</v>
      </c>
      <c r="F23" s="122">
        <f>'[1]Table 7-1'!V34</f>
        <v>70.466250000000002</v>
      </c>
      <c r="G23" s="122">
        <f>'[1]Table 7-1'!W34</f>
        <v>64.338750000000005</v>
      </c>
      <c r="H23" s="122">
        <f>'[1]Table 7-1'!X34</f>
        <v>58.21125</v>
      </c>
      <c r="I23" s="122">
        <f>'[1]Table 7-1'!Y34</f>
        <v>52.083750000000002</v>
      </c>
      <c r="J23" s="122">
        <f>'[1]Table 7-1'!Z34</f>
        <v>45.956250000000004</v>
      </c>
      <c r="K23" s="122">
        <f>'[1]Table 7-1'!AA34</f>
        <v>39.828749999999999</v>
      </c>
      <c r="L23" s="122">
        <f>'[1]Table 7-1'!AB34</f>
        <v>33.701250000000002</v>
      </c>
      <c r="M23" s="122">
        <f>'[1]Table 7-1'!AC34</f>
        <v>27.57375</v>
      </c>
      <c r="N23" s="122">
        <f>'[1]Table 7-1'!AD34</f>
        <v>21.446249999999999</v>
      </c>
      <c r="O23" s="122">
        <f>'[1]Table 7-1'!AE34</f>
        <v>15.31875</v>
      </c>
      <c r="P23" s="122">
        <f>'[1]Table 7-1'!AF34</f>
        <v>9.1912500000000001</v>
      </c>
      <c r="Q23" s="122">
        <f>'[1]Table 7-1'!AG34</f>
        <v>3.0637500000000002</v>
      </c>
    </row>
    <row r="24" spans="1:17" x14ac:dyDescent="0.25">
      <c r="A24" s="5">
        <f>'Table 7-1'!A34</f>
        <v>3</v>
      </c>
      <c r="B24" s="5" t="str">
        <f>'Table 7-1'!C34</f>
        <v>Preferred Dividend</v>
      </c>
      <c r="C24" s="122">
        <f>'[1]Table 7-1'!S35</f>
        <v>1.0004999999999999</v>
      </c>
      <c r="D24" s="122">
        <f>'[1]Table 7-1'!T35</f>
        <v>0.93149999999999999</v>
      </c>
      <c r="E24" s="122">
        <f>'[1]Table 7-1'!U35</f>
        <v>0.86249999999999993</v>
      </c>
      <c r="F24" s="122">
        <f>'[1]Table 7-1'!V35</f>
        <v>0.79349999999999998</v>
      </c>
      <c r="G24" s="122">
        <f>'[1]Table 7-1'!W35</f>
        <v>0.72449999999999992</v>
      </c>
      <c r="H24" s="122">
        <f>'[1]Table 7-1'!X35</f>
        <v>0.65549999999999997</v>
      </c>
      <c r="I24" s="122">
        <f>'[1]Table 7-1'!Y35</f>
        <v>0.58650000000000002</v>
      </c>
      <c r="J24" s="122">
        <f>'[1]Table 7-1'!Z35</f>
        <v>0.51749999999999996</v>
      </c>
      <c r="K24" s="122">
        <f>'[1]Table 7-1'!AA35</f>
        <v>0.44849999999999995</v>
      </c>
      <c r="L24" s="122">
        <f>'[1]Table 7-1'!AB35</f>
        <v>0.3795</v>
      </c>
      <c r="M24" s="122">
        <f>'[1]Table 7-1'!AC35</f>
        <v>0.3105</v>
      </c>
      <c r="N24" s="122">
        <f>'[1]Table 7-1'!AD35</f>
        <v>0.24149999999999999</v>
      </c>
      <c r="O24" s="122">
        <f>'[1]Table 7-1'!AE35</f>
        <v>0.17249999999999999</v>
      </c>
      <c r="P24" s="122">
        <f>'[1]Table 7-1'!AF35</f>
        <v>0.10349999999999999</v>
      </c>
      <c r="Q24" s="122">
        <f>'[1]Table 7-1'!AG35</f>
        <v>3.4499999999999996E-2</v>
      </c>
    </row>
    <row r="25" spans="1:17" x14ac:dyDescent="0.25">
      <c r="A25" s="5">
        <f>'Table 7-1'!A35</f>
        <v>4</v>
      </c>
      <c r="B25" s="5" t="str">
        <f>'Table 7-1'!C35</f>
        <v>Earning for Common</v>
      </c>
      <c r="C25" s="122">
        <f>'[1]Table 7-1'!S36</f>
        <v>193.21250000000001</v>
      </c>
      <c r="D25" s="122">
        <f>'[1]Table 7-1'!T36</f>
        <v>179.88749999999999</v>
      </c>
      <c r="E25" s="122">
        <f>'[1]Table 7-1'!U36</f>
        <v>166.5625</v>
      </c>
      <c r="F25" s="122">
        <f>'[1]Table 7-1'!V36</f>
        <v>153.23750000000001</v>
      </c>
      <c r="G25" s="122">
        <f>'[1]Table 7-1'!W36</f>
        <v>139.91249999999999</v>
      </c>
      <c r="H25" s="122">
        <f>'[1]Table 7-1'!X36</f>
        <v>126.58750000000001</v>
      </c>
      <c r="I25" s="122">
        <f>'[1]Table 7-1'!Y36</f>
        <v>113.2625</v>
      </c>
      <c r="J25" s="122">
        <f>'[1]Table 7-1'!Z36</f>
        <v>99.9375</v>
      </c>
      <c r="K25" s="122">
        <f>'[1]Table 7-1'!AA36</f>
        <v>86.612499999999997</v>
      </c>
      <c r="L25" s="122">
        <f>'[1]Table 7-1'!AB36</f>
        <v>73.287499999999994</v>
      </c>
      <c r="M25" s="122">
        <f>'[1]Table 7-1'!AC36</f>
        <v>59.962499999999999</v>
      </c>
      <c r="N25" s="122">
        <f>'[1]Table 7-1'!AD36</f>
        <v>46.637500000000003</v>
      </c>
      <c r="O25" s="122">
        <f>'[1]Table 7-1'!AE36</f>
        <v>33.3125</v>
      </c>
      <c r="P25" s="122">
        <f>'[1]Table 7-1'!AF36</f>
        <v>19.987500000000001</v>
      </c>
      <c r="Q25" s="122">
        <f>'[1]Table 7-1'!AG36</f>
        <v>6.6624999999999996</v>
      </c>
    </row>
    <row r="26" spans="1:17" x14ac:dyDescent="0.25">
      <c r="A26" s="5">
        <f>'Table 7-1'!A36</f>
        <v>5</v>
      </c>
      <c r="B26" s="5" t="str">
        <f>'Table 7-1'!C36</f>
        <v>Taxes on Return</v>
      </c>
      <c r="C26" s="122">
        <f>'[1]Table 7-1'!S37</f>
        <v>75.452370730352669</v>
      </c>
      <c r="D26" s="122">
        <f>'[1]Table 7-1'!T37</f>
        <v>70.248758955845602</v>
      </c>
      <c r="E26" s="122">
        <f>'[1]Table 7-1'!U37</f>
        <v>65.045147181338535</v>
      </c>
      <c r="F26" s="122">
        <f>'[1]Table 7-1'!V37</f>
        <v>59.84153540683144</v>
      </c>
      <c r="G26" s="122">
        <f>'[1]Table 7-1'!W37</f>
        <v>54.637923632324373</v>
      </c>
      <c r="H26" s="122">
        <f>'[1]Table 7-1'!X37</f>
        <v>49.434311857817292</v>
      </c>
      <c r="I26" s="122">
        <f>'[1]Table 7-1'!Y37</f>
        <v>44.230700083310197</v>
      </c>
      <c r="J26" s="122">
        <f>'[1]Table 7-1'!Z37</f>
        <v>39.02708830880313</v>
      </c>
      <c r="K26" s="122">
        <f>'[1]Table 7-1'!AA37</f>
        <v>33.823476534296034</v>
      </c>
      <c r="L26" s="122">
        <f>'[1]Table 7-1'!AB37</f>
        <v>28.619864759788953</v>
      </c>
      <c r="M26" s="122">
        <f>'[1]Table 7-1'!AC37</f>
        <v>23.416252985281872</v>
      </c>
      <c r="N26" s="122">
        <f>'[1]Table 7-1'!AD37</f>
        <v>18.212641210774791</v>
      </c>
      <c r="O26" s="122">
        <f>'[1]Table 7-1'!AE37</f>
        <v>13.009029436267703</v>
      </c>
      <c r="P26" s="122">
        <f>'[1]Table 7-1'!AF37</f>
        <v>7.8054176617606252</v>
      </c>
      <c r="Q26" s="122">
        <f>'[1]Table 7-1'!AG37</f>
        <v>2.6018058872535414</v>
      </c>
    </row>
    <row r="27" spans="1:17" x14ac:dyDescent="0.25">
      <c r="A27" s="5">
        <f>'Table 7-1'!A37</f>
        <v>6</v>
      </c>
      <c r="B27" s="5" t="str">
        <f>'Table 7-1'!C37</f>
        <v>Return</v>
      </c>
      <c r="C27" s="122">
        <f>'[1]Table 7-1'!S38</f>
        <v>358.51412073035272</v>
      </c>
      <c r="D27" s="122">
        <f>'[1]Table 7-1'!T38</f>
        <v>333.78900895584559</v>
      </c>
      <c r="E27" s="122">
        <f>'[1]Table 7-1'!U38</f>
        <v>309.06389718133858</v>
      </c>
      <c r="F27" s="122">
        <f>'[1]Table 7-1'!V38</f>
        <v>284.33878540683145</v>
      </c>
      <c r="G27" s="122">
        <f>'[1]Table 7-1'!W38</f>
        <v>259.61367363232438</v>
      </c>
      <c r="H27" s="122">
        <f>'[1]Table 7-1'!X38</f>
        <v>234.88856185781731</v>
      </c>
      <c r="I27" s="122">
        <f>'[1]Table 7-1'!Y38</f>
        <v>210.16345008331018</v>
      </c>
      <c r="J27" s="122">
        <f>'[1]Table 7-1'!Z38</f>
        <v>185.43833830880311</v>
      </c>
      <c r="K27" s="122">
        <f>'[1]Table 7-1'!AA38</f>
        <v>160.71322653429604</v>
      </c>
      <c r="L27" s="122">
        <f>'[1]Table 7-1'!AB38</f>
        <v>135.98811475978894</v>
      </c>
      <c r="M27" s="122">
        <f>'[1]Table 7-1'!AC38</f>
        <v>111.26300298528187</v>
      </c>
      <c r="N27" s="122">
        <f>'[1]Table 7-1'!AD38</f>
        <v>86.537891210774788</v>
      </c>
      <c r="O27" s="122">
        <f>'[1]Table 7-1'!AE38</f>
        <v>61.812779436267704</v>
      </c>
      <c r="P27" s="122">
        <f>'[1]Table 7-1'!AF38</f>
        <v>37.087667661760626</v>
      </c>
      <c r="Q27" s="122">
        <f>'[1]Table 7-1'!AG38</f>
        <v>12.362555887253542</v>
      </c>
    </row>
    <row r="28" spans="1:17" x14ac:dyDescent="0.25">
      <c r="A28" s="5">
        <f>'Table 7-1'!A38</f>
        <v>7</v>
      </c>
      <c r="B28" s="11" t="str">
        <f>'Table 7-1'!C38</f>
        <v>Principal Amortization</v>
      </c>
      <c r="C28" s="125">
        <f>'[1]Table 7-1'!S39</f>
        <v>250</v>
      </c>
      <c r="D28" s="125">
        <f>'[1]Table 7-1'!T39</f>
        <v>250</v>
      </c>
      <c r="E28" s="125">
        <f>'[1]Table 7-1'!U39</f>
        <v>250</v>
      </c>
      <c r="F28" s="125">
        <f>'[1]Table 7-1'!V39</f>
        <v>250</v>
      </c>
      <c r="G28" s="125">
        <f>'[1]Table 7-1'!W39</f>
        <v>250</v>
      </c>
      <c r="H28" s="125">
        <f>'[1]Table 7-1'!X39</f>
        <v>250</v>
      </c>
      <c r="I28" s="125">
        <f>'[1]Table 7-1'!Y39</f>
        <v>250</v>
      </c>
      <c r="J28" s="125">
        <f>'[1]Table 7-1'!Z39</f>
        <v>250</v>
      </c>
      <c r="K28" s="125">
        <f>'[1]Table 7-1'!AA39</f>
        <v>250</v>
      </c>
      <c r="L28" s="125">
        <f>'[1]Table 7-1'!AB39</f>
        <v>250</v>
      </c>
      <c r="M28" s="125">
        <f>'[1]Table 7-1'!AC39</f>
        <v>250</v>
      </c>
      <c r="N28" s="125">
        <f>'[1]Table 7-1'!AD39</f>
        <v>250</v>
      </c>
      <c r="O28" s="125">
        <f>'[1]Table 7-1'!AE39</f>
        <v>250</v>
      </c>
      <c r="P28" s="125">
        <f>'[1]Table 7-1'!AF39</f>
        <v>250</v>
      </c>
      <c r="Q28" s="125">
        <f>'[1]Table 7-1'!AG39</f>
        <v>250</v>
      </c>
    </row>
    <row r="29" spans="1:17" x14ac:dyDescent="0.25">
      <c r="A29" s="5">
        <f>'Table 7-1'!A39</f>
        <v>8</v>
      </c>
      <c r="B29" s="5" t="str">
        <f>'Table 7-1'!C39</f>
        <v>Subtotal</v>
      </c>
      <c r="C29" s="122">
        <f>'[1]Table 7-1'!S40</f>
        <v>608.51412073035272</v>
      </c>
      <c r="D29" s="122">
        <f>'[1]Table 7-1'!T40</f>
        <v>583.78900895584559</v>
      </c>
      <c r="E29" s="122">
        <f>'[1]Table 7-1'!U40</f>
        <v>559.06389718133858</v>
      </c>
      <c r="F29" s="122">
        <f>'[1]Table 7-1'!V40</f>
        <v>534.33878540683145</v>
      </c>
      <c r="G29" s="122">
        <f>'[1]Table 7-1'!W40</f>
        <v>509.61367363232438</v>
      </c>
      <c r="H29" s="122">
        <f>'[1]Table 7-1'!X40</f>
        <v>484.88856185781731</v>
      </c>
      <c r="I29" s="122">
        <f>'[1]Table 7-1'!Y40</f>
        <v>460.16345008331018</v>
      </c>
      <c r="J29" s="122">
        <f>'[1]Table 7-1'!Z40</f>
        <v>435.43833830880311</v>
      </c>
      <c r="K29" s="122">
        <f>'[1]Table 7-1'!AA40</f>
        <v>410.71322653429604</v>
      </c>
      <c r="L29" s="122">
        <f>'[1]Table 7-1'!AB40</f>
        <v>385.98811475978891</v>
      </c>
      <c r="M29" s="122">
        <f>'[1]Table 7-1'!AC40</f>
        <v>361.2630029852819</v>
      </c>
      <c r="N29" s="122">
        <f>'[1]Table 7-1'!AD40</f>
        <v>336.53789121077477</v>
      </c>
      <c r="O29" s="122">
        <f>'[1]Table 7-1'!AE40</f>
        <v>311.8127794362677</v>
      </c>
      <c r="P29" s="122">
        <f>'[1]Table 7-1'!AF40</f>
        <v>287.08766766176063</v>
      </c>
      <c r="Q29" s="122">
        <f>'[1]Table 7-1'!AG40</f>
        <v>262.36255588725356</v>
      </c>
    </row>
    <row r="30" spans="1:17" x14ac:dyDescent="0.25">
      <c r="A30" s="5">
        <f>'Table 7-1'!A40</f>
        <v>9</v>
      </c>
      <c r="B30" s="11" t="str">
        <f>'Table 7-1'!C40</f>
        <v>Uncollectibles</v>
      </c>
      <c r="C30" s="125">
        <f>'[1]Table 7-1'!S41</f>
        <v>2.0080965984101637</v>
      </c>
      <c r="D30" s="125">
        <f>'[1]Table 7-1'!T41</f>
        <v>1.9265037295542904</v>
      </c>
      <c r="E30" s="125">
        <f>'[1]Table 7-1'!U41</f>
        <v>1.8449108606984173</v>
      </c>
      <c r="F30" s="125">
        <f>'[1]Table 7-1'!V41</f>
        <v>1.7633179918425437</v>
      </c>
      <c r="G30" s="125">
        <f>'[1]Table 7-1'!W41</f>
        <v>1.6817251229866705</v>
      </c>
      <c r="H30" s="125">
        <f>'[1]Table 7-1'!X41</f>
        <v>1.6001322541307972</v>
      </c>
      <c r="I30" s="125">
        <f>'[1]Table 7-1'!Y41</f>
        <v>1.5185393852749236</v>
      </c>
      <c r="J30" s="125">
        <f>'[1]Table 7-1'!Z41</f>
        <v>1.4369465164190502</v>
      </c>
      <c r="K30" s="125">
        <f>'[1]Table 7-1'!AA41</f>
        <v>1.3553536475631769</v>
      </c>
      <c r="L30" s="125">
        <f>'[1]Table 7-1'!AB41</f>
        <v>1.2737607787073033</v>
      </c>
      <c r="M30" s="125">
        <f>'[1]Table 7-1'!AC41</f>
        <v>1.1921679098514302</v>
      </c>
      <c r="N30" s="125">
        <f>'[1]Table 7-1'!AD41</f>
        <v>1.1105750409955568</v>
      </c>
      <c r="O30" s="125">
        <f>'[1]Table 7-1'!AE41</f>
        <v>1.0289821721396835</v>
      </c>
      <c r="P30" s="125">
        <f>'[1]Table 7-1'!AF41</f>
        <v>0.9473893032838101</v>
      </c>
      <c r="Q30" s="125">
        <f>'[1]Table 7-1'!AG41</f>
        <v>0.86579643442793675</v>
      </c>
    </row>
    <row r="31" spans="1:17" x14ac:dyDescent="0.25">
      <c r="A31" s="5">
        <f>'Table 7-1'!A41</f>
        <v>10</v>
      </c>
      <c r="B31" s="5" t="str">
        <f>'Table 7-1'!C41</f>
        <v>Total Rev Req</v>
      </c>
      <c r="C31" s="122">
        <f>'[1]Table 7-1'!S42</f>
        <v>610.52221732876285</v>
      </c>
      <c r="D31" s="122">
        <f>'[1]Table 7-1'!T42</f>
        <v>585.71551268539986</v>
      </c>
      <c r="E31" s="122">
        <f>'[1]Table 7-1'!U42</f>
        <v>560.90880804203698</v>
      </c>
      <c r="F31" s="122">
        <f>'[1]Table 7-1'!V42</f>
        <v>536.10210339867399</v>
      </c>
      <c r="G31" s="122">
        <f>'[1]Table 7-1'!W42</f>
        <v>511.29539875531106</v>
      </c>
      <c r="H31" s="122">
        <f>'[1]Table 7-1'!X42</f>
        <v>486.48869411194812</v>
      </c>
      <c r="I31" s="122">
        <f>'[1]Table 7-1'!Y42</f>
        <v>461.68198946858513</v>
      </c>
      <c r="J31" s="122">
        <f>'[1]Table 7-1'!Z42</f>
        <v>436.87528482522214</v>
      </c>
      <c r="K31" s="122">
        <f>'[1]Table 7-1'!AA42</f>
        <v>412.0685801818592</v>
      </c>
      <c r="L31" s="122">
        <f>'[1]Table 7-1'!AB42</f>
        <v>387.26187553849621</v>
      </c>
      <c r="M31" s="122">
        <f>'[1]Table 7-1'!AC42</f>
        <v>362.45517089513334</v>
      </c>
      <c r="N31" s="122">
        <f>'[1]Table 7-1'!AD42</f>
        <v>337.64846625177034</v>
      </c>
      <c r="O31" s="122">
        <f>'[1]Table 7-1'!AE42</f>
        <v>312.84176160840741</v>
      </c>
      <c r="P31" s="122">
        <f>'[1]Table 7-1'!AF42</f>
        <v>288.03505696504442</v>
      </c>
      <c r="Q31" s="122">
        <f>'[1]Table 7-1'!AG42</f>
        <v>263.22835232168148</v>
      </c>
    </row>
    <row r="32" spans="1:17" x14ac:dyDescent="0.25">
      <c r="A32" s="5">
        <f>'Table 7-1'!A42</f>
        <v>11</v>
      </c>
      <c r="B32" s="5"/>
      <c r="C32" s="123"/>
      <c r="D32" s="123"/>
      <c r="E32" s="123"/>
      <c r="F32" s="123"/>
      <c r="G32" s="123"/>
      <c r="H32" s="123"/>
      <c r="I32" s="123"/>
      <c r="J32" s="123"/>
      <c r="K32" s="123"/>
      <c r="L32" s="123"/>
    </row>
    <row r="33" spans="1:17" x14ac:dyDescent="0.25">
      <c r="A33" s="5">
        <f>'Table 7-1'!A43</f>
        <v>12</v>
      </c>
      <c r="B33" s="8" t="str">
        <f>B17</f>
        <v>Reg Asset Balance</v>
      </c>
      <c r="C33" s="123"/>
      <c r="D33" s="123"/>
      <c r="E33" s="123"/>
      <c r="F33" s="123"/>
      <c r="G33" s="123"/>
      <c r="H33" s="123"/>
      <c r="I33" s="123"/>
      <c r="J33" s="123"/>
      <c r="K33" s="123"/>
      <c r="L33" s="123"/>
    </row>
    <row r="34" spans="1:17" x14ac:dyDescent="0.25">
      <c r="A34" s="5">
        <f>'Table 7-1'!A44</f>
        <v>13</v>
      </c>
      <c r="B34" s="5" t="str">
        <f>B18</f>
        <v>BOY Reg Asset Bal</v>
      </c>
      <c r="C34" s="123">
        <f>'[1]Table 7-1'!S45</f>
        <v>3750</v>
      </c>
      <c r="D34" s="123">
        <f>'[1]Table 7-1'!T45</f>
        <v>3500</v>
      </c>
      <c r="E34" s="123">
        <f>'[1]Table 7-1'!U45</f>
        <v>3250</v>
      </c>
      <c r="F34" s="123">
        <f>'[1]Table 7-1'!V45</f>
        <v>3000</v>
      </c>
      <c r="G34" s="123">
        <f>'[1]Table 7-1'!W45</f>
        <v>2750</v>
      </c>
      <c r="H34" s="123">
        <f>'[1]Table 7-1'!X45</f>
        <v>2500</v>
      </c>
      <c r="I34" s="123">
        <f>'[1]Table 7-1'!Y45</f>
        <v>2250</v>
      </c>
      <c r="J34" s="123">
        <f>'[1]Table 7-1'!Z45</f>
        <v>2000</v>
      </c>
      <c r="K34" s="123">
        <f>'[1]Table 7-1'!AA45</f>
        <v>1750</v>
      </c>
      <c r="L34" s="123">
        <f>'[1]Table 7-1'!AB45</f>
        <v>1500</v>
      </c>
      <c r="M34" s="123">
        <f>'[1]Table 7-1'!AC45</f>
        <v>1250</v>
      </c>
      <c r="N34" s="123">
        <f>'[1]Table 7-1'!AD45</f>
        <v>1000</v>
      </c>
      <c r="O34" s="123">
        <f>'[1]Table 7-1'!AE45</f>
        <v>750</v>
      </c>
      <c r="P34" s="123">
        <f>'[1]Table 7-1'!AF45</f>
        <v>500</v>
      </c>
      <c r="Q34" s="123">
        <f>'[1]Table 7-1'!AG45</f>
        <v>250</v>
      </c>
    </row>
    <row r="35" spans="1:17" x14ac:dyDescent="0.25">
      <c r="A35" s="5">
        <f>'Table 7-1'!A45</f>
        <v>14</v>
      </c>
      <c r="B35" s="5" t="str">
        <f>B19</f>
        <v xml:space="preserve">Amortization </v>
      </c>
      <c r="C35" s="123">
        <f>'[1]Table 7-1'!S46</f>
        <v>-250</v>
      </c>
      <c r="D35" s="123">
        <f>'[1]Table 7-1'!T46</f>
        <v>-250</v>
      </c>
      <c r="E35" s="123">
        <f>'[1]Table 7-1'!U46</f>
        <v>-250</v>
      </c>
      <c r="F35" s="123">
        <f>'[1]Table 7-1'!V46</f>
        <v>-250</v>
      </c>
      <c r="G35" s="123">
        <f>'[1]Table 7-1'!W46</f>
        <v>-250</v>
      </c>
      <c r="H35" s="123">
        <f>'[1]Table 7-1'!X46</f>
        <v>-250</v>
      </c>
      <c r="I35" s="123">
        <f>'[1]Table 7-1'!Y46</f>
        <v>-250</v>
      </c>
      <c r="J35" s="123">
        <f>'[1]Table 7-1'!Z46</f>
        <v>-250</v>
      </c>
      <c r="K35" s="123">
        <f>'[1]Table 7-1'!AA46</f>
        <v>-250</v>
      </c>
      <c r="L35" s="123">
        <f>'[1]Table 7-1'!AB46</f>
        <v>-250</v>
      </c>
      <c r="M35" s="123">
        <f>'[1]Table 7-1'!AC46</f>
        <v>-250</v>
      </c>
      <c r="N35" s="123">
        <f>'[1]Table 7-1'!AD46</f>
        <v>-250</v>
      </c>
      <c r="O35" s="123">
        <f>'[1]Table 7-1'!AE46</f>
        <v>-250</v>
      </c>
      <c r="P35" s="123">
        <f>'[1]Table 7-1'!AF46</f>
        <v>-250</v>
      </c>
      <c r="Q35" s="123">
        <f>'[1]Table 7-1'!AG46</f>
        <v>-250</v>
      </c>
    </row>
    <row r="36" spans="1:17" x14ac:dyDescent="0.25">
      <c r="A36" s="5">
        <f>'Table 7-1'!A46</f>
        <v>15</v>
      </c>
      <c r="B36" s="5" t="str">
        <f>B20</f>
        <v>EOY Reg Asset Balance</v>
      </c>
      <c r="C36" s="123">
        <f>'[1]Table 7-1'!S47</f>
        <v>3500</v>
      </c>
      <c r="D36" s="123">
        <f>'[1]Table 7-1'!T47</f>
        <v>3250</v>
      </c>
      <c r="E36" s="123">
        <f>'[1]Table 7-1'!U47</f>
        <v>3000</v>
      </c>
      <c r="F36" s="123">
        <f>'[1]Table 7-1'!V47</f>
        <v>2750</v>
      </c>
      <c r="G36" s="123">
        <f>'[1]Table 7-1'!W47</f>
        <v>2500</v>
      </c>
      <c r="H36" s="123">
        <f>'[1]Table 7-1'!X47</f>
        <v>2250</v>
      </c>
      <c r="I36" s="123">
        <f>'[1]Table 7-1'!Y47</f>
        <v>2000</v>
      </c>
      <c r="J36" s="123">
        <f>'[1]Table 7-1'!Z47</f>
        <v>1750</v>
      </c>
      <c r="K36" s="123">
        <f>'[1]Table 7-1'!AA47</f>
        <v>1500</v>
      </c>
      <c r="L36" s="123">
        <f>'[1]Table 7-1'!AB47</f>
        <v>1250</v>
      </c>
      <c r="M36" s="123">
        <f>'[1]Table 7-1'!AC47</f>
        <v>1000</v>
      </c>
      <c r="N36" s="123">
        <f>'[1]Table 7-1'!AD47</f>
        <v>750</v>
      </c>
      <c r="O36" s="123">
        <f>'[1]Table 7-1'!AE47</f>
        <v>500</v>
      </c>
      <c r="P36" s="123">
        <f>'[1]Table 7-1'!AF47</f>
        <v>250</v>
      </c>
      <c r="Q36" s="123">
        <f>'[1]Table 7-1'!AG47</f>
        <v>0</v>
      </c>
    </row>
    <row r="37" spans="1:17" x14ac:dyDescent="0.25">
      <c r="A37" s="5"/>
      <c r="B37" s="5"/>
      <c r="C37" s="123"/>
      <c r="D37" s="123"/>
      <c r="E37" s="123"/>
      <c r="F37" s="123"/>
      <c r="G37" s="123"/>
      <c r="H37" s="123"/>
      <c r="I37" s="123"/>
      <c r="J37" s="123"/>
      <c r="K37" s="123"/>
      <c r="L37" s="123"/>
    </row>
    <row r="38" spans="1:17" x14ac:dyDescent="0.25">
      <c r="A38" s="5"/>
      <c r="B38" s="17" t="s">
        <v>149</v>
      </c>
      <c r="C38" s="123"/>
      <c r="D38" s="123"/>
      <c r="E38" s="123"/>
      <c r="F38" s="123"/>
      <c r="G38" s="123"/>
      <c r="H38" s="123"/>
      <c r="I38" s="123"/>
      <c r="J38" s="123"/>
      <c r="K38" s="123"/>
      <c r="L38" s="123"/>
    </row>
    <row r="39" spans="1:17" x14ac:dyDescent="0.25">
      <c r="A39" s="5"/>
      <c r="B39" s="21"/>
    </row>
    <row r="40" spans="1:17" x14ac:dyDescent="0.25">
      <c r="A40" s="5"/>
      <c r="B40" s="21"/>
    </row>
    <row r="41" spans="1:17" x14ac:dyDescent="0.25">
      <c r="A41" s="5"/>
      <c r="B41" s="21"/>
    </row>
    <row r="42" spans="1:17" x14ac:dyDescent="0.25">
      <c r="A42" s="5"/>
      <c r="B42" s="21"/>
    </row>
    <row r="43" spans="1:17" x14ac:dyDescent="0.25">
      <c r="A43" s="5"/>
    </row>
  </sheetData>
  <mergeCells count="3">
    <mergeCell ref="A2:Q2"/>
    <mergeCell ref="A3:Q3"/>
    <mergeCell ref="A4:Q4"/>
  </mergeCells>
  <pageMargins left="0.7" right="0.7" top="0.75" bottom="0.75" header="0.3" footer="0.3"/>
  <pageSetup scale="7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Q45"/>
  <sheetViews>
    <sheetView showGridLines="0" view="pageBreakPreview" zoomScale="85" zoomScaleNormal="85" zoomScaleSheetLayoutView="85" workbookViewId="0">
      <selection activeCell="B27" sqref="B27"/>
    </sheetView>
  </sheetViews>
  <sheetFormatPr defaultColWidth="8.85546875" defaultRowHeight="15" x14ac:dyDescent="0.25"/>
  <cols>
    <col min="1" max="1" width="5.85546875" customWidth="1"/>
    <col min="2" max="2" width="41.28515625" customWidth="1"/>
    <col min="3" max="17" width="10.140625" customWidth="1"/>
  </cols>
  <sheetData>
    <row r="1" spans="1:17" x14ac:dyDescent="0.25">
      <c r="A1" s="5"/>
    </row>
    <row r="2" spans="1:17" x14ac:dyDescent="0.25">
      <c r="A2" s="307" t="s">
        <v>109</v>
      </c>
      <c r="B2" s="307"/>
      <c r="C2" s="307"/>
      <c r="D2" s="307"/>
      <c r="E2" s="307"/>
      <c r="F2" s="307"/>
      <c r="G2" s="307"/>
      <c r="H2" s="307"/>
      <c r="I2" s="307"/>
      <c r="J2" s="307"/>
      <c r="K2" s="307"/>
      <c r="L2" s="307"/>
      <c r="M2" s="307"/>
      <c r="N2" s="307"/>
      <c r="O2" s="307"/>
      <c r="P2" s="307"/>
      <c r="Q2" s="307"/>
    </row>
    <row r="3" spans="1:17" x14ac:dyDescent="0.25">
      <c r="A3" s="307" t="s">
        <v>150</v>
      </c>
      <c r="B3" s="307"/>
      <c r="C3" s="307"/>
      <c r="D3" s="307"/>
      <c r="E3" s="307"/>
      <c r="F3" s="307"/>
      <c r="G3" s="307"/>
      <c r="H3" s="307"/>
      <c r="I3" s="307"/>
      <c r="J3" s="307"/>
      <c r="K3" s="307"/>
      <c r="L3" s="307"/>
      <c r="M3" s="307"/>
      <c r="N3" s="307"/>
      <c r="O3" s="307"/>
      <c r="P3" s="307"/>
      <c r="Q3" s="307"/>
    </row>
    <row r="4" spans="1:17" x14ac:dyDescent="0.25">
      <c r="A4" s="308" t="s">
        <v>5</v>
      </c>
      <c r="B4" s="308"/>
      <c r="C4" s="308"/>
      <c r="D4" s="308"/>
      <c r="E4" s="308"/>
      <c r="F4" s="308"/>
      <c r="G4" s="308"/>
      <c r="H4" s="308"/>
      <c r="I4" s="308"/>
      <c r="J4" s="308"/>
      <c r="K4" s="308"/>
      <c r="L4" s="308"/>
      <c r="M4" s="308"/>
      <c r="N4" s="308"/>
      <c r="O4" s="308"/>
      <c r="P4" s="308"/>
      <c r="Q4" s="308"/>
    </row>
    <row r="5" spans="1:17" x14ac:dyDescent="0.25">
      <c r="A5" s="5"/>
    </row>
    <row r="6" spans="1:17" x14ac:dyDescent="0.25">
      <c r="A6" s="5">
        <f>'Table 7-2'!A13</f>
        <v>1</v>
      </c>
      <c r="B6" s="8" t="str">
        <f>'Table 7-2'!B13</f>
        <v>Fixed Recovery Charge (FRC)</v>
      </c>
      <c r="C6" s="197">
        <f>'Table 7-2'!E13</f>
        <v>2021</v>
      </c>
      <c r="D6" s="197">
        <f>'Table 7-2'!F13</f>
        <v>2022</v>
      </c>
      <c r="E6" s="197">
        <f>'Table 7-2'!G13</f>
        <v>2023</v>
      </c>
      <c r="F6" s="197">
        <f>'Table 7-2'!H13</f>
        <v>2024</v>
      </c>
      <c r="G6" s="197">
        <f>'Table 7-2'!I13</f>
        <v>2025</v>
      </c>
      <c r="H6" s="197">
        <f>'Table 7-2'!J13</f>
        <v>2026</v>
      </c>
      <c r="I6" s="197">
        <f>'Table 7-2'!K13</f>
        <v>2027</v>
      </c>
      <c r="J6" s="197">
        <f>'Table 7-2'!L13</f>
        <v>2028</v>
      </c>
      <c r="K6" s="197">
        <f>'Table 7-2'!M13</f>
        <v>2029</v>
      </c>
      <c r="L6" s="197">
        <f>'Table 7-2'!N13</f>
        <v>2030</v>
      </c>
      <c r="M6" s="197">
        <f>'Table 7-2'!O13</f>
        <v>2031</v>
      </c>
      <c r="N6" s="197">
        <f>'Table 7-2'!P13</f>
        <v>2032</v>
      </c>
      <c r="O6" s="197">
        <f>'Table 7-2'!Q13</f>
        <v>2033</v>
      </c>
      <c r="P6" s="197">
        <f>'Table 7-2'!R13</f>
        <v>2034</v>
      </c>
      <c r="Q6" s="197">
        <f>'Table 7-2'!S13</f>
        <v>2035</v>
      </c>
    </row>
    <row r="7" spans="1:17" x14ac:dyDescent="0.25">
      <c r="A7" s="5">
        <f>'Table 7-2'!A14</f>
        <v>2</v>
      </c>
      <c r="B7" s="5" t="str">
        <f>'Table 7-2'!B14</f>
        <v>Annual Debt Service</v>
      </c>
      <c r="C7" s="13">
        <f>'Table 7-2'!E14</f>
        <v>186.42713313463253</v>
      </c>
      <c r="D7" s="13">
        <f>'Table 7-2'!F14</f>
        <v>299.61503539494515</v>
      </c>
      <c r="E7" s="13">
        <f>'Table 7-2'!G14</f>
        <v>299.61503539494515</v>
      </c>
      <c r="F7" s="13">
        <f>'Table 7-2'!H14</f>
        <v>389.11043557785081</v>
      </c>
      <c r="G7" s="13">
        <f>'Table 7-2'!I14</f>
        <v>389.11043557785081</v>
      </c>
      <c r="H7" s="13">
        <f>'Table 7-2'!J14</f>
        <v>389.11043557785081</v>
      </c>
      <c r="I7" s="13">
        <f>'Table 7-2'!K14</f>
        <v>389.11043557785081</v>
      </c>
      <c r="J7" s="13">
        <f>'Table 7-2'!L14</f>
        <v>389.11043557785081</v>
      </c>
      <c r="K7" s="13">
        <f>'Table 7-2'!M14</f>
        <v>389.11043557785081</v>
      </c>
      <c r="L7" s="13">
        <f>'Table 7-2'!N14</f>
        <v>389.11043557785081</v>
      </c>
      <c r="M7" s="13">
        <f>'Table 7-2'!O14</f>
        <v>389.11043557785081</v>
      </c>
      <c r="N7" s="13">
        <f>'Table 7-2'!P14</f>
        <v>389.11043557785081</v>
      </c>
      <c r="O7" s="13">
        <f>'Table 7-2'!Q14</f>
        <v>389.11043557785081</v>
      </c>
      <c r="P7" s="13">
        <f>'Table 7-2'!R14</f>
        <v>389.11043557785081</v>
      </c>
      <c r="Q7" s="13">
        <f>'Table 7-2'!S14</f>
        <v>389.11043557785081</v>
      </c>
    </row>
    <row r="8" spans="1:17" x14ac:dyDescent="0.25">
      <c r="A8" s="5">
        <f>'Table 7-2'!A15</f>
        <v>3</v>
      </c>
      <c r="B8" s="6" t="str">
        <f>'Table 7-2'!B15</f>
        <v>Servicing &amp; Administrative Fees (PG&amp;E)</v>
      </c>
      <c r="C8" s="13">
        <f>'Table 7-2'!E15</f>
        <v>2.8687500000000004</v>
      </c>
      <c r="D8" s="13">
        <f>'Table 7-2'!F15</f>
        <v>3.8250000000000002</v>
      </c>
      <c r="E8" s="13">
        <f>'Table 7-2'!G15</f>
        <v>3.8250000000000002</v>
      </c>
      <c r="F8" s="13">
        <f>'Table 7-2'!H15</f>
        <v>3.8250000000000002</v>
      </c>
      <c r="G8" s="13">
        <f>'Table 7-2'!I15</f>
        <v>3.8250000000000002</v>
      </c>
      <c r="H8" s="13">
        <f>'Table 7-2'!J15</f>
        <v>3.8250000000000002</v>
      </c>
      <c r="I8" s="13">
        <f>'Table 7-2'!K15</f>
        <v>3.8250000000000002</v>
      </c>
      <c r="J8" s="13">
        <f>'Table 7-2'!L15</f>
        <v>3.8250000000000002</v>
      </c>
      <c r="K8" s="13">
        <f>'Table 7-2'!M15</f>
        <v>3.8250000000000002</v>
      </c>
      <c r="L8" s="13">
        <f>'Table 7-2'!N15</f>
        <v>3.8250000000000002</v>
      </c>
      <c r="M8" s="13">
        <f>'Table 7-2'!O15</f>
        <v>3.8250000000000002</v>
      </c>
      <c r="N8" s="13">
        <f>'Table 7-2'!P15</f>
        <v>3.8250000000000002</v>
      </c>
      <c r="O8" s="13">
        <f>'Table 7-2'!Q15</f>
        <v>3.8250000000000002</v>
      </c>
      <c r="P8" s="13">
        <f>'Table 7-2'!R15</f>
        <v>3.8250000000000002</v>
      </c>
      <c r="Q8" s="13">
        <f>'Table 7-2'!S15</f>
        <v>3.8250000000000002</v>
      </c>
    </row>
    <row r="9" spans="1:17" x14ac:dyDescent="0.25">
      <c r="A9" s="5">
        <f>'Table 7-2'!A16</f>
        <v>4</v>
      </c>
      <c r="B9" s="6" t="str">
        <f>'Table 7-2'!B16</f>
        <v>Rating Agency Fees</v>
      </c>
      <c r="C9" s="13">
        <f>'Table 7-2'!E16</f>
        <v>0.16874999999999998</v>
      </c>
      <c r="D9" s="13">
        <f>'Table 7-2'!F16</f>
        <v>0.22500000000000001</v>
      </c>
      <c r="E9" s="13">
        <f>'Table 7-2'!G16</f>
        <v>0.22500000000000001</v>
      </c>
      <c r="F9" s="13">
        <f>'Table 7-2'!H16</f>
        <v>0.22500000000000001</v>
      </c>
      <c r="G9" s="13">
        <f>'Table 7-2'!I16</f>
        <v>0.22500000000000001</v>
      </c>
      <c r="H9" s="13">
        <f>'Table 7-2'!J16</f>
        <v>0.22500000000000001</v>
      </c>
      <c r="I9" s="13">
        <f>'Table 7-2'!K16</f>
        <v>0.22500000000000001</v>
      </c>
      <c r="J9" s="13">
        <f>'Table 7-2'!L16</f>
        <v>0.22500000000000001</v>
      </c>
      <c r="K9" s="13">
        <f>'Table 7-2'!M16</f>
        <v>0.22500000000000001</v>
      </c>
      <c r="L9" s="13">
        <f>'Table 7-2'!N16</f>
        <v>0.22500000000000001</v>
      </c>
      <c r="M9" s="13">
        <f>'Table 7-2'!O16</f>
        <v>0.22500000000000001</v>
      </c>
      <c r="N9" s="13">
        <f>'Table 7-2'!P16</f>
        <v>0.22500000000000001</v>
      </c>
      <c r="O9" s="13">
        <f>'Table 7-2'!Q16</f>
        <v>0.22500000000000001</v>
      </c>
      <c r="P9" s="13">
        <f>'Table 7-2'!R16</f>
        <v>0.22500000000000001</v>
      </c>
      <c r="Q9" s="13">
        <f>'Table 7-2'!S16</f>
        <v>0.22500000000000001</v>
      </c>
    </row>
    <row r="10" spans="1:17" ht="17.25" x14ac:dyDescent="0.25">
      <c r="A10" s="5">
        <f>'Table 7-2'!A17</f>
        <v>5</v>
      </c>
      <c r="B10" s="90" t="s">
        <v>41</v>
      </c>
      <c r="C10" s="13">
        <f>'Table 7-2'!E17</f>
        <v>0.20625000000000002</v>
      </c>
      <c r="D10" s="13">
        <f>'Table 7-2'!F17</f>
        <v>0.27500000000000002</v>
      </c>
      <c r="E10" s="13">
        <f>'Table 7-2'!G17</f>
        <v>0.27500000000000002</v>
      </c>
      <c r="F10" s="13">
        <f>'Table 7-2'!H17</f>
        <v>0.27500000000000002</v>
      </c>
      <c r="G10" s="13">
        <f>'Table 7-2'!I17</f>
        <v>0.27500000000000002</v>
      </c>
      <c r="H10" s="13">
        <f>'Table 7-2'!J17</f>
        <v>0.27500000000000002</v>
      </c>
      <c r="I10" s="13">
        <f>'Table 7-2'!K17</f>
        <v>0.27500000000000002</v>
      </c>
      <c r="J10" s="13">
        <f>'Table 7-2'!L17</f>
        <v>0.27500000000000002</v>
      </c>
      <c r="K10" s="13">
        <f>'Table 7-2'!M17</f>
        <v>0.27500000000000002</v>
      </c>
      <c r="L10" s="13">
        <f>'Table 7-2'!N17</f>
        <v>0.27500000000000002</v>
      </c>
      <c r="M10" s="13">
        <f>'Table 7-2'!O17</f>
        <v>0.27500000000000002</v>
      </c>
      <c r="N10" s="13">
        <f>'Table 7-2'!P17</f>
        <v>0.27500000000000002</v>
      </c>
      <c r="O10" s="13">
        <f>'Table 7-2'!Q17</f>
        <v>0.27500000000000002</v>
      </c>
      <c r="P10" s="13">
        <f>'Table 7-2'!R17</f>
        <v>0.27500000000000002</v>
      </c>
      <c r="Q10" s="13">
        <f>'Table 7-2'!S17</f>
        <v>0.27500000000000002</v>
      </c>
    </row>
    <row r="11" spans="1:17" x14ac:dyDescent="0.25">
      <c r="A11" s="5">
        <f>'Table 7-2'!A18</f>
        <v>6</v>
      </c>
      <c r="B11" s="11" t="str">
        <f>'Table 7-2'!B18</f>
        <v>Subtotal</v>
      </c>
      <c r="C11" s="14">
        <f>'Table 7-2'!E18</f>
        <v>189.67088313463253</v>
      </c>
      <c r="D11" s="14">
        <f>'Table 7-2'!F18</f>
        <v>303.94003539494514</v>
      </c>
      <c r="E11" s="14">
        <f>'Table 7-2'!G18</f>
        <v>303.94003539494514</v>
      </c>
      <c r="F11" s="14">
        <f>'Table 7-2'!H18</f>
        <v>393.4354355778508</v>
      </c>
      <c r="G11" s="14">
        <f>'Table 7-2'!I18</f>
        <v>393.4354355778508</v>
      </c>
      <c r="H11" s="14">
        <f>'Table 7-2'!J18</f>
        <v>393.4354355778508</v>
      </c>
      <c r="I11" s="14">
        <f>'Table 7-2'!K18</f>
        <v>393.4354355778508</v>
      </c>
      <c r="J11" s="14">
        <f>'Table 7-2'!L18</f>
        <v>393.4354355778508</v>
      </c>
      <c r="K11" s="14">
        <f>'Table 7-2'!M18</f>
        <v>393.4354355778508</v>
      </c>
      <c r="L11" s="14">
        <f>'Table 7-2'!N18</f>
        <v>393.4354355778508</v>
      </c>
      <c r="M11" s="14">
        <f>'Table 7-2'!O18</f>
        <v>393.4354355778508</v>
      </c>
      <c r="N11" s="14">
        <f>'Table 7-2'!P18</f>
        <v>393.4354355778508</v>
      </c>
      <c r="O11" s="14">
        <f>'Table 7-2'!Q18</f>
        <v>393.4354355778508</v>
      </c>
      <c r="P11" s="14">
        <f>'Table 7-2'!R18</f>
        <v>393.4354355778508</v>
      </c>
      <c r="Q11" s="14">
        <f>'Table 7-2'!S18</f>
        <v>393.4354355778508</v>
      </c>
    </row>
    <row r="12" spans="1:17" ht="17.25" x14ac:dyDescent="0.25">
      <c r="A12" s="5">
        <f>'Table 7-2'!A19</f>
        <v>7</v>
      </c>
      <c r="B12" s="90" t="s">
        <v>42</v>
      </c>
      <c r="C12" s="18">
        <f>'Table 7-2'!E19</f>
        <v>63.223627711544161</v>
      </c>
      <c r="D12" s="18">
        <f>'Table 7-2'!F19</f>
        <v>0</v>
      </c>
      <c r="E12" s="18">
        <f>'Table 7-2'!G19</f>
        <v>0</v>
      </c>
      <c r="F12" s="18">
        <f>'Table 7-2'!H19</f>
        <v>0</v>
      </c>
      <c r="G12" s="18">
        <f>'Table 7-2'!I19</f>
        <v>0</v>
      </c>
      <c r="H12" s="18">
        <f>'Table 7-2'!J19</f>
        <v>0</v>
      </c>
      <c r="I12" s="18">
        <f>'Table 7-2'!K19</f>
        <v>0</v>
      </c>
      <c r="J12" s="18">
        <f>'Table 7-2'!L19</f>
        <v>0</v>
      </c>
      <c r="K12" s="18">
        <f>'Table 7-2'!M19</f>
        <v>0</v>
      </c>
      <c r="L12" s="18">
        <f>'Table 7-2'!N19</f>
        <v>0</v>
      </c>
      <c r="M12" s="18">
        <f>'Table 7-2'!O19</f>
        <v>0</v>
      </c>
      <c r="N12" s="18">
        <f>'Table 7-2'!P19</f>
        <v>0</v>
      </c>
      <c r="O12" s="18">
        <f>'Table 7-2'!Q19</f>
        <v>0</v>
      </c>
      <c r="P12" s="18">
        <f>'Table 7-2'!R19</f>
        <v>0</v>
      </c>
      <c r="Q12" s="18">
        <f>'Table 7-2'!S19</f>
        <v>0</v>
      </c>
    </row>
    <row r="13" spans="1:17" x14ac:dyDescent="0.25">
      <c r="A13" s="5">
        <f>'Table 7-2'!A20</f>
        <v>8</v>
      </c>
      <c r="B13" s="117" t="str">
        <f>'Table 7-2'!B20</f>
        <v xml:space="preserve">Uncollectibles </v>
      </c>
      <c r="C13" s="14">
        <f>'Table 7-2'!E20</f>
        <v>0.83731502537611391</v>
      </c>
      <c r="D13" s="14">
        <f>'Table 7-2'!F20</f>
        <v>1.0063229826460385</v>
      </c>
      <c r="E13" s="14">
        <f>'Table 7-2'!G20</f>
        <v>1.0063229826460385</v>
      </c>
      <c r="F13" s="14">
        <f>'Table 7-2'!H20</f>
        <v>1.3026356350023995</v>
      </c>
      <c r="G13" s="14">
        <f>'Table 7-2'!I20</f>
        <v>1.3026356350023995</v>
      </c>
      <c r="H13" s="14">
        <f>'Table 7-2'!J20</f>
        <v>1.3026356350023995</v>
      </c>
      <c r="I13" s="14">
        <f>'Table 7-2'!K20</f>
        <v>1.3026356350023995</v>
      </c>
      <c r="J13" s="14">
        <f>'Table 7-2'!L20</f>
        <v>1.3026356350023995</v>
      </c>
      <c r="K13" s="14">
        <f>'Table 7-2'!M20</f>
        <v>1.3026356350023995</v>
      </c>
      <c r="L13" s="14">
        <f>'Table 7-2'!N20</f>
        <v>1.3026356350023995</v>
      </c>
      <c r="M13" s="14">
        <f>'Table 7-2'!O20</f>
        <v>1.3026356350023995</v>
      </c>
      <c r="N13" s="14">
        <f>'Table 7-2'!P20</f>
        <v>1.3026356350023995</v>
      </c>
      <c r="O13" s="14">
        <f>'Table 7-2'!Q20</f>
        <v>1.3026356350023995</v>
      </c>
      <c r="P13" s="14">
        <f>'Table 7-2'!R20</f>
        <v>1.3026356350023995</v>
      </c>
      <c r="Q13" s="14">
        <f>'Table 7-2'!S20</f>
        <v>1.3026356350023995</v>
      </c>
    </row>
    <row r="14" spans="1:17" x14ac:dyDescent="0.25">
      <c r="A14" s="5">
        <f>'Table 7-2'!A21</f>
        <v>9</v>
      </c>
      <c r="B14" s="8" t="str">
        <f>'Table 7-2'!B21</f>
        <v>Annual FRC RRQ</v>
      </c>
      <c r="C14" s="202">
        <f>'Table 7-2'!E21</f>
        <v>253.73182587155281</v>
      </c>
      <c r="D14" s="202">
        <f>'Table 7-2'!F21</f>
        <v>304.9463583775912</v>
      </c>
      <c r="E14" s="202">
        <f>'Table 7-2'!G21</f>
        <v>304.9463583775912</v>
      </c>
      <c r="F14" s="202">
        <f>'Table 7-2'!H21</f>
        <v>394.73807121285319</v>
      </c>
      <c r="G14" s="202">
        <f>'Table 7-2'!I21</f>
        <v>394.73807121285319</v>
      </c>
      <c r="H14" s="202">
        <f>'Table 7-2'!J21</f>
        <v>394.73807121285319</v>
      </c>
      <c r="I14" s="202">
        <f>'Table 7-2'!K21</f>
        <v>394.73807121285319</v>
      </c>
      <c r="J14" s="202">
        <f>'Table 7-2'!L21</f>
        <v>394.73807121285319</v>
      </c>
      <c r="K14" s="202">
        <f>'Table 7-2'!M21</f>
        <v>394.73807121285319</v>
      </c>
      <c r="L14" s="202">
        <f>'Table 7-2'!N21</f>
        <v>394.73807121285319</v>
      </c>
      <c r="M14" s="202">
        <f>'Table 7-2'!O21</f>
        <v>394.73807121285319</v>
      </c>
      <c r="N14" s="202">
        <f>'Table 7-2'!P21</f>
        <v>394.73807121285319</v>
      </c>
      <c r="O14" s="202">
        <f>'Table 7-2'!Q21</f>
        <v>394.73807121285319</v>
      </c>
      <c r="P14" s="202">
        <f>'Table 7-2'!R21</f>
        <v>394.73807121285319</v>
      </c>
      <c r="Q14" s="202">
        <f>'Table 7-2'!S21</f>
        <v>394.73807121285319</v>
      </c>
    </row>
    <row r="15" spans="1:17" x14ac:dyDescent="0.25">
      <c r="A15" s="5"/>
      <c r="B15" s="8"/>
      <c r="C15" s="13"/>
      <c r="D15" s="13"/>
      <c r="E15" s="13"/>
      <c r="F15" s="13"/>
      <c r="G15" s="13"/>
      <c r="H15" s="13"/>
      <c r="I15" s="13"/>
      <c r="J15" s="13"/>
      <c r="K15" s="13"/>
      <c r="L15" s="13"/>
      <c r="M15" s="13"/>
      <c r="N15" s="13"/>
      <c r="O15" s="13"/>
      <c r="P15" s="13"/>
      <c r="Q15" s="13"/>
    </row>
    <row r="16" spans="1:17" x14ac:dyDescent="0.25">
      <c r="A16" s="5">
        <f t="shared" ref="A16:B24" si="0">A6</f>
        <v>1</v>
      </c>
      <c r="B16" s="8" t="str">
        <f t="shared" si="0"/>
        <v>Fixed Recovery Charge (FRC)</v>
      </c>
      <c r="C16" s="200">
        <f>'Table 7-2'!T13</f>
        <v>2036</v>
      </c>
      <c r="D16" s="200">
        <f>'Table 7-2'!U13</f>
        <v>2037</v>
      </c>
      <c r="E16" s="200">
        <f>'Table 7-2'!V13</f>
        <v>2038</v>
      </c>
      <c r="F16" s="200">
        <f>'Table 7-2'!W13</f>
        <v>2039</v>
      </c>
      <c r="G16" s="200">
        <f>'Table 7-2'!X13</f>
        <v>2040</v>
      </c>
      <c r="H16" s="200">
        <f>'Table 7-2'!Y13</f>
        <v>2041</v>
      </c>
      <c r="I16" s="200">
        <f>'Table 7-2'!Z13</f>
        <v>2042</v>
      </c>
      <c r="J16" s="200">
        <f>'Table 7-2'!AA13</f>
        <v>2043</v>
      </c>
      <c r="K16" s="200">
        <f>'Table 7-2'!AB13</f>
        <v>2044</v>
      </c>
      <c r="L16" s="200">
        <f>'Table 7-2'!AC13</f>
        <v>2045</v>
      </c>
      <c r="M16" s="200">
        <f>'Table 7-2'!AD13</f>
        <v>2046</v>
      </c>
      <c r="N16" s="200">
        <f>'Table 7-2'!AE13</f>
        <v>2047</v>
      </c>
      <c r="O16" s="200">
        <f>'Table 7-2'!AF13</f>
        <v>2048</v>
      </c>
      <c r="P16" s="200">
        <f>'Table 7-2'!AG13</f>
        <v>2049</v>
      </c>
      <c r="Q16" s="200">
        <f>'Table 7-2'!AH13</f>
        <v>2050</v>
      </c>
    </row>
    <row r="17" spans="1:17" x14ac:dyDescent="0.25">
      <c r="A17" s="5">
        <f t="shared" si="0"/>
        <v>2</v>
      </c>
      <c r="B17" s="5" t="str">
        <f t="shared" si="0"/>
        <v>Annual Debt Service</v>
      </c>
      <c r="C17" s="13">
        <f>'Table 7-2'!T14</f>
        <v>389.11043557785081</v>
      </c>
      <c r="D17" s="13">
        <f>'Table 7-2'!U14</f>
        <v>389.11043557785081</v>
      </c>
      <c r="E17" s="13">
        <f>'Table 7-2'!V14</f>
        <v>389.11043557785081</v>
      </c>
      <c r="F17" s="13">
        <f>'Table 7-2'!W14</f>
        <v>389.11043557785081</v>
      </c>
      <c r="G17" s="13">
        <f>'Table 7-2'!X14</f>
        <v>389.11043557785081</v>
      </c>
      <c r="H17" s="13">
        <f>'Table 7-2'!Y14</f>
        <v>389.11043557785081</v>
      </c>
      <c r="I17" s="13">
        <f>'Table 7-2'!Z14</f>
        <v>389.11043557785081</v>
      </c>
      <c r="J17" s="13">
        <f>'Table 7-2'!AA14</f>
        <v>389.11043557785081</v>
      </c>
      <c r="K17" s="13">
        <f>'Table 7-2'!AB14</f>
        <v>389.11043557785081</v>
      </c>
      <c r="L17" s="13">
        <f>'Table 7-2'!AC14</f>
        <v>389.11043557785081</v>
      </c>
      <c r="M17" s="13">
        <f>'Table 7-2'!AD14</f>
        <v>389.11043557785081</v>
      </c>
      <c r="N17" s="13">
        <f>'Table 7-2'!AE14</f>
        <v>389.11043557785081</v>
      </c>
      <c r="O17" s="13">
        <f>'Table 7-2'!AF14</f>
        <v>389.11043557785081</v>
      </c>
      <c r="P17" s="13">
        <f>'Table 7-2'!AG14</f>
        <v>389.11043557785081</v>
      </c>
      <c r="Q17" s="13">
        <f>'Table 7-2'!AH14</f>
        <v>389.11043557785081</v>
      </c>
    </row>
    <row r="18" spans="1:17" x14ac:dyDescent="0.25">
      <c r="A18" s="5">
        <f t="shared" si="0"/>
        <v>3</v>
      </c>
      <c r="B18" s="6" t="str">
        <f t="shared" si="0"/>
        <v>Servicing &amp; Administrative Fees (PG&amp;E)</v>
      </c>
      <c r="C18" s="13">
        <f>'Table 7-2'!T15</f>
        <v>3.8250000000000002</v>
      </c>
      <c r="D18" s="13">
        <f>'Table 7-2'!U15</f>
        <v>3.8250000000000002</v>
      </c>
      <c r="E18" s="13">
        <f>'Table 7-2'!V15</f>
        <v>3.8250000000000002</v>
      </c>
      <c r="F18" s="13">
        <f>'Table 7-2'!W15</f>
        <v>3.8250000000000002</v>
      </c>
      <c r="G18" s="13">
        <f>'Table 7-2'!X15</f>
        <v>3.8250000000000002</v>
      </c>
      <c r="H18" s="13">
        <f>'Table 7-2'!Y15</f>
        <v>3.8250000000000002</v>
      </c>
      <c r="I18" s="13">
        <f>'Table 7-2'!Z15</f>
        <v>3.8250000000000002</v>
      </c>
      <c r="J18" s="13">
        <f>'Table 7-2'!AA15</f>
        <v>3.8250000000000002</v>
      </c>
      <c r="K18" s="13">
        <f>'Table 7-2'!AB15</f>
        <v>3.8250000000000002</v>
      </c>
      <c r="L18" s="13">
        <f>'Table 7-2'!AC15</f>
        <v>3.8250000000000002</v>
      </c>
      <c r="M18" s="13">
        <f>'Table 7-2'!AD15</f>
        <v>3.8250000000000002</v>
      </c>
      <c r="N18" s="13">
        <f>'Table 7-2'!AE15</f>
        <v>3.8250000000000002</v>
      </c>
      <c r="O18" s="13">
        <f>'Table 7-2'!AF15</f>
        <v>3.8250000000000002</v>
      </c>
      <c r="P18" s="13">
        <f>'Table 7-2'!AG15</f>
        <v>3.8250000000000002</v>
      </c>
      <c r="Q18" s="13">
        <f>'Table 7-2'!AH15</f>
        <v>3.8250000000000002</v>
      </c>
    </row>
    <row r="19" spans="1:17" x14ac:dyDescent="0.25">
      <c r="A19" s="5">
        <f t="shared" si="0"/>
        <v>4</v>
      </c>
      <c r="B19" s="6" t="str">
        <f t="shared" si="0"/>
        <v>Rating Agency Fees</v>
      </c>
      <c r="C19" s="13">
        <f>'Table 7-2'!T16</f>
        <v>0.22500000000000001</v>
      </c>
      <c r="D19" s="13">
        <f>'Table 7-2'!U16</f>
        <v>0.22500000000000001</v>
      </c>
      <c r="E19" s="13">
        <f>'Table 7-2'!V16</f>
        <v>0.22500000000000001</v>
      </c>
      <c r="F19" s="13">
        <f>'Table 7-2'!W16</f>
        <v>0.22500000000000001</v>
      </c>
      <c r="G19" s="13">
        <f>'Table 7-2'!X16</f>
        <v>0.22500000000000001</v>
      </c>
      <c r="H19" s="13">
        <f>'Table 7-2'!Y16</f>
        <v>0.22500000000000001</v>
      </c>
      <c r="I19" s="13">
        <f>'Table 7-2'!Z16</f>
        <v>0.22500000000000001</v>
      </c>
      <c r="J19" s="13">
        <f>'Table 7-2'!AA16</f>
        <v>0.22500000000000001</v>
      </c>
      <c r="K19" s="13">
        <f>'Table 7-2'!AB16</f>
        <v>0.22500000000000001</v>
      </c>
      <c r="L19" s="13">
        <f>'Table 7-2'!AC16</f>
        <v>0.22500000000000001</v>
      </c>
      <c r="M19" s="13">
        <f>'Table 7-2'!AD16</f>
        <v>0.22500000000000001</v>
      </c>
      <c r="N19" s="13">
        <f>'Table 7-2'!AE16</f>
        <v>0.22500000000000001</v>
      </c>
      <c r="O19" s="13">
        <f>'Table 7-2'!AF16</f>
        <v>0.22500000000000001</v>
      </c>
      <c r="P19" s="13">
        <f>'Table 7-2'!AG16</f>
        <v>0.22500000000000001</v>
      </c>
      <c r="Q19" s="13">
        <f>'Table 7-2'!AH16</f>
        <v>0.22500000000000001</v>
      </c>
    </row>
    <row r="20" spans="1:17" ht="17.25" x14ac:dyDescent="0.25">
      <c r="A20" s="5">
        <f t="shared" si="0"/>
        <v>5</v>
      </c>
      <c r="B20" s="6" t="s">
        <v>41</v>
      </c>
      <c r="C20" s="13">
        <f>'Table 7-2'!T17</f>
        <v>0.27500000000000002</v>
      </c>
      <c r="D20" s="13">
        <f>'Table 7-2'!U17</f>
        <v>0.27500000000000002</v>
      </c>
      <c r="E20" s="13">
        <f>'Table 7-2'!V17</f>
        <v>0.27500000000000002</v>
      </c>
      <c r="F20" s="13">
        <f>'Table 7-2'!W17</f>
        <v>0.27500000000000002</v>
      </c>
      <c r="G20" s="13">
        <f>'Table 7-2'!X17</f>
        <v>0.27500000000000002</v>
      </c>
      <c r="H20" s="13">
        <f>'Table 7-2'!Y17</f>
        <v>0.27500000000000002</v>
      </c>
      <c r="I20" s="13">
        <f>'Table 7-2'!Z17</f>
        <v>0.27500000000000002</v>
      </c>
      <c r="J20" s="13">
        <f>'Table 7-2'!AA17</f>
        <v>0.27500000000000002</v>
      </c>
      <c r="K20" s="13">
        <f>'Table 7-2'!AB17</f>
        <v>0.27500000000000002</v>
      </c>
      <c r="L20" s="13">
        <f>'Table 7-2'!AC17</f>
        <v>0.27500000000000002</v>
      </c>
      <c r="M20" s="13">
        <f>'Table 7-2'!AD17</f>
        <v>0.27500000000000002</v>
      </c>
      <c r="N20" s="13">
        <f>'Table 7-2'!AE17</f>
        <v>0.27500000000000002</v>
      </c>
      <c r="O20" s="13">
        <f>'Table 7-2'!AF17</f>
        <v>0.27500000000000002</v>
      </c>
      <c r="P20" s="13">
        <f>'Table 7-2'!AG17</f>
        <v>0.27500000000000002</v>
      </c>
      <c r="Q20" s="13">
        <f>'Table 7-2'!AH17</f>
        <v>0.27500000000000002</v>
      </c>
    </row>
    <row r="21" spans="1:17" x14ac:dyDescent="0.25">
      <c r="A21" s="5">
        <f t="shared" si="0"/>
        <v>6</v>
      </c>
      <c r="B21" s="11" t="str">
        <f t="shared" si="0"/>
        <v>Subtotal</v>
      </c>
      <c r="C21" s="14">
        <f>'Table 7-2'!T18</f>
        <v>393.4354355778508</v>
      </c>
      <c r="D21" s="14">
        <f>'Table 7-2'!U18</f>
        <v>393.4354355778508</v>
      </c>
      <c r="E21" s="14">
        <f>'Table 7-2'!V18</f>
        <v>393.4354355778508</v>
      </c>
      <c r="F21" s="14">
        <f>'Table 7-2'!W18</f>
        <v>393.4354355778508</v>
      </c>
      <c r="G21" s="14">
        <f>'Table 7-2'!X18</f>
        <v>393.4354355778508</v>
      </c>
      <c r="H21" s="14">
        <f>'Table 7-2'!Y18</f>
        <v>393.4354355778508</v>
      </c>
      <c r="I21" s="14">
        <f>'Table 7-2'!Z18</f>
        <v>393.4354355778508</v>
      </c>
      <c r="J21" s="14">
        <f>'Table 7-2'!AA18</f>
        <v>393.4354355778508</v>
      </c>
      <c r="K21" s="14">
        <f>'Table 7-2'!AB18</f>
        <v>393.4354355778508</v>
      </c>
      <c r="L21" s="14">
        <f>'Table 7-2'!AC18</f>
        <v>393.4354355778508</v>
      </c>
      <c r="M21" s="14">
        <f>'Table 7-2'!AD18</f>
        <v>393.4354355778508</v>
      </c>
      <c r="N21" s="14">
        <f>'Table 7-2'!AE18</f>
        <v>393.4354355778508</v>
      </c>
      <c r="O21" s="14">
        <f>'Table 7-2'!AF18</f>
        <v>393.4354355778508</v>
      </c>
      <c r="P21" s="14">
        <f>'Table 7-2'!AG18</f>
        <v>393.4354355778508</v>
      </c>
      <c r="Q21" s="14">
        <f>'Table 7-2'!AH18</f>
        <v>393.4354355778508</v>
      </c>
    </row>
    <row r="22" spans="1:17" ht="17.25" x14ac:dyDescent="0.25">
      <c r="A22" s="5">
        <f t="shared" si="0"/>
        <v>7</v>
      </c>
      <c r="B22" s="90" t="s">
        <v>42</v>
      </c>
      <c r="C22" s="13">
        <f>'Table 7-2'!T19</f>
        <v>0</v>
      </c>
      <c r="D22" s="13">
        <f>'Table 7-2'!U19</f>
        <v>0</v>
      </c>
      <c r="E22" s="13">
        <f>'Table 7-2'!V19</f>
        <v>0</v>
      </c>
      <c r="F22" s="13">
        <f>'Table 7-2'!W19</f>
        <v>0</v>
      </c>
      <c r="G22" s="13">
        <f>'Table 7-2'!X19</f>
        <v>0</v>
      </c>
      <c r="H22" s="13">
        <f>'Table 7-2'!Y19</f>
        <v>0</v>
      </c>
      <c r="I22" s="13">
        <f>'Table 7-2'!Z19</f>
        <v>0</v>
      </c>
      <c r="J22" s="13">
        <f>'Table 7-2'!AA19</f>
        <v>0</v>
      </c>
      <c r="K22" s="13">
        <f>'Table 7-2'!AB19</f>
        <v>0</v>
      </c>
      <c r="L22" s="13">
        <f>'Table 7-2'!AC19</f>
        <v>0</v>
      </c>
      <c r="M22" s="13">
        <f>'Table 7-2'!AD19</f>
        <v>0</v>
      </c>
      <c r="N22" s="13">
        <f>'Table 7-2'!AE19</f>
        <v>0</v>
      </c>
      <c r="O22" s="13">
        <f>'Table 7-2'!AF19</f>
        <v>0</v>
      </c>
      <c r="P22" s="13">
        <f>'Table 7-2'!AG19</f>
        <v>0</v>
      </c>
      <c r="Q22" s="13">
        <f>'Table 7-2'!AH19</f>
        <v>-63.223627711544161</v>
      </c>
    </row>
    <row r="23" spans="1:17" x14ac:dyDescent="0.25">
      <c r="A23" s="5">
        <f t="shared" si="0"/>
        <v>8</v>
      </c>
      <c r="B23" s="117" t="str">
        <f t="shared" si="0"/>
        <v xml:space="preserve">Uncollectibles </v>
      </c>
      <c r="C23" s="14">
        <f>'Table 7-2'!T20</f>
        <v>1.3026356350023995</v>
      </c>
      <c r="D23" s="14">
        <f>'Table 7-2'!U20</f>
        <v>1.3026356350023995</v>
      </c>
      <c r="E23" s="14">
        <f>'Table 7-2'!V20</f>
        <v>1.3026356350023995</v>
      </c>
      <c r="F23" s="14">
        <f>'Table 7-2'!W20</f>
        <v>1.3026356350023995</v>
      </c>
      <c r="G23" s="14">
        <f>'Table 7-2'!X20</f>
        <v>1.3026356350023995</v>
      </c>
      <c r="H23" s="14">
        <f>'Table 7-2'!Y20</f>
        <v>1.3026356350023995</v>
      </c>
      <c r="I23" s="14">
        <f>'Table 7-2'!Z20</f>
        <v>1.3026356350023995</v>
      </c>
      <c r="J23" s="14">
        <f>'Table 7-2'!AA20</f>
        <v>1.3026356350023995</v>
      </c>
      <c r="K23" s="14">
        <f>'Table 7-2'!AB20</f>
        <v>1.3026356350023995</v>
      </c>
      <c r="L23" s="14">
        <f>'Table 7-2'!AC20</f>
        <v>1.3026356350023995</v>
      </c>
      <c r="M23" s="14">
        <f>'Table 7-2'!AD20</f>
        <v>1.3026356350023995</v>
      </c>
      <c r="N23" s="14">
        <f>'Table 7-2'!AE20</f>
        <v>1.3026356350023995</v>
      </c>
      <c r="O23" s="14">
        <f>'Table 7-2'!AF20</f>
        <v>1.3026356350023995</v>
      </c>
      <c r="P23" s="14">
        <f>'Table 7-2'!AG20</f>
        <v>1.3026356350023995</v>
      </c>
      <c r="Q23" s="14">
        <f>'Table 7-2'!AH20</f>
        <v>1.0933068786583711</v>
      </c>
    </row>
    <row r="24" spans="1:17" x14ac:dyDescent="0.25">
      <c r="A24" s="5">
        <f t="shared" si="0"/>
        <v>9</v>
      </c>
      <c r="B24" s="201" t="str">
        <f t="shared" si="0"/>
        <v>Annual FRC RRQ</v>
      </c>
      <c r="C24" s="202">
        <f>'Table 7-2'!T21</f>
        <v>394.73807121285319</v>
      </c>
      <c r="D24" s="202">
        <f>'Table 7-2'!U21</f>
        <v>394.73807121285319</v>
      </c>
      <c r="E24" s="202">
        <f>'Table 7-2'!V21</f>
        <v>394.73807121285319</v>
      </c>
      <c r="F24" s="202">
        <f>'Table 7-2'!W21</f>
        <v>394.73807121285319</v>
      </c>
      <c r="G24" s="202">
        <f>'Table 7-2'!X21</f>
        <v>394.73807121285319</v>
      </c>
      <c r="H24" s="202">
        <f>'Table 7-2'!Y21</f>
        <v>394.73807121285319</v>
      </c>
      <c r="I24" s="202">
        <f>'Table 7-2'!Z21</f>
        <v>394.73807121285319</v>
      </c>
      <c r="J24" s="202">
        <f>'Table 7-2'!AA21</f>
        <v>394.73807121285319</v>
      </c>
      <c r="K24" s="202">
        <f>'Table 7-2'!AB21</f>
        <v>394.73807121285319</v>
      </c>
      <c r="L24" s="202">
        <f>'Table 7-2'!AC21</f>
        <v>394.73807121285319</v>
      </c>
      <c r="M24" s="202">
        <f>'Table 7-2'!AD21</f>
        <v>394.73807121285319</v>
      </c>
      <c r="N24" s="202">
        <f>'Table 7-2'!AE21</f>
        <v>394.73807121285319</v>
      </c>
      <c r="O24" s="202">
        <f>'Table 7-2'!AF21</f>
        <v>394.73807121285319</v>
      </c>
      <c r="P24" s="202">
        <f>'Table 7-2'!AG21</f>
        <v>394.73807121285319</v>
      </c>
      <c r="Q24" s="202">
        <f>'Table 7-2'!AH21</f>
        <v>331.30511474496501</v>
      </c>
    </row>
    <row r="25" spans="1:17" x14ac:dyDescent="0.25">
      <c r="C25" s="13"/>
      <c r="D25" s="13"/>
      <c r="E25" s="13"/>
      <c r="F25" s="13"/>
      <c r="G25" s="13"/>
      <c r="H25" s="13"/>
      <c r="I25" s="13"/>
      <c r="J25" s="13"/>
      <c r="K25" s="13"/>
      <c r="L25" s="13"/>
      <c r="M25" s="13"/>
      <c r="N25" s="13"/>
      <c r="O25" s="13"/>
      <c r="P25" s="13"/>
      <c r="Q25" s="13"/>
    </row>
    <row r="26" spans="1:17" x14ac:dyDescent="0.25">
      <c r="B26" s="17" t="s">
        <v>178</v>
      </c>
      <c r="C26" s="13"/>
      <c r="D26" s="13"/>
      <c r="E26" s="13"/>
      <c r="F26" s="13"/>
      <c r="G26" s="13"/>
      <c r="H26" s="13"/>
      <c r="I26" s="13"/>
      <c r="J26" s="13"/>
      <c r="K26" s="13"/>
      <c r="L26" s="13"/>
      <c r="M26" s="13"/>
      <c r="N26" s="13"/>
      <c r="O26" s="13"/>
      <c r="P26" s="13"/>
      <c r="Q26" s="13"/>
    </row>
    <row r="27" spans="1:17" x14ac:dyDescent="0.25">
      <c r="C27" s="13"/>
      <c r="D27" s="13"/>
      <c r="E27" s="13"/>
      <c r="F27" s="13"/>
      <c r="G27" s="13"/>
      <c r="H27" s="13"/>
      <c r="I27" s="13"/>
      <c r="J27" s="13"/>
      <c r="K27" s="13"/>
      <c r="L27" s="13"/>
      <c r="M27" s="13"/>
      <c r="N27" s="13"/>
      <c r="O27" s="13"/>
      <c r="P27" s="13"/>
      <c r="Q27" s="13"/>
    </row>
    <row r="28" spans="1:17" ht="17.25" x14ac:dyDescent="0.25">
      <c r="A28" s="5"/>
      <c r="B28" s="88" t="s">
        <v>164</v>
      </c>
      <c r="C28" s="122"/>
      <c r="D28" s="122"/>
      <c r="E28" s="122"/>
      <c r="F28" s="122"/>
      <c r="G28" s="122"/>
      <c r="H28" s="122"/>
      <c r="I28" s="122"/>
      <c r="J28" s="122"/>
      <c r="K28" s="122"/>
      <c r="L28" s="122"/>
      <c r="M28" s="122"/>
      <c r="N28" s="122"/>
      <c r="O28" s="122"/>
      <c r="P28" s="122"/>
    </row>
    <row r="29" spans="1:17" ht="17.25" x14ac:dyDescent="0.25">
      <c r="A29" s="5"/>
      <c r="B29" s="88" t="s">
        <v>154</v>
      </c>
      <c r="C29" s="122"/>
      <c r="D29" s="122"/>
      <c r="E29" s="122"/>
      <c r="F29" s="122"/>
      <c r="G29" s="122"/>
      <c r="H29" s="122"/>
      <c r="I29" s="122"/>
      <c r="J29" s="122"/>
      <c r="K29" s="122"/>
      <c r="L29" s="122"/>
      <c r="M29" s="122"/>
      <c r="N29" s="122"/>
      <c r="O29" s="122"/>
      <c r="P29" s="122"/>
    </row>
    <row r="30" spans="1:17" ht="17.25" x14ac:dyDescent="0.25">
      <c r="A30" s="5"/>
      <c r="B30" s="88" t="s">
        <v>169</v>
      </c>
      <c r="C30" s="5"/>
      <c r="D30" s="5"/>
      <c r="E30" s="5"/>
      <c r="F30" s="5"/>
      <c r="G30" s="5"/>
      <c r="H30" s="5"/>
      <c r="I30" s="5"/>
      <c r="J30" s="5"/>
      <c r="K30" s="5"/>
      <c r="L30" s="5"/>
      <c r="M30" s="5"/>
      <c r="N30" s="5"/>
      <c r="O30" s="5"/>
      <c r="P30" s="5"/>
      <c r="Q30" s="5"/>
    </row>
    <row r="31" spans="1:17" x14ac:dyDescent="0.25">
      <c r="A31" s="5"/>
      <c r="C31" s="5"/>
      <c r="D31" s="5"/>
      <c r="E31" s="5"/>
      <c r="F31" s="5"/>
      <c r="G31" s="5"/>
      <c r="H31" s="5"/>
      <c r="I31" s="5"/>
      <c r="J31" s="5"/>
      <c r="K31" s="5"/>
      <c r="L31" s="5"/>
      <c r="M31" s="5"/>
      <c r="N31" s="5"/>
      <c r="O31" s="5"/>
      <c r="P31" s="5"/>
      <c r="Q31" s="5"/>
    </row>
    <row r="32" spans="1:17" x14ac:dyDescent="0.25">
      <c r="A32" s="5"/>
      <c r="B32" s="5"/>
      <c r="C32" s="5"/>
      <c r="D32" s="5"/>
      <c r="E32" s="5"/>
      <c r="F32" s="5"/>
      <c r="G32" s="5"/>
      <c r="H32" s="5"/>
      <c r="I32" s="5"/>
      <c r="J32" s="5"/>
      <c r="K32" s="5"/>
      <c r="L32" s="5"/>
      <c r="M32" s="5"/>
      <c r="N32" s="5"/>
      <c r="O32" s="5"/>
      <c r="P32" s="5"/>
      <c r="Q32" s="5"/>
    </row>
    <row r="33" spans="1:17" x14ac:dyDescent="0.25">
      <c r="A33" s="5"/>
      <c r="B33" s="5"/>
      <c r="C33" s="5"/>
      <c r="D33" s="5"/>
      <c r="E33" s="5"/>
      <c r="F33" s="5"/>
      <c r="G33" s="5"/>
      <c r="H33" s="5"/>
      <c r="I33" s="5"/>
      <c r="J33" s="5"/>
      <c r="K33" s="5"/>
      <c r="L33" s="5"/>
      <c r="M33" s="5"/>
      <c r="N33" s="5"/>
      <c r="O33" s="5"/>
      <c r="P33" s="5"/>
      <c r="Q33" s="5"/>
    </row>
    <row r="34" spans="1:17" x14ac:dyDescent="0.25">
      <c r="A34" s="5"/>
      <c r="B34" s="5"/>
      <c r="C34" s="5"/>
      <c r="D34" s="5"/>
      <c r="E34" s="5"/>
      <c r="F34" s="5"/>
      <c r="G34" s="5"/>
      <c r="H34" s="5"/>
      <c r="I34" s="5"/>
      <c r="J34" s="5"/>
      <c r="K34" s="5"/>
      <c r="L34" s="5"/>
      <c r="M34" s="5"/>
      <c r="N34" s="5"/>
      <c r="O34" s="5"/>
      <c r="P34" s="5"/>
      <c r="Q34" s="5"/>
    </row>
    <row r="35" spans="1:17" x14ac:dyDescent="0.25">
      <c r="A35" s="5"/>
      <c r="B35" s="5"/>
      <c r="C35" s="5"/>
      <c r="D35" s="5"/>
      <c r="E35" s="5"/>
      <c r="F35" s="5"/>
      <c r="G35" s="5"/>
      <c r="H35" s="5"/>
      <c r="I35" s="5"/>
      <c r="J35" s="5"/>
      <c r="K35" s="5"/>
      <c r="L35" s="5"/>
      <c r="M35" s="5"/>
      <c r="N35" s="5"/>
      <c r="O35" s="5"/>
      <c r="P35" s="5"/>
      <c r="Q35" s="5"/>
    </row>
    <row r="36" spans="1:17" x14ac:dyDescent="0.25">
      <c r="A36" s="5"/>
      <c r="B36" s="5"/>
      <c r="C36" s="5"/>
      <c r="D36" s="5"/>
      <c r="E36" s="5"/>
      <c r="F36" s="5"/>
      <c r="G36" s="5"/>
      <c r="H36" s="5"/>
      <c r="I36" s="5"/>
      <c r="J36" s="5"/>
      <c r="K36" s="5"/>
      <c r="L36" s="5"/>
      <c r="M36" s="5"/>
      <c r="N36" s="5"/>
      <c r="O36" s="5"/>
      <c r="P36" s="5"/>
      <c r="Q36" s="5"/>
    </row>
    <row r="37" spans="1:17" x14ac:dyDescent="0.25">
      <c r="A37" s="5"/>
      <c r="B37" s="5"/>
      <c r="C37" s="5"/>
      <c r="D37" s="5"/>
      <c r="E37" s="5"/>
      <c r="F37" s="5"/>
      <c r="G37" s="5"/>
      <c r="H37" s="5"/>
      <c r="I37" s="5"/>
      <c r="J37" s="5"/>
      <c r="K37" s="5"/>
      <c r="L37" s="5"/>
      <c r="M37" s="5"/>
      <c r="N37" s="5"/>
      <c r="O37" s="5"/>
      <c r="P37" s="5"/>
      <c r="Q37" s="5"/>
    </row>
    <row r="38" spans="1:17" x14ac:dyDescent="0.25">
      <c r="A38" s="5"/>
      <c r="B38" s="5"/>
      <c r="C38" s="5"/>
      <c r="D38" s="5"/>
      <c r="E38" s="5"/>
      <c r="F38" s="5"/>
      <c r="G38" s="5"/>
      <c r="H38" s="5"/>
      <c r="I38" s="5"/>
      <c r="J38" s="5"/>
      <c r="K38" s="5"/>
      <c r="L38" s="5"/>
      <c r="M38" s="5"/>
      <c r="N38" s="5"/>
      <c r="O38" s="5"/>
      <c r="P38" s="5"/>
      <c r="Q38" s="5"/>
    </row>
    <row r="39" spans="1:17" x14ac:dyDescent="0.25">
      <c r="A39" s="5"/>
      <c r="B39" s="5"/>
      <c r="C39" s="5"/>
      <c r="D39" s="5"/>
      <c r="E39" s="5"/>
      <c r="F39" s="5"/>
      <c r="G39" s="5"/>
      <c r="H39" s="5"/>
      <c r="I39" s="5"/>
      <c r="J39" s="5"/>
      <c r="K39" s="5"/>
      <c r="L39" s="5"/>
      <c r="M39" s="5"/>
      <c r="N39" s="5"/>
      <c r="O39" s="5"/>
      <c r="P39" s="5"/>
      <c r="Q39" s="5"/>
    </row>
    <row r="40" spans="1:17" x14ac:dyDescent="0.25">
      <c r="A40" s="5"/>
      <c r="B40" s="5"/>
      <c r="C40" s="5"/>
      <c r="D40" s="5"/>
      <c r="E40" s="5"/>
      <c r="F40" s="5"/>
      <c r="G40" s="5"/>
      <c r="H40" s="5"/>
      <c r="I40" s="5"/>
      <c r="J40" s="5"/>
      <c r="K40" s="5"/>
      <c r="L40" s="5"/>
      <c r="M40" s="5"/>
      <c r="N40" s="5"/>
      <c r="O40" s="5"/>
      <c r="P40" s="5"/>
      <c r="Q40" s="5"/>
    </row>
    <row r="41" spans="1:17" x14ac:dyDescent="0.25">
      <c r="A41" s="5"/>
      <c r="B41" s="21"/>
    </row>
    <row r="42" spans="1:17" x14ac:dyDescent="0.25">
      <c r="A42" s="5"/>
      <c r="B42" s="21"/>
    </row>
    <row r="43" spans="1:17" x14ac:dyDescent="0.25">
      <c r="A43" s="5"/>
      <c r="B43" s="21"/>
    </row>
    <row r="44" spans="1:17" x14ac:dyDescent="0.25">
      <c r="A44" s="5"/>
      <c r="B44" s="21"/>
    </row>
    <row r="45" spans="1:17" x14ac:dyDescent="0.25">
      <c r="A45" s="5"/>
    </row>
  </sheetData>
  <mergeCells count="3">
    <mergeCell ref="A2:Q2"/>
    <mergeCell ref="A3:Q3"/>
    <mergeCell ref="A4:Q4"/>
  </mergeCells>
  <pageMargins left="0.7" right="0.7" top="0.75" bottom="0.75" header="0.3" footer="0.3"/>
  <pageSetup scale="6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pageSetUpPr fitToPage="1"/>
  </sheetPr>
  <dimension ref="A2:Q21"/>
  <sheetViews>
    <sheetView showGridLines="0" view="pageBreakPreview" zoomScale="85" zoomScaleNormal="85" zoomScaleSheetLayoutView="85" workbookViewId="0">
      <selection activeCell="D30" sqref="D30"/>
    </sheetView>
  </sheetViews>
  <sheetFormatPr defaultColWidth="9.140625" defaultRowHeight="14.25" x14ac:dyDescent="0.2"/>
  <cols>
    <col min="1" max="1" width="4.140625" style="5" customWidth="1"/>
    <col min="2" max="2" width="35.42578125" style="5" bestFit="1" customWidth="1"/>
    <col min="3" max="3" width="12.140625" style="5" bestFit="1" customWidth="1"/>
    <col min="4" max="17" width="10.85546875" style="5" bestFit="1" customWidth="1"/>
    <col min="18" max="18" width="13.7109375" style="5" bestFit="1" customWidth="1"/>
    <col min="19" max="16384" width="9.140625" style="5"/>
  </cols>
  <sheetData>
    <row r="2" spans="1:17" ht="15" x14ac:dyDescent="0.25">
      <c r="B2" s="307" t="s">
        <v>133</v>
      </c>
      <c r="C2" s="307"/>
      <c r="D2" s="307"/>
      <c r="E2" s="307"/>
      <c r="F2" s="307"/>
      <c r="G2" s="307"/>
      <c r="H2" s="307"/>
      <c r="I2" s="307"/>
      <c r="J2" s="307"/>
      <c r="K2" s="307"/>
      <c r="L2" s="307"/>
      <c r="M2" s="307"/>
      <c r="N2" s="307"/>
      <c r="O2" s="307"/>
      <c r="P2" s="307"/>
      <c r="Q2" s="307"/>
    </row>
    <row r="3" spans="1:17" ht="15" x14ac:dyDescent="0.25">
      <c r="B3" s="307" t="s">
        <v>134</v>
      </c>
      <c r="C3" s="307"/>
      <c r="D3" s="307"/>
      <c r="E3" s="307"/>
      <c r="F3" s="307"/>
      <c r="G3" s="307"/>
      <c r="H3" s="307"/>
      <c r="I3" s="307"/>
      <c r="J3" s="307"/>
      <c r="K3" s="307"/>
      <c r="L3" s="307"/>
      <c r="M3" s="307"/>
      <c r="N3" s="307"/>
      <c r="O3" s="307"/>
      <c r="P3" s="307"/>
      <c r="Q3" s="307"/>
    </row>
    <row r="4" spans="1:17" x14ac:dyDescent="0.2">
      <c r="B4" s="320" t="s">
        <v>119</v>
      </c>
      <c r="C4" s="320"/>
      <c r="D4" s="320"/>
      <c r="E4" s="320"/>
      <c r="F4" s="320"/>
      <c r="G4" s="320"/>
      <c r="H4" s="320"/>
      <c r="I4" s="320"/>
      <c r="J4" s="320"/>
      <c r="K4" s="320"/>
      <c r="L4" s="320"/>
      <c r="M4" s="320"/>
      <c r="N4" s="320"/>
      <c r="O4" s="320"/>
      <c r="P4" s="320"/>
      <c r="Q4" s="320"/>
    </row>
    <row r="5" spans="1:17" x14ac:dyDescent="0.2">
      <c r="B5" s="209"/>
      <c r="C5" s="209"/>
      <c r="D5" s="209"/>
      <c r="E5" s="209"/>
      <c r="F5" s="209"/>
      <c r="G5" s="209"/>
      <c r="H5" s="209"/>
      <c r="I5" s="209"/>
      <c r="J5" s="209"/>
      <c r="K5" s="209"/>
      <c r="L5" s="209"/>
      <c r="M5" s="209"/>
      <c r="N5" s="209"/>
      <c r="O5" s="209"/>
      <c r="P5" s="209"/>
      <c r="Q5" s="209"/>
    </row>
    <row r="6" spans="1:17" ht="15" x14ac:dyDescent="0.25">
      <c r="A6" s="5">
        <f>'Table 7-3'!A6</f>
        <v>1</v>
      </c>
      <c r="C6" s="197">
        <f>'Table 7-3'!C6</f>
        <v>2021</v>
      </c>
      <c r="D6" s="197">
        <f>'Table 7-3'!D6</f>
        <v>2022</v>
      </c>
      <c r="E6" s="197">
        <f>'Table 7-3'!E6</f>
        <v>2023</v>
      </c>
      <c r="F6" s="197">
        <f>'Table 7-3'!F6</f>
        <v>2024</v>
      </c>
      <c r="G6" s="197">
        <f>'Table 7-3'!G6</f>
        <v>2025</v>
      </c>
      <c r="H6" s="197">
        <f>'Table 7-3'!H6</f>
        <v>2026</v>
      </c>
      <c r="I6" s="197">
        <f>'Table 7-3'!I6</f>
        <v>2027</v>
      </c>
      <c r="J6" s="197">
        <f>'Table 7-3'!J6</f>
        <v>2028</v>
      </c>
      <c r="K6" s="197">
        <f>'Table 7-3'!K6</f>
        <v>2029</v>
      </c>
      <c r="L6" s="197">
        <f>'Table 7-3'!L6</f>
        <v>2030</v>
      </c>
      <c r="M6" s="197">
        <f>'Table 7-3'!M6</f>
        <v>2031</v>
      </c>
      <c r="N6" s="197">
        <f>'Table 7-3'!N6</f>
        <v>2032</v>
      </c>
      <c r="O6" s="197">
        <f>'Table 7-3'!O6</f>
        <v>2033</v>
      </c>
      <c r="P6" s="197">
        <f>'Table 7-3'!P6</f>
        <v>2034</v>
      </c>
      <c r="Q6" s="197">
        <f>'Table 7-3'!Q6</f>
        <v>2035</v>
      </c>
    </row>
    <row r="7" spans="1:17" x14ac:dyDescent="0.2">
      <c r="A7" s="5">
        <f>'Table 7-3'!A7</f>
        <v>2</v>
      </c>
      <c r="B7" s="5" t="str">
        <f>'Table 7-3'!B7</f>
        <v>Traditional Ratemaking RRQ</v>
      </c>
      <c r="C7" s="210">
        <f>'Table 7-3'!C7</f>
        <v>947.72196182608218</v>
      </c>
      <c r="D7" s="210">
        <f>'Table 7-3'!D7</f>
        <v>924.09833600146919</v>
      </c>
      <c r="E7" s="210">
        <f>'Table 7-3'!E7</f>
        <v>900.47471017685632</v>
      </c>
      <c r="F7" s="210">
        <f>'Table 7-3'!F7</f>
        <v>876.85108435224345</v>
      </c>
      <c r="G7" s="210">
        <f>'Table 7-3'!G7</f>
        <v>853.22745852763046</v>
      </c>
      <c r="H7" s="210">
        <f>'Table 7-3'!H7</f>
        <v>829.60383270301747</v>
      </c>
      <c r="I7" s="210">
        <f>'Table 7-3'!I7</f>
        <v>805.98020687840449</v>
      </c>
      <c r="J7" s="210">
        <f>'Table 7-3'!J7</f>
        <v>782.3565810537915</v>
      </c>
      <c r="K7" s="210">
        <f>'Table 7-3'!K7</f>
        <v>758.73295522917851</v>
      </c>
      <c r="L7" s="210">
        <f>'Table 7-3'!L7</f>
        <v>735.10932940456564</v>
      </c>
      <c r="M7" s="210">
        <f>'Table 7-3'!M7</f>
        <v>711.48570357995254</v>
      </c>
      <c r="N7" s="210">
        <f>'Table 7-3'!N7</f>
        <v>687.86207775533967</v>
      </c>
      <c r="O7" s="210">
        <f>'Table 7-3'!O7</f>
        <v>664.23845193072668</v>
      </c>
      <c r="P7" s="210">
        <f>'Table 7-3'!P7</f>
        <v>640.6148261061137</v>
      </c>
      <c r="Q7" s="210">
        <f>'Table 7-3'!Q7</f>
        <v>616.99120028150082</v>
      </c>
    </row>
    <row r="8" spans="1:17" x14ac:dyDescent="0.2">
      <c r="A8" s="5">
        <f>'Table 7-3'!A8</f>
        <v>3</v>
      </c>
      <c r="B8" s="5" t="str">
        <f>'Table 7-3'!B8</f>
        <v>Securitized Debt RRQ</v>
      </c>
      <c r="C8" s="210">
        <f>'Table 7-3'!C8</f>
        <v>253.73182587155281</v>
      </c>
      <c r="D8" s="210">
        <f>'Table 7-3'!D8</f>
        <v>304.9463583775912</v>
      </c>
      <c r="E8" s="210">
        <f>'Table 7-3'!E8</f>
        <v>304.9463583775912</v>
      </c>
      <c r="F8" s="210">
        <f>'Table 7-3'!F8</f>
        <v>394.73807121285319</v>
      </c>
      <c r="G8" s="210">
        <f>'Table 7-3'!G8</f>
        <v>394.73807121285319</v>
      </c>
      <c r="H8" s="210">
        <f>'Table 7-3'!H8</f>
        <v>394.73807121285319</v>
      </c>
      <c r="I8" s="210">
        <f>'Table 7-3'!I8</f>
        <v>394.73807121285319</v>
      </c>
      <c r="J8" s="210">
        <f>'Table 7-3'!J8</f>
        <v>394.73807121285319</v>
      </c>
      <c r="K8" s="210">
        <f>'Table 7-3'!K8</f>
        <v>394.73807121285319</v>
      </c>
      <c r="L8" s="210">
        <f>'Table 7-3'!L8</f>
        <v>394.73807121285319</v>
      </c>
      <c r="M8" s="210">
        <f>'Table 7-3'!M8</f>
        <v>394.73807121285319</v>
      </c>
      <c r="N8" s="210">
        <f>'Table 7-3'!N8</f>
        <v>394.73807121285319</v>
      </c>
      <c r="O8" s="210">
        <f>'Table 7-3'!O8</f>
        <v>394.73807121285319</v>
      </c>
      <c r="P8" s="210">
        <f>'Table 7-3'!P8</f>
        <v>394.73807121285319</v>
      </c>
      <c r="Q8" s="210">
        <f>'Table 7-3'!Q8</f>
        <v>394.73807121285319</v>
      </c>
    </row>
    <row r="9" spans="1:17" x14ac:dyDescent="0.2">
      <c r="A9" s="5">
        <f>'Table 7-3'!A9</f>
        <v>4</v>
      </c>
      <c r="B9" s="5" t="str">
        <f>'Table 7-3'!B9</f>
        <v>Annual Savings</v>
      </c>
      <c r="C9" s="210">
        <f>'Table 7-3'!C9</f>
        <v>693.99013595452936</v>
      </c>
      <c r="D9" s="210">
        <f>'Table 7-3'!D9</f>
        <v>619.151977623878</v>
      </c>
      <c r="E9" s="210">
        <f>'Table 7-3'!E9</f>
        <v>595.52835179926512</v>
      </c>
      <c r="F9" s="210">
        <f>'Table 7-3'!F9</f>
        <v>482.11301313939026</v>
      </c>
      <c r="G9" s="210">
        <f>'Table 7-3'!G9</f>
        <v>458.48938731477728</v>
      </c>
      <c r="H9" s="210">
        <f>'Table 7-3'!H9</f>
        <v>434.86576149016429</v>
      </c>
      <c r="I9" s="210">
        <f>'Table 7-3'!I9</f>
        <v>411.2421356655513</v>
      </c>
      <c r="J9" s="210">
        <f>'Table 7-3'!J9</f>
        <v>387.61850984093832</v>
      </c>
      <c r="K9" s="210">
        <f>'Table 7-3'!K9</f>
        <v>363.99488401632533</v>
      </c>
      <c r="L9" s="210">
        <f>'Table 7-3'!L9</f>
        <v>340.37125819171246</v>
      </c>
      <c r="M9" s="210">
        <f>'Table 7-3'!M9</f>
        <v>316.74763236709936</v>
      </c>
      <c r="N9" s="210">
        <f>'Table 7-3'!N9</f>
        <v>293.12400654248648</v>
      </c>
      <c r="O9" s="210">
        <f>'Table 7-3'!O9</f>
        <v>269.5003807178735</v>
      </c>
      <c r="P9" s="210">
        <f>'Table 7-3'!P9</f>
        <v>245.87675489326051</v>
      </c>
      <c r="Q9" s="210">
        <f>'Table 7-3'!Q9</f>
        <v>222.25312906864764</v>
      </c>
    </row>
    <row r="10" spans="1:17" x14ac:dyDescent="0.2">
      <c r="A10" s="5">
        <f>'Table 7-3'!A10</f>
        <v>5</v>
      </c>
      <c r="B10" s="5" t="str">
        <f>'Table 7-3'!B10</f>
        <v>Cumulative Annual Savings</v>
      </c>
      <c r="C10" s="210">
        <f>'Table 7-3'!C10</f>
        <v>693.99013595452936</v>
      </c>
      <c r="D10" s="210">
        <f>'Table 7-3'!D10</f>
        <v>1313.1421135784074</v>
      </c>
      <c r="E10" s="210">
        <f>'Table 7-3'!E10</f>
        <v>1908.6704653776724</v>
      </c>
      <c r="F10" s="210">
        <f>'Table 7-3'!F10</f>
        <v>2390.7834785170626</v>
      </c>
      <c r="G10" s="210">
        <f>'Table 7-3'!G10</f>
        <v>2849.2728658318397</v>
      </c>
      <c r="H10" s="210">
        <f>'Table 7-3'!H10</f>
        <v>3284.1386273220041</v>
      </c>
      <c r="I10" s="210">
        <f>'Table 7-3'!I10</f>
        <v>3695.3807629875555</v>
      </c>
      <c r="J10" s="210">
        <f>'Table 7-3'!J10</f>
        <v>4082.9992728284938</v>
      </c>
      <c r="K10" s="210">
        <f>'Table 7-3'!K10</f>
        <v>4446.9941568448194</v>
      </c>
      <c r="L10" s="210">
        <f>'Table 7-3'!L10</f>
        <v>4787.3654150365319</v>
      </c>
      <c r="M10" s="210">
        <f>'Table 7-3'!M10</f>
        <v>5104.1130474036308</v>
      </c>
      <c r="N10" s="210">
        <f>'Table 7-3'!N10</f>
        <v>5397.2370539461172</v>
      </c>
      <c r="O10" s="210">
        <f>'Table 7-3'!O10</f>
        <v>5666.7374346639908</v>
      </c>
      <c r="P10" s="210">
        <f>'Table 7-3'!P10</f>
        <v>5912.6141895572509</v>
      </c>
      <c r="Q10" s="210">
        <f>'Table 7-3'!Q10</f>
        <v>6134.8673186258984</v>
      </c>
    </row>
    <row r="11" spans="1:17" x14ac:dyDescent="0.2">
      <c r="C11" s="199"/>
      <c r="D11" s="199"/>
      <c r="E11" s="199"/>
      <c r="F11" s="199"/>
      <c r="G11" s="199"/>
      <c r="H11" s="199"/>
      <c r="I11" s="199"/>
      <c r="J11" s="199"/>
      <c r="K11" s="199"/>
      <c r="L11" s="199"/>
      <c r="M11" s="199"/>
      <c r="N11" s="199"/>
      <c r="O11" s="199"/>
      <c r="P11" s="199"/>
      <c r="Q11" s="199"/>
    </row>
    <row r="12" spans="1:17" ht="15" x14ac:dyDescent="0.25">
      <c r="A12" s="203">
        <f>'Table 7-3'!A6</f>
        <v>1</v>
      </c>
      <c r="C12" s="197">
        <f>'Table 7-3'!R6</f>
        <v>2036</v>
      </c>
      <c r="D12" s="197">
        <f>'Table 7-3'!S6</f>
        <v>2037</v>
      </c>
      <c r="E12" s="197">
        <f>'Table 7-3'!T6</f>
        <v>2038</v>
      </c>
      <c r="F12" s="197">
        <f>'Table 7-3'!U6</f>
        <v>2039</v>
      </c>
      <c r="G12" s="197">
        <f>'Table 7-3'!V6</f>
        <v>2040</v>
      </c>
      <c r="H12" s="197">
        <f>'Table 7-3'!W6</f>
        <v>2041</v>
      </c>
      <c r="I12" s="197">
        <f>'Table 7-3'!X6</f>
        <v>2042</v>
      </c>
      <c r="J12" s="197">
        <f>'Table 7-3'!Y6</f>
        <v>2043</v>
      </c>
      <c r="K12" s="197">
        <f>'Table 7-3'!Z6</f>
        <v>2044</v>
      </c>
      <c r="L12" s="197">
        <f>'Table 7-3'!AA6</f>
        <v>2045</v>
      </c>
      <c r="M12" s="197">
        <f>'Table 7-3'!AB6</f>
        <v>2046</v>
      </c>
      <c r="N12" s="197">
        <f>'Table 7-3'!AC6</f>
        <v>2047</v>
      </c>
      <c r="O12" s="197">
        <f>'Table 7-3'!AD6</f>
        <v>2048</v>
      </c>
      <c r="P12" s="197">
        <f>'Table 7-3'!AE6</f>
        <v>2049</v>
      </c>
      <c r="Q12" s="197">
        <f>'Table 7-3'!AF6</f>
        <v>2050</v>
      </c>
    </row>
    <row r="13" spans="1:17" x14ac:dyDescent="0.2">
      <c r="A13" s="203">
        <f>'Table 7-3'!A7</f>
        <v>2</v>
      </c>
      <c r="B13" s="203" t="str">
        <f>'Table 7-3'!B7</f>
        <v>Traditional Ratemaking RRQ</v>
      </c>
      <c r="C13" s="210">
        <f>'Table 7-3'!R7</f>
        <v>593.36757445688784</v>
      </c>
      <c r="D13" s="210">
        <f>'Table 7-3'!S7</f>
        <v>569.74394863227485</v>
      </c>
      <c r="E13" s="210">
        <f>'Table 7-3'!T7</f>
        <v>546.12032280766186</v>
      </c>
      <c r="F13" s="210">
        <f>'Table 7-3'!U7</f>
        <v>522.49669698304899</v>
      </c>
      <c r="G13" s="210">
        <f>'Table 7-3'!V7</f>
        <v>498.87307115843606</v>
      </c>
      <c r="H13" s="210">
        <f>'Table 7-3'!W7</f>
        <v>475.24944533382313</v>
      </c>
      <c r="I13" s="210">
        <f>'Table 7-3'!X7</f>
        <v>451.62581950921015</v>
      </c>
      <c r="J13" s="210">
        <f>'Table 7-3'!Y7</f>
        <v>428.00219368459716</v>
      </c>
      <c r="K13" s="210">
        <f>'Table 7-3'!Z7</f>
        <v>404.37856785998417</v>
      </c>
      <c r="L13" s="210">
        <f>'Table 7-3'!AA7</f>
        <v>380.75494203537124</v>
      </c>
      <c r="M13" s="210">
        <f>'Table 7-3'!AB7</f>
        <v>357.13131621075826</v>
      </c>
      <c r="N13" s="210">
        <f>'Table 7-3'!AC7</f>
        <v>333.50769038614533</v>
      </c>
      <c r="O13" s="210">
        <f>'Table 7-3'!AD7</f>
        <v>309.88406456153234</v>
      </c>
      <c r="P13" s="210">
        <f>'Table 7-3'!AE7</f>
        <v>286.26043873691941</v>
      </c>
      <c r="Q13" s="210">
        <f>'Table 7-3'!AF7</f>
        <v>262.63681291230648</v>
      </c>
    </row>
    <row r="14" spans="1:17" x14ac:dyDescent="0.2">
      <c r="A14" s="203">
        <f>'Table 7-3'!A8</f>
        <v>3</v>
      </c>
      <c r="B14" s="203" t="str">
        <f>'Table 7-3'!B8</f>
        <v>Securitized Debt RRQ</v>
      </c>
      <c r="C14" s="210">
        <f>'Table 7-3'!R8</f>
        <v>394.73807121285319</v>
      </c>
      <c r="D14" s="210">
        <f>'Table 7-3'!S8</f>
        <v>394.73807121285319</v>
      </c>
      <c r="E14" s="210">
        <f>'Table 7-3'!T8</f>
        <v>394.73807121285319</v>
      </c>
      <c r="F14" s="210">
        <f>'Table 7-3'!U8</f>
        <v>394.73807121285319</v>
      </c>
      <c r="G14" s="210">
        <f>'Table 7-3'!V8</f>
        <v>394.73807121285319</v>
      </c>
      <c r="H14" s="210">
        <f>'Table 7-3'!W8</f>
        <v>394.73807121285319</v>
      </c>
      <c r="I14" s="210">
        <f>'Table 7-3'!X8</f>
        <v>394.73807121285319</v>
      </c>
      <c r="J14" s="210">
        <f>'Table 7-3'!Y8</f>
        <v>394.73807121285319</v>
      </c>
      <c r="K14" s="210">
        <f>'Table 7-3'!Z8</f>
        <v>394.73807121285319</v>
      </c>
      <c r="L14" s="210">
        <f>'Table 7-3'!AA8</f>
        <v>394.73807121285319</v>
      </c>
      <c r="M14" s="210">
        <f>'Table 7-3'!AB8</f>
        <v>394.73807121285319</v>
      </c>
      <c r="N14" s="210">
        <f>'Table 7-3'!AC8</f>
        <v>394.73807121285319</v>
      </c>
      <c r="O14" s="210">
        <f>'Table 7-3'!AD8</f>
        <v>394.73807121285319</v>
      </c>
      <c r="P14" s="210">
        <f>'Table 7-3'!AE8</f>
        <v>394.73807121285319</v>
      </c>
      <c r="Q14" s="210">
        <f>'Table 7-3'!AF8</f>
        <v>331.30511474496501</v>
      </c>
    </row>
    <row r="15" spans="1:17" x14ac:dyDescent="0.2">
      <c r="A15" s="203">
        <f>'Table 7-3'!A9</f>
        <v>4</v>
      </c>
      <c r="B15" s="203" t="str">
        <f>'Table 7-3'!B9</f>
        <v>Annual Savings</v>
      </c>
      <c r="C15" s="210">
        <f>'Table 7-3'!R9</f>
        <v>198.62950324403465</v>
      </c>
      <c r="D15" s="210">
        <f>'Table 7-3'!S9</f>
        <v>175.00587741942167</v>
      </c>
      <c r="E15" s="210">
        <f>'Table 7-3'!T9</f>
        <v>151.38225159480868</v>
      </c>
      <c r="F15" s="210">
        <f>'Table 7-3'!U9</f>
        <v>127.75862577019581</v>
      </c>
      <c r="G15" s="210">
        <f>'Table 7-3'!V9</f>
        <v>104.13499994558288</v>
      </c>
      <c r="H15" s="210">
        <f>'Table 7-3'!W9</f>
        <v>80.511374120969947</v>
      </c>
      <c r="I15" s="210">
        <f>'Table 7-3'!X9</f>
        <v>56.887748296356961</v>
      </c>
      <c r="J15" s="210">
        <f>'Table 7-3'!Y9</f>
        <v>33.264122471743974</v>
      </c>
      <c r="K15" s="210">
        <f>'Table 7-3'!Z9</f>
        <v>9.6404966471309876</v>
      </c>
      <c r="L15" s="210">
        <f>'Table 7-3'!AA9</f>
        <v>-13.983129177481942</v>
      </c>
      <c r="M15" s="210">
        <f>'Table 7-3'!AB9</f>
        <v>-37.606755002094928</v>
      </c>
      <c r="N15" s="210">
        <f>'Table 7-3'!AC9</f>
        <v>-61.230380826707858</v>
      </c>
      <c r="O15" s="210">
        <f>'Table 7-3'!AD9</f>
        <v>-84.854006651320844</v>
      </c>
      <c r="P15" s="210">
        <f>'Table 7-3'!AE9</f>
        <v>-108.47763247593377</v>
      </c>
      <c r="Q15" s="210">
        <f>'Table 7-3'!AF9</f>
        <v>-68.668301832658528</v>
      </c>
    </row>
    <row r="16" spans="1:17" x14ac:dyDescent="0.2">
      <c r="A16" s="203">
        <f>'Table 7-3'!A10</f>
        <v>5</v>
      </c>
      <c r="B16" s="203" t="str">
        <f>'Table 7-3'!B10</f>
        <v>Cumulative Annual Savings</v>
      </c>
      <c r="C16" s="210">
        <f>'Table 7-3'!R10</f>
        <v>6333.4968218699332</v>
      </c>
      <c r="D16" s="210">
        <f>'Table 7-3'!S10</f>
        <v>6508.5026992893545</v>
      </c>
      <c r="E16" s="210">
        <f>'Table 7-3'!T10</f>
        <v>6659.8849508841631</v>
      </c>
      <c r="F16" s="210">
        <f>'Table 7-3'!U10</f>
        <v>6787.6435766543591</v>
      </c>
      <c r="G16" s="210">
        <f>'Table 7-3'!V10</f>
        <v>6891.7785765999415</v>
      </c>
      <c r="H16" s="210">
        <f>'Table 7-3'!W10</f>
        <v>6972.2899507209113</v>
      </c>
      <c r="I16" s="210">
        <f>'Table 7-3'!X10</f>
        <v>7029.1776990172684</v>
      </c>
      <c r="J16" s="210">
        <f>'Table 7-3'!Y10</f>
        <v>7062.441821489012</v>
      </c>
      <c r="K16" s="210">
        <f>'Table 7-3'!Z10</f>
        <v>7072.0823181361429</v>
      </c>
      <c r="L16" s="210">
        <f>'Table 7-3'!AA10</f>
        <v>7058.0991889586612</v>
      </c>
      <c r="M16" s="210">
        <f>'Table 7-3'!AB10</f>
        <v>7020.4924339565659</v>
      </c>
      <c r="N16" s="210">
        <f>'Table 7-3'!AC10</f>
        <v>6959.262053129858</v>
      </c>
      <c r="O16" s="210">
        <f>'Table 7-3'!AD10</f>
        <v>6874.4080464785375</v>
      </c>
      <c r="P16" s="210">
        <f>'Table 7-3'!AE10</f>
        <v>6765.9304140026034</v>
      </c>
      <c r="Q16" s="210">
        <f>'Table 7-3'!AF10</f>
        <v>6697.2621121699449</v>
      </c>
    </row>
    <row r="17" spans="1:17" x14ac:dyDescent="0.2">
      <c r="A17" s="203">
        <f>'Table 7-3'!A11</f>
        <v>6</v>
      </c>
      <c r="C17" s="199"/>
      <c r="D17" s="199"/>
      <c r="E17" s="199"/>
      <c r="F17" s="199"/>
      <c r="G17" s="199"/>
      <c r="H17" s="199"/>
      <c r="I17" s="199"/>
      <c r="J17" s="199"/>
      <c r="K17" s="199"/>
      <c r="L17" s="199"/>
      <c r="M17" s="199"/>
      <c r="N17" s="199"/>
      <c r="O17" s="199"/>
      <c r="P17" s="199"/>
      <c r="Q17" s="199"/>
    </row>
    <row r="18" spans="1:17" ht="15" x14ac:dyDescent="0.25">
      <c r="A18" s="203">
        <f>'Table 7-3'!A12</f>
        <v>7</v>
      </c>
      <c r="B18" s="8" t="str">
        <f>'Table 7-3'!B12</f>
        <v>Present Value of Annual Savings</v>
      </c>
      <c r="C18" s="202">
        <f>'Table 7-3'!C12</f>
        <v>4215.6016929321586</v>
      </c>
      <c r="D18" s="199"/>
      <c r="E18" s="199"/>
      <c r="F18" s="199"/>
      <c r="G18" s="199"/>
      <c r="H18" s="199"/>
      <c r="I18" s="199"/>
      <c r="J18" s="199"/>
      <c r="K18" s="199"/>
      <c r="L18" s="199"/>
      <c r="M18" s="199"/>
      <c r="N18" s="199"/>
      <c r="O18" s="199"/>
      <c r="P18" s="199"/>
      <c r="Q18" s="199"/>
    </row>
    <row r="19" spans="1:17" ht="16.5" x14ac:dyDescent="0.2">
      <c r="A19" s="203">
        <f>'Table 7-3'!A13</f>
        <v>8</v>
      </c>
      <c r="B19" s="10" t="s">
        <v>140</v>
      </c>
      <c r="C19" s="204">
        <f>'Table 7-3'!C13</f>
        <v>7.3400000000000007E-2</v>
      </c>
    </row>
    <row r="21" spans="1:17" ht="16.5" x14ac:dyDescent="0.2">
      <c r="B21" s="10" t="s">
        <v>146</v>
      </c>
    </row>
  </sheetData>
  <mergeCells count="3">
    <mergeCell ref="B2:Q2"/>
    <mergeCell ref="B3:Q3"/>
    <mergeCell ref="B4:Q4"/>
  </mergeCells>
  <pageMargins left="0.7" right="0.7"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F31"/>
  <sheetViews>
    <sheetView showGridLines="0" zoomScale="90" zoomScaleNormal="90" workbookViewId="0">
      <selection activeCell="B33" sqref="B33"/>
    </sheetView>
  </sheetViews>
  <sheetFormatPr defaultColWidth="8.7109375" defaultRowHeight="14.25" x14ac:dyDescent="0.2"/>
  <cols>
    <col min="1" max="1" width="3.28515625" style="5" customWidth="1"/>
    <col min="2" max="2" width="47.42578125" style="17" bestFit="1" customWidth="1"/>
    <col min="3" max="3" width="17.42578125" style="17" bestFit="1" customWidth="1"/>
    <col min="4" max="4" width="2.140625" style="17" customWidth="1"/>
    <col min="5" max="5" width="15.140625" style="17" bestFit="1" customWidth="1"/>
    <col min="6" max="6" width="2.140625" style="17" customWidth="1"/>
    <col min="7" max="7" width="10.140625" style="17" bestFit="1" customWidth="1"/>
    <col min="8" max="8" width="9.42578125" style="5" bestFit="1" customWidth="1"/>
    <col min="9" max="9" width="8.7109375" style="5"/>
    <col min="10" max="10" width="10.140625" style="5" bestFit="1" customWidth="1"/>
    <col min="11" max="16384" width="8.7109375" style="5"/>
  </cols>
  <sheetData>
    <row r="1" spans="1:32" ht="15" x14ac:dyDescent="0.25">
      <c r="B1" s="307" t="s">
        <v>61</v>
      </c>
      <c r="C1" s="307"/>
      <c r="D1" s="307"/>
      <c r="E1" s="307"/>
      <c r="F1" s="307"/>
      <c r="G1" s="307"/>
      <c r="H1" s="86"/>
      <c r="I1" s="86"/>
      <c r="J1" s="86"/>
      <c r="K1" s="86"/>
      <c r="L1" s="86"/>
      <c r="M1" s="86"/>
      <c r="N1" s="86"/>
      <c r="O1" s="86"/>
      <c r="P1" s="86"/>
      <c r="Q1" s="86"/>
      <c r="R1" s="86"/>
      <c r="S1" s="86"/>
      <c r="T1" s="86"/>
      <c r="U1" s="86"/>
      <c r="V1" s="86"/>
      <c r="W1" s="86"/>
      <c r="X1" s="86"/>
      <c r="Y1" s="86"/>
      <c r="Z1" s="86"/>
      <c r="AA1" s="86"/>
      <c r="AB1" s="86"/>
      <c r="AC1" s="86"/>
      <c r="AD1" s="86"/>
      <c r="AE1" s="86"/>
      <c r="AF1" s="86"/>
    </row>
    <row r="2" spans="1:32" ht="14.45" customHeight="1" x14ac:dyDescent="0.25">
      <c r="B2" s="307" t="s">
        <v>151</v>
      </c>
      <c r="C2" s="307"/>
      <c r="D2" s="307"/>
      <c r="E2" s="307"/>
      <c r="F2" s="307"/>
      <c r="G2" s="307"/>
      <c r="H2" s="86"/>
      <c r="I2" s="86"/>
      <c r="J2" s="86"/>
      <c r="K2" s="86"/>
      <c r="L2" s="86"/>
      <c r="M2" s="86"/>
      <c r="N2" s="86"/>
      <c r="O2" s="86"/>
      <c r="P2" s="86"/>
      <c r="Q2" s="86"/>
      <c r="R2" s="86"/>
      <c r="S2" s="86"/>
      <c r="T2" s="86"/>
      <c r="U2" s="86"/>
      <c r="V2" s="86"/>
      <c r="W2" s="86"/>
      <c r="X2" s="86"/>
      <c r="Y2" s="86"/>
      <c r="Z2" s="86"/>
      <c r="AA2" s="86"/>
      <c r="AB2" s="86"/>
      <c r="AC2" s="86"/>
      <c r="AD2" s="86"/>
      <c r="AE2" s="86"/>
      <c r="AF2" s="86"/>
    </row>
    <row r="3" spans="1:32" ht="14.45" customHeight="1" x14ac:dyDescent="0.2">
      <c r="B3" s="308" t="s">
        <v>5</v>
      </c>
      <c r="C3" s="308"/>
      <c r="D3" s="308"/>
      <c r="E3" s="308"/>
      <c r="F3" s="308"/>
      <c r="G3" s="308"/>
      <c r="H3" s="10"/>
      <c r="I3" s="10"/>
      <c r="J3" s="10"/>
      <c r="K3" s="10"/>
      <c r="L3" s="10"/>
      <c r="M3" s="10"/>
      <c r="N3" s="10"/>
      <c r="O3" s="10"/>
      <c r="P3" s="10"/>
      <c r="Q3" s="10"/>
      <c r="R3" s="10"/>
      <c r="S3" s="10"/>
      <c r="T3" s="10"/>
      <c r="U3" s="10"/>
      <c r="V3" s="10"/>
      <c r="W3" s="10"/>
      <c r="X3" s="10"/>
      <c r="Y3" s="10"/>
      <c r="Z3" s="10"/>
      <c r="AA3" s="10"/>
      <c r="AB3" s="10"/>
      <c r="AC3" s="10"/>
      <c r="AD3" s="10"/>
      <c r="AE3" s="10"/>
      <c r="AF3" s="10"/>
    </row>
    <row r="5" spans="1:32" ht="15" x14ac:dyDescent="0.2">
      <c r="B5" s="81" t="s">
        <v>90</v>
      </c>
      <c r="C5" s="81"/>
      <c r="D5" s="81"/>
      <c r="E5" s="81"/>
      <c r="F5" s="81"/>
      <c r="G5" s="81"/>
    </row>
    <row r="6" spans="1:32" ht="15" x14ac:dyDescent="0.25">
      <c r="A6" s="5">
        <v>1</v>
      </c>
      <c r="B6" s="35"/>
      <c r="C6" s="84" t="s">
        <v>51</v>
      </c>
      <c r="D6" s="85"/>
      <c r="E6" s="84" t="s">
        <v>52</v>
      </c>
      <c r="F6" s="76"/>
      <c r="G6" s="55" t="s">
        <v>8</v>
      </c>
    </row>
    <row r="7" spans="1:32" x14ac:dyDescent="0.2">
      <c r="A7" s="5">
        <v>2</v>
      </c>
      <c r="B7" s="35" t="s">
        <v>50</v>
      </c>
      <c r="C7" s="36">
        <v>-25500</v>
      </c>
      <c r="D7" s="35"/>
      <c r="E7" s="36">
        <v>-25500</v>
      </c>
      <c r="F7" s="35"/>
      <c r="G7" s="35"/>
    </row>
    <row r="8" spans="1:32" ht="16.5" x14ac:dyDescent="0.2">
      <c r="A8" s="5">
        <v>3</v>
      </c>
      <c r="B8" s="35" t="s">
        <v>179</v>
      </c>
      <c r="C8" s="37">
        <v>-320</v>
      </c>
      <c r="D8" s="35"/>
      <c r="E8" s="37">
        <v>-4800</v>
      </c>
      <c r="F8" s="35"/>
      <c r="G8" s="35"/>
    </row>
    <row r="9" spans="1:32" x14ac:dyDescent="0.2">
      <c r="A9" s="5">
        <v>4</v>
      </c>
      <c r="B9" s="35" t="s">
        <v>180</v>
      </c>
      <c r="C9" s="37">
        <v>-192</v>
      </c>
      <c r="D9" s="35"/>
      <c r="E9" s="37">
        <v>-192</v>
      </c>
      <c r="F9" s="35"/>
      <c r="G9" s="35"/>
    </row>
    <row r="10" spans="1:32" x14ac:dyDescent="0.2">
      <c r="A10" s="5">
        <v>5</v>
      </c>
      <c r="B10" s="35" t="s">
        <v>53</v>
      </c>
      <c r="C10" s="37">
        <v>2200</v>
      </c>
      <c r="D10" s="35"/>
      <c r="E10" s="37">
        <v>2200</v>
      </c>
      <c r="F10" s="35"/>
      <c r="G10" s="35"/>
    </row>
    <row r="11" spans="1:32" ht="15" x14ac:dyDescent="0.25">
      <c r="A11" s="5">
        <v>6</v>
      </c>
      <c r="B11" s="57" t="s">
        <v>54</v>
      </c>
      <c r="C11" s="82">
        <f>SUM(C7:C10)</f>
        <v>-23812</v>
      </c>
      <c r="D11" s="58"/>
      <c r="E11" s="82">
        <f>SUM(E7:E10)</f>
        <v>-28292</v>
      </c>
      <c r="F11" s="35"/>
      <c r="G11" s="35"/>
    </row>
    <row r="12" spans="1:32" x14ac:dyDescent="0.2">
      <c r="A12" s="5">
        <v>7</v>
      </c>
      <c r="B12" s="35"/>
      <c r="C12" s="38"/>
      <c r="D12" s="39"/>
      <c r="E12" s="38"/>
      <c r="F12" s="35"/>
      <c r="G12" s="35"/>
    </row>
    <row r="13" spans="1:32" ht="15" x14ac:dyDescent="0.25">
      <c r="A13" s="5">
        <v>8</v>
      </c>
      <c r="B13" s="35" t="s">
        <v>55</v>
      </c>
      <c r="C13" s="36">
        <v>423</v>
      </c>
      <c r="D13" s="37"/>
      <c r="E13" s="40">
        <v>0</v>
      </c>
      <c r="F13" s="35"/>
      <c r="G13" s="35"/>
      <c r="J13" s="77"/>
    </row>
    <row r="14" spans="1:32" ht="15" x14ac:dyDescent="0.25">
      <c r="A14" s="5">
        <v>9</v>
      </c>
      <c r="B14" s="35" t="s">
        <v>56</v>
      </c>
      <c r="C14" s="37">
        <f>-C11</f>
        <v>23812</v>
      </c>
      <c r="D14" s="37"/>
      <c r="E14" s="37">
        <f>-E11</f>
        <v>28292</v>
      </c>
      <c r="F14" s="35"/>
      <c r="G14" s="35"/>
      <c r="J14" s="78"/>
    </row>
    <row r="15" spans="1:32" ht="15" x14ac:dyDescent="0.25">
      <c r="A15" s="5">
        <v>10</v>
      </c>
      <c r="B15" s="57" t="s">
        <v>148</v>
      </c>
      <c r="C15" s="82">
        <f>SUM(C13:C14)</f>
        <v>24235</v>
      </c>
      <c r="D15" s="83"/>
      <c r="E15" s="82">
        <f>SUM(E13:E14)</f>
        <v>28292</v>
      </c>
      <c r="F15" s="35"/>
      <c r="G15" s="35"/>
      <c r="J15" s="54"/>
    </row>
    <row r="16" spans="1:32" x14ac:dyDescent="0.2">
      <c r="A16" s="5">
        <v>11</v>
      </c>
      <c r="B16" s="41"/>
      <c r="C16" s="37"/>
      <c r="D16" s="37"/>
      <c r="E16" s="37"/>
      <c r="F16" s="35"/>
      <c r="G16" s="35"/>
    </row>
    <row r="17" spans="1:9" ht="15" thickBot="1" x14ac:dyDescent="0.25">
      <c r="A17" s="5">
        <v>12</v>
      </c>
      <c r="B17" s="35" t="s">
        <v>57</v>
      </c>
      <c r="C17" s="147">
        <v>0.21</v>
      </c>
      <c r="D17" s="35"/>
      <c r="E17" s="148">
        <v>8.8400000000000006E-2</v>
      </c>
      <c r="F17" s="35"/>
      <c r="G17" s="35"/>
    </row>
    <row r="18" spans="1:9" ht="15.75" thickBot="1" x14ac:dyDescent="0.3">
      <c r="A18" s="5">
        <v>13</v>
      </c>
      <c r="B18" s="224" t="s">
        <v>87</v>
      </c>
      <c r="C18" s="225">
        <f>C17*C15</f>
        <v>5089.3499999999995</v>
      </c>
      <c r="D18" s="226"/>
      <c r="E18" s="225">
        <f>E17*E15</f>
        <v>2501.0128</v>
      </c>
      <c r="F18" s="225"/>
      <c r="G18" s="227">
        <f>SUM(E18,C18)</f>
        <v>7590.362799999999</v>
      </c>
      <c r="H18" s="79"/>
    </row>
    <row r="19" spans="1:9" x14ac:dyDescent="0.2">
      <c r="A19" s="5">
        <v>14</v>
      </c>
    </row>
    <row r="20" spans="1:9" x14ac:dyDescent="0.2">
      <c r="A20" s="5">
        <v>15</v>
      </c>
    </row>
    <row r="21" spans="1:9" ht="15" x14ac:dyDescent="0.2">
      <c r="A21" s="5">
        <v>16</v>
      </c>
      <c r="B21" s="81" t="s">
        <v>99</v>
      </c>
      <c r="C21" s="81"/>
      <c r="D21" s="81"/>
      <c r="E21" s="81"/>
      <c r="F21" s="81"/>
      <c r="G21" s="81"/>
    </row>
    <row r="22" spans="1:9" ht="15" x14ac:dyDescent="0.25">
      <c r="A22" s="5">
        <v>17</v>
      </c>
      <c r="C22" s="84" t="s">
        <v>59</v>
      </c>
      <c r="D22" s="85"/>
      <c r="E22" s="84" t="s">
        <v>60</v>
      </c>
      <c r="F22" s="76"/>
      <c r="G22" s="55" t="s">
        <v>8</v>
      </c>
    </row>
    <row r="23" spans="1:9" ht="15" x14ac:dyDescent="0.25">
      <c r="A23" s="5">
        <v>18</v>
      </c>
      <c r="B23" s="35" t="s">
        <v>79</v>
      </c>
      <c r="C23" s="36">
        <v>3557.2939999999999</v>
      </c>
      <c r="D23" s="56"/>
      <c r="E23" s="36">
        <v>0</v>
      </c>
      <c r="F23" s="33"/>
      <c r="G23" s="56"/>
    </row>
    <row r="24" spans="1:9" ht="15" x14ac:dyDescent="0.25">
      <c r="A24" s="5">
        <v>19</v>
      </c>
      <c r="B24" s="35" t="s">
        <v>62</v>
      </c>
      <c r="C24" s="36">
        <v>1904.3453199999999</v>
      </c>
      <c r="D24" s="56"/>
      <c r="E24" s="36">
        <v>1910.9701520000001</v>
      </c>
      <c r="F24" s="33"/>
      <c r="G24" s="56"/>
    </row>
    <row r="25" spans="1:9" ht="15" x14ac:dyDescent="0.25">
      <c r="A25" s="5">
        <v>20</v>
      </c>
      <c r="B25" s="57" t="s">
        <v>147</v>
      </c>
      <c r="C25" s="56">
        <f>SUM(C23:C24)</f>
        <v>5461.6393200000002</v>
      </c>
      <c r="D25" s="56"/>
      <c r="E25" s="56">
        <f>SUM(E23:E24)</f>
        <v>1910.9701520000001</v>
      </c>
      <c r="F25" s="33"/>
      <c r="G25" s="56"/>
    </row>
    <row r="26" spans="1:9" x14ac:dyDescent="0.2">
      <c r="A26" s="5">
        <v>21</v>
      </c>
      <c r="H26" s="36"/>
      <c r="I26" s="36"/>
    </row>
    <row r="27" spans="1:9" x14ac:dyDescent="0.2">
      <c r="A27" s="5">
        <v>22</v>
      </c>
      <c r="B27" s="60" t="s">
        <v>57</v>
      </c>
      <c r="C27" s="87">
        <v>0.21</v>
      </c>
      <c r="D27" s="87"/>
      <c r="E27" s="87">
        <v>8.8400000000000006E-2</v>
      </c>
      <c r="F27" s="60"/>
      <c r="G27" s="60"/>
    </row>
    <row r="28" spans="1:9" ht="15" x14ac:dyDescent="0.25">
      <c r="A28" s="5">
        <v>23</v>
      </c>
      <c r="B28" s="57" t="s">
        <v>58</v>
      </c>
      <c r="C28" s="58">
        <f>C27*C25</f>
        <v>1146.9442572</v>
      </c>
      <c r="D28" s="59"/>
      <c r="E28" s="58">
        <f>E27*E25</f>
        <v>168.92976143680002</v>
      </c>
      <c r="F28" s="58"/>
      <c r="G28" s="58">
        <f>SUM(E28,C28)</f>
        <v>1315.8740186368</v>
      </c>
    </row>
    <row r="31" spans="1:9" ht="57.95" customHeight="1" x14ac:dyDescent="0.2">
      <c r="B31" s="309" t="s">
        <v>170</v>
      </c>
      <c r="C31" s="309"/>
      <c r="D31" s="309"/>
      <c r="E31" s="309"/>
      <c r="F31" s="309"/>
      <c r="G31" s="309"/>
    </row>
  </sheetData>
  <mergeCells count="4">
    <mergeCell ref="B1:G1"/>
    <mergeCell ref="B2:G2"/>
    <mergeCell ref="B3:G3"/>
    <mergeCell ref="B31:G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H31"/>
  <sheetViews>
    <sheetView showGridLines="0" zoomScale="85" zoomScaleNormal="85" workbookViewId="0">
      <pane xSplit="3" ySplit="5" topLeftCell="D6" activePane="bottomRight" state="frozen"/>
      <selection pane="topRight" activeCell="D1" sqref="D1"/>
      <selection pane="bottomLeft" activeCell="A6" sqref="A6"/>
      <selection pane="bottomRight" activeCell="N33" sqref="N33"/>
    </sheetView>
  </sheetViews>
  <sheetFormatPr defaultColWidth="8.7109375" defaultRowHeight="14.25" x14ac:dyDescent="0.2"/>
  <cols>
    <col min="1" max="1" width="3.42578125" style="5" customWidth="1"/>
    <col min="2" max="2" width="8.7109375" style="5"/>
    <col min="3" max="3" width="44.42578125" style="5" customWidth="1"/>
    <col min="4" max="4" width="15.42578125" style="5" bestFit="1" customWidth="1"/>
    <col min="5" max="5" width="10.85546875" style="5" customWidth="1"/>
    <col min="6" max="8" width="9.28515625" style="5" bestFit="1" customWidth="1"/>
    <col min="9" max="11" width="10.28515625" style="5" bestFit="1" customWidth="1"/>
    <col min="12" max="12" width="11.28515625" style="5" customWidth="1"/>
    <col min="13" max="13" width="10.28515625" style="5" bestFit="1" customWidth="1"/>
    <col min="14" max="20" width="10.7109375" style="5" bestFit="1" customWidth="1"/>
    <col min="21" max="34" width="9.28515625" style="5" bestFit="1" customWidth="1"/>
    <col min="35" max="16384" width="8.7109375" style="5"/>
  </cols>
  <sheetData>
    <row r="1" spans="1:34" ht="15" x14ac:dyDescent="0.25">
      <c r="B1" s="310" t="s">
        <v>63</v>
      </c>
      <c r="C1" s="307"/>
      <c r="D1" s="307"/>
      <c r="E1" s="307"/>
      <c r="F1" s="307"/>
      <c r="G1" s="307"/>
      <c r="H1" s="307"/>
      <c r="I1" s="307"/>
      <c r="J1" s="307"/>
      <c r="K1" s="307"/>
      <c r="L1" s="307"/>
      <c r="M1" s="307"/>
      <c r="N1" s="307"/>
      <c r="O1" s="86"/>
      <c r="P1" s="86"/>
      <c r="Q1" s="86"/>
      <c r="R1" s="86"/>
      <c r="S1" s="86"/>
      <c r="T1" s="86"/>
      <c r="U1" s="86"/>
      <c r="V1" s="86"/>
      <c r="W1" s="86"/>
      <c r="X1" s="86"/>
      <c r="Y1" s="86"/>
      <c r="Z1" s="86"/>
      <c r="AA1" s="86"/>
      <c r="AB1" s="86"/>
      <c r="AC1" s="86"/>
      <c r="AD1" s="86"/>
      <c r="AE1" s="86"/>
      <c r="AF1" s="86"/>
    </row>
    <row r="2" spans="1:34" ht="15" x14ac:dyDescent="0.25">
      <c r="B2" s="310" t="s">
        <v>91</v>
      </c>
      <c r="C2" s="307"/>
      <c r="D2" s="307"/>
      <c r="E2" s="307"/>
      <c r="F2" s="307"/>
      <c r="G2" s="307"/>
      <c r="H2" s="307"/>
      <c r="I2" s="307"/>
      <c r="J2" s="307"/>
      <c r="K2" s="307"/>
      <c r="L2" s="307"/>
      <c r="M2" s="307"/>
      <c r="N2" s="307"/>
      <c r="O2" s="86"/>
      <c r="P2" s="86"/>
      <c r="Q2" s="86"/>
      <c r="R2" s="86"/>
      <c r="S2" s="86"/>
      <c r="T2" s="86"/>
      <c r="U2" s="86"/>
      <c r="V2" s="86"/>
      <c r="W2" s="86"/>
      <c r="X2" s="86"/>
      <c r="Y2" s="86"/>
      <c r="Z2" s="86"/>
      <c r="AA2" s="86"/>
      <c r="AB2" s="86"/>
      <c r="AC2" s="86"/>
      <c r="AD2" s="86"/>
      <c r="AE2" s="86"/>
      <c r="AF2" s="86"/>
    </row>
    <row r="3" spans="1:34" x14ac:dyDescent="0.2">
      <c r="B3" s="311" t="s">
        <v>5</v>
      </c>
      <c r="C3" s="308"/>
      <c r="D3" s="308"/>
      <c r="E3" s="308"/>
      <c r="F3" s="308"/>
      <c r="G3" s="308"/>
      <c r="H3" s="308"/>
      <c r="I3" s="308"/>
      <c r="J3" s="308"/>
      <c r="K3" s="308"/>
      <c r="L3" s="308"/>
      <c r="M3" s="308"/>
      <c r="N3" s="308"/>
      <c r="O3" s="10"/>
      <c r="P3" s="10"/>
      <c r="Q3" s="10"/>
      <c r="R3" s="10"/>
      <c r="S3" s="10"/>
      <c r="T3" s="10"/>
      <c r="U3" s="10"/>
      <c r="V3" s="10"/>
      <c r="W3" s="10"/>
      <c r="X3" s="10"/>
      <c r="Y3" s="10"/>
      <c r="Z3" s="10"/>
      <c r="AA3" s="10"/>
      <c r="AB3" s="10"/>
      <c r="AC3" s="10"/>
      <c r="AD3" s="10"/>
      <c r="AE3" s="10"/>
      <c r="AF3" s="10"/>
    </row>
    <row r="4" spans="1:34"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34" ht="15" x14ac:dyDescent="0.25">
      <c r="A5" s="5">
        <v>1</v>
      </c>
      <c r="B5" s="8"/>
      <c r="C5" s="228"/>
      <c r="D5" s="51">
        <v>2020</v>
      </c>
      <c r="E5" s="51">
        <v>2021</v>
      </c>
      <c r="F5" s="51">
        <v>2022</v>
      </c>
      <c r="G5" s="51">
        <v>2023</v>
      </c>
      <c r="H5" s="51">
        <v>2024</v>
      </c>
      <c r="I5" s="51">
        <v>2025</v>
      </c>
      <c r="J5" s="51">
        <v>2026</v>
      </c>
      <c r="K5" s="51">
        <v>2027</v>
      </c>
      <c r="L5" s="51">
        <v>2028</v>
      </c>
      <c r="M5" s="51">
        <v>2029</v>
      </c>
      <c r="N5" s="51">
        <v>2030</v>
      </c>
      <c r="O5" s="51">
        <v>2031</v>
      </c>
      <c r="P5" s="51">
        <v>2032</v>
      </c>
      <c r="Q5" s="51">
        <v>2033</v>
      </c>
      <c r="R5" s="51">
        <v>2034</v>
      </c>
      <c r="S5" s="51">
        <v>2035</v>
      </c>
      <c r="T5" s="51">
        <v>2036</v>
      </c>
      <c r="U5" s="51">
        <v>2037</v>
      </c>
      <c r="V5" s="51">
        <v>2038</v>
      </c>
      <c r="W5" s="51">
        <v>2039</v>
      </c>
      <c r="X5" s="51">
        <v>2040</v>
      </c>
      <c r="Y5" s="229">
        <v>2041</v>
      </c>
      <c r="Z5" s="229">
        <v>2042</v>
      </c>
      <c r="AA5" s="229">
        <v>2043</v>
      </c>
      <c r="AB5" s="229">
        <v>2044</v>
      </c>
      <c r="AC5" s="229">
        <v>2045</v>
      </c>
      <c r="AD5" s="229">
        <v>2046</v>
      </c>
      <c r="AE5" s="229">
        <v>2047</v>
      </c>
      <c r="AF5" s="229">
        <v>2048</v>
      </c>
      <c r="AG5" s="229">
        <v>2049</v>
      </c>
      <c r="AH5" s="229">
        <v>2050</v>
      </c>
    </row>
    <row r="6" spans="1:34" ht="15" x14ac:dyDescent="0.25">
      <c r="A6" s="5">
        <v>2</v>
      </c>
      <c r="B6" s="8" t="s">
        <v>45</v>
      </c>
      <c r="C6" s="16"/>
    </row>
    <row r="7" spans="1:34" x14ac:dyDescent="0.2">
      <c r="A7" s="5">
        <v>3</v>
      </c>
      <c r="B7" s="6" t="s">
        <v>49</v>
      </c>
      <c r="D7" s="211">
        <f>'Taxable Income Forecast'!C21/1000</f>
        <v>-20599.161553780759</v>
      </c>
      <c r="E7" s="211">
        <f>'Taxable Income Forecast'!D21/1000</f>
        <v>-1324.5441026827157</v>
      </c>
      <c r="F7" s="211">
        <f>'Taxable Income Forecast'!E21/1000</f>
        <v>-166.24919191295024</v>
      </c>
      <c r="G7" s="211">
        <f>'Taxable Income Forecast'!F21/1000</f>
        <v>1588.1296796893023</v>
      </c>
      <c r="H7" s="211">
        <f>'Taxable Income Forecast'!G21/1000</f>
        <v>1935.9125362298423</v>
      </c>
      <c r="I7" s="211">
        <f>'Taxable Income Forecast'!H21/1000</f>
        <v>2109.432666810435</v>
      </c>
      <c r="J7" s="211">
        <f>'Taxable Income Forecast'!I21/1000</f>
        <v>2355.3161761197489</v>
      </c>
      <c r="K7" s="211">
        <f>'Taxable Income Forecast'!J21/1000</f>
        <v>2622.9878386211394</v>
      </c>
      <c r="L7" s="211">
        <f>'Taxable Income Forecast'!K21/1000</f>
        <v>2913.4203557214896</v>
      </c>
      <c r="M7" s="211">
        <f>'Taxable Income Forecast'!L21/1000</f>
        <v>3220.9033299193152</v>
      </c>
      <c r="N7" s="211">
        <f>'Taxable Income Forecast'!M21/1000</f>
        <v>3561.570726575555</v>
      </c>
      <c r="O7" s="211">
        <f>'Taxable Income Forecast'!N21/1000</f>
        <v>3796.5018317924014</v>
      </c>
      <c r="P7" s="211">
        <f>'Taxable Income Forecast'!O21/1000</f>
        <v>4058.3640258702385</v>
      </c>
      <c r="Q7" s="211">
        <f>'Taxable Income Forecast'!P21/1000</f>
        <v>4334.9809649487288</v>
      </c>
      <c r="R7" s="211">
        <f>'Taxable Income Forecast'!Q21/1000</f>
        <v>4627.2239459445418</v>
      </c>
      <c r="S7" s="211">
        <f>'Taxable Income Forecast'!R21/1000</f>
        <v>5452.1310258324856</v>
      </c>
      <c r="T7" s="211">
        <f>'Taxable Income Forecast'!S21/1000</f>
        <v>5754.0465965050698</v>
      </c>
      <c r="U7" s="211">
        <f>'Taxable Income Forecast'!T21/1000</f>
        <v>6051.8123733380007</v>
      </c>
      <c r="V7" s="211">
        <f>'Taxable Income Forecast'!U21/1000</f>
        <v>6361.7355749454691</v>
      </c>
      <c r="W7" s="211">
        <f>'Taxable Income Forecast'!V21/1000</f>
        <v>6687.1364393129306</v>
      </c>
      <c r="X7" s="211">
        <f>'Taxable Income Forecast'!W21/1000</f>
        <v>7028.7877195169012</v>
      </c>
      <c r="Y7" s="211">
        <f>'Taxable Income Forecast'!X21/1000</f>
        <v>7387.5007642588189</v>
      </c>
      <c r="Z7" s="211">
        <f>'Taxable Income Forecast'!Y21/1000</f>
        <v>7762.7079119068585</v>
      </c>
      <c r="AA7" s="211">
        <f>'Taxable Income Forecast'!Z21/1000</f>
        <v>8155.4288956604832</v>
      </c>
      <c r="AB7" s="211">
        <f>'Taxable Income Forecast'!AA21/1000</f>
        <v>8566.2182459214164</v>
      </c>
      <c r="AC7" s="211">
        <f>'Taxable Income Forecast'!AB21/1000</f>
        <v>8996.012051910322</v>
      </c>
      <c r="AD7" s="211">
        <f>'Taxable Income Forecast'!AC21/1000</f>
        <v>9447.4073458354651</v>
      </c>
      <c r="AE7" s="211">
        <f>'Taxable Income Forecast'!AD21/1000</f>
        <v>9921.7728444260993</v>
      </c>
      <c r="AF7" s="211">
        <f>'Taxable Income Forecast'!AE21/1000</f>
        <v>10420.375994012369</v>
      </c>
      <c r="AG7" s="211">
        <f>'Taxable Income Forecast'!AF21/1000</f>
        <v>10944.0367315726</v>
      </c>
      <c r="AH7" s="211">
        <f>'Taxable Income Forecast'!AG21/1000</f>
        <v>11494.0103074133</v>
      </c>
    </row>
    <row r="8" spans="1:34" x14ac:dyDescent="0.2">
      <c r="A8" s="5">
        <v>4</v>
      </c>
      <c r="B8" s="6" t="s">
        <v>104</v>
      </c>
      <c r="D8" s="230">
        <f>'Table 6-1'!C25</f>
        <v>5461.6393200000002</v>
      </c>
      <c r="E8" s="230">
        <f t="shared" ref="E8:AH8" si="0">D10</f>
        <v>5461.6393200000002</v>
      </c>
      <c r="F8" s="230">
        <f t="shared" si="0"/>
        <v>5461.6393200000002</v>
      </c>
      <c r="G8" s="230">
        <f t="shared" si="0"/>
        <v>5461.6393200000002</v>
      </c>
      <c r="H8" s="230">
        <f t="shared" si="0"/>
        <v>3873.5096403106982</v>
      </c>
      <c r="I8" s="230">
        <f t="shared" si="0"/>
        <v>1937.5971040808558</v>
      </c>
      <c r="J8" s="230">
        <f t="shared" si="0"/>
        <v>216.79918655165261</v>
      </c>
      <c r="K8" s="230">
        <f t="shared" si="0"/>
        <v>0</v>
      </c>
      <c r="L8" s="230">
        <f t="shared" si="0"/>
        <v>0</v>
      </c>
      <c r="M8" s="230">
        <f t="shared" si="0"/>
        <v>0</v>
      </c>
      <c r="N8" s="230">
        <f t="shared" si="0"/>
        <v>0</v>
      </c>
      <c r="O8" s="230">
        <f t="shared" si="0"/>
        <v>0</v>
      </c>
      <c r="P8" s="230">
        <f t="shared" si="0"/>
        <v>0</v>
      </c>
      <c r="Q8" s="230">
        <f t="shared" si="0"/>
        <v>0</v>
      </c>
      <c r="R8" s="230">
        <f t="shared" si="0"/>
        <v>0</v>
      </c>
      <c r="S8" s="230">
        <f t="shared" si="0"/>
        <v>0</v>
      </c>
      <c r="T8" s="230">
        <f t="shared" si="0"/>
        <v>0</v>
      </c>
      <c r="U8" s="230">
        <f t="shared" si="0"/>
        <v>0</v>
      </c>
      <c r="V8" s="230">
        <f t="shared" si="0"/>
        <v>0</v>
      </c>
      <c r="W8" s="230">
        <f t="shared" si="0"/>
        <v>0</v>
      </c>
      <c r="X8" s="230">
        <f t="shared" si="0"/>
        <v>0</v>
      </c>
      <c r="Y8" s="230">
        <f t="shared" si="0"/>
        <v>0</v>
      </c>
      <c r="Z8" s="230">
        <f t="shared" si="0"/>
        <v>0</v>
      </c>
      <c r="AA8" s="230">
        <f t="shared" si="0"/>
        <v>0</v>
      </c>
      <c r="AB8" s="230">
        <f t="shared" si="0"/>
        <v>0</v>
      </c>
      <c r="AC8" s="230">
        <f t="shared" si="0"/>
        <v>0</v>
      </c>
      <c r="AD8" s="230">
        <f t="shared" si="0"/>
        <v>0</v>
      </c>
      <c r="AE8" s="230">
        <f t="shared" si="0"/>
        <v>0</v>
      </c>
      <c r="AF8" s="230">
        <f t="shared" si="0"/>
        <v>0</v>
      </c>
      <c r="AG8" s="230">
        <f t="shared" si="0"/>
        <v>0</v>
      </c>
      <c r="AH8" s="230">
        <f t="shared" si="0"/>
        <v>0</v>
      </c>
    </row>
    <row r="9" spans="1:34" x14ac:dyDescent="0.2">
      <c r="A9" s="5">
        <v>5</v>
      </c>
      <c r="B9" s="53" t="s">
        <v>94</v>
      </c>
      <c r="D9" s="52">
        <f>-IF(OR(D7&lt;0,C10&lt;=0),0,IF(C10&lt;D7,C10,D7*0.8))</f>
        <v>0</v>
      </c>
      <c r="E9" s="52">
        <f>-IF(OR(E7&lt;0,D10&lt;=0),0,IF(D10&lt;E7,D10,E7*0.8))</f>
        <v>0</v>
      </c>
      <c r="F9" s="52">
        <f t="shared" ref="F9" si="1">-IF(OR(F7&lt;0,E10&lt;=0),0,IF(E10&lt;F7,E10,F7*0.8))</f>
        <v>0</v>
      </c>
      <c r="G9" s="52">
        <f>-IF(G8&gt;'Table 6-1'!$C$23,MIN(G7,F10),IF(-SUM($F$9:F9)&lt;'Table 6-1'!$C$23,MIN(SUM('Table 6-1'!$C$23,$F$9:F9)+G7*0.8,F10),MIN(G7,F10)))</f>
        <v>-1588.1296796893023</v>
      </c>
      <c r="H9" s="52">
        <f>-IF(H8&gt;'Table 6-1'!$C$23,MIN(H7,G10),IF(-SUM($F$9:G9)&lt;'Table 6-1'!$C$23,MIN(SUM('Table 6-1'!$C$23,$F$9:G9)+H7*0.8,G10),MIN(H7,G10)))</f>
        <v>-1935.9125362298423</v>
      </c>
      <c r="I9" s="52">
        <f>-IF(I8&gt;'Table 6-1'!$C$23,MIN(I7,H10),IF(-SUM($F$9:H9)&lt;'Table 6-1'!$C$23,MIN(SUM('Table 6-1'!$C$23,$F$9:H9)+I7*0.8,H10),MIN(I7,H10)))</f>
        <v>-1720.7979175292032</v>
      </c>
      <c r="J9" s="52">
        <f>-IF(J8&gt;'Table 6-1'!$C$23,MIN(J7,I10),IF(-SUM($F$9:I9)&lt;'Table 6-1'!$C$23,MIN(SUM('Table 6-1'!$C$23,$F$9:I9)+J7*0.8,I10),MIN(J7,I10)))</f>
        <v>-216.79918655165261</v>
      </c>
      <c r="K9" s="52">
        <f>-IF(K8&gt;'Table 6-1'!$C$23,MIN(K7,J10),IF(-SUM($F$9:J9)&lt;'Table 6-1'!$C$23,MIN(SUM('Table 6-1'!$C$23,$F$9:J9)+K7*0.8,J10),MIN(K7,J10)))</f>
        <v>0</v>
      </c>
      <c r="L9" s="52">
        <f>-IF(L8&gt;'Table 6-1'!$C$23,MIN(L7,K10),IF(-SUM($F$9:K9)&lt;'Table 6-1'!$C$23,MIN(SUM('Table 6-1'!$C$23,$F$9:K9)+L7*0.8,K10),MIN(L7,K10)))</f>
        <v>0</v>
      </c>
      <c r="M9" s="52">
        <f>-IF(M8&gt;'Table 6-1'!$C$23,MIN(M7,L10),IF(-SUM($F$9:L9)&lt;'Table 6-1'!$C$23,MIN(SUM('Table 6-1'!$C$23,$F$9:L9)+M7*0.8,L10),MIN(M7,L10)))</f>
        <v>0</v>
      </c>
      <c r="N9" s="52">
        <f>-IF(N8&gt;'Table 6-1'!$C$23,MIN(N7,M10),IF(-SUM($F$9:M9)&lt;'Table 6-1'!$C$23,MIN(SUM('Table 6-1'!$C$23,$F$9:M9)+N7*0.8,M10),MIN(N7,M10)))</f>
        <v>0</v>
      </c>
      <c r="O9" s="52">
        <f>-IF(O8&gt;'Table 6-1'!$C$23,MIN(O7,N10),IF(-SUM($F$9:N9)&lt;'Table 6-1'!$C$23,MIN(SUM('Table 6-1'!$C$23,$F$9:N9)+O7*0.8,N10),MIN(O7,N10)))</f>
        <v>0</v>
      </c>
      <c r="P9" s="52">
        <f>-IF(P8&gt;'Table 6-1'!$C$23,MIN(P7,O10),IF(-SUM($F$9:O9)&lt;'Table 6-1'!$C$23,MIN(SUM('Table 6-1'!$C$23,$F$9:O9)+P7*0.8,O10),MIN(P7,O10)))</f>
        <v>0</v>
      </c>
      <c r="Q9" s="52">
        <f>-IF(Q8&gt;'Table 6-1'!$C$23,MIN(Q7,P10),IF(-SUM($F$9:P9)&lt;'Table 6-1'!$C$23,MIN(SUM('Table 6-1'!$C$23,$F$9:P9)+Q7*0.8,P10),MIN(Q7,P10)))</f>
        <v>0</v>
      </c>
      <c r="R9" s="52">
        <f>-IF(R8&gt;'Table 6-1'!$C$23,MIN(R7,Q10),IF(-SUM($F$9:Q9)&lt;'Table 6-1'!$C$23,MIN(SUM('Table 6-1'!$C$23,$F$9:Q9)+R7*0.8,Q10),MIN(R7,Q10)))</f>
        <v>0</v>
      </c>
      <c r="S9" s="52">
        <f>-IF(S8&gt;'Table 6-1'!$C$23,MIN(S7,R10),IF(-SUM($F$9:R9)&lt;'Table 6-1'!$C$23,MIN(SUM('Table 6-1'!$C$23,$F$9:R9)+S7*0.8,R10),MIN(S7,R10)))</f>
        <v>0</v>
      </c>
      <c r="T9" s="52">
        <f>-IF(T8&gt;'Table 6-1'!$C$23,MIN(T7,S10),IF(-SUM($F$9:S9)&lt;'Table 6-1'!$C$23,MIN(SUM('Table 6-1'!$C$23,$F$9:S9)+T7*0.8,S10),MIN(T7,S10)))</f>
        <v>0</v>
      </c>
      <c r="U9" s="52">
        <f>-IF(U8&gt;'Table 6-1'!$C$23,MIN(U7,T10),IF(-SUM($F$9:T9)&lt;'Table 6-1'!$C$23,MIN(SUM('Table 6-1'!$C$23,$F$9:T9)+U7*0.8,T10),MIN(U7,T10)))</f>
        <v>0</v>
      </c>
      <c r="V9" s="52">
        <f>-IF(V8&gt;'Table 6-1'!$C$23,MIN(V7,U10),IF(-SUM($F$9:U9)&lt;'Table 6-1'!$C$23,MIN(SUM('Table 6-1'!$C$23,$F$9:U9)+V7*0.8,U10),MIN(V7,U10)))</f>
        <v>0</v>
      </c>
      <c r="W9" s="52">
        <f>-IF(W8&gt;'Table 6-1'!$C$23,MIN(W7,V10),IF(-SUM($F$9:V9)&lt;'Table 6-1'!$C$23,MIN(SUM('Table 6-1'!$C$23,$F$9:V9)+W7*0.8,V10),MIN(W7,V10)))</f>
        <v>0</v>
      </c>
      <c r="X9" s="52">
        <f>-IF(X8&gt;'Table 6-1'!$C$23,MIN(X7,W10),IF(-SUM($F$9:W9)&lt;'Table 6-1'!$C$23,MIN(SUM('Table 6-1'!$C$23,$F$9:W9)+X7*0.8,W10),MIN(X7,W10)))</f>
        <v>0</v>
      </c>
      <c r="Y9" s="52">
        <f>-IF(Y8&gt;'Table 6-1'!$C$23,MIN(Y7,X10),IF(-SUM($F$9:X9)&lt;'Table 6-1'!$C$23,MIN(SUM('Table 6-1'!$C$23,$F$9:X9)+Y7*0.8,X10),MIN(Y7,X10)))</f>
        <v>0</v>
      </c>
      <c r="Z9" s="52">
        <f>-IF(Z8&gt;'Table 6-1'!$C$23,MIN(Z7,Y10),IF(-SUM($F$9:Y9)&lt;'Table 6-1'!$C$23,MIN(SUM('Table 6-1'!$C$23,$F$9:Y9)+Z7*0.8,Y10),MIN(Z7,Y10)))</f>
        <v>0</v>
      </c>
      <c r="AA9" s="52">
        <f>-IF(AA8&gt;'Table 6-1'!$C$23,MIN(AA7,Z10),IF(-SUM($F$9:Z9)&lt;'Table 6-1'!$C$23,MIN(SUM('Table 6-1'!$C$23,$F$9:Z9)+AA7*0.8,Z10),MIN(AA7,Z10)))</f>
        <v>0</v>
      </c>
      <c r="AB9" s="52">
        <f>-IF(AB8&gt;'Table 6-1'!$C$23,MIN(AB7,AA10),IF(-SUM($F$9:AA9)&lt;'Table 6-1'!$C$23,MIN(SUM('Table 6-1'!$C$23,$F$9:AA9)+AB7*0.8,AA10),MIN(AB7,AA10)))</f>
        <v>0</v>
      </c>
      <c r="AC9" s="52">
        <f>-IF(AC8&gt;'Table 6-1'!$C$23,MIN(AC7,AB10),IF(-SUM($F$9:AB9)&lt;'Table 6-1'!$C$23,MIN(SUM('Table 6-1'!$C$23,$F$9:AB9)+AC7*0.8,AB10),MIN(AC7,AB10)))</f>
        <v>0</v>
      </c>
      <c r="AD9" s="52">
        <f>-IF(AD8&gt;'Table 6-1'!$C$23,MIN(AD7,AC10),IF(-SUM($F$9:AC9)&lt;'Table 6-1'!$C$23,MIN(SUM('Table 6-1'!$C$23,$F$9:AC9)+AD7*0.8,AC10),MIN(AD7,AC10)))</f>
        <v>0</v>
      </c>
      <c r="AE9" s="52">
        <f>-IF(AE8&gt;'Table 6-1'!$C$23,MIN(AE7,AD10),IF(-SUM($F$9:AD9)&lt;'Table 6-1'!$C$23,MIN(SUM('Table 6-1'!$C$23,$F$9:AD9)+AE7*0.8,AD10),MIN(AE7,AD10)))</f>
        <v>0</v>
      </c>
      <c r="AF9" s="52">
        <f>-IF(AF8&gt;'Table 6-1'!$C$23,MIN(AF7,AE10),IF(-SUM($F$9:AE9)&lt;'Table 6-1'!$C$23,MIN(SUM('Table 6-1'!$C$23,$F$9:AE9)+AF7*0.8,AE10),MIN(AF7,AE10)))</f>
        <v>0</v>
      </c>
      <c r="AG9" s="52">
        <f>-IF(AG8&gt;'Table 6-1'!$C$23,MIN(AG7,AF10),IF(-SUM($F$9:AF9)&lt;'Table 6-1'!$C$23,MIN(SUM('Table 6-1'!$C$23,$F$9:AF9)+AG7*0.8,AF10),MIN(AG7,AF10)))</f>
        <v>0</v>
      </c>
      <c r="AH9" s="52">
        <f>-IF(AH8&gt;'Table 6-1'!$C$23,MIN(AH7,AG10),IF(-SUM($F$9:AG9)&lt;'Table 6-1'!$C$23,MIN(SUM('Table 6-1'!$C$23,$F$9:AG9)+AH7*0.8,AG10),MIN(AH7,AG10)))</f>
        <v>0</v>
      </c>
    </row>
    <row r="10" spans="1:34" x14ac:dyDescent="0.2">
      <c r="A10" s="5">
        <v>6</v>
      </c>
      <c r="B10" s="6" t="s">
        <v>105</v>
      </c>
      <c r="D10" s="230">
        <f t="shared" ref="D10:AH10" si="2">D8+D9</f>
        <v>5461.6393200000002</v>
      </c>
      <c r="E10" s="230">
        <f t="shared" si="2"/>
        <v>5461.6393200000002</v>
      </c>
      <c r="F10" s="230">
        <f t="shared" si="2"/>
        <v>5461.6393200000002</v>
      </c>
      <c r="G10" s="230">
        <f t="shared" si="2"/>
        <v>3873.5096403106982</v>
      </c>
      <c r="H10" s="230">
        <f t="shared" si="2"/>
        <v>1937.5971040808558</v>
      </c>
      <c r="I10" s="230">
        <f t="shared" si="2"/>
        <v>216.79918655165261</v>
      </c>
      <c r="J10" s="230">
        <f t="shared" si="2"/>
        <v>0</v>
      </c>
      <c r="K10" s="230">
        <f t="shared" si="2"/>
        <v>0</v>
      </c>
      <c r="L10" s="230">
        <f t="shared" si="2"/>
        <v>0</v>
      </c>
      <c r="M10" s="230">
        <f t="shared" si="2"/>
        <v>0</v>
      </c>
      <c r="N10" s="230">
        <f t="shared" si="2"/>
        <v>0</v>
      </c>
      <c r="O10" s="230">
        <f t="shared" si="2"/>
        <v>0</v>
      </c>
      <c r="P10" s="230">
        <f t="shared" si="2"/>
        <v>0</v>
      </c>
      <c r="Q10" s="230">
        <f t="shared" si="2"/>
        <v>0</v>
      </c>
      <c r="R10" s="230">
        <f t="shared" si="2"/>
        <v>0</v>
      </c>
      <c r="S10" s="230">
        <f t="shared" si="2"/>
        <v>0</v>
      </c>
      <c r="T10" s="230">
        <f t="shared" si="2"/>
        <v>0</v>
      </c>
      <c r="U10" s="230">
        <f t="shared" si="2"/>
        <v>0</v>
      </c>
      <c r="V10" s="230">
        <f t="shared" si="2"/>
        <v>0</v>
      </c>
      <c r="W10" s="230">
        <f t="shared" si="2"/>
        <v>0</v>
      </c>
      <c r="X10" s="230">
        <f t="shared" si="2"/>
        <v>0</v>
      </c>
      <c r="Y10" s="230">
        <f t="shared" si="2"/>
        <v>0</v>
      </c>
      <c r="Z10" s="230">
        <f t="shared" si="2"/>
        <v>0</v>
      </c>
      <c r="AA10" s="230">
        <f t="shared" si="2"/>
        <v>0</v>
      </c>
      <c r="AB10" s="230">
        <f t="shared" si="2"/>
        <v>0</v>
      </c>
      <c r="AC10" s="230">
        <f t="shared" si="2"/>
        <v>0</v>
      </c>
      <c r="AD10" s="230">
        <f t="shared" si="2"/>
        <v>0</v>
      </c>
      <c r="AE10" s="230">
        <f t="shared" si="2"/>
        <v>0</v>
      </c>
      <c r="AF10" s="230">
        <f t="shared" si="2"/>
        <v>0</v>
      </c>
      <c r="AG10" s="230">
        <f t="shared" si="2"/>
        <v>0</v>
      </c>
      <c r="AH10" s="230">
        <f t="shared" si="2"/>
        <v>0</v>
      </c>
    </row>
    <row r="11" spans="1:34" x14ac:dyDescent="0.2">
      <c r="A11" s="5">
        <v>7</v>
      </c>
      <c r="B11" s="6" t="s">
        <v>101</v>
      </c>
      <c r="D11" s="230">
        <f>'Table 6-1'!C15</f>
        <v>24235</v>
      </c>
      <c r="E11" s="230">
        <f t="shared" ref="E11:AH11" si="3">D13</f>
        <v>24235</v>
      </c>
      <c r="F11" s="230">
        <f t="shared" si="3"/>
        <v>24235</v>
      </c>
      <c r="G11" s="230">
        <f t="shared" si="3"/>
        <v>24235</v>
      </c>
      <c r="H11" s="230">
        <f t="shared" si="3"/>
        <v>24235</v>
      </c>
      <c r="I11" s="230">
        <f t="shared" si="3"/>
        <v>24235</v>
      </c>
      <c r="J11" s="230">
        <f t="shared" si="3"/>
        <v>24235</v>
      </c>
      <c r="K11" s="230">
        <f t="shared" si="3"/>
        <v>22567.546245655853</v>
      </c>
      <c r="L11" s="230">
        <f t="shared" si="3"/>
        <v>20469.155974758942</v>
      </c>
      <c r="M11" s="230">
        <f t="shared" si="3"/>
        <v>18138.419690181749</v>
      </c>
      <c r="N11" s="230">
        <f t="shared" si="3"/>
        <v>15561.697026246296</v>
      </c>
      <c r="O11" s="230">
        <f t="shared" si="3"/>
        <v>12712.440444985852</v>
      </c>
      <c r="P11" s="230">
        <f t="shared" si="3"/>
        <v>9675.2389795519302</v>
      </c>
      <c r="Q11" s="230">
        <f t="shared" si="3"/>
        <v>6428.5477588557387</v>
      </c>
      <c r="R11" s="230">
        <f t="shared" si="3"/>
        <v>2960.5629868967553</v>
      </c>
      <c r="S11" s="230">
        <f t="shared" si="3"/>
        <v>0</v>
      </c>
      <c r="T11" s="230">
        <f t="shared" si="3"/>
        <v>0</v>
      </c>
      <c r="U11" s="230">
        <f t="shared" si="3"/>
        <v>0</v>
      </c>
      <c r="V11" s="230">
        <f t="shared" si="3"/>
        <v>0</v>
      </c>
      <c r="W11" s="230">
        <f t="shared" si="3"/>
        <v>0</v>
      </c>
      <c r="X11" s="230">
        <f t="shared" si="3"/>
        <v>0</v>
      </c>
      <c r="Y11" s="230">
        <f t="shared" si="3"/>
        <v>0</v>
      </c>
      <c r="Z11" s="230">
        <f t="shared" si="3"/>
        <v>0</v>
      </c>
      <c r="AA11" s="230">
        <f t="shared" si="3"/>
        <v>0</v>
      </c>
      <c r="AB11" s="230">
        <f t="shared" si="3"/>
        <v>0</v>
      </c>
      <c r="AC11" s="230">
        <f t="shared" si="3"/>
        <v>0</v>
      </c>
      <c r="AD11" s="230">
        <f t="shared" si="3"/>
        <v>0</v>
      </c>
      <c r="AE11" s="230">
        <f t="shared" si="3"/>
        <v>0</v>
      </c>
      <c r="AF11" s="230">
        <f t="shared" si="3"/>
        <v>0</v>
      </c>
      <c r="AG11" s="230">
        <f t="shared" si="3"/>
        <v>0</v>
      </c>
      <c r="AH11" s="230">
        <f t="shared" si="3"/>
        <v>0</v>
      </c>
    </row>
    <row r="12" spans="1:34" ht="15" x14ac:dyDescent="0.25">
      <c r="A12" s="5">
        <v>8</v>
      </c>
      <c r="B12" s="134" t="s">
        <v>102</v>
      </c>
      <c r="C12" s="8"/>
      <c r="D12" s="135">
        <v>0</v>
      </c>
      <c r="E12" s="135">
        <v>0</v>
      </c>
      <c r="F12" s="135">
        <f t="shared" ref="F12:H12" si="4">-IF(OR(F7&lt;0,-F9=F7),0,IF(E13&lt;F7*0.8,E13,(F7*0.8)+F9))</f>
        <v>0</v>
      </c>
      <c r="G12" s="135">
        <f t="shared" si="4"/>
        <v>0</v>
      </c>
      <c r="H12" s="135">
        <f t="shared" si="4"/>
        <v>0</v>
      </c>
      <c r="I12" s="135">
        <f>-IF(OR(I7&lt;0,-I9=I7,-I9&gt;=I7*0.8),0,IF(H13&lt;I7*0.8,H13,((I7*0.8)+I9)))</f>
        <v>0</v>
      </c>
      <c r="J12" s="135">
        <f t="shared" ref="J12:AH12" si="5">-IF(OR(J7&lt;0,-J9=J7,-J9&gt;=J7*0.8),0,IF(I13&lt;J7*0.8,I13,((J7*0.8)+J9)))</f>
        <v>-1667.4537543441465</v>
      </c>
      <c r="K12" s="135">
        <f t="shared" si="5"/>
        <v>-2098.3902708969117</v>
      </c>
      <c r="L12" s="135">
        <f t="shared" si="5"/>
        <v>-2330.7362845771918</v>
      </c>
      <c r="M12" s="135">
        <f t="shared" si="5"/>
        <v>-2576.7226639354521</v>
      </c>
      <c r="N12" s="135">
        <f t="shared" si="5"/>
        <v>-2849.2565812604444</v>
      </c>
      <c r="O12" s="135">
        <f t="shared" si="5"/>
        <v>-3037.2014654339214</v>
      </c>
      <c r="P12" s="135">
        <f t="shared" si="5"/>
        <v>-3246.6912206961911</v>
      </c>
      <c r="Q12" s="135">
        <f t="shared" si="5"/>
        <v>-3467.9847719589834</v>
      </c>
      <c r="R12" s="135">
        <f t="shared" si="5"/>
        <v>-2960.5629868967553</v>
      </c>
      <c r="S12" s="135">
        <f t="shared" si="5"/>
        <v>0</v>
      </c>
      <c r="T12" s="135">
        <f t="shared" si="5"/>
        <v>0</v>
      </c>
      <c r="U12" s="135">
        <f t="shared" si="5"/>
        <v>0</v>
      </c>
      <c r="V12" s="135">
        <f t="shared" si="5"/>
        <v>0</v>
      </c>
      <c r="W12" s="135">
        <f t="shared" si="5"/>
        <v>0</v>
      </c>
      <c r="X12" s="135">
        <f t="shared" si="5"/>
        <v>0</v>
      </c>
      <c r="Y12" s="135">
        <f t="shared" si="5"/>
        <v>0</v>
      </c>
      <c r="Z12" s="135">
        <f t="shared" si="5"/>
        <v>0</v>
      </c>
      <c r="AA12" s="135">
        <f t="shared" si="5"/>
        <v>0</v>
      </c>
      <c r="AB12" s="135">
        <f t="shared" si="5"/>
        <v>0</v>
      </c>
      <c r="AC12" s="135">
        <f t="shared" si="5"/>
        <v>0</v>
      </c>
      <c r="AD12" s="135">
        <f t="shared" si="5"/>
        <v>0</v>
      </c>
      <c r="AE12" s="135">
        <f t="shared" si="5"/>
        <v>0</v>
      </c>
      <c r="AF12" s="135">
        <f t="shared" si="5"/>
        <v>0</v>
      </c>
      <c r="AG12" s="135">
        <f t="shared" si="5"/>
        <v>0</v>
      </c>
      <c r="AH12" s="135">
        <f t="shared" si="5"/>
        <v>0</v>
      </c>
    </row>
    <row r="13" spans="1:34" x14ac:dyDescent="0.2">
      <c r="A13" s="5">
        <v>9</v>
      </c>
      <c r="B13" s="6" t="s">
        <v>103</v>
      </c>
      <c r="D13" s="230">
        <f t="shared" ref="D13:AH13" si="6">D11+D12</f>
        <v>24235</v>
      </c>
      <c r="E13" s="230">
        <f t="shared" si="6"/>
        <v>24235</v>
      </c>
      <c r="F13" s="230">
        <f t="shared" si="6"/>
        <v>24235</v>
      </c>
      <c r="G13" s="230">
        <f t="shared" si="6"/>
        <v>24235</v>
      </c>
      <c r="H13" s="230">
        <f t="shared" si="6"/>
        <v>24235</v>
      </c>
      <c r="I13" s="230">
        <f t="shared" si="6"/>
        <v>24235</v>
      </c>
      <c r="J13" s="230">
        <f t="shared" si="6"/>
        <v>22567.546245655853</v>
      </c>
      <c r="K13" s="230">
        <f t="shared" si="6"/>
        <v>20469.155974758942</v>
      </c>
      <c r="L13" s="230">
        <f t="shared" si="6"/>
        <v>18138.419690181749</v>
      </c>
      <c r="M13" s="230">
        <f t="shared" si="6"/>
        <v>15561.697026246296</v>
      </c>
      <c r="N13" s="230">
        <f t="shared" si="6"/>
        <v>12712.440444985852</v>
      </c>
      <c r="O13" s="230">
        <f t="shared" si="6"/>
        <v>9675.2389795519302</v>
      </c>
      <c r="P13" s="230">
        <f t="shared" si="6"/>
        <v>6428.5477588557387</v>
      </c>
      <c r="Q13" s="230">
        <f t="shared" si="6"/>
        <v>2960.5629868967553</v>
      </c>
      <c r="R13" s="230">
        <f t="shared" si="6"/>
        <v>0</v>
      </c>
      <c r="S13" s="230">
        <f t="shared" si="6"/>
        <v>0</v>
      </c>
      <c r="T13" s="230">
        <f t="shared" si="6"/>
        <v>0</v>
      </c>
      <c r="U13" s="230">
        <f t="shared" si="6"/>
        <v>0</v>
      </c>
      <c r="V13" s="230">
        <f t="shared" si="6"/>
        <v>0</v>
      </c>
      <c r="W13" s="230">
        <f t="shared" si="6"/>
        <v>0</v>
      </c>
      <c r="X13" s="230">
        <f t="shared" si="6"/>
        <v>0</v>
      </c>
      <c r="Y13" s="230">
        <f t="shared" si="6"/>
        <v>0</v>
      </c>
      <c r="Z13" s="230">
        <f t="shared" si="6"/>
        <v>0</v>
      </c>
      <c r="AA13" s="230">
        <f t="shared" si="6"/>
        <v>0</v>
      </c>
      <c r="AB13" s="230">
        <f t="shared" si="6"/>
        <v>0</v>
      </c>
      <c r="AC13" s="230">
        <f t="shared" si="6"/>
        <v>0</v>
      </c>
      <c r="AD13" s="230">
        <f t="shared" si="6"/>
        <v>0</v>
      </c>
      <c r="AE13" s="230">
        <f t="shared" si="6"/>
        <v>0</v>
      </c>
      <c r="AF13" s="230">
        <f t="shared" si="6"/>
        <v>0</v>
      </c>
      <c r="AG13" s="230">
        <f t="shared" si="6"/>
        <v>0</v>
      </c>
      <c r="AH13" s="230">
        <f t="shared" si="6"/>
        <v>0</v>
      </c>
    </row>
    <row r="14" spans="1:34" x14ac:dyDescent="0.2">
      <c r="A14" s="5">
        <v>10</v>
      </c>
      <c r="B14" s="6"/>
      <c r="D14" s="230"/>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row>
    <row r="15" spans="1:34" ht="15" x14ac:dyDescent="0.25">
      <c r="A15" s="5">
        <v>11</v>
      </c>
      <c r="B15" s="8" t="s">
        <v>44</v>
      </c>
      <c r="D15" s="232"/>
      <c r="E15" s="80"/>
      <c r="F15" s="232"/>
      <c r="G15" s="80"/>
      <c r="H15" s="80"/>
      <c r="I15" s="16"/>
      <c r="J15" s="233"/>
    </row>
    <row r="16" spans="1:34" x14ac:dyDescent="0.2">
      <c r="A16" s="5">
        <v>12</v>
      </c>
      <c r="B16" s="6" t="s">
        <v>49</v>
      </c>
      <c r="D16" s="211">
        <f>'Taxable Income Forecast'!C41/1000</f>
        <v>-25868.277739482168</v>
      </c>
      <c r="E16" s="211">
        <f>'Taxable Income Forecast'!D41/1000</f>
        <v>-1679.0451146826831</v>
      </c>
      <c r="F16" s="211">
        <f>'Taxable Income Forecast'!E41/1000</f>
        <v>-523.97331137729111</v>
      </c>
      <c r="G16" s="211">
        <f>'Taxable Income Forecast'!F41/1000</f>
        <v>1023.9572647095306</v>
      </c>
      <c r="H16" s="211">
        <f>'Taxable Income Forecast'!G41/1000</f>
        <v>1357.383366642533</v>
      </c>
      <c r="I16" s="211">
        <f>'Taxable Income Forecast'!H41/1000</f>
        <v>1495.5004420653017</v>
      </c>
      <c r="J16" s="211">
        <f>'Taxable Income Forecast'!I41/1000</f>
        <v>1704.2944823557432</v>
      </c>
      <c r="K16" s="211">
        <f>'Taxable Income Forecast'!J41/1000</f>
        <v>1933.4574130069391</v>
      </c>
      <c r="L16" s="211">
        <f>'Taxable Income Forecast'!K41/1000</f>
        <v>2184.439622741867</v>
      </c>
      <c r="M16" s="211">
        <f>'Taxable Income Forecast'!L41/1000</f>
        <v>2452.3704823444059</v>
      </c>
      <c r="N16" s="211">
        <f>'Taxable Income Forecast'!M41/1000</f>
        <v>2908.9701163836876</v>
      </c>
      <c r="O16" s="211">
        <f>'Taxable Income Forecast'!N41/1000</f>
        <v>3085.3051458861451</v>
      </c>
      <c r="P16" s="211">
        <f>'Taxable Income Forecast'!O41/1000</f>
        <v>3285.641460463874</v>
      </c>
      <c r="Q16" s="211">
        <f>'Taxable Income Forecast'!P41/1000</f>
        <v>3497.6562260672513</v>
      </c>
      <c r="R16" s="211">
        <f>'Taxable Income Forecast'!Q41/1000</f>
        <v>3722.0669249141947</v>
      </c>
      <c r="S16" s="211">
        <f>'Taxable Income Forecast'!R41/1000</f>
        <v>3956.4292044499225</v>
      </c>
      <c r="T16" s="211">
        <f>'Taxable Income Forecast'!S41/1000</f>
        <v>4183.559684053379</v>
      </c>
      <c r="U16" s="211">
        <f>'Taxable Income Forecast'!T41/1000</f>
        <v>4402.8011152637237</v>
      </c>
      <c r="V16" s="211">
        <f>'Taxable Income Forecast'!U41/1000</f>
        <v>4630.2737539674799</v>
      </c>
      <c r="W16" s="211">
        <f>'Taxable Income Forecast'!V41/1000</f>
        <v>4869.1015272860413</v>
      </c>
      <c r="X16" s="211">
        <f>'Taxable Income Forecast'!W41/1000</f>
        <v>5119.8510618886667</v>
      </c>
      <c r="Y16" s="211">
        <f>'Taxable Income Forecast'!X41/1000</f>
        <v>5383.1172737491743</v>
      </c>
      <c r="Z16" s="211">
        <f>'Taxable Income Forecast'!Y41/1000</f>
        <v>5658.1052468717362</v>
      </c>
      <c r="AA16" s="211">
        <f>'Taxable Income Forecast'!Z41/1000</f>
        <v>5945.5960973736037</v>
      </c>
      <c r="AB16" s="211">
        <f>'Taxable Income Forecast'!AA41/1000</f>
        <v>6245.8938077201938</v>
      </c>
      <c r="AC16" s="211">
        <f>'Taxable Income Forecast'!AB41/1000</f>
        <v>6559.6713917990382</v>
      </c>
      <c r="AD16" s="211">
        <f>'Taxable Income Forecast'!AC41/1000</f>
        <v>6889.2496527186158</v>
      </c>
      <c r="AE16" s="211">
        <f>'Taxable Income Forecast'!AD41/1000</f>
        <v>7235.7072666534068</v>
      </c>
      <c r="AF16" s="211">
        <f>'Taxable Income Forecast'!AE41/1000</f>
        <v>7600.00713735104</v>
      </c>
      <c r="AG16" s="211">
        <f>'Taxable Income Forecast'!AF41/1000</f>
        <v>7982.6494320782049</v>
      </c>
      <c r="AH16" s="211">
        <f>'Taxable Income Forecast'!AG41/1000</f>
        <v>8384.5536429441872</v>
      </c>
    </row>
    <row r="17" spans="1:34" x14ac:dyDescent="0.2">
      <c r="A17" s="5">
        <v>13</v>
      </c>
      <c r="B17" s="6" t="s">
        <v>92</v>
      </c>
      <c r="D17" s="230">
        <f>'Table 6-1'!E24</f>
        <v>1910.9701520000001</v>
      </c>
      <c r="E17" s="230">
        <f>D19</f>
        <v>1910.9701520000001</v>
      </c>
      <c r="F17" s="230">
        <f t="shared" ref="F17:AH17" si="7">E19</f>
        <v>1910.9701520000001</v>
      </c>
      <c r="G17" s="230">
        <f t="shared" si="7"/>
        <v>1910.9701520000001</v>
      </c>
      <c r="H17" s="230">
        <f t="shared" si="7"/>
        <v>887.01288729046951</v>
      </c>
      <c r="I17" s="230">
        <f t="shared" si="7"/>
        <v>0</v>
      </c>
      <c r="J17" s="230">
        <f t="shared" si="7"/>
        <v>0</v>
      </c>
      <c r="K17" s="230">
        <f t="shared" si="7"/>
        <v>0</v>
      </c>
      <c r="L17" s="230">
        <f t="shared" si="7"/>
        <v>0</v>
      </c>
      <c r="M17" s="230">
        <f t="shared" si="7"/>
        <v>0</v>
      </c>
      <c r="N17" s="230">
        <f t="shared" si="7"/>
        <v>0</v>
      </c>
      <c r="O17" s="230">
        <f t="shared" si="7"/>
        <v>0</v>
      </c>
      <c r="P17" s="230">
        <f t="shared" si="7"/>
        <v>0</v>
      </c>
      <c r="Q17" s="230">
        <f t="shared" si="7"/>
        <v>0</v>
      </c>
      <c r="R17" s="230">
        <f t="shared" si="7"/>
        <v>0</v>
      </c>
      <c r="S17" s="230">
        <f t="shared" si="7"/>
        <v>0</v>
      </c>
      <c r="T17" s="230">
        <f t="shared" si="7"/>
        <v>0</v>
      </c>
      <c r="U17" s="230">
        <f t="shared" si="7"/>
        <v>0</v>
      </c>
      <c r="V17" s="230">
        <f t="shared" si="7"/>
        <v>0</v>
      </c>
      <c r="W17" s="230">
        <f t="shared" si="7"/>
        <v>0</v>
      </c>
      <c r="X17" s="230">
        <f t="shared" si="7"/>
        <v>0</v>
      </c>
      <c r="Y17" s="230">
        <f t="shared" si="7"/>
        <v>0</v>
      </c>
      <c r="Z17" s="230">
        <f t="shared" si="7"/>
        <v>0</v>
      </c>
      <c r="AA17" s="230">
        <f t="shared" si="7"/>
        <v>0</v>
      </c>
      <c r="AB17" s="230">
        <f t="shared" si="7"/>
        <v>0</v>
      </c>
      <c r="AC17" s="230">
        <f t="shared" si="7"/>
        <v>0</v>
      </c>
      <c r="AD17" s="230">
        <f t="shared" si="7"/>
        <v>0</v>
      </c>
      <c r="AE17" s="230">
        <f t="shared" si="7"/>
        <v>0</v>
      </c>
      <c r="AF17" s="230">
        <f t="shared" si="7"/>
        <v>0</v>
      </c>
      <c r="AG17" s="230">
        <f t="shared" si="7"/>
        <v>0</v>
      </c>
      <c r="AH17" s="230">
        <f t="shared" si="7"/>
        <v>0</v>
      </c>
    </row>
    <row r="18" spans="1:34" x14ac:dyDescent="0.2">
      <c r="A18" s="5">
        <v>14</v>
      </c>
      <c r="B18" s="53" t="s">
        <v>94</v>
      </c>
      <c r="D18" s="230">
        <f t="shared" ref="D18:I18" si="8">-IF(OR(D16&lt;0,C19&lt;=0),0,IF(C19&lt;D16,C19,D16))</f>
        <v>0</v>
      </c>
      <c r="E18" s="230">
        <f t="shared" si="8"/>
        <v>0</v>
      </c>
      <c r="F18" s="230">
        <f t="shared" si="8"/>
        <v>0</v>
      </c>
      <c r="G18" s="230">
        <f t="shared" si="8"/>
        <v>-1023.9572647095306</v>
      </c>
      <c r="H18" s="230">
        <f t="shared" si="8"/>
        <v>-887.01288729046951</v>
      </c>
      <c r="I18" s="230">
        <f t="shared" si="8"/>
        <v>0</v>
      </c>
      <c r="J18" s="230">
        <f t="shared" ref="J18:AH18" si="9">-IF(OR(J16&lt;0,I19&lt;=0),0,IF(I19&lt;J16,I19,J16))</f>
        <v>0</v>
      </c>
      <c r="K18" s="230">
        <f t="shared" si="9"/>
        <v>0</v>
      </c>
      <c r="L18" s="230">
        <f t="shared" si="9"/>
        <v>0</v>
      </c>
      <c r="M18" s="230">
        <f t="shared" si="9"/>
        <v>0</v>
      </c>
      <c r="N18" s="230">
        <f t="shared" si="9"/>
        <v>0</v>
      </c>
      <c r="O18" s="230">
        <f t="shared" si="9"/>
        <v>0</v>
      </c>
      <c r="P18" s="230">
        <f t="shared" si="9"/>
        <v>0</v>
      </c>
      <c r="Q18" s="230">
        <f t="shared" si="9"/>
        <v>0</v>
      </c>
      <c r="R18" s="230">
        <f t="shared" si="9"/>
        <v>0</v>
      </c>
      <c r="S18" s="230">
        <f t="shared" si="9"/>
        <v>0</v>
      </c>
      <c r="T18" s="230">
        <f t="shared" si="9"/>
        <v>0</v>
      </c>
      <c r="U18" s="230">
        <f t="shared" si="9"/>
        <v>0</v>
      </c>
      <c r="V18" s="230">
        <f t="shared" si="9"/>
        <v>0</v>
      </c>
      <c r="W18" s="230">
        <f t="shared" si="9"/>
        <v>0</v>
      </c>
      <c r="X18" s="230">
        <f t="shared" si="9"/>
        <v>0</v>
      </c>
      <c r="Y18" s="230">
        <f t="shared" si="9"/>
        <v>0</v>
      </c>
      <c r="Z18" s="230">
        <f t="shared" si="9"/>
        <v>0</v>
      </c>
      <c r="AA18" s="230">
        <f t="shared" si="9"/>
        <v>0</v>
      </c>
      <c r="AB18" s="230">
        <f t="shared" si="9"/>
        <v>0</v>
      </c>
      <c r="AC18" s="230">
        <f t="shared" si="9"/>
        <v>0</v>
      </c>
      <c r="AD18" s="230">
        <f t="shared" si="9"/>
        <v>0</v>
      </c>
      <c r="AE18" s="230">
        <f t="shared" si="9"/>
        <v>0</v>
      </c>
      <c r="AF18" s="230">
        <f t="shared" si="9"/>
        <v>0</v>
      </c>
      <c r="AG18" s="230">
        <f t="shared" si="9"/>
        <v>0</v>
      </c>
      <c r="AH18" s="230">
        <f t="shared" si="9"/>
        <v>0</v>
      </c>
    </row>
    <row r="19" spans="1:34" x14ac:dyDescent="0.2">
      <c r="A19" s="5">
        <v>15</v>
      </c>
      <c r="B19" s="6" t="s">
        <v>93</v>
      </c>
      <c r="D19" s="230">
        <f t="shared" ref="D19:AH19" si="10">D17+D18</f>
        <v>1910.9701520000001</v>
      </c>
      <c r="E19" s="230">
        <f t="shared" si="10"/>
        <v>1910.9701520000001</v>
      </c>
      <c r="F19" s="230">
        <f>F17+F18</f>
        <v>1910.9701520000001</v>
      </c>
      <c r="G19" s="230">
        <f t="shared" si="10"/>
        <v>887.01288729046951</v>
      </c>
      <c r="H19" s="230">
        <f t="shared" si="10"/>
        <v>0</v>
      </c>
      <c r="I19" s="230">
        <f t="shared" si="10"/>
        <v>0</v>
      </c>
      <c r="J19" s="230">
        <f t="shared" si="10"/>
        <v>0</v>
      </c>
      <c r="K19" s="230">
        <f t="shared" si="10"/>
        <v>0</v>
      </c>
      <c r="L19" s="230">
        <f t="shared" si="10"/>
        <v>0</v>
      </c>
      <c r="M19" s="230">
        <f t="shared" si="10"/>
        <v>0</v>
      </c>
      <c r="N19" s="230">
        <f t="shared" si="10"/>
        <v>0</v>
      </c>
      <c r="O19" s="230">
        <f t="shared" si="10"/>
        <v>0</v>
      </c>
      <c r="P19" s="230">
        <f t="shared" si="10"/>
        <v>0</v>
      </c>
      <c r="Q19" s="230">
        <f t="shared" si="10"/>
        <v>0</v>
      </c>
      <c r="R19" s="230">
        <f t="shared" si="10"/>
        <v>0</v>
      </c>
      <c r="S19" s="230">
        <f t="shared" si="10"/>
        <v>0</v>
      </c>
      <c r="T19" s="230">
        <f t="shared" si="10"/>
        <v>0</v>
      </c>
      <c r="U19" s="230">
        <f t="shared" si="10"/>
        <v>0</v>
      </c>
      <c r="V19" s="230">
        <f t="shared" si="10"/>
        <v>0</v>
      </c>
      <c r="W19" s="230">
        <f t="shared" si="10"/>
        <v>0</v>
      </c>
      <c r="X19" s="230">
        <f t="shared" si="10"/>
        <v>0</v>
      </c>
      <c r="Y19" s="230">
        <f t="shared" si="10"/>
        <v>0</v>
      </c>
      <c r="Z19" s="230">
        <f t="shared" si="10"/>
        <v>0</v>
      </c>
      <c r="AA19" s="230">
        <f t="shared" si="10"/>
        <v>0</v>
      </c>
      <c r="AB19" s="230">
        <f t="shared" si="10"/>
        <v>0</v>
      </c>
      <c r="AC19" s="230">
        <f t="shared" si="10"/>
        <v>0</v>
      </c>
      <c r="AD19" s="230">
        <f t="shared" si="10"/>
        <v>0</v>
      </c>
      <c r="AE19" s="230">
        <f t="shared" si="10"/>
        <v>0</v>
      </c>
      <c r="AF19" s="230">
        <f t="shared" si="10"/>
        <v>0</v>
      </c>
      <c r="AG19" s="230">
        <f t="shared" si="10"/>
        <v>0</v>
      </c>
      <c r="AH19" s="230">
        <f t="shared" si="10"/>
        <v>0</v>
      </c>
    </row>
    <row r="20" spans="1:34" x14ac:dyDescent="0.2">
      <c r="A20" s="5">
        <v>16</v>
      </c>
      <c r="B20" s="6" t="s">
        <v>101</v>
      </c>
      <c r="D20" s="230">
        <f>'Table 6-1'!E15</f>
        <v>28292</v>
      </c>
      <c r="E20" s="230">
        <f t="shared" ref="E20:AH20" si="11">D22</f>
        <v>28292</v>
      </c>
      <c r="F20" s="230">
        <f t="shared" si="11"/>
        <v>28292</v>
      </c>
      <c r="G20" s="230">
        <f t="shared" si="11"/>
        <v>28292</v>
      </c>
      <c r="H20" s="230">
        <f t="shared" si="11"/>
        <v>28292</v>
      </c>
      <c r="I20" s="230">
        <f t="shared" si="11"/>
        <v>27821.629520647937</v>
      </c>
      <c r="J20" s="230">
        <f t="shared" si="11"/>
        <v>26326.129078582635</v>
      </c>
      <c r="K20" s="230">
        <f t="shared" si="11"/>
        <v>24621.83459622689</v>
      </c>
      <c r="L20" s="230">
        <f t="shared" si="11"/>
        <v>22688.377183219953</v>
      </c>
      <c r="M20" s="230">
        <f t="shared" si="11"/>
        <v>20503.937560478087</v>
      </c>
      <c r="N20" s="230">
        <f t="shared" si="11"/>
        <v>18051.567078133681</v>
      </c>
      <c r="O20" s="230">
        <f t="shared" si="11"/>
        <v>15142.596961749994</v>
      </c>
      <c r="P20" s="230">
        <f t="shared" si="11"/>
        <v>12057.291815863849</v>
      </c>
      <c r="Q20" s="230">
        <f t="shared" si="11"/>
        <v>8771.6503553999755</v>
      </c>
      <c r="R20" s="230">
        <f t="shared" si="11"/>
        <v>5273.9941293327247</v>
      </c>
      <c r="S20" s="230">
        <f t="shared" si="11"/>
        <v>1551.92720441853</v>
      </c>
      <c r="T20" s="230">
        <f t="shared" si="11"/>
        <v>0</v>
      </c>
      <c r="U20" s="230">
        <f t="shared" si="11"/>
        <v>0</v>
      </c>
      <c r="V20" s="230">
        <f t="shared" si="11"/>
        <v>0</v>
      </c>
      <c r="W20" s="230">
        <f t="shared" si="11"/>
        <v>0</v>
      </c>
      <c r="X20" s="230">
        <f t="shared" si="11"/>
        <v>0</v>
      </c>
      <c r="Y20" s="230">
        <f t="shared" si="11"/>
        <v>0</v>
      </c>
      <c r="Z20" s="230">
        <f t="shared" si="11"/>
        <v>0</v>
      </c>
      <c r="AA20" s="230">
        <f t="shared" si="11"/>
        <v>0</v>
      </c>
      <c r="AB20" s="230">
        <f t="shared" si="11"/>
        <v>0</v>
      </c>
      <c r="AC20" s="230">
        <f t="shared" si="11"/>
        <v>0</v>
      </c>
      <c r="AD20" s="230">
        <f t="shared" si="11"/>
        <v>0</v>
      </c>
      <c r="AE20" s="230">
        <f t="shared" si="11"/>
        <v>0</v>
      </c>
      <c r="AF20" s="230">
        <f t="shared" si="11"/>
        <v>0</v>
      </c>
      <c r="AG20" s="230">
        <f t="shared" si="11"/>
        <v>0</v>
      </c>
      <c r="AH20" s="230">
        <f t="shared" si="11"/>
        <v>0</v>
      </c>
    </row>
    <row r="21" spans="1:34" ht="15" x14ac:dyDescent="0.25">
      <c r="A21" s="5">
        <v>17</v>
      </c>
      <c r="B21" s="134" t="s">
        <v>102</v>
      </c>
      <c r="C21" s="8"/>
      <c r="D21" s="231">
        <v>0</v>
      </c>
      <c r="E21" s="231">
        <f t="shared" ref="E21:AH21" si="12">-IF(OR(E16&lt;0,-E18=E16),0,IF(D22&lt;E16,D22,(E16+E18)))</f>
        <v>0</v>
      </c>
      <c r="F21" s="231">
        <f t="shared" si="12"/>
        <v>0</v>
      </c>
      <c r="G21" s="231">
        <f t="shared" si="12"/>
        <v>0</v>
      </c>
      <c r="H21" s="231">
        <f t="shared" si="12"/>
        <v>-470.37047935206351</v>
      </c>
      <c r="I21" s="231">
        <f t="shared" si="12"/>
        <v>-1495.5004420653017</v>
      </c>
      <c r="J21" s="231">
        <f t="shared" si="12"/>
        <v>-1704.2944823557432</v>
      </c>
      <c r="K21" s="231">
        <f t="shared" si="12"/>
        <v>-1933.4574130069391</v>
      </c>
      <c r="L21" s="231">
        <f t="shared" si="12"/>
        <v>-2184.439622741867</v>
      </c>
      <c r="M21" s="231">
        <f t="shared" si="12"/>
        <v>-2452.3704823444059</v>
      </c>
      <c r="N21" s="231">
        <f t="shared" si="12"/>
        <v>-2908.9701163836876</v>
      </c>
      <c r="O21" s="231">
        <f t="shared" si="12"/>
        <v>-3085.3051458861451</v>
      </c>
      <c r="P21" s="231">
        <f t="shared" si="12"/>
        <v>-3285.641460463874</v>
      </c>
      <c r="Q21" s="231">
        <f t="shared" si="12"/>
        <v>-3497.6562260672513</v>
      </c>
      <c r="R21" s="231">
        <f t="shared" si="12"/>
        <v>-3722.0669249141947</v>
      </c>
      <c r="S21" s="231">
        <f t="shared" si="12"/>
        <v>-1551.92720441853</v>
      </c>
      <c r="T21" s="231">
        <f t="shared" si="12"/>
        <v>0</v>
      </c>
      <c r="U21" s="231">
        <f t="shared" si="12"/>
        <v>0</v>
      </c>
      <c r="V21" s="231">
        <f t="shared" si="12"/>
        <v>0</v>
      </c>
      <c r="W21" s="231">
        <f t="shared" si="12"/>
        <v>0</v>
      </c>
      <c r="X21" s="231">
        <f t="shared" si="12"/>
        <v>0</v>
      </c>
      <c r="Y21" s="231">
        <f t="shared" si="12"/>
        <v>0</v>
      </c>
      <c r="Z21" s="231">
        <f t="shared" si="12"/>
        <v>0</v>
      </c>
      <c r="AA21" s="231">
        <f t="shared" si="12"/>
        <v>0</v>
      </c>
      <c r="AB21" s="231">
        <f t="shared" si="12"/>
        <v>0</v>
      </c>
      <c r="AC21" s="231">
        <f t="shared" si="12"/>
        <v>0</v>
      </c>
      <c r="AD21" s="231">
        <f t="shared" si="12"/>
        <v>0</v>
      </c>
      <c r="AE21" s="231">
        <f t="shared" si="12"/>
        <v>0</v>
      </c>
      <c r="AF21" s="231">
        <f t="shared" si="12"/>
        <v>0</v>
      </c>
      <c r="AG21" s="231">
        <f t="shared" si="12"/>
        <v>0</v>
      </c>
      <c r="AH21" s="231">
        <f t="shared" si="12"/>
        <v>0</v>
      </c>
    </row>
    <row r="22" spans="1:34" x14ac:dyDescent="0.2">
      <c r="A22" s="5">
        <v>18</v>
      </c>
      <c r="B22" s="6" t="s">
        <v>103</v>
      </c>
      <c r="D22" s="230">
        <f t="shared" ref="D22:AH22" si="13">D20+D21</f>
        <v>28292</v>
      </c>
      <c r="E22" s="230">
        <f t="shared" si="13"/>
        <v>28292</v>
      </c>
      <c r="F22" s="230">
        <f t="shared" si="13"/>
        <v>28292</v>
      </c>
      <c r="G22" s="230">
        <f t="shared" si="13"/>
        <v>28292</v>
      </c>
      <c r="H22" s="230">
        <f t="shared" si="13"/>
        <v>27821.629520647937</v>
      </c>
      <c r="I22" s="230">
        <f t="shared" si="13"/>
        <v>26326.129078582635</v>
      </c>
      <c r="J22" s="230">
        <f t="shared" si="13"/>
        <v>24621.83459622689</v>
      </c>
      <c r="K22" s="230">
        <f t="shared" si="13"/>
        <v>22688.377183219953</v>
      </c>
      <c r="L22" s="230">
        <f t="shared" si="13"/>
        <v>20503.937560478087</v>
      </c>
      <c r="M22" s="230">
        <f t="shared" si="13"/>
        <v>18051.567078133681</v>
      </c>
      <c r="N22" s="230">
        <f t="shared" si="13"/>
        <v>15142.596961749994</v>
      </c>
      <c r="O22" s="230">
        <f t="shared" si="13"/>
        <v>12057.291815863849</v>
      </c>
      <c r="P22" s="230">
        <f t="shared" si="13"/>
        <v>8771.6503553999755</v>
      </c>
      <c r="Q22" s="230">
        <f t="shared" si="13"/>
        <v>5273.9941293327247</v>
      </c>
      <c r="R22" s="230">
        <f t="shared" si="13"/>
        <v>1551.92720441853</v>
      </c>
      <c r="S22" s="230">
        <f t="shared" si="13"/>
        <v>0</v>
      </c>
      <c r="T22" s="230">
        <f t="shared" si="13"/>
        <v>0</v>
      </c>
      <c r="U22" s="230">
        <f t="shared" si="13"/>
        <v>0</v>
      </c>
      <c r="V22" s="230">
        <f t="shared" si="13"/>
        <v>0</v>
      </c>
      <c r="W22" s="230">
        <f t="shared" si="13"/>
        <v>0</v>
      </c>
      <c r="X22" s="230">
        <f t="shared" si="13"/>
        <v>0</v>
      </c>
      <c r="Y22" s="230">
        <f t="shared" si="13"/>
        <v>0</v>
      </c>
      <c r="Z22" s="230">
        <f t="shared" si="13"/>
        <v>0</v>
      </c>
      <c r="AA22" s="230">
        <f t="shared" si="13"/>
        <v>0</v>
      </c>
      <c r="AB22" s="230">
        <f t="shared" si="13"/>
        <v>0</v>
      </c>
      <c r="AC22" s="230">
        <f t="shared" si="13"/>
        <v>0</v>
      </c>
      <c r="AD22" s="230">
        <f t="shared" si="13"/>
        <v>0</v>
      </c>
      <c r="AE22" s="230">
        <f t="shared" si="13"/>
        <v>0</v>
      </c>
      <c r="AF22" s="230">
        <f t="shared" si="13"/>
        <v>0</v>
      </c>
      <c r="AG22" s="230">
        <f t="shared" si="13"/>
        <v>0</v>
      </c>
      <c r="AH22" s="230">
        <f t="shared" si="13"/>
        <v>0</v>
      </c>
    </row>
    <row r="23" spans="1:34" x14ac:dyDescent="0.2">
      <c r="A23" s="5">
        <v>19</v>
      </c>
      <c r="B23" s="6"/>
      <c r="D23" s="230"/>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row>
    <row r="24" spans="1:34" ht="15" x14ac:dyDescent="0.25">
      <c r="A24" s="5">
        <v>20</v>
      </c>
      <c r="B24" s="234" t="s">
        <v>96</v>
      </c>
      <c r="C24" s="16"/>
      <c r="D24" s="297">
        <f>(-'Table 6-3'!$C$11*D12)+('Table 6-3'!$C$12*-D21)</f>
        <v>0</v>
      </c>
      <c r="E24" s="297">
        <f>(-'Table 6-3'!$C$11*E12)+('Table 6-3'!$C$12*-E21)</f>
        <v>0</v>
      </c>
      <c r="F24" s="297">
        <f>(-'Table 6-3'!$C$11*F12)+('Table 6-3'!$C$12*-F21)</f>
        <v>0</v>
      </c>
      <c r="G24" s="297">
        <f>(-'Table 6-3'!$C$11*G12)+('Table 6-3'!$C$12*-G21)</f>
        <v>0</v>
      </c>
      <c r="H24" s="298">
        <f>(-'Table 6-3'!$C$11*H12)+('Table 6-3'!$C$12*-H21)</f>
        <v>41.58075037472242</v>
      </c>
      <c r="I24" s="298">
        <f>(-'Table 6-3'!$C$11*I12)+('Table 6-3'!$C$12*-I21)</f>
        <v>132.20223907857269</v>
      </c>
      <c r="J24" s="298">
        <f>(-'Table 6-3'!$C$11*J12)+('Table 6-3'!$C$12*-J21)</f>
        <v>500.82492065251847</v>
      </c>
      <c r="K24" s="298">
        <f>(-'Table 6-3'!$C$11*K12)+('Table 6-3'!$C$12*-K21)</f>
        <v>611.57959219816485</v>
      </c>
      <c r="L24" s="298">
        <f>(-'Table 6-3'!$C$11*L12)+('Table 6-3'!$C$12*-L21)</f>
        <v>682.55908241159136</v>
      </c>
      <c r="M24" s="298">
        <f>(-'Table 6-3'!$C$11*M12)+('Table 6-3'!$C$12*-M21)</f>
        <v>757.90131006569038</v>
      </c>
      <c r="N24" s="298">
        <f>(-'Table 6-3'!$C$11*N12)+('Table 6-3'!$C$12*-N21)</f>
        <v>855.49684035301129</v>
      </c>
      <c r="O24" s="298">
        <f>(-'Table 6-3'!$C$11*O12)+('Table 6-3'!$C$12*-O21)</f>
        <v>910.55328263745878</v>
      </c>
      <c r="P24" s="298">
        <f>(-'Table 6-3'!$C$11*P12)+('Table 6-3'!$C$12*-P21)</f>
        <v>972.25586145120656</v>
      </c>
      <c r="Q24" s="298">
        <f>(-'Table 6-3'!$C$11*Q12)+('Table 6-3'!$C$12*-Q21)</f>
        <v>1037.4696124957316</v>
      </c>
      <c r="R24" s="298">
        <f>(-'Table 6-3'!$C$11*R12)+('Table 6-3'!$C$12*-R21)</f>
        <v>950.74894341073343</v>
      </c>
      <c r="S24" s="298">
        <f>(-'Table 6-3'!$C$11*S12)+('Table 6-3'!$C$12*-S21)</f>
        <v>137.19036487059807</v>
      </c>
      <c r="T24" s="298">
        <f>(-'Table 6-3'!$C$11*T12)+('Table 6-3'!$C$12*-T21)</f>
        <v>0</v>
      </c>
      <c r="U24" s="298">
        <f>(-'Table 6-3'!$C$11*U12)+('Table 6-3'!$C$12*-U21)</f>
        <v>0</v>
      </c>
      <c r="V24" s="298">
        <f>(-'Table 6-3'!$C$11*V12)+('Table 6-3'!$C$12*-V21)</f>
        <v>0</v>
      </c>
      <c r="W24" s="297">
        <f>(-'Table 6-3'!$C$11*W12)+('Table 6-3'!$C$12*-W21)</f>
        <v>0</v>
      </c>
      <c r="X24" s="297">
        <f>(-'Table 6-3'!$C$11*X12)+('Table 6-3'!$C$12*-X21)</f>
        <v>0</v>
      </c>
      <c r="Y24" s="297">
        <f>(-'Table 6-3'!$C$11*Y12)+('Table 6-3'!$C$12*-Y21)</f>
        <v>0</v>
      </c>
      <c r="Z24" s="297">
        <f>(-'Table 6-3'!$C$11*Z12)+('Table 6-3'!$C$12*-Z21)</f>
        <v>0</v>
      </c>
      <c r="AA24" s="297">
        <f>(-'Table 6-3'!$C$11*AA12)+('Table 6-3'!$C$12*-AA21)</f>
        <v>0</v>
      </c>
      <c r="AB24" s="297">
        <f>(-'Table 6-3'!$C$11*AB12)+('Table 6-3'!$C$12*-AB21)</f>
        <v>0</v>
      </c>
      <c r="AC24" s="297">
        <f>(-'Table 6-3'!$C$11*AC12)+('Table 6-3'!$C$12*-AC21)</f>
        <v>0</v>
      </c>
      <c r="AD24" s="297">
        <f>(-'Table 6-3'!$C$11*AD12)+('Table 6-3'!$C$12*-AD21)</f>
        <v>0</v>
      </c>
      <c r="AE24" s="297">
        <f>(-'Table 6-3'!$C$11*AE12)+('Table 6-3'!$C$12*-AE21)</f>
        <v>0</v>
      </c>
      <c r="AF24" s="297">
        <f>(-'Table 6-3'!$C$11*AF12)+('Table 6-3'!$C$12*-AF21)</f>
        <v>0</v>
      </c>
      <c r="AG24" s="297">
        <f>(-'Table 6-3'!$C$11*AG12)+('Table 6-3'!$C$12*-AG21)</f>
        <v>0</v>
      </c>
      <c r="AH24" s="297">
        <f>(-'Table 6-3'!$C$11*AH12)+('Table 6-3'!$C$12*-AH21)</f>
        <v>0</v>
      </c>
    </row>
    <row r="26" spans="1:34" x14ac:dyDescent="0.2">
      <c r="B26" s="5" t="s">
        <v>171</v>
      </c>
      <c r="H26" s="235"/>
      <c r="I26" s="110"/>
      <c r="J26" s="110"/>
      <c r="K26" s="110"/>
      <c r="L26" s="110"/>
      <c r="M26" s="110"/>
      <c r="N26" s="110"/>
      <c r="O26" s="110"/>
      <c r="P26" s="110"/>
      <c r="Q26" s="110"/>
      <c r="R26" s="110"/>
      <c r="S26" s="110"/>
      <c r="T26" s="110"/>
      <c r="U26" s="16"/>
    </row>
    <row r="27" spans="1:34" x14ac:dyDescent="0.2">
      <c r="B27" s="5" t="s">
        <v>165</v>
      </c>
    </row>
    <row r="31" spans="1:34" x14ac:dyDescent="0.2">
      <c r="L31" s="136"/>
    </row>
  </sheetData>
  <mergeCells count="3">
    <mergeCell ref="B1:N1"/>
    <mergeCell ref="B2:N2"/>
    <mergeCell ref="B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J67"/>
  <sheetViews>
    <sheetView showGridLines="0" zoomScale="80" zoomScaleNormal="80" workbookViewId="0">
      <selection activeCell="A38" sqref="A38"/>
    </sheetView>
  </sheetViews>
  <sheetFormatPr defaultColWidth="8.7109375" defaultRowHeight="14.25" x14ac:dyDescent="0.2"/>
  <cols>
    <col min="1" max="1" width="6.85546875" style="5" customWidth="1"/>
    <col min="2" max="2" width="27.140625" style="5" customWidth="1"/>
    <col min="3" max="3" width="17" style="5" customWidth="1"/>
    <col min="4" max="4" width="10.140625" style="5" hidden="1" customWidth="1"/>
    <col min="5" max="8" width="11.28515625" style="5" bestFit="1" customWidth="1"/>
    <col min="9" max="10" width="10.140625" style="5" customWidth="1"/>
    <col min="11" max="32" width="11.28515625" style="5" bestFit="1" customWidth="1"/>
    <col min="33" max="34" width="10.140625" style="5" customWidth="1"/>
    <col min="35" max="35" width="12.42578125" style="5" bestFit="1" customWidth="1"/>
    <col min="36" max="36" width="11.85546875" style="5" bestFit="1" customWidth="1"/>
    <col min="37" max="16384" width="8.7109375" style="5"/>
  </cols>
  <sheetData>
    <row r="1" spans="1:35" ht="15" thickBot="1" x14ac:dyDescent="0.25">
      <c r="O1" s="10"/>
      <c r="P1" s="10"/>
      <c r="Q1" s="10"/>
      <c r="R1" s="10"/>
      <c r="S1" s="10"/>
      <c r="T1" s="10"/>
      <c r="U1" s="10"/>
      <c r="V1" s="10"/>
      <c r="W1" s="10"/>
      <c r="X1" s="10"/>
      <c r="Y1" s="10"/>
      <c r="Z1" s="10"/>
      <c r="AA1" s="10"/>
      <c r="AB1" s="10"/>
      <c r="AC1" s="10"/>
      <c r="AD1" s="10"/>
      <c r="AE1" s="10"/>
      <c r="AF1" s="10"/>
    </row>
    <row r="2" spans="1:35" ht="15" x14ac:dyDescent="0.25">
      <c r="A2" s="30"/>
      <c r="B2" s="212" t="s">
        <v>0</v>
      </c>
      <c r="C2" s="213"/>
      <c r="D2" s="42"/>
      <c r="E2" s="307" t="s">
        <v>64</v>
      </c>
      <c r="F2" s="307"/>
      <c r="G2" s="307"/>
      <c r="H2" s="307"/>
      <c r="I2" s="307"/>
      <c r="J2" s="307"/>
      <c r="K2" s="307"/>
      <c r="L2" s="307"/>
      <c r="M2" s="307"/>
      <c r="N2" s="307"/>
      <c r="O2" s="307"/>
      <c r="P2" s="307"/>
      <c r="Q2" s="307"/>
      <c r="S2" s="93"/>
      <c r="T2" s="42"/>
      <c r="U2" s="42"/>
      <c r="V2" s="42"/>
      <c r="W2" s="42"/>
      <c r="X2" s="42"/>
      <c r="Y2" s="42"/>
      <c r="Z2" s="42"/>
      <c r="AA2" s="42"/>
      <c r="AB2" s="42"/>
      <c r="AC2" s="42"/>
      <c r="AD2" s="42"/>
      <c r="AE2" s="42"/>
      <c r="AF2" s="42"/>
      <c r="AG2" s="42"/>
      <c r="AH2" s="42"/>
    </row>
    <row r="3" spans="1:35" ht="15" x14ac:dyDescent="0.25">
      <c r="B3" s="214" t="s">
        <v>1</v>
      </c>
      <c r="C3" s="215">
        <v>44287</v>
      </c>
      <c r="D3" s="42"/>
      <c r="E3" s="307" t="s">
        <v>100</v>
      </c>
      <c r="F3" s="307"/>
      <c r="G3" s="307"/>
      <c r="H3" s="307"/>
      <c r="I3" s="307"/>
      <c r="J3" s="307"/>
      <c r="K3" s="307"/>
      <c r="L3" s="307"/>
      <c r="M3" s="307"/>
      <c r="N3" s="307"/>
      <c r="O3" s="307"/>
      <c r="P3" s="307"/>
      <c r="Q3" s="307"/>
      <c r="S3" s="42"/>
      <c r="T3" s="42"/>
      <c r="U3" s="42"/>
      <c r="V3" s="42"/>
      <c r="W3" s="42"/>
      <c r="X3" s="42"/>
      <c r="Y3" s="42"/>
      <c r="Z3" s="42"/>
      <c r="AA3" s="42"/>
      <c r="AB3" s="42"/>
      <c r="AC3" s="42"/>
      <c r="AD3" s="42"/>
      <c r="AE3" s="42"/>
      <c r="AF3" s="42"/>
      <c r="AG3" s="42"/>
      <c r="AH3" s="42"/>
    </row>
    <row r="4" spans="1:35" x14ac:dyDescent="0.2">
      <c r="B4" s="216" t="s">
        <v>2</v>
      </c>
      <c r="C4" s="217">
        <v>7500</v>
      </c>
      <c r="D4" s="43"/>
      <c r="E4" s="308" t="s">
        <v>5</v>
      </c>
      <c r="F4" s="308"/>
      <c r="G4" s="308"/>
      <c r="H4" s="308"/>
      <c r="I4" s="308"/>
      <c r="J4" s="308"/>
      <c r="K4" s="308"/>
      <c r="L4" s="308"/>
      <c r="M4" s="308"/>
      <c r="N4" s="308"/>
      <c r="O4" s="308"/>
      <c r="P4" s="308"/>
      <c r="Q4" s="308"/>
      <c r="S4" s="42"/>
      <c r="T4" s="42"/>
      <c r="U4" s="42"/>
      <c r="V4" s="42"/>
      <c r="W4" s="42"/>
      <c r="X4" s="42"/>
      <c r="Y4" s="42"/>
      <c r="Z4" s="42"/>
      <c r="AA4" s="42"/>
      <c r="AB4" s="42"/>
      <c r="AC4" s="42"/>
      <c r="AD4" s="42"/>
      <c r="AE4" s="42"/>
      <c r="AF4" s="42"/>
      <c r="AG4" s="42"/>
      <c r="AH4" s="42"/>
    </row>
    <row r="5" spans="1:35" x14ac:dyDescent="0.2">
      <c r="B5" s="214" t="s">
        <v>3</v>
      </c>
      <c r="C5" s="218">
        <f>Pricing!G4</f>
        <v>2.901514429710168E-2</v>
      </c>
      <c r="S5" s="42"/>
      <c r="T5" s="42"/>
      <c r="U5" s="42"/>
      <c r="V5" s="42"/>
      <c r="W5" s="42"/>
      <c r="X5" s="42"/>
      <c r="Y5" s="42"/>
      <c r="Z5" s="42"/>
      <c r="AA5" s="42"/>
      <c r="AB5" s="42"/>
      <c r="AC5" s="42"/>
      <c r="AD5" s="42"/>
      <c r="AE5" s="42"/>
      <c r="AF5" s="42"/>
      <c r="AG5" s="42"/>
      <c r="AH5" s="42"/>
    </row>
    <row r="6" spans="1:35" ht="16.5" x14ac:dyDescent="0.2">
      <c r="B6" s="214" t="s">
        <v>161</v>
      </c>
      <c r="C6" s="218">
        <v>2.7850035382594687E-2</v>
      </c>
      <c r="S6" s="42"/>
      <c r="T6" s="42"/>
      <c r="U6" s="42"/>
      <c r="V6" s="42"/>
      <c r="W6" s="42"/>
      <c r="X6" s="42"/>
      <c r="Y6" s="42"/>
      <c r="Z6" s="42"/>
      <c r="AA6" s="42"/>
      <c r="AB6" s="42"/>
      <c r="AC6" s="42"/>
      <c r="AD6" s="42"/>
      <c r="AE6" s="42"/>
      <c r="AF6" s="42"/>
      <c r="AG6" s="42"/>
      <c r="AH6" s="42"/>
    </row>
    <row r="7" spans="1:35" x14ac:dyDescent="0.2">
      <c r="B7" s="219" t="s">
        <v>4</v>
      </c>
      <c r="C7" s="220">
        <f>30</f>
        <v>30</v>
      </c>
      <c r="D7" s="43"/>
      <c r="S7" s="42"/>
      <c r="T7" s="42"/>
      <c r="U7" s="42"/>
      <c r="V7" s="42"/>
      <c r="W7" s="42"/>
      <c r="X7" s="42"/>
      <c r="Y7" s="42"/>
      <c r="Z7" s="42"/>
      <c r="AA7" s="42"/>
      <c r="AB7" s="42"/>
      <c r="AC7" s="42"/>
      <c r="AD7" s="42"/>
      <c r="AE7" s="42"/>
      <c r="AF7" s="42"/>
      <c r="AG7" s="42"/>
      <c r="AH7" s="42"/>
    </row>
    <row r="8" spans="1:35" x14ac:dyDescent="0.2">
      <c r="B8" s="219" t="s">
        <v>9</v>
      </c>
      <c r="C8" s="221">
        <v>5.1000000000000004E-4</v>
      </c>
    </row>
    <row r="9" spans="1:35" x14ac:dyDescent="0.2">
      <c r="B9" s="219" t="s">
        <v>28</v>
      </c>
      <c r="C9" s="221">
        <f>0.00003</f>
        <v>3.0000000000000001E-5</v>
      </c>
      <c r="N9" s="263"/>
    </row>
    <row r="10" spans="1:35" x14ac:dyDescent="0.2">
      <c r="B10" s="219" t="s">
        <v>29</v>
      </c>
      <c r="C10" s="221">
        <v>3.3E-3</v>
      </c>
      <c r="N10" s="264"/>
    </row>
    <row r="11" spans="1:35" x14ac:dyDescent="0.2">
      <c r="B11" s="219" t="s">
        <v>47</v>
      </c>
      <c r="C11" s="218">
        <v>0.21</v>
      </c>
    </row>
    <row r="12" spans="1:35" ht="15" thickBot="1" x14ac:dyDescent="0.25">
      <c r="B12" s="222" t="s">
        <v>48</v>
      </c>
      <c r="C12" s="223">
        <v>8.8400000000000006E-2</v>
      </c>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5" x14ac:dyDescent="0.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row>
    <row r="14" spans="1:35" x14ac:dyDescent="0.2">
      <c r="B14" s="46"/>
      <c r="C14" s="47"/>
      <c r="D14" s="48"/>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row>
    <row r="15" spans="1:35" ht="15" x14ac:dyDescent="0.25">
      <c r="A15" s="5">
        <v>1</v>
      </c>
      <c r="B15" s="7" t="s">
        <v>84</v>
      </c>
      <c r="C15" s="50"/>
      <c r="D15" s="51">
        <v>2020</v>
      </c>
      <c r="E15" s="51">
        <v>2021</v>
      </c>
      <c r="F15" s="51">
        <v>2022</v>
      </c>
      <c r="G15" s="51">
        <v>2023</v>
      </c>
      <c r="H15" s="51">
        <v>2024</v>
      </c>
      <c r="I15" s="51">
        <v>2025</v>
      </c>
      <c r="J15" s="51">
        <v>2026</v>
      </c>
      <c r="K15" s="51">
        <v>2027</v>
      </c>
      <c r="L15" s="51">
        <v>2028</v>
      </c>
      <c r="M15" s="51">
        <v>2029</v>
      </c>
      <c r="N15" s="51">
        <v>2030</v>
      </c>
      <c r="O15" s="51">
        <v>2031</v>
      </c>
      <c r="P15" s="51">
        <v>2032</v>
      </c>
      <c r="Q15" s="51">
        <v>2033</v>
      </c>
      <c r="R15" s="51">
        <v>2034</v>
      </c>
      <c r="S15" s="51">
        <v>2035</v>
      </c>
      <c r="T15" s="51">
        <v>2036</v>
      </c>
      <c r="U15" s="51">
        <v>2037</v>
      </c>
      <c r="V15" s="51">
        <v>2038</v>
      </c>
      <c r="W15" s="51">
        <v>2039</v>
      </c>
      <c r="X15" s="51">
        <v>2040</v>
      </c>
      <c r="Y15" s="51">
        <v>2041</v>
      </c>
      <c r="Z15" s="51">
        <v>2042</v>
      </c>
      <c r="AA15" s="51">
        <v>2043</v>
      </c>
      <c r="AB15" s="51">
        <v>2044</v>
      </c>
      <c r="AC15" s="51">
        <v>2045</v>
      </c>
      <c r="AD15" s="51">
        <v>2046</v>
      </c>
      <c r="AE15" s="51">
        <v>2047</v>
      </c>
      <c r="AF15" s="51">
        <v>2048</v>
      </c>
      <c r="AG15" s="51">
        <v>2049</v>
      </c>
      <c r="AH15" s="51">
        <v>2050</v>
      </c>
    </row>
    <row r="16" spans="1:35" x14ac:dyDescent="0.2">
      <c r="A16" s="5">
        <v>2</v>
      </c>
      <c r="B16" s="5" t="str">
        <f>'Exhibit 3-2'!B15</f>
        <v>Annual Debt Service</v>
      </c>
      <c r="D16" s="13">
        <f>'Exhibit 3-2'!D15</f>
        <v>0</v>
      </c>
      <c r="E16" s="13">
        <f>'Exhibit 3-2'!E15</f>
        <v>186.42713313463253</v>
      </c>
      <c r="F16" s="13">
        <f>'Exhibit 3-2'!F15</f>
        <v>299.61503539494515</v>
      </c>
      <c r="G16" s="13">
        <f>'Exhibit 3-2'!G15</f>
        <v>299.61503539494515</v>
      </c>
      <c r="H16" s="13">
        <f>'Exhibit 3-2'!H15</f>
        <v>389.11043557785081</v>
      </c>
      <c r="I16" s="13">
        <f>'Exhibit 3-2'!I15</f>
        <v>389.11043557785081</v>
      </c>
      <c r="J16" s="13">
        <f>'Exhibit 3-2'!J15</f>
        <v>389.11043557785081</v>
      </c>
      <c r="K16" s="13">
        <f>'Exhibit 3-2'!K15</f>
        <v>389.11043557785081</v>
      </c>
      <c r="L16" s="13">
        <f>'Exhibit 3-2'!L15</f>
        <v>389.11043557785081</v>
      </c>
      <c r="M16" s="13">
        <f>'Exhibit 3-2'!M15</f>
        <v>389.11043557785081</v>
      </c>
      <c r="N16" s="13">
        <f>'Exhibit 3-2'!N15</f>
        <v>389.11043557785081</v>
      </c>
      <c r="O16" s="13">
        <f>'Exhibit 3-2'!O15</f>
        <v>389.11043557785081</v>
      </c>
      <c r="P16" s="13">
        <f>'Exhibit 3-2'!P15</f>
        <v>389.11043557785081</v>
      </c>
      <c r="Q16" s="13">
        <f>'Exhibit 3-2'!Q15</f>
        <v>389.11043557785081</v>
      </c>
      <c r="R16" s="13">
        <f>'Exhibit 3-2'!R15</f>
        <v>389.11043557785081</v>
      </c>
      <c r="S16" s="13">
        <f>'Exhibit 3-2'!S15</f>
        <v>389.11043557785081</v>
      </c>
      <c r="T16" s="13">
        <f>'Exhibit 3-2'!T15</f>
        <v>389.11043557785081</v>
      </c>
      <c r="U16" s="13">
        <f>'Exhibit 3-2'!U15</f>
        <v>389.11043557785081</v>
      </c>
      <c r="V16" s="13">
        <f>'Exhibit 3-2'!V15</f>
        <v>389.11043557785081</v>
      </c>
      <c r="W16" s="13">
        <f>'Exhibit 3-2'!W15</f>
        <v>389.11043557785081</v>
      </c>
      <c r="X16" s="13">
        <f>'Exhibit 3-2'!X15</f>
        <v>389.11043557785081</v>
      </c>
      <c r="Y16" s="13">
        <f>'Exhibit 3-2'!Y15</f>
        <v>389.11043557785081</v>
      </c>
      <c r="Z16" s="13">
        <f>'Exhibit 3-2'!Z15</f>
        <v>389.11043557785081</v>
      </c>
      <c r="AA16" s="13">
        <f>'Exhibit 3-2'!AA15</f>
        <v>389.11043557785081</v>
      </c>
      <c r="AB16" s="13">
        <f>'Exhibit 3-2'!AB15</f>
        <v>389.11043557785081</v>
      </c>
      <c r="AC16" s="13">
        <f>'Exhibit 3-2'!AC15</f>
        <v>389.11043557785081</v>
      </c>
      <c r="AD16" s="13">
        <f>'Exhibit 3-2'!AD15</f>
        <v>389.11043557785081</v>
      </c>
      <c r="AE16" s="13">
        <f>'Exhibit 3-2'!AE15</f>
        <v>389.11043557785081</v>
      </c>
      <c r="AF16" s="13">
        <f>'Exhibit 3-2'!AF15</f>
        <v>389.11043557785081</v>
      </c>
      <c r="AG16" s="13">
        <f>'Exhibit 3-2'!AG15</f>
        <v>389.11043557785081</v>
      </c>
      <c r="AH16" s="13">
        <f>'Exhibit 3-2'!AH15</f>
        <v>389.11043557785081</v>
      </c>
      <c r="AI16" s="265"/>
    </row>
    <row r="17" spans="1:36" x14ac:dyDescent="0.2">
      <c r="A17" s="5">
        <v>3</v>
      </c>
      <c r="B17" s="6" t="str">
        <f>'Exhibit 3-2'!B16</f>
        <v>Servicing &amp; Administrative Fees (PG&amp;E)</v>
      </c>
      <c r="D17" s="13">
        <f>'Exhibit 3-2'!D16</f>
        <v>0</v>
      </c>
      <c r="E17" s="13">
        <f>'Exhibit 3-2'!E16</f>
        <v>2.8687500000000004</v>
      </c>
      <c r="F17" s="13">
        <f>'Exhibit 3-2'!F16</f>
        <v>3.8250000000000002</v>
      </c>
      <c r="G17" s="13">
        <f>'Exhibit 3-2'!G16</f>
        <v>3.8250000000000002</v>
      </c>
      <c r="H17" s="13">
        <f>'Exhibit 3-2'!H16</f>
        <v>3.8250000000000002</v>
      </c>
      <c r="I17" s="13">
        <f>'Exhibit 3-2'!I16</f>
        <v>3.8250000000000002</v>
      </c>
      <c r="J17" s="13">
        <f>'Exhibit 3-2'!J16</f>
        <v>3.8250000000000002</v>
      </c>
      <c r="K17" s="13">
        <f>'Exhibit 3-2'!K16</f>
        <v>3.8250000000000002</v>
      </c>
      <c r="L17" s="13">
        <f>'Exhibit 3-2'!L16</f>
        <v>3.8250000000000002</v>
      </c>
      <c r="M17" s="13">
        <f>'Exhibit 3-2'!M16</f>
        <v>3.8250000000000002</v>
      </c>
      <c r="N17" s="13">
        <f>'Exhibit 3-2'!N16</f>
        <v>3.8250000000000002</v>
      </c>
      <c r="O17" s="13">
        <f>'Exhibit 3-2'!O16</f>
        <v>3.8250000000000002</v>
      </c>
      <c r="P17" s="13">
        <f>'Exhibit 3-2'!P16</f>
        <v>3.8250000000000002</v>
      </c>
      <c r="Q17" s="13">
        <f>'Exhibit 3-2'!Q16</f>
        <v>3.8250000000000002</v>
      </c>
      <c r="R17" s="13">
        <f>'Exhibit 3-2'!R16</f>
        <v>3.8250000000000002</v>
      </c>
      <c r="S17" s="13">
        <f>'Exhibit 3-2'!S16</f>
        <v>3.8250000000000002</v>
      </c>
      <c r="T17" s="13">
        <f>'Exhibit 3-2'!T16</f>
        <v>3.8250000000000002</v>
      </c>
      <c r="U17" s="13">
        <f>'Exhibit 3-2'!U16</f>
        <v>3.8250000000000002</v>
      </c>
      <c r="V17" s="13">
        <f>'Exhibit 3-2'!V16</f>
        <v>3.8250000000000002</v>
      </c>
      <c r="W17" s="13">
        <f>'Exhibit 3-2'!W16</f>
        <v>3.8250000000000002</v>
      </c>
      <c r="X17" s="13">
        <f>'Exhibit 3-2'!X16</f>
        <v>3.8250000000000002</v>
      </c>
      <c r="Y17" s="13">
        <f>'Exhibit 3-2'!Y16</f>
        <v>3.8250000000000002</v>
      </c>
      <c r="Z17" s="13">
        <f>'Exhibit 3-2'!Z16</f>
        <v>3.8250000000000002</v>
      </c>
      <c r="AA17" s="13">
        <f>'Exhibit 3-2'!AA16</f>
        <v>3.8250000000000002</v>
      </c>
      <c r="AB17" s="13">
        <f>'Exhibit 3-2'!AB16</f>
        <v>3.8250000000000002</v>
      </c>
      <c r="AC17" s="13">
        <f>'Exhibit 3-2'!AC16</f>
        <v>3.8250000000000002</v>
      </c>
      <c r="AD17" s="13">
        <f>'Exhibit 3-2'!AD16</f>
        <v>3.8250000000000002</v>
      </c>
      <c r="AE17" s="13">
        <f>'Exhibit 3-2'!AE16</f>
        <v>3.8250000000000002</v>
      </c>
      <c r="AF17" s="13">
        <f>'Exhibit 3-2'!AF16</f>
        <v>3.8250000000000002</v>
      </c>
      <c r="AG17" s="13">
        <f>'Exhibit 3-2'!AG16</f>
        <v>3.8250000000000002</v>
      </c>
      <c r="AH17" s="13">
        <f>'Exhibit 3-2'!AH16</f>
        <v>3.8250000000000002</v>
      </c>
      <c r="AI17" s="265"/>
    </row>
    <row r="18" spans="1:36" x14ac:dyDescent="0.2">
      <c r="A18" s="5">
        <v>4</v>
      </c>
      <c r="B18" s="6" t="str">
        <f>'Exhibit 3-2'!B17</f>
        <v>Rating Agency Fees</v>
      </c>
      <c r="D18" s="13">
        <f>'Exhibit 3-2'!D17</f>
        <v>0</v>
      </c>
      <c r="E18" s="13">
        <f>'Exhibit 3-2'!E17</f>
        <v>0.16874999999999998</v>
      </c>
      <c r="F18" s="13">
        <f>'Exhibit 3-2'!F17</f>
        <v>0.22500000000000001</v>
      </c>
      <c r="G18" s="13">
        <f>'Exhibit 3-2'!G17</f>
        <v>0.22500000000000001</v>
      </c>
      <c r="H18" s="13">
        <f>'Exhibit 3-2'!H17</f>
        <v>0.22500000000000001</v>
      </c>
      <c r="I18" s="13">
        <f>'Exhibit 3-2'!I17</f>
        <v>0.22500000000000001</v>
      </c>
      <c r="J18" s="13">
        <f>'Exhibit 3-2'!J17</f>
        <v>0.22500000000000001</v>
      </c>
      <c r="K18" s="13">
        <f>'Exhibit 3-2'!K17</f>
        <v>0.22500000000000001</v>
      </c>
      <c r="L18" s="13">
        <f>'Exhibit 3-2'!L17</f>
        <v>0.22500000000000001</v>
      </c>
      <c r="M18" s="13">
        <f>'Exhibit 3-2'!M17</f>
        <v>0.22500000000000001</v>
      </c>
      <c r="N18" s="13">
        <f>'Exhibit 3-2'!N17</f>
        <v>0.22500000000000001</v>
      </c>
      <c r="O18" s="13">
        <f>'Exhibit 3-2'!O17</f>
        <v>0.22500000000000001</v>
      </c>
      <c r="P18" s="13">
        <f>'Exhibit 3-2'!P17</f>
        <v>0.22500000000000001</v>
      </c>
      <c r="Q18" s="13">
        <f>'Exhibit 3-2'!Q17</f>
        <v>0.22500000000000001</v>
      </c>
      <c r="R18" s="13">
        <f>'Exhibit 3-2'!R17</f>
        <v>0.22500000000000001</v>
      </c>
      <c r="S18" s="13">
        <f>'Exhibit 3-2'!S17</f>
        <v>0.22500000000000001</v>
      </c>
      <c r="T18" s="13">
        <f>'Exhibit 3-2'!T17</f>
        <v>0.22500000000000001</v>
      </c>
      <c r="U18" s="13">
        <f>'Exhibit 3-2'!U17</f>
        <v>0.22500000000000001</v>
      </c>
      <c r="V18" s="13">
        <f>'Exhibit 3-2'!V17</f>
        <v>0.22500000000000001</v>
      </c>
      <c r="W18" s="13">
        <f>'Exhibit 3-2'!W17</f>
        <v>0.22500000000000001</v>
      </c>
      <c r="X18" s="13">
        <f>'Exhibit 3-2'!X17</f>
        <v>0.22500000000000001</v>
      </c>
      <c r="Y18" s="13">
        <f>'Exhibit 3-2'!Y17</f>
        <v>0.22500000000000001</v>
      </c>
      <c r="Z18" s="13">
        <f>'Exhibit 3-2'!Z17</f>
        <v>0.22500000000000001</v>
      </c>
      <c r="AA18" s="13">
        <f>'Exhibit 3-2'!AA17</f>
        <v>0.22500000000000001</v>
      </c>
      <c r="AB18" s="13">
        <f>'Exhibit 3-2'!AB17</f>
        <v>0.22500000000000001</v>
      </c>
      <c r="AC18" s="13">
        <f>'Exhibit 3-2'!AC17</f>
        <v>0.22500000000000001</v>
      </c>
      <c r="AD18" s="13">
        <f>'Exhibit 3-2'!AD17</f>
        <v>0.22500000000000001</v>
      </c>
      <c r="AE18" s="13">
        <f>'Exhibit 3-2'!AE17</f>
        <v>0.22500000000000001</v>
      </c>
      <c r="AF18" s="13">
        <f>'Exhibit 3-2'!AF17</f>
        <v>0.22500000000000001</v>
      </c>
      <c r="AG18" s="13">
        <f>'Exhibit 3-2'!AG17</f>
        <v>0.22500000000000001</v>
      </c>
      <c r="AH18" s="13">
        <f>'Exhibit 3-2'!AH17</f>
        <v>0.22500000000000001</v>
      </c>
      <c r="AI18" s="265"/>
    </row>
    <row r="19" spans="1:36" ht="17.25" x14ac:dyDescent="0.25">
      <c r="A19" s="5">
        <v>5</v>
      </c>
      <c r="B19" s="90" t="s">
        <v>41</v>
      </c>
      <c r="C19" s="17"/>
      <c r="D19" s="13">
        <f>'Exhibit 3-2'!D18</f>
        <v>0</v>
      </c>
      <c r="E19" s="13">
        <f>'Exhibit 3-2'!E18</f>
        <v>0.20625000000000002</v>
      </c>
      <c r="F19" s="13">
        <f>'Exhibit 3-2'!F18</f>
        <v>0.27500000000000002</v>
      </c>
      <c r="G19" s="13">
        <f>'Exhibit 3-2'!G18</f>
        <v>0.27500000000000002</v>
      </c>
      <c r="H19" s="13">
        <f>'Exhibit 3-2'!H18</f>
        <v>0.27500000000000002</v>
      </c>
      <c r="I19" s="13">
        <f>'Exhibit 3-2'!I18</f>
        <v>0.27500000000000002</v>
      </c>
      <c r="J19" s="13">
        <f>'Exhibit 3-2'!J18</f>
        <v>0.27500000000000002</v>
      </c>
      <c r="K19" s="13">
        <f>'Exhibit 3-2'!K18</f>
        <v>0.27500000000000002</v>
      </c>
      <c r="L19" s="13">
        <f>'Exhibit 3-2'!L18</f>
        <v>0.27500000000000002</v>
      </c>
      <c r="M19" s="13">
        <f>'Exhibit 3-2'!M18</f>
        <v>0.27500000000000002</v>
      </c>
      <c r="N19" s="13">
        <f>'Exhibit 3-2'!N18</f>
        <v>0.27500000000000002</v>
      </c>
      <c r="O19" s="13">
        <f>'Exhibit 3-2'!O18</f>
        <v>0.27500000000000002</v>
      </c>
      <c r="P19" s="13">
        <f>'Exhibit 3-2'!P18</f>
        <v>0.27500000000000002</v>
      </c>
      <c r="Q19" s="13">
        <f>'Exhibit 3-2'!Q18</f>
        <v>0.27500000000000002</v>
      </c>
      <c r="R19" s="13">
        <f>'Exhibit 3-2'!R18</f>
        <v>0.27500000000000002</v>
      </c>
      <c r="S19" s="13">
        <f>'Exhibit 3-2'!S18</f>
        <v>0.27500000000000002</v>
      </c>
      <c r="T19" s="13">
        <f>'Exhibit 3-2'!T18</f>
        <v>0.27500000000000002</v>
      </c>
      <c r="U19" s="13">
        <f>'Exhibit 3-2'!U18</f>
        <v>0.27500000000000002</v>
      </c>
      <c r="V19" s="13">
        <f>'Exhibit 3-2'!V18</f>
        <v>0.27500000000000002</v>
      </c>
      <c r="W19" s="13">
        <f>'Exhibit 3-2'!W18</f>
        <v>0.27500000000000002</v>
      </c>
      <c r="X19" s="13">
        <f>'Exhibit 3-2'!X18</f>
        <v>0.27500000000000002</v>
      </c>
      <c r="Y19" s="13">
        <f>'Exhibit 3-2'!Y18</f>
        <v>0.27500000000000002</v>
      </c>
      <c r="Z19" s="13">
        <f>'Exhibit 3-2'!Z18</f>
        <v>0.27500000000000002</v>
      </c>
      <c r="AA19" s="13">
        <f>'Exhibit 3-2'!AA18</f>
        <v>0.27500000000000002</v>
      </c>
      <c r="AB19" s="13">
        <f>'Exhibit 3-2'!AB18</f>
        <v>0.27500000000000002</v>
      </c>
      <c r="AC19" s="13">
        <f>'Exhibit 3-2'!AC18</f>
        <v>0.27500000000000002</v>
      </c>
      <c r="AD19" s="13">
        <f>'Exhibit 3-2'!AD18</f>
        <v>0.27500000000000002</v>
      </c>
      <c r="AE19" s="13">
        <f>'Exhibit 3-2'!AE18</f>
        <v>0.27500000000000002</v>
      </c>
      <c r="AF19" s="13">
        <f>'Exhibit 3-2'!AF18</f>
        <v>0.27500000000000002</v>
      </c>
      <c r="AG19" s="13">
        <f>'Exhibit 3-2'!AG18</f>
        <v>0.27500000000000002</v>
      </c>
      <c r="AH19" s="13">
        <f>'Exhibit 3-2'!AH18</f>
        <v>0.27500000000000002</v>
      </c>
      <c r="AI19" s="265"/>
      <c r="AJ19" s="266"/>
    </row>
    <row r="20" spans="1:36" s="17" customFormat="1" x14ac:dyDescent="0.2">
      <c r="A20" s="5">
        <v>6</v>
      </c>
      <c r="B20" s="91" t="s">
        <v>31</v>
      </c>
      <c r="C20" s="11"/>
      <c r="D20" s="14">
        <f>'Exhibit 3-2'!D19</f>
        <v>0</v>
      </c>
      <c r="E20" s="14">
        <f>'Exhibit 3-2'!E19</f>
        <v>189.67088313463253</v>
      </c>
      <c r="F20" s="14">
        <f>'Exhibit 3-2'!F19</f>
        <v>303.94003539494514</v>
      </c>
      <c r="G20" s="14">
        <f>'Exhibit 3-2'!G19</f>
        <v>303.94003539494514</v>
      </c>
      <c r="H20" s="14">
        <f>'Exhibit 3-2'!H19</f>
        <v>393.4354355778508</v>
      </c>
      <c r="I20" s="14">
        <f>'Exhibit 3-2'!I19</f>
        <v>393.4354355778508</v>
      </c>
      <c r="J20" s="14">
        <f>'Exhibit 3-2'!J19</f>
        <v>393.4354355778508</v>
      </c>
      <c r="K20" s="14">
        <f>'Exhibit 3-2'!K19</f>
        <v>393.4354355778508</v>
      </c>
      <c r="L20" s="14">
        <f>'Exhibit 3-2'!L19</f>
        <v>393.4354355778508</v>
      </c>
      <c r="M20" s="14">
        <f>'Exhibit 3-2'!M19</f>
        <v>393.4354355778508</v>
      </c>
      <c r="N20" s="14">
        <f>'Exhibit 3-2'!N19</f>
        <v>393.4354355778508</v>
      </c>
      <c r="O20" s="14">
        <f>'Exhibit 3-2'!O19</f>
        <v>393.4354355778508</v>
      </c>
      <c r="P20" s="14">
        <f>'Exhibit 3-2'!P19</f>
        <v>393.4354355778508</v>
      </c>
      <c r="Q20" s="14">
        <f>'Exhibit 3-2'!Q19</f>
        <v>393.4354355778508</v>
      </c>
      <c r="R20" s="14">
        <f>'Exhibit 3-2'!R19</f>
        <v>393.4354355778508</v>
      </c>
      <c r="S20" s="14">
        <f>'Exhibit 3-2'!S19</f>
        <v>393.4354355778508</v>
      </c>
      <c r="T20" s="14">
        <f>'Exhibit 3-2'!T19</f>
        <v>393.4354355778508</v>
      </c>
      <c r="U20" s="14">
        <f>'Exhibit 3-2'!U19</f>
        <v>393.4354355778508</v>
      </c>
      <c r="V20" s="14">
        <f>'Exhibit 3-2'!V19</f>
        <v>393.4354355778508</v>
      </c>
      <c r="W20" s="14">
        <f>'Exhibit 3-2'!W19</f>
        <v>393.4354355778508</v>
      </c>
      <c r="X20" s="14">
        <f>'Exhibit 3-2'!X19</f>
        <v>393.4354355778508</v>
      </c>
      <c r="Y20" s="14">
        <f>'Exhibit 3-2'!Y19</f>
        <v>393.4354355778508</v>
      </c>
      <c r="Z20" s="14">
        <f>'Exhibit 3-2'!Z19</f>
        <v>393.4354355778508</v>
      </c>
      <c r="AA20" s="14">
        <f>'Exhibit 3-2'!AA19</f>
        <v>393.4354355778508</v>
      </c>
      <c r="AB20" s="14">
        <f>'Exhibit 3-2'!AB19</f>
        <v>393.4354355778508</v>
      </c>
      <c r="AC20" s="14">
        <f>'Exhibit 3-2'!AC19</f>
        <v>393.4354355778508</v>
      </c>
      <c r="AD20" s="14">
        <f>'Exhibit 3-2'!AD19</f>
        <v>393.4354355778508</v>
      </c>
      <c r="AE20" s="14">
        <f>'Exhibit 3-2'!AE19</f>
        <v>393.4354355778508</v>
      </c>
      <c r="AF20" s="14">
        <f>'Exhibit 3-2'!AF19</f>
        <v>393.4354355778508</v>
      </c>
      <c r="AG20" s="14">
        <f>'Exhibit 3-2'!AG19</f>
        <v>393.4354355778508</v>
      </c>
      <c r="AH20" s="14">
        <f>'Exhibit 3-2'!AH19</f>
        <v>393.4354355778508</v>
      </c>
      <c r="AI20" s="265"/>
    </row>
    <row r="21" spans="1:36" s="17" customFormat="1" ht="16.5" x14ac:dyDescent="0.2">
      <c r="A21" s="5">
        <v>7</v>
      </c>
      <c r="B21" s="90" t="s">
        <v>42</v>
      </c>
      <c r="D21" s="18">
        <v>0</v>
      </c>
      <c r="E21" s="18">
        <f>'Exhibit 3-2'!E20</f>
        <v>63.223627711544161</v>
      </c>
      <c r="F21" s="18">
        <f>'Exhibit 3-2'!F20</f>
        <v>0</v>
      </c>
      <c r="G21" s="18">
        <f>'Exhibit 3-2'!G20</f>
        <v>0</v>
      </c>
      <c r="H21" s="18">
        <f>'Exhibit 3-2'!H20</f>
        <v>0</v>
      </c>
      <c r="I21" s="18">
        <f>'Exhibit 3-2'!I20</f>
        <v>0</v>
      </c>
      <c r="J21" s="18">
        <f>'Exhibit 3-2'!J20</f>
        <v>0</v>
      </c>
      <c r="K21" s="18">
        <f>'Exhibit 3-2'!K20</f>
        <v>0</v>
      </c>
      <c r="L21" s="18">
        <f>'Exhibit 3-2'!L20</f>
        <v>0</v>
      </c>
      <c r="M21" s="18">
        <f>'Exhibit 3-2'!M20</f>
        <v>0</v>
      </c>
      <c r="N21" s="18">
        <f>'Exhibit 3-2'!N20</f>
        <v>0</v>
      </c>
      <c r="O21" s="18">
        <f>'Exhibit 3-2'!O20</f>
        <v>0</v>
      </c>
      <c r="P21" s="18">
        <f>'Exhibit 3-2'!P20</f>
        <v>0</v>
      </c>
      <c r="Q21" s="18">
        <f>'Exhibit 3-2'!Q20</f>
        <v>0</v>
      </c>
      <c r="R21" s="18">
        <f>'Exhibit 3-2'!R20</f>
        <v>0</v>
      </c>
      <c r="S21" s="18">
        <f>'Exhibit 3-2'!S20</f>
        <v>0</v>
      </c>
      <c r="T21" s="18">
        <f>'Exhibit 3-2'!T20</f>
        <v>0</v>
      </c>
      <c r="U21" s="18">
        <f>'Exhibit 3-2'!U20</f>
        <v>0</v>
      </c>
      <c r="V21" s="18">
        <f>'Exhibit 3-2'!V20</f>
        <v>0</v>
      </c>
      <c r="W21" s="18">
        <f>'Exhibit 3-2'!W20</f>
        <v>0</v>
      </c>
      <c r="X21" s="18">
        <f>'Exhibit 3-2'!X20</f>
        <v>0</v>
      </c>
      <c r="Y21" s="18">
        <f>'Exhibit 3-2'!Y20</f>
        <v>0</v>
      </c>
      <c r="Z21" s="18">
        <f>'Exhibit 3-2'!Z20</f>
        <v>0</v>
      </c>
      <c r="AA21" s="18">
        <f>'Exhibit 3-2'!AA20</f>
        <v>0</v>
      </c>
      <c r="AB21" s="18">
        <f>'Exhibit 3-2'!AB20</f>
        <v>0</v>
      </c>
      <c r="AC21" s="18">
        <f>'Exhibit 3-2'!AC20</f>
        <v>0</v>
      </c>
      <c r="AD21" s="18">
        <f>'Exhibit 3-2'!AD20</f>
        <v>0</v>
      </c>
      <c r="AE21" s="18">
        <f>'Exhibit 3-2'!AE20</f>
        <v>0</v>
      </c>
      <c r="AF21" s="18">
        <f>'Exhibit 3-2'!AF20</f>
        <v>0</v>
      </c>
      <c r="AG21" s="18">
        <f>'Exhibit 3-2'!AG20</f>
        <v>0</v>
      </c>
      <c r="AH21" s="18">
        <f>'Exhibit 3-2'!AH20</f>
        <v>-63.223627711544161</v>
      </c>
      <c r="AI21" s="265"/>
    </row>
    <row r="22" spans="1:36" x14ac:dyDescent="0.2">
      <c r="A22" s="5">
        <v>8</v>
      </c>
      <c r="B22" s="15" t="s">
        <v>30</v>
      </c>
      <c r="C22" s="11"/>
      <c r="D22" s="14">
        <f t="shared" ref="D22" si="0">$C$10*D20</f>
        <v>0</v>
      </c>
      <c r="E22" s="14">
        <f>'Exhibit 3-2'!E21</f>
        <v>0.83731502537611391</v>
      </c>
      <c r="F22" s="14">
        <f>'Exhibit 3-2'!F21</f>
        <v>1.0063229826460385</v>
      </c>
      <c r="G22" s="14">
        <f>'Exhibit 3-2'!G21</f>
        <v>1.0063229826460385</v>
      </c>
      <c r="H22" s="14">
        <f>'Exhibit 3-2'!H21</f>
        <v>1.3026356350023995</v>
      </c>
      <c r="I22" s="14">
        <f>'Exhibit 3-2'!I21</f>
        <v>1.3026356350023995</v>
      </c>
      <c r="J22" s="14">
        <f>'Exhibit 3-2'!J21</f>
        <v>1.3026356350023995</v>
      </c>
      <c r="K22" s="14">
        <f>'Exhibit 3-2'!K21</f>
        <v>1.3026356350023995</v>
      </c>
      <c r="L22" s="14">
        <f>'Exhibit 3-2'!L21</f>
        <v>1.3026356350023995</v>
      </c>
      <c r="M22" s="14">
        <f>'Exhibit 3-2'!M21</f>
        <v>1.3026356350023995</v>
      </c>
      <c r="N22" s="14">
        <f>'Exhibit 3-2'!N21</f>
        <v>1.3026356350023995</v>
      </c>
      <c r="O22" s="14">
        <f>'Exhibit 3-2'!O21</f>
        <v>1.3026356350023995</v>
      </c>
      <c r="P22" s="14">
        <f>'Exhibit 3-2'!P21</f>
        <v>1.3026356350023995</v>
      </c>
      <c r="Q22" s="14">
        <f>'Exhibit 3-2'!Q21</f>
        <v>1.3026356350023995</v>
      </c>
      <c r="R22" s="14">
        <f>'Exhibit 3-2'!R21</f>
        <v>1.3026356350023995</v>
      </c>
      <c r="S22" s="14">
        <f>'Exhibit 3-2'!S21</f>
        <v>1.3026356350023995</v>
      </c>
      <c r="T22" s="14">
        <f>'Exhibit 3-2'!T21</f>
        <v>1.3026356350023995</v>
      </c>
      <c r="U22" s="14">
        <f>'Exhibit 3-2'!U21</f>
        <v>1.3026356350023995</v>
      </c>
      <c r="V22" s="14">
        <f>'Exhibit 3-2'!V21</f>
        <v>1.3026356350023995</v>
      </c>
      <c r="W22" s="14">
        <f>'Exhibit 3-2'!W21</f>
        <v>1.3026356350023995</v>
      </c>
      <c r="X22" s="14">
        <f>'Exhibit 3-2'!X21</f>
        <v>1.3026356350023995</v>
      </c>
      <c r="Y22" s="14">
        <f>'Exhibit 3-2'!Y21</f>
        <v>1.3026356350023995</v>
      </c>
      <c r="Z22" s="14">
        <f>'Exhibit 3-2'!Z21</f>
        <v>1.3026356350023995</v>
      </c>
      <c r="AA22" s="14">
        <f>'Exhibit 3-2'!AA21</f>
        <v>1.3026356350023995</v>
      </c>
      <c r="AB22" s="14">
        <f>'Exhibit 3-2'!AB21</f>
        <v>1.3026356350023995</v>
      </c>
      <c r="AC22" s="14">
        <f>'Exhibit 3-2'!AC21</f>
        <v>1.3026356350023995</v>
      </c>
      <c r="AD22" s="14">
        <f>'Exhibit 3-2'!AD21</f>
        <v>1.3026356350023995</v>
      </c>
      <c r="AE22" s="14">
        <f>'Exhibit 3-2'!AE21</f>
        <v>1.3026356350023995</v>
      </c>
      <c r="AF22" s="14">
        <f>'Exhibit 3-2'!AF21</f>
        <v>1.3026356350023995</v>
      </c>
      <c r="AG22" s="14">
        <f>'Exhibit 3-2'!AG21</f>
        <v>1.3026356350023995</v>
      </c>
      <c r="AH22" s="14">
        <f>'Exhibit 3-2'!AH21</f>
        <v>1.0933068786583711</v>
      </c>
      <c r="AI22" s="265"/>
    </row>
    <row r="23" spans="1:36" ht="15" x14ac:dyDescent="0.25">
      <c r="A23" s="5">
        <v>9</v>
      </c>
      <c r="B23" s="5" t="s">
        <v>27</v>
      </c>
      <c r="D23" s="13">
        <f t="shared" ref="D23" si="1">D20+D22+D21</f>
        <v>0</v>
      </c>
      <c r="E23" s="18">
        <f>'Exhibit 3-2'!E22</f>
        <v>253.73182587155281</v>
      </c>
      <c r="F23" s="18">
        <f>'Exhibit 3-2'!F22</f>
        <v>304.9463583775912</v>
      </c>
      <c r="G23" s="18">
        <f>'Exhibit 3-2'!G22</f>
        <v>304.9463583775912</v>
      </c>
      <c r="H23" s="18">
        <f>'Exhibit 3-2'!H22</f>
        <v>394.73807121285319</v>
      </c>
      <c r="I23" s="18">
        <f>'Exhibit 3-2'!I22</f>
        <v>394.73807121285319</v>
      </c>
      <c r="J23" s="18">
        <f>'Exhibit 3-2'!J22</f>
        <v>394.73807121285319</v>
      </c>
      <c r="K23" s="18">
        <f>'Exhibit 3-2'!K22</f>
        <v>394.73807121285319</v>
      </c>
      <c r="L23" s="18">
        <f>'Exhibit 3-2'!L22</f>
        <v>394.73807121285319</v>
      </c>
      <c r="M23" s="18">
        <f>'Exhibit 3-2'!M22</f>
        <v>394.73807121285319</v>
      </c>
      <c r="N23" s="18">
        <f>'Exhibit 3-2'!N22</f>
        <v>394.73807121285319</v>
      </c>
      <c r="O23" s="18">
        <f>'Exhibit 3-2'!O22</f>
        <v>394.73807121285319</v>
      </c>
      <c r="P23" s="18">
        <f>'Exhibit 3-2'!P22</f>
        <v>394.73807121285319</v>
      </c>
      <c r="Q23" s="18">
        <f>'Exhibit 3-2'!Q22</f>
        <v>394.73807121285319</v>
      </c>
      <c r="R23" s="18">
        <f>'Exhibit 3-2'!R22</f>
        <v>394.73807121285319</v>
      </c>
      <c r="S23" s="18">
        <f>'Exhibit 3-2'!S22</f>
        <v>394.73807121285319</v>
      </c>
      <c r="T23" s="18">
        <f>'Exhibit 3-2'!T22</f>
        <v>394.73807121285319</v>
      </c>
      <c r="U23" s="18">
        <f>'Exhibit 3-2'!U22</f>
        <v>394.73807121285319</v>
      </c>
      <c r="V23" s="18">
        <f>'Exhibit 3-2'!V22</f>
        <v>394.73807121285319</v>
      </c>
      <c r="W23" s="18">
        <f>'Exhibit 3-2'!W22</f>
        <v>394.73807121285319</v>
      </c>
      <c r="X23" s="18">
        <f>'Exhibit 3-2'!X22</f>
        <v>394.73807121285319</v>
      </c>
      <c r="Y23" s="18">
        <f>'Exhibit 3-2'!Y22</f>
        <v>394.73807121285319</v>
      </c>
      <c r="Z23" s="18">
        <f>'Exhibit 3-2'!Z22</f>
        <v>394.73807121285319</v>
      </c>
      <c r="AA23" s="18">
        <f>'Exhibit 3-2'!AA22</f>
        <v>394.73807121285319</v>
      </c>
      <c r="AB23" s="18">
        <f>'Exhibit 3-2'!AB22</f>
        <v>394.73807121285319</v>
      </c>
      <c r="AC23" s="18">
        <f>'Exhibit 3-2'!AC22</f>
        <v>394.73807121285319</v>
      </c>
      <c r="AD23" s="18">
        <f>'Exhibit 3-2'!AD22</f>
        <v>394.73807121285319</v>
      </c>
      <c r="AE23" s="18">
        <f>'Exhibit 3-2'!AE22</f>
        <v>394.73807121285319</v>
      </c>
      <c r="AF23" s="18">
        <f>'Exhibit 3-2'!AF22</f>
        <v>394.73807121285319</v>
      </c>
      <c r="AG23" s="18">
        <f>'Exhibit 3-2'!AG22</f>
        <v>394.73807121285319</v>
      </c>
      <c r="AH23" s="18">
        <f>'Exhibit 3-2'!AH22</f>
        <v>331.30511474496501</v>
      </c>
      <c r="AI23" s="265"/>
      <c r="AJ23" s="267"/>
    </row>
    <row r="24" spans="1:36" x14ac:dyDescent="0.2">
      <c r="A24" s="5">
        <v>10</v>
      </c>
      <c r="AI24" s="265"/>
    </row>
    <row r="25" spans="1:36" s="17" customFormat="1" ht="15" x14ac:dyDescent="0.25">
      <c r="A25" s="5">
        <v>11</v>
      </c>
      <c r="B25" s="33" t="s">
        <v>7</v>
      </c>
      <c r="AI25" s="265"/>
    </row>
    <row r="26" spans="1:36" ht="16.5" x14ac:dyDescent="0.2">
      <c r="A26" s="5">
        <v>12</v>
      </c>
      <c r="B26" s="5" t="s">
        <v>162</v>
      </c>
      <c r="D26" s="13">
        <f>SUM(D27:D30)</f>
        <v>0</v>
      </c>
      <c r="E26" s="13">
        <f>SUM(E27:E30)</f>
        <v>-253.73182587155281</v>
      </c>
      <c r="F26" s="13">
        <f t="shared" ref="F26:AH26" si="2">SUM(F27:F30)</f>
        <v>-304.9463583775912</v>
      </c>
      <c r="G26" s="13">
        <f t="shared" si="2"/>
        <v>-304.9463583775912</v>
      </c>
      <c r="H26" s="13">
        <f t="shared" si="2"/>
        <v>-394.73807121285319</v>
      </c>
      <c r="I26" s="13">
        <f t="shared" si="2"/>
        <v>-394.73807121285319</v>
      </c>
      <c r="J26" s="13">
        <f t="shared" si="2"/>
        <v>-394.73807121285319</v>
      </c>
      <c r="K26" s="13">
        <f t="shared" si="2"/>
        <v>-394.73807121285319</v>
      </c>
      <c r="L26" s="13">
        <f t="shared" si="2"/>
        <v>-394.73807121285319</v>
      </c>
      <c r="M26" s="13">
        <f t="shared" si="2"/>
        <v>-394.73807121285319</v>
      </c>
      <c r="N26" s="13">
        <f t="shared" si="2"/>
        <v>-394.73807121285319</v>
      </c>
      <c r="O26" s="13">
        <f t="shared" si="2"/>
        <v>-394.73807121285319</v>
      </c>
      <c r="P26" s="13">
        <f t="shared" si="2"/>
        <v>-394.73807121285319</v>
      </c>
      <c r="Q26" s="13">
        <f t="shared" si="2"/>
        <v>-394.73807121285319</v>
      </c>
      <c r="R26" s="13">
        <f t="shared" si="2"/>
        <v>-394.73807121285319</v>
      </c>
      <c r="S26" s="13">
        <f t="shared" si="2"/>
        <v>-394.73807121285319</v>
      </c>
      <c r="T26" s="13">
        <f t="shared" si="2"/>
        <v>-394.73807121285319</v>
      </c>
      <c r="U26" s="13">
        <f t="shared" si="2"/>
        <v>-394.73807121285319</v>
      </c>
      <c r="V26" s="13">
        <f t="shared" si="2"/>
        <v>-394.73807121285319</v>
      </c>
      <c r="W26" s="13">
        <f t="shared" si="2"/>
        <v>-394.73807121285319</v>
      </c>
      <c r="X26" s="13">
        <f t="shared" si="2"/>
        <v>-394.73807121285319</v>
      </c>
      <c r="Y26" s="13">
        <f t="shared" si="2"/>
        <v>-394.73807121285319</v>
      </c>
      <c r="Z26" s="13">
        <f t="shared" si="2"/>
        <v>-394.73807121285319</v>
      </c>
      <c r="AA26" s="13">
        <f t="shared" si="2"/>
        <v>-394.73807121285319</v>
      </c>
      <c r="AB26" s="13">
        <f t="shared" si="2"/>
        <v>-394.73807121285319</v>
      </c>
      <c r="AC26" s="13">
        <f t="shared" si="2"/>
        <v>-394.73807121285319</v>
      </c>
      <c r="AD26" s="13">
        <f t="shared" si="2"/>
        <v>-394.73807121285319</v>
      </c>
      <c r="AE26" s="13">
        <f t="shared" si="2"/>
        <v>-394.73807121285319</v>
      </c>
      <c r="AF26" s="13">
        <f t="shared" si="2"/>
        <v>-394.73807121285319</v>
      </c>
      <c r="AG26" s="13">
        <f t="shared" si="2"/>
        <v>-394.73807121285319</v>
      </c>
      <c r="AH26" s="13">
        <f t="shared" si="2"/>
        <v>-331.30511474496501</v>
      </c>
      <c r="AI26" s="265"/>
    </row>
    <row r="27" spans="1:36" x14ac:dyDescent="0.2">
      <c r="A27" s="5">
        <v>13</v>
      </c>
      <c r="B27" s="6" t="s">
        <v>160</v>
      </c>
      <c r="D27" s="13">
        <f>-D17</f>
        <v>0</v>
      </c>
      <c r="E27" s="13">
        <f t="shared" ref="E27:AH27" si="3">-E17</f>
        <v>-2.8687500000000004</v>
      </c>
      <c r="F27" s="13">
        <f t="shared" si="3"/>
        <v>-3.8250000000000002</v>
      </c>
      <c r="G27" s="13">
        <f t="shared" si="3"/>
        <v>-3.8250000000000002</v>
      </c>
      <c r="H27" s="13">
        <f t="shared" si="3"/>
        <v>-3.8250000000000002</v>
      </c>
      <c r="I27" s="13">
        <f t="shared" si="3"/>
        <v>-3.8250000000000002</v>
      </c>
      <c r="J27" s="13">
        <f t="shared" si="3"/>
        <v>-3.8250000000000002</v>
      </c>
      <c r="K27" s="13">
        <f t="shared" si="3"/>
        <v>-3.8250000000000002</v>
      </c>
      <c r="L27" s="13">
        <f t="shared" si="3"/>
        <v>-3.8250000000000002</v>
      </c>
      <c r="M27" s="13">
        <f t="shared" si="3"/>
        <v>-3.8250000000000002</v>
      </c>
      <c r="N27" s="13">
        <f t="shared" si="3"/>
        <v>-3.8250000000000002</v>
      </c>
      <c r="O27" s="13">
        <f t="shared" si="3"/>
        <v>-3.8250000000000002</v>
      </c>
      <c r="P27" s="13">
        <f t="shared" si="3"/>
        <v>-3.8250000000000002</v>
      </c>
      <c r="Q27" s="13">
        <f t="shared" si="3"/>
        <v>-3.8250000000000002</v>
      </c>
      <c r="R27" s="13">
        <f t="shared" si="3"/>
        <v>-3.8250000000000002</v>
      </c>
      <c r="S27" s="13">
        <f t="shared" si="3"/>
        <v>-3.8250000000000002</v>
      </c>
      <c r="T27" s="13">
        <f t="shared" si="3"/>
        <v>-3.8250000000000002</v>
      </c>
      <c r="U27" s="13">
        <f t="shared" si="3"/>
        <v>-3.8250000000000002</v>
      </c>
      <c r="V27" s="13">
        <f t="shared" si="3"/>
        <v>-3.8250000000000002</v>
      </c>
      <c r="W27" s="13">
        <f t="shared" si="3"/>
        <v>-3.8250000000000002</v>
      </c>
      <c r="X27" s="13">
        <f t="shared" si="3"/>
        <v>-3.8250000000000002</v>
      </c>
      <c r="Y27" s="13">
        <f t="shared" si="3"/>
        <v>-3.8250000000000002</v>
      </c>
      <c r="Z27" s="13">
        <f t="shared" si="3"/>
        <v>-3.8250000000000002</v>
      </c>
      <c r="AA27" s="13">
        <f t="shared" si="3"/>
        <v>-3.8250000000000002</v>
      </c>
      <c r="AB27" s="13">
        <f t="shared" si="3"/>
        <v>-3.8250000000000002</v>
      </c>
      <c r="AC27" s="13">
        <f t="shared" si="3"/>
        <v>-3.8250000000000002</v>
      </c>
      <c r="AD27" s="13">
        <f t="shared" si="3"/>
        <v>-3.8250000000000002</v>
      </c>
      <c r="AE27" s="13">
        <f t="shared" si="3"/>
        <v>-3.8250000000000002</v>
      </c>
      <c r="AF27" s="13">
        <f t="shared" si="3"/>
        <v>-3.8250000000000002</v>
      </c>
      <c r="AG27" s="13">
        <f t="shared" si="3"/>
        <v>-3.8250000000000002</v>
      </c>
      <c r="AH27" s="13">
        <f t="shared" si="3"/>
        <v>-3.8250000000000002</v>
      </c>
      <c r="AI27" s="265"/>
    </row>
    <row r="28" spans="1:36" x14ac:dyDescent="0.2">
      <c r="A28" s="5">
        <v>14</v>
      </c>
      <c r="B28" s="6" t="s">
        <v>30</v>
      </c>
      <c r="D28" s="13">
        <f>-D18</f>
        <v>0</v>
      </c>
      <c r="E28" s="13">
        <f>-E22</f>
        <v>-0.83731502537611391</v>
      </c>
      <c r="F28" s="13">
        <f t="shared" ref="F28:AH28" si="4">-F22</f>
        <v>-1.0063229826460385</v>
      </c>
      <c r="G28" s="13">
        <f t="shared" si="4"/>
        <v>-1.0063229826460385</v>
      </c>
      <c r="H28" s="13">
        <f t="shared" si="4"/>
        <v>-1.3026356350023995</v>
      </c>
      <c r="I28" s="13">
        <f t="shared" si="4"/>
        <v>-1.3026356350023995</v>
      </c>
      <c r="J28" s="13">
        <f t="shared" si="4"/>
        <v>-1.3026356350023995</v>
      </c>
      <c r="K28" s="13">
        <f t="shared" si="4"/>
        <v>-1.3026356350023995</v>
      </c>
      <c r="L28" s="13">
        <f t="shared" si="4"/>
        <v>-1.3026356350023995</v>
      </c>
      <c r="M28" s="13">
        <f t="shared" si="4"/>
        <v>-1.3026356350023995</v>
      </c>
      <c r="N28" s="13">
        <f t="shared" si="4"/>
        <v>-1.3026356350023995</v>
      </c>
      <c r="O28" s="13">
        <f t="shared" si="4"/>
        <v>-1.3026356350023995</v>
      </c>
      <c r="P28" s="13">
        <f t="shared" si="4"/>
        <v>-1.3026356350023995</v>
      </c>
      <c r="Q28" s="13">
        <f t="shared" si="4"/>
        <v>-1.3026356350023995</v>
      </c>
      <c r="R28" s="13">
        <f t="shared" si="4"/>
        <v>-1.3026356350023995</v>
      </c>
      <c r="S28" s="13">
        <f t="shared" si="4"/>
        <v>-1.3026356350023995</v>
      </c>
      <c r="T28" s="13">
        <f t="shared" si="4"/>
        <v>-1.3026356350023995</v>
      </c>
      <c r="U28" s="13">
        <f t="shared" si="4"/>
        <v>-1.3026356350023995</v>
      </c>
      <c r="V28" s="13">
        <f t="shared" si="4"/>
        <v>-1.3026356350023995</v>
      </c>
      <c r="W28" s="13">
        <f t="shared" si="4"/>
        <v>-1.3026356350023995</v>
      </c>
      <c r="X28" s="13">
        <f t="shared" si="4"/>
        <v>-1.3026356350023995</v>
      </c>
      <c r="Y28" s="13">
        <f t="shared" si="4"/>
        <v>-1.3026356350023995</v>
      </c>
      <c r="Z28" s="13">
        <f t="shared" si="4"/>
        <v>-1.3026356350023995</v>
      </c>
      <c r="AA28" s="13">
        <f t="shared" si="4"/>
        <v>-1.3026356350023995</v>
      </c>
      <c r="AB28" s="13">
        <f t="shared" si="4"/>
        <v>-1.3026356350023995</v>
      </c>
      <c r="AC28" s="13">
        <f t="shared" si="4"/>
        <v>-1.3026356350023995</v>
      </c>
      <c r="AD28" s="13">
        <f t="shared" si="4"/>
        <v>-1.3026356350023995</v>
      </c>
      <c r="AE28" s="13">
        <f t="shared" si="4"/>
        <v>-1.3026356350023995</v>
      </c>
      <c r="AF28" s="13">
        <f t="shared" si="4"/>
        <v>-1.3026356350023995</v>
      </c>
      <c r="AG28" s="13">
        <f t="shared" si="4"/>
        <v>-1.3026356350023995</v>
      </c>
      <c r="AH28" s="13">
        <f t="shared" si="4"/>
        <v>-1.0933068786583711</v>
      </c>
      <c r="AI28" s="265"/>
    </row>
    <row r="29" spans="1:36" ht="15" x14ac:dyDescent="0.25">
      <c r="A29" s="5">
        <v>15</v>
      </c>
      <c r="B29" s="6" t="s">
        <v>98</v>
      </c>
      <c r="D29" s="13">
        <f>-(D23-D17-D21)</f>
        <v>0</v>
      </c>
      <c r="E29" s="13">
        <f>-(E23-E17-E21-E22)</f>
        <v>-186.80213313463253</v>
      </c>
      <c r="F29" s="13">
        <f t="shared" ref="F29:AG29" si="5">-(F23-F17-F21-F22)</f>
        <v>-300.11503539494515</v>
      </c>
      <c r="G29" s="13">
        <f t="shared" si="5"/>
        <v>-300.11503539494515</v>
      </c>
      <c r="H29" s="13">
        <f t="shared" si="5"/>
        <v>-389.61043557785081</v>
      </c>
      <c r="I29" s="13">
        <f t="shared" si="5"/>
        <v>-389.61043557785081</v>
      </c>
      <c r="J29" s="13">
        <f t="shared" si="5"/>
        <v>-389.61043557785081</v>
      </c>
      <c r="K29" s="13">
        <f t="shared" si="5"/>
        <v>-389.61043557785081</v>
      </c>
      <c r="L29" s="13">
        <f t="shared" si="5"/>
        <v>-389.61043557785081</v>
      </c>
      <c r="M29" s="13">
        <f t="shared" si="5"/>
        <v>-389.61043557785081</v>
      </c>
      <c r="N29" s="13">
        <f t="shared" si="5"/>
        <v>-389.61043557785081</v>
      </c>
      <c r="O29" s="13">
        <f t="shared" si="5"/>
        <v>-389.61043557785081</v>
      </c>
      <c r="P29" s="13">
        <f t="shared" si="5"/>
        <v>-389.61043557785081</v>
      </c>
      <c r="Q29" s="13">
        <f t="shared" si="5"/>
        <v>-389.61043557785081</v>
      </c>
      <c r="R29" s="13">
        <f t="shared" si="5"/>
        <v>-389.61043557785081</v>
      </c>
      <c r="S29" s="13">
        <f t="shared" si="5"/>
        <v>-389.61043557785081</v>
      </c>
      <c r="T29" s="13">
        <f t="shared" si="5"/>
        <v>-389.61043557785081</v>
      </c>
      <c r="U29" s="13">
        <f t="shared" si="5"/>
        <v>-389.61043557785081</v>
      </c>
      <c r="V29" s="13">
        <f t="shared" si="5"/>
        <v>-389.61043557785081</v>
      </c>
      <c r="W29" s="13">
        <f t="shared" si="5"/>
        <v>-389.61043557785081</v>
      </c>
      <c r="X29" s="13">
        <f t="shared" si="5"/>
        <v>-389.61043557785081</v>
      </c>
      <c r="Y29" s="13">
        <f t="shared" si="5"/>
        <v>-389.61043557785081</v>
      </c>
      <c r="Z29" s="13">
        <f t="shared" si="5"/>
        <v>-389.61043557785081</v>
      </c>
      <c r="AA29" s="13">
        <f t="shared" si="5"/>
        <v>-389.61043557785081</v>
      </c>
      <c r="AB29" s="13">
        <f t="shared" si="5"/>
        <v>-389.61043557785081</v>
      </c>
      <c r="AC29" s="13">
        <f t="shared" si="5"/>
        <v>-389.61043557785081</v>
      </c>
      <c r="AD29" s="13">
        <f t="shared" si="5"/>
        <v>-389.61043557785081</v>
      </c>
      <c r="AE29" s="13">
        <f t="shared" si="5"/>
        <v>-389.61043557785081</v>
      </c>
      <c r="AF29" s="13">
        <f t="shared" si="5"/>
        <v>-389.61043557785081</v>
      </c>
      <c r="AG29" s="13">
        <f t="shared" si="5"/>
        <v>-389.61043557785081</v>
      </c>
      <c r="AH29" s="13">
        <f>-(AH23-AH17-AH21-AH22)</f>
        <v>-389.61043557785081</v>
      </c>
      <c r="AI29" s="268"/>
    </row>
    <row r="30" spans="1:36" ht="17.25" x14ac:dyDescent="0.25">
      <c r="A30" s="5">
        <v>16</v>
      </c>
      <c r="B30" s="6" t="s">
        <v>157</v>
      </c>
      <c r="D30" s="13">
        <v>0</v>
      </c>
      <c r="E30" s="13">
        <f>-E21</f>
        <v>-63.223627711544161</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3">
        <v>0</v>
      </c>
      <c r="AF30" s="13">
        <v>0</v>
      </c>
      <c r="AG30" s="13">
        <v>0</v>
      </c>
      <c r="AH30" s="18">
        <f>-E30</f>
        <v>63.223627711544161</v>
      </c>
      <c r="AI30" s="267"/>
    </row>
    <row r="31" spans="1:36" customFormat="1" ht="15" x14ac:dyDescent="0.25">
      <c r="A31" s="5">
        <v>17</v>
      </c>
      <c r="B31" s="5"/>
      <c r="C31" s="5"/>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6" s="32" customFormat="1" ht="15" x14ac:dyDescent="0.25">
      <c r="A32" s="5">
        <v>18</v>
      </c>
      <c r="B32" s="33" t="s">
        <v>85</v>
      </c>
      <c r="C32" s="17"/>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spans="1:35" customFormat="1" ht="15" x14ac:dyDescent="0.25">
      <c r="A33" s="5">
        <v>19</v>
      </c>
      <c r="B33" s="11" t="s">
        <v>88</v>
      </c>
      <c r="C33" s="11"/>
      <c r="D33" s="116">
        <v>0</v>
      </c>
      <c r="E33" s="14">
        <f>E34</f>
        <v>1800</v>
      </c>
      <c r="F33" s="14">
        <f>E38</f>
        <v>1649.3408773358533</v>
      </c>
      <c r="G33" s="14">
        <f>F38</f>
        <v>1391.5623769865806</v>
      </c>
      <c r="H33" s="14">
        <f t="shared" ref="H33:AH33" si="6">G38</f>
        <v>1126.5047666252485</v>
      </c>
      <c r="I33" s="14">
        <f t="shared" si="6"/>
        <v>805.37134675438188</v>
      </c>
      <c r="J33" s="14">
        <f t="shared" si="6"/>
        <v>567.07077690647236</v>
      </c>
      <c r="K33" s="14">
        <f t="shared" si="6"/>
        <v>695.86834900927261</v>
      </c>
      <c r="L33" s="14">
        <f t="shared" si="6"/>
        <v>940.62129564137035</v>
      </c>
      <c r="M33" s="14">
        <f t="shared" si="6"/>
        <v>1264.2671829122737</v>
      </c>
      <c r="N33" s="14">
        <f t="shared" si="6"/>
        <v>1673.4581122560728</v>
      </c>
      <c r="O33" s="14">
        <f t="shared" si="6"/>
        <v>2193.1771868528967</v>
      </c>
      <c r="P33" s="14">
        <f t="shared" si="6"/>
        <v>2783.4057894806106</v>
      </c>
      <c r="Q33" s="14">
        <f t="shared" si="6"/>
        <v>3452.8749302719493</v>
      </c>
      <c r="R33" s="14">
        <f t="shared" si="6"/>
        <v>4207.382937672729</v>
      </c>
      <c r="S33" s="14">
        <f t="shared" si="6"/>
        <v>4895.2515556085791</v>
      </c>
      <c r="T33" s="14">
        <f t="shared" si="6"/>
        <v>4777.4989526342042</v>
      </c>
      <c r="U33" s="14">
        <f t="shared" si="6"/>
        <v>4517.2939244208801</v>
      </c>
      <c r="V33" s="14">
        <f t="shared" si="6"/>
        <v>4249.7412662714305</v>
      </c>
      <c r="W33" s="14">
        <f t="shared" si="6"/>
        <v>3974.6334969313662</v>
      </c>
      <c r="X33" s="14">
        <f t="shared" si="6"/>
        <v>3691.7572763221492</v>
      </c>
      <c r="Y33" s="14">
        <f t="shared" si="6"/>
        <v>3400.8932401006132</v>
      </c>
      <c r="Z33" s="14">
        <f t="shared" si="6"/>
        <v>3101.8158295466969</v>
      </c>
      <c r="AA33" s="14">
        <f t="shared" si="6"/>
        <v>2794.2931166475728</v>
      </c>
      <c r="AB33" s="14">
        <f t="shared" si="6"/>
        <v>2478.0866242425291</v>
      </c>
      <c r="AC33" s="14">
        <f t="shared" si="6"/>
        <v>2152.9511410891291</v>
      </c>
      <c r="AD33" s="14">
        <f t="shared" si="6"/>
        <v>1818.6345317072387</v>
      </c>
      <c r="AE33" s="14">
        <f t="shared" si="6"/>
        <v>1474.8775408534557</v>
      </c>
      <c r="AF33" s="14">
        <f t="shared" si="6"/>
        <v>1121.4135924743211</v>
      </c>
      <c r="AG33" s="14">
        <f t="shared" si="6"/>
        <v>757.96858298239977</v>
      </c>
      <c r="AH33" s="14">
        <f t="shared" si="6"/>
        <v>384.26066869492269</v>
      </c>
    </row>
    <row r="34" spans="1:35" customFormat="1" ht="15" x14ac:dyDescent="0.25">
      <c r="A34" s="5">
        <v>20</v>
      </c>
      <c r="B34" s="21" t="s">
        <v>43</v>
      </c>
      <c r="C34" s="5"/>
      <c r="D34" s="20">
        <v>0</v>
      </c>
      <c r="E34" s="13">
        <v>1800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row>
    <row r="35" spans="1:35" s="32" customFormat="1" ht="16.5" customHeight="1" x14ac:dyDescent="0.25">
      <c r="A35" s="5">
        <v>21</v>
      </c>
      <c r="B35" s="21" t="s">
        <v>86</v>
      </c>
      <c r="C35" s="17"/>
      <c r="D35" s="31">
        <f>'Table 6-2'!D24</f>
        <v>0</v>
      </c>
      <c r="E35" s="18">
        <f>'Table 6-2'!E24</f>
        <v>0</v>
      </c>
      <c r="F35" s="18">
        <f>'Table 6-2'!F24</f>
        <v>0</v>
      </c>
      <c r="G35" s="18">
        <f>'Table 6-2'!G24</f>
        <v>0</v>
      </c>
      <c r="H35" s="18">
        <f>'Table 6-2'!H24</f>
        <v>41.58075037472242</v>
      </c>
      <c r="I35" s="18">
        <f>'Table 6-2'!I24</f>
        <v>132.20223907857269</v>
      </c>
      <c r="J35" s="18">
        <f>'Table 6-2'!J24</f>
        <v>500.82492065251847</v>
      </c>
      <c r="K35" s="18">
        <f>'Table 6-2'!K24</f>
        <v>611.57959219816485</v>
      </c>
      <c r="L35" s="18">
        <f>'Table 6-2'!L24</f>
        <v>682.55908241159136</v>
      </c>
      <c r="M35" s="18">
        <f>'Table 6-2'!M24</f>
        <v>757.90131006569038</v>
      </c>
      <c r="N35" s="18">
        <f>'Table 6-2'!N24</f>
        <v>855.49684035301129</v>
      </c>
      <c r="O35" s="18">
        <f>'Table 6-2'!O24</f>
        <v>910.55328263745878</v>
      </c>
      <c r="P35" s="18">
        <f>'Table 6-2'!P24</f>
        <v>972.25586145120656</v>
      </c>
      <c r="Q35" s="18">
        <f>'Table 6-2'!Q24</f>
        <v>1037.4696124957316</v>
      </c>
      <c r="R35" s="18">
        <f>'Table 6-2'!R24</f>
        <v>950.74894341073343</v>
      </c>
      <c r="S35" s="18">
        <f>'Table 6-2'!S24</f>
        <v>137.19036487059807</v>
      </c>
      <c r="T35" s="18">
        <f>'Table 6-2'!T24</f>
        <v>0</v>
      </c>
      <c r="U35" s="18">
        <f>'Table 6-2'!U24</f>
        <v>0</v>
      </c>
      <c r="V35" s="18">
        <f>'Table 6-2'!V24</f>
        <v>0</v>
      </c>
      <c r="W35" s="18">
        <f>'Table 6-2'!W24</f>
        <v>0</v>
      </c>
      <c r="X35" s="18">
        <f>'Table 6-2'!X24</f>
        <v>0</v>
      </c>
      <c r="Y35" s="18">
        <f>'Table 6-2'!Y24</f>
        <v>0</v>
      </c>
      <c r="Z35" s="18">
        <f>'Table 6-2'!Z24</f>
        <v>0</v>
      </c>
      <c r="AA35" s="18">
        <f>'Table 6-2'!AA24</f>
        <v>0</v>
      </c>
      <c r="AB35" s="18">
        <f>'Table 6-2'!AB24</f>
        <v>0</v>
      </c>
      <c r="AC35" s="18">
        <f>'Table 6-2'!AC24</f>
        <v>0</v>
      </c>
      <c r="AD35" s="18">
        <f>'Table 6-2'!AD24</f>
        <v>0</v>
      </c>
      <c r="AE35" s="18">
        <f>'Table 6-2'!AE24</f>
        <v>0</v>
      </c>
      <c r="AF35" s="18">
        <f>'Table 6-2'!AF24</f>
        <v>0</v>
      </c>
      <c r="AG35" s="18">
        <f>'Table 6-2'!AG24</f>
        <v>0</v>
      </c>
      <c r="AH35" s="18">
        <f>'Table 6-2'!AH24</f>
        <v>0</v>
      </c>
    </row>
    <row r="36" spans="1:35" s="32" customFormat="1" ht="16.5" customHeight="1" x14ac:dyDescent="0.25">
      <c r="A36" s="5">
        <v>22</v>
      </c>
      <c r="B36" s="21" t="s">
        <v>46</v>
      </c>
      <c r="C36" s="17"/>
      <c r="D36" s="31">
        <f t="shared" ref="D36" si="7">D26</f>
        <v>0</v>
      </c>
      <c r="E36" s="18">
        <f>E29</f>
        <v>-186.80213313463253</v>
      </c>
      <c r="F36" s="18">
        <f t="shared" ref="F36:AH36" si="8">F29</f>
        <v>-300.11503539494515</v>
      </c>
      <c r="G36" s="18">
        <f t="shared" si="8"/>
        <v>-300.11503539494515</v>
      </c>
      <c r="H36" s="18">
        <f t="shared" si="8"/>
        <v>-389.61043557785081</v>
      </c>
      <c r="I36" s="18">
        <f t="shared" si="8"/>
        <v>-389.61043557785081</v>
      </c>
      <c r="J36" s="18">
        <f t="shared" si="8"/>
        <v>-389.61043557785081</v>
      </c>
      <c r="K36" s="18">
        <f t="shared" si="8"/>
        <v>-389.61043557785081</v>
      </c>
      <c r="L36" s="18">
        <f t="shared" si="8"/>
        <v>-389.61043557785081</v>
      </c>
      <c r="M36" s="18">
        <f t="shared" si="8"/>
        <v>-389.61043557785081</v>
      </c>
      <c r="N36" s="18">
        <f t="shared" si="8"/>
        <v>-389.61043557785081</v>
      </c>
      <c r="O36" s="18">
        <f t="shared" si="8"/>
        <v>-389.61043557785081</v>
      </c>
      <c r="P36" s="18">
        <f t="shared" si="8"/>
        <v>-389.61043557785081</v>
      </c>
      <c r="Q36" s="18">
        <f t="shared" si="8"/>
        <v>-389.61043557785081</v>
      </c>
      <c r="R36" s="18">
        <f t="shared" si="8"/>
        <v>-389.61043557785081</v>
      </c>
      <c r="S36" s="18">
        <f t="shared" si="8"/>
        <v>-389.61043557785081</v>
      </c>
      <c r="T36" s="18">
        <f t="shared" si="8"/>
        <v>-389.61043557785081</v>
      </c>
      <c r="U36" s="18">
        <f t="shared" si="8"/>
        <v>-389.61043557785081</v>
      </c>
      <c r="V36" s="18">
        <f t="shared" si="8"/>
        <v>-389.61043557785081</v>
      </c>
      <c r="W36" s="18">
        <f t="shared" si="8"/>
        <v>-389.61043557785081</v>
      </c>
      <c r="X36" s="18">
        <f t="shared" si="8"/>
        <v>-389.61043557785081</v>
      </c>
      <c r="Y36" s="18">
        <f t="shared" si="8"/>
        <v>-389.61043557785081</v>
      </c>
      <c r="Z36" s="18">
        <f t="shared" si="8"/>
        <v>-389.61043557785081</v>
      </c>
      <c r="AA36" s="18">
        <f t="shared" si="8"/>
        <v>-389.61043557785081</v>
      </c>
      <c r="AB36" s="18">
        <f t="shared" si="8"/>
        <v>-389.61043557785081</v>
      </c>
      <c r="AC36" s="18">
        <f t="shared" si="8"/>
        <v>-389.61043557785081</v>
      </c>
      <c r="AD36" s="18">
        <f t="shared" si="8"/>
        <v>-389.61043557785081</v>
      </c>
      <c r="AE36" s="18">
        <f t="shared" si="8"/>
        <v>-389.61043557785081</v>
      </c>
      <c r="AF36" s="18">
        <f t="shared" si="8"/>
        <v>-389.61043557785081</v>
      </c>
      <c r="AG36" s="18">
        <f t="shared" si="8"/>
        <v>-389.61043557785081</v>
      </c>
      <c r="AH36" s="18">
        <f t="shared" si="8"/>
        <v>-389.61043557785081</v>
      </c>
      <c r="AI36" s="265"/>
    </row>
    <row r="37" spans="1:35" customFormat="1" ht="17.25" x14ac:dyDescent="0.25">
      <c r="A37" s="5">
        <v>23</v>
      </c>
      <c r="B37" s="117" t="s">
        <v>158</v>
      </c>
      <c r="C37" s="11"/>
      <c r="D37" s="116">
        <v>0</v>
      </c>
      <c r="E37" s="14">
        <f>0.75*(IF(E33&gt;0,(E33*$C$6)+((E35+E36)/2*$C$6)+(E33*$C$6+(E35+E36)/2*$C$6)/2*$C$6,0))</f>
        <v>36.143010470485827</v>
      </c>
      <c r="F37" s="14">
        <f>IF(F33&gt;0,(F33*$C$6)+((F35+F36)/2*$C$6)+(F33*$C$6+(F35+F36)/2*$C$6)/2*$C$6,0)</f>
        <v>42.336535045672548</v>
      </c>
      <c r="G37" s="14">
        <f t="shared" ref="G37:AH37" si="9">IF(G33&gt;0,(G33*$C$6)+((G35+G36)/2*$C$6)+(G33*$C$6+(G35+G36)/2*$C$6)/2*$C$6,0)</f>
        <v>35.057425033613079</v>
      </c>
      <c r="H37" s="14">
        <f t="shared" si="9"/>
        <v>26.896265332261745</v>
      </c>
      <c r="I37" s="14">
        <f t="shared" si="9"/>
        <v>19.107626651368651</v>
      </c>
      <c r="J37" s="14">
        <f t="shared" si="9"/>
        <v>17.583087028132599</v>
      </c>
      <c r="K37" s="14">
        <f t="shared" si="9"/>
        <v>22.783790011783747</v>
      </c>
      <c r="L37" s="14">
        <f t="shared" si="9"/>
        <v>30.697240437162602</v>
      </c>
      <c r="M37" s="14">
        <f t="shared" si="9"/>
        <v>40.900054855959539</v>
      </c>
      <c r="N37" s="14">
        <f t="shared" si="9"/>
        <v>53.832669821663444</v>
      </c>
      <c r="O37" s="14">
        <f t="shared" si="9"/>
        <v>69.285755568105571</v>
      </c>
      <c r="P37" s="14">
        <f t="shared" si="9"/>
        <v>86.823714917982485</v>
      </c>
      <c r="Q37" s="14">
        <f t="shared" si="9"/>
        <v>106.64883048289886</v>
      </c>
      <c r="R37" s="14">
        <f t="shared" si="9"/>
        <v>126.73011010296671</v>
      </c>
      <c r="S37" s="14">
        <f t="shared" si="9"/>
        <v>134.66746773287716</v>
      </c>
      <c r="T37" s="14">
        <f t="shared" si="9"/>
        <v>129.40540736452689</v>
      </c>
      <c r="U37" s="14">
        <f t="shared" si="9"/>
        <v>122.05777742840152</v>
      </c>
      <c r="V37" s="14">
        <f t="shared" si="9"/>
        <v>114.50266623778636</v>
      </c>
      <c r="W37" s="14">
        <f t="shared" si="9"/>
        <v>106.73421496863358</v>
      </c>
      <c r="X37" s="14">
        <f t="shared" si="9"/>
        <v>98.746399356314598</v>
      </c>
      <c r="Y37" s="14">
        <f t="shared" si="9"/>
        <v>90.533025023934272</v>
      </c>
      <c r="Z37" s="14">
        <f t="shared" si="9"/>
        <v>82.087722678726578</v>
      </c>
      <c r="AA37" s="14">
        <f t="shared" si="9"/>
        <v>73.403943172806976</v>
      </c>
      <c r="AB37" s="14">
        <f t="shared" si="9"/>
        <v>64.474952424450905</v>
      </c>
      <c r="AC37" s="14">
        <f t="shared" si="9"/>
        <v>55.2938261959602</v>
      </c>
      <c r="AD37" s="14">
        <f t="shared" si="9"/>
        <v>45.853444724067749</v>
      </c>
      <c r="AE37" s="14">
        <f t="shared" si="9"/>
        <v>36.146487198716208</v>
      </c>
      <c r="AF37" s="14">
        <f t="shared" si="9"/>
        <v>26.165426085929386</v>
      </c>
      <c r="AG37" s="14">
        <f t="shared" si="9"/>
        <v>15.902521290373738</v>
      </c>
      <c r="AH37" s="14">
        <f t="shared" si="9"/>
        <v>5.3498141530831402</v>
      </c>
      <c r="AI37" s="20"/>
    </row>
    <row r="38" spans="1:35" customFormat="1" ht="16.5" customHeight="1" x14ac:dyDescent="0.25">
      <c r="A38" s="5">
        <v>24</v>
      </c>
      <c r="B38" s="5" t="s">
        <v>89</v>
      </c>
      <c r="C38" s="5"/>
      <c r="D38" s="20">
        <v>0</v>
      </c>
      <c r="E38" s="13">
        <f>E33+E36+E35+E37</f>
        <v>1649.3408773358533</v>
      </c>
      <c r="F38" s="13">
        <f>F33+F36+F35+F37</f>
        <v>1391.5623769865806</v>
      </c>
      <c r="G38" s="13">
        <f>G33+G36+G35+G37</f>
        <v>1126.5047666252485</v>
      </c>
      <c r="H38" s="13">
        <f t="shared" ref="H38:AH38" si="10">H33+H36+H35+H37</f>
        <v>805.37134675438188</v>
      </c>
      <c r="I38" s="13">
        <f t="shared" si="10"/>
        <v>567.07077690647236</v>
      </c>
      <c r="J38" s="13">
        <f t="shared" si="10"/>
        <v>695.86834900927261</v>
      </c>
      <c r="K38" s="13">
        <f t="shared" si="10"/>
        <v>940.62129564137035</v>
      </c>
      <c r="L38" s="13">
        <f t="shared" si="10"/>
        <v>1264.2671829122737</v>
      </c>
      <c r="M38" s="13">
        <f t="shared" si="10"/>
        <v>1673.4581122560728</v>
      </c>
      <c r="N38" s="13">
        <f t="shared" si="10"/>
        <v>2193.1771868528967</v>
      </c>
      <c r="O38" s="13">
        <f t="shared" si="10"/>
        <v>2783.4057894806106</v>
      </c>
      <c r="P38" s="13">
        <f t="shared" si="10"/>
        <v>3452.8749302719493</v>
      </c>
      <c r="Q38" s="13">
        <f t="shared" si="10"/>
        <v>4207.382937672729</v>
      </c>
      <c r="R38" s="13">
        <f t="shared" si="10"/>
        <v>4895.2515556085791</v>
      </c>
      <c r="S38" s="13">
        <f t="shared" si="10"/>
        <v>4777.4989526342042</v>
      </c>
      <c r="T38" s="13">
        <f t="shared" si="10"/>
        <v>4517.2939244208801</v>
      </c>
      <c r="U38" s="13">
        <f t="shared" si="10"/>
        <v>4249.7412662714305</v>
      </c>
      <c r="V38" s="13">
        <f t="shared" si="10"/>
        <v>3974.6334969313662</v>
      </c>
      <c r="W38" s="13">
        <f t="shared" si="10"/>
        <v>3691.7572763221492</v>
      </c>
      <c r="X38" s="13">
        <f t="shared" si="10"/>
        <v>3400.8932401006132</v>
      </c>
      <c r="Y38" s="13">
        <f t="shared" si="10"/>
        <v>3101.8158295466969</v>
      </c>
      <c r="Z38" s="13">
        <f t="shared" si="10"/>
        <v>2794.2931166475728</v>
      </c>
      <c r="AA38" s="13">
        <f t="shared" si="10"/>
        <v>2478.0866242425291</v>
      </c>
      <c r="AB38" s="13">
        <f t="shared" si="10"/>
        <v>2152.9511410891291</v>
      </c>
      <c r="AC38" s="13">
        <f t="shared" si="10"/>
        <v>1818.6345317072387</v>
      </c>
      <c r="AD38" s="13">
        <f t="shared" si="10"/>
        <v>1474.8775408534557</v>
      </c>
      <c r="AE38" s="13">
        <f t="shared" si="10"/>
        <v>1121.4135924743211</v>
      </c>
      <c r="AF38" s="13">
        <f t="shared" si="10"/>
        <v>757.96858298239977</v>
      </c>
      <c r="AG38" s="13">
        <f t="shared" si="10"/>
        <v>384.26066869492269</v>
      </c>
      <c r="AH38" s="13">
        <f t="shared" si="10"/>
        <v>4.7270155017820059E-5</v>
      </c>
    </row>
    <row r="39" spans="1:35" customFormat="1" ht="15.75" thickBot="1" x14ac:dyDescent="0.3">
      <c r="A39" s="5">
        <v>25</v>
      </c>
      <c r="B39" s="19"/>
    </row>
    <row r="40" spans="1:35" ht="15.75" thickBot="1" x14ac:dyDescent="0.3">
      <c r="A40" s="5">
        <v>26</v>
      </c>
      <c r="B40" s="269" t="s">
        <v>163</v>
      </c>
      <c r="C40" s="270"/>
      <c r="D40" s="271">
        <f t="shared" ref="D40:AH40" si="11">D26+D23</f>
        <v>0</v>
      </c>
      <c r="E40" s="271">
        <f t="shared" si="11"/>
        <v>0</v>
      </c>
      <c r="F40" s="271">
        <f t="shared" si="11"/>
        <v>0</v>
      </c>
      <c r="G40" s="271">
        <f t="shared" si="11"/>
        <v>0</v>
      </c>
      <c r="H40" s="271">
        <f t="shared" si="11"/>
        <v>0</v>
      </c>
      <c r="I40" s="271">
        <f t="shared" si="11"/>
        <v>0</v>
      </c>
      <c r="J40" s="271">
        <f t="shared" si="11"/>
        <v>0</v>
      </c>
      <c r="K40" s="271">
        <f t="shared" si="11"/>
        <v>0</v>
      </c>
      <c r="L40" s="271">
        <f t="shared" si="11"/>
        <v>0</v>
      </c>
      <c r="M40" s="271">
        <f t="shared" si="11"/>
        <v>0</v>
      </c>
      <c r="N40" s="271">
        <f t="shared" si="11"/>
        <v>0</v>
      </c>
      <c r="O40" s="271">
        <f t="shared" si="11"/>
        <v>0</v>
      </c>
      <c r="P40" s="271">
        <f t="shared" si="11"/>
        <v>0</v>
      </c>
      <c r="Q40" s="271">
        <f t="shared" si="11"/>
        <v>0</v>
      </c>
      <c r="R40" s="271">
        <f t="shared" si="11"/>
        <v>0</v>
      </c>
      <c r="S40" s="271">
        <f t="shared" si="11"/>
        <v>0</v>
      </c>
      <c r="T40" s="271">
        <f t="shared" si="11"/>
        <v>0</v>
      </c>
      <c r="U40" s="271">
        <f t="shared" si="11"/>
        <v>0</v>
      </c>
      <c r="V40" s="271">
        <f t="shared" si="11"/>
        <v>0</v>
      </c>
      <c r="W40" s="271">
        <f t="shared" si="11"/>
        <v>0</v>
      </c>
      <c r="X40" s="271">
        <f t="shared" si="11"/>
        <v>0</v>
      </c>
      <c r="Y40" s="271">
        <f t="shared" si="11"/>
        <v>0</v>
      </c>
      <c r="Z40" s="271">
        <f t="shared" si="11"/>
        <v>0</v>
      </c>
      <c r="AA40" s="271">
        <f t="shared" si="11"/>
        <v>0</v>
      </c>
      <c r="AB40" s="271">
        <f t="shared" si="11"/>
        <v>0</v>
      </c>
      <c r="AC40" s="271">
        <f t="shared" si="11"/>
        <v>0</v>
      </c>
      <c r="AD40" s="271">
        <f t="shared" si="11"/>
        <v>0</v>
      </c>
      <c r="AE40" s="271">
        <f t="shared" si="11"/>
        <v>0</v>
      </c>
      <c r="AF40" s="271">
        <f t="shared" si="11"/>
        <v>0</v>
      </c>
      <c r="AG40" s="271">
        <f t="shared" si="11"/>
        <v>0</v>
      </c>
      <c r="AH40" s="272">
        <f t="shared" si="11"/>
        <v>0</v>
      </c>
    </row>
    <row r="41" spans="1:35" x14ac:dyDescent="0.2">
      <c r="E41" s="89"/>
    </row>
    <row r="42" spans="1:35" ht="16.5" x14ac:dyDescent="0.2">
      <c r="B42" s="88" t="s">
        <v>164</v>
      </c>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row>
    <row r="43" spans="1:35" ht="16.5" x14ac:dyDescent="0.2">
      <c r="B43" s="88" t="s">
        <v>154</v>
      </c>
    </row>
    <row r="44" spans="1:35" ht="16.5" x14ac:dyDescent="0.2">
      <c r="B44" s="88" t="s">
        <v>169</v>
      </c>
      <c r="D44" s="3"/>
      <c r="O44" s="89"/>
      <c r="P44" s="136"/>
    </row>
    <row r="45" spans="1:35" ht="16.5" x14ac:dyDescent="0.2">
      <c r="B45" s="127" t="s">
        <v>167</v>
      </c>
      <c r="O45" s="89"/>
      <c r="P45" s="136"/>
    </row>
    <row r="46" spans="1:35" ht="16.5" x14ac:dyDescent="0.2">
      <c r="B46" s="127" t="s">
        <v>168</v>
      </c>
      <c r="O46" s="89"/>
      <c r="P46" s="136"/>
    </row>
    <row r="47" spans="1:35" ht="16.5" x14ac:dyDescent="0.2">
      <c r="B47" s="127" t="s">
        <v>156</v>
      </c>
      <c r="P47" s="136"/>
    </row>
    <row r="48" spans="1:35" x14ac:dyDescent="0.2">
      <c r="P48" s="136"/>
    </row>
    <row r="67" spans="8:20" ht="21" x14ac:dyDescent="0.35">
      <c r="H67" s="34"/>
      <c r="I67" s="34"/>
      <c r="J67" s="34"/>
      <c r="K67" s="34"/>
      <c r="L67" s="34"/>
      <c r="M67" s="34"/>
      <c r="N67" s="34"/>
      <c r="O67" s="34"/>
      <c r="P67" s="34"/>
      <c r="Q67" s="34"/>
      <c r="R67" s="34"/>
      <c r="S67" s="34"/>
      <c r="T67" s="34"/>
    </row>
  </sheetData>
  <mergeCells count="3">
    <mergeCell ref="E2:Q2"/>
    <mergeCell ref="E3:Q3"/>
    <mergeCell ref="E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AG50"/>
  <sheetViews>
    <sheetView showGridLines="0" zoomScale="85" zoomScaleNormal="85" workbookViewId="0">
      <selection activeCell="D38" sqref="D38"/>
    </sheetView>
  </sheetViews>
  <sheetFormatPr defaultColWidth="9.140625" defaultRowHeight="15" x14ac:dyDescent="0.25"/>
  <cols>
    <col min="1" max="1" width="3.28515625" style="42" bestFit="1" customWidth="1"/>
    <col min="2" max="2" width="19.28515625" style="42" bestFit="1" customWidth="1"/>
    <col min="3" max="3" width="9.28515625" style="42" bestFit="1" customWidth="1"/>
    <col min="4" max="33" width="9.7109375" style="42" bestFit="1" customWidth="1"/>
    <col min="34" max="16384" width="9.140625" style="160"/>
  </cols>
  <sheetData>
    <row r="1" spans="2:33" x14ac:dyDescent="0.25">
      <c r="B1" s="173"/>
    </row>
    <row r="2" spans="2:33" ht="54.75" customHeight="1" x14ac:dyDescent="0.25">
      <c r="B2" s="316" t="s">
        <v>141</v>
      </c>
      <c r="C2" s="317"/>
      <c r="D2" s="317"/>
      <c r="E2" s="317"/>
      <c r="F2" s="317"/>
      <c r="G2" s="317"/>
      <c r="H2" s="317"/>
      <c r="I2" s="317"/>
      <c r="J2" s="317"/>
      <c r="K2" s="317"/>
    </row>
    <row r="3" spans="2:33" x14ac:dyDescent="0.25">
      <c r="B3" s="174"/>
      <c r="C3" s="175"/>
      <c r="D3" s="175"/>
      <c r="E3" s="175"/>
      <c r="F3" s="175"/>
      <c r="G3" s="175"/>
      <c r="H3" s="175"/>
      <c r="I3" s="175"/>
      <c r="J3" s="175"/>
      <c r="K3" s="175"/>
    </row>
    <row r="4" spans="2:33" x14ac:dyDescent="0.25">
      <c r="B4" s="174"/>
      <c r="C4" s="175"/>
      <c r="D4" s="175"/>
      <c r="E4" s="175"/>
      <c r="F4" s="175"/>
      <c r="G4" s="175"/>
      <c r="H4" s="175"/>
      <c r="I4" s="175"/>
      <c r="J4" s="175"/>
      <c r="K4" s="175"/>
      <c r="O4" s="176"/>
    </row>
    <row r="5" spans="2:33" x14ac:dyDescent="0.25">
      <c r="B5" s="174"/>
      <c r="C5" s="175"/>
      <c r="D5" s="175"/>
      <c r="E5" s="175"/>
      <c r="F5" s="175"/>
      <c r="G5" s="175"/>
      <c r="H5" s="175"/>
      <c r="I5" s="175"/>
      <c r="J5" s="175"/>
      <c r="K5" s="175"/>
    </row>
    <row r="6" spans="2:33" x14ac:dyDescent="0.25">
      <c r="B6" s="174"/>
      <c r="C6" s="175"/>
      <c r="D6" s="175"/>
      <c r="E6" s="175"/>
      <c r="F6" s="175"/>
      <c r="G6" s="175"/>
      <c r="H6" s="175"/>
      <c r="I6" s="175"/>
      <c r="J6" s="175"/>
      <c r="K6" s="175"/>
    </row>
    <row r="8" spans="2:33" ht="15.75" thickBot="1" x14ac:dyDescent="0.3">
      <c r="B8" s="316" t="s">
        <v>142</v>
      </c>
      <c r="C8" s="317"/>
      <c r="D8" s="317"/>
      <c r="E8" s="317"/>
      <c r="F8" s="317"/>
      <c r="G8" s="317"/>
      <c r="H8" s="317"/>
      <c r="I8" s="317"/>
      <c r="J8" s="317"/>
      <c r="K8" s="317"/>
    </row>
    <row r="9" spans="2:33" x14ac:dyDescent="0.25">
      <c r="B9" s="236" t="s">
        <v>0</v>
      </c>
      <c r="C9" s="237"/>
      <c r="D9" s="238">
        <v>2021</v>
      </c>
      <c r="E9" s="237">
        <v>2022</v>
      </c>
      <c r="F9" s="238">
        <v>2023</v>
      </c>
      <c r="G9" s="237">
        <v>2024</v>
      </c>
      <c r="H9" s="238">
        <v>2025</v>
      </c>
      <c r="I9" s="237">
        <v>2026</v>
      </c>
      <c r="J9" s="238">
        <v>2027</v>
      </c>
      <c r="K9" s="237">
        <v>2028</v>
      </c>
      <c r="L9" s="238">
        <v>2029</v>
      </c>
      <c r="M9" s="237">
        <v>2030</v>
      </c>
      <c r="N9" s="238">
        <v>2031</v>
      </c>
      <c r="O9" s="237">
        <v>2032</v>
      </c>
      <c r="P9" s="238">
        <v>2033</v>
      </c>
      <c r="Q9" s="237">
        <v>2034</v>
      </c>
      <c r="R9" s="238">
        <v>2035</v>
      </c>
      <c r="S9" s="237">
        <v>2036</v>
      </c>
      <c r="T9" s="238">
        <v>2037</v>
      </c>
      <c r="U9" s="237">
        <v>2038</v>
      </c>
      <c r="V9" s="238">
        <v>2039</v>
      </c>
      <c r="W9" s="237">
        <v>2040</v>
      </c>
      <c r="X9" s="238">
        <v>2041</v>
      </c>
      <c r="Y9" s="237">
        <v>2042</v>
      </c>
      <c r="Z9" s="238">
        <v>2043</v>
      </c>
      <c r="AA9" s="237">
        <v>2044</v>
      </c>
      <c r="AB9" s="238">
        <v>2045</v>
      </c>
      <c r="AC9" s="237">
        <v>2046</v>
      </c>
      <c r="AD9" s="238">
        <v>2047</v>
      </c>
      <c r="AE9" s="237">
        <v>2048</v>
      </c>
      <c r="AF9" s="238">
        <v>2049</v>
      </c>
      <c r="AG9" s="238">
        <v>2050</v>
      </c>
    </row>
    <row r="10" spans="2:33" x14ac:dyDescent="0.25">
      <c r="B10" s="239" t="s">
        <v>110</v>
      </c>
      <c r="C10" s="240"/>
      <c r="D10" s="240"/>
      <c r="E10" s="240"/>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row>
    <row r="11" spans="2:33" x14ac:dyDescent="0.25">
      <c r="B11" s="242" t="s">
        <v>111</v>
      </c>
      <c r="C11" s="163"/>
      <c r="D11" s="163">
        <v>0.47499999999999998</v>
      </c>
      <c r="E11" s="163">
        <f>D11</f>
        <v>0.47499999999999998</v>
      </c>
      <c r="F11" s="163">
        <f t="shared" ref="F11:U13" si="0">E11</f>
        <v>0.47499999999999998</v>
      </c>
      <c r="G11" s="163">
        <f t="shared" si="0"/>
        <v>0.47499999999999998</v>
      </c>
      <c r="H11" s="163">
        <f t="shared" si="0"/>
        <v>0.47499999999999998</v>
      </c>
      <c r="I11" s="163">
        <f t="shared" si="0"/>
        <v>0.47499999999999998</v>
      </c>
      <c r="J11" s="163">
        <f t="shared" si="0"/>
        <v>0.47499999999999998</v>
      </c>
      <c r="K11" s="163">
        <f t="shared" si="0"/>
        <v>0.47499999999999998</v>
      </c>
      <c r="L11" s="163">
        <f t="shared" si="0"/>
        <v>0.47499999999999998</v>
      </c>
      <c r="M11" s="163">
        <f t="shared" si="0"/>
        <v>0.47499999999999998</v>
      </c>
      <c r="N11" s="163">
        <f t="shared" si="0"/>
        <v>0.47499999999999998</v>
      </c>
      <c r="O11" s="163">
        <f t="shared" si="0"/>
        <v>0.47499999999999998</v>
      </c>
      <c r="P11" s="163">
        <f t="shared" si="0"/>
        <v>0.47499999999999998</v>
      </c>
      <c r="Q11" s="163">
        <f t="shared" si="0"/>
        <v>0.47499999999999998</v>
      </c>
      <c r="R11" s="163">
        <f t="shared" si="0"/>
        <v>0.47499999999999998</v>
      </c>
      <c r="S11" s="163">
        <f t="shared" si="0"/>
        <v>0.47499999999999998</v>
      </c>
      <c r="T11" s="163">
        <f t="shared" si="0"/>
        <v>0.47499999999999998</v>
      </c>
      <c r="U11" s="163">
        <f t="shared" si="0"/>
        <v>0.47499999999999998</v>
      </c>
      <c r="V11" s="163">
        <f t="shared" ref="V11:AG13" si="1">U11</f>
        <v>0.47499999999999998</v>
      </c>
      <c r="W11" s="163">
        <f t="shared" si="1"/>
        <v>0.47499999999999998</v>
      </c>
      <c r="X11" s="163">
        <f t="shared" si="1"/>
        <v>0.47499999999999998</v>
      </c>
      <c r="Y11" s="163">
        <f t="shared" si="1"/>
        <v>0.47499999999999998</v>
      </c>
      <c r="Z11" s="163">
        <f t="shared" si="1"/>
        <v>0.47499999999999998</v>
      </c>
      <c r="AA11" s="163">
        <f t="shared" si="1"/>
        <v>0.47499999999999998</v>
      </c>
      <c r="AB11" s="163">
        <f t="shared" si="1"/>
        <v>0.47499999999999998</v>
      </c>
      <c r="AC11" s="163">
        <f t="shared" si="1"/>
        <v>0.47499999999999998</v>
      </c>
      <c r="AD11" s="163">
        <f t="shared" si="1"/>
        <v>0.47499999999999998</v>
      </c>
      <c r="AE11" s="163">
        <f t="shared" si="1"/>
        <v>0.47499999999999998</v>
      </c>
      <c r="AF11" s="163">
        <f t="shared" si="1"/>
        <v>0.47499999999999998</v>
      </c>
      <c r="AG11" s="163">
        <f t="shared" si="1"/>
        <v>0.47499999999999998</v>
      </c>
    </row>
    <row r="12" spans="2:33" x14ac:dyDescent="0.25">
      <c r="B12" s="242" t="s">
        <v>112</v>
      </c>
      <c r="C12" s="163"/>
      <c r="D12" s="163">
        <v>5.0000000000000001E-3</v>
      </c>
      <c r="E12" s="163">
        <f t="shared" ref="E12:N13" si="2">D12</f>
        <v>5.0000000000000001E-3</v>
      </c>
      <c r="F12" s="163">
        <f t="shared" si="2"/>
        <v>5.0000000000000001E-3</v>
      </c>
      <c r="G12" s="163">
        <f t="shared" si="2"/>
        <v>5.0000000000000001E-3</v>
      </c>
      <c r="H12" s="163">
        <f t="shared" si="2"/>
        <v>5.0000000000000001E-3</v>
      </c>
      <c r="I12" s="163">
        <f t="shared" si="2"/>
        <v>5.0000000000000001E-3</v>
      </c>
      <c r="J12" s="163">
        <f t="shared" si="2"/>
        <v>5.0000000000000001E-3</v>
      </c>
      <c r="K12" s="163">
        <f t="shared" si="2"/>
        <v>5.0000000000000001E-3</v>
      </c>
      <c r="L12" s="163">
        <f t="shared" si="2"/>
        <v>5.0000000000000001E-3</v>
      </c>
      <c r="M12" s="163">
        <f t="shared" si="2"/>
        <v>5.0000000000000001E-3</v>
      </c>
      <c r="N12" s="163">
        <f t="shared" si="2"/>
        <v>5.0000000000000001E-3</v>
      </c>
      <c r="O12" s="163">
        <f t="shared" si="0"/>
        <v>5.0000000000000001E-3</v>
      </c>
      <c r="P12" s="163">
        <f t="shared" si="0"/>
        <v>5.0000000000000001E-3</v>
      </c>
      <c r="Q12" s="163">
        <f t="shared" si="0"/>
        <v>5.0000000000000001E-3</v>
      </c>
      <c r="R12" s="163">
        <f t="shared" si="0"/>
        <v>5.0000000000000001E-3</v>
      </c>
      <c r="S12" s="163">
        <f t="shared" si="0"/>
        <v>5.0000000000000001E-3</v>
      </c>
      <c r="T12" s="163">
        <f t="shared" si="0"/>
        <v>5.0000000000000001E-3</v>
      </c>
      <c r="U12" s="163">
        <f t="shared" si="0"/>
        <v>5.0000000000000001E-3</v>
      </c>
      <c r="V12" s="163">
        <f t="shared" si="1"/>
        <v>5.0000000000000001E-3</v>
      </c>
      <c r="W12" s="163">
        <f t="shared" si="1"/>
        <v>5.0000000000000001E-3</v>
      </c>
      <c r="X12" s="163">
        <f t="shared" si="1"/>
        <v>5.0000000000000001E-3</v>
      </c>
      <c r="Y12" s="163">
        <f t="shared" si="1"/>
        <v>5.0000000000000001E-3</v>
      </c>
      <c r="Z12" s="163">
        <f t="shared" si="1"/>
        <v>5.0000000000000001E-3</v>
      </c>
      <c r="AA12" s="163">
        <f t="shared" si="1"/>
        <v>5.0000000000000001E-3</v>
      </c>
      <c r="AB12" s="163">
        <f t="shared" si="1"/>
        <v>5.0000000000000001E-3</v>
      </c>
      <c r="AC12" s="163">
        <f t="shared" si="1"/>
        <v>5.0000000000000001E-3</v>
      </c>
      <c r="AD12" s="163">
        <f t="shared" si="1"/>
        <v>5.0000000000000001E-3</v>
      </c>
      <c r="AE12" s="163">
        <f t="shared" si="1"/>
        <v>5.0000000000000001E-3</v>
      </c>
      <c r="AF12" s="163">
        <f t="shared" si="1"/>
        <v>5.0000000000000001E-3</v>
      </c>
      <c r="AG12" s="163">
        <f t="shared" si="1"/>
        <v>5.0000000000000001E-3</v>
      </c>
    </row>
    <row r="13" spans="2:33" x14ac:dyDescent="0.25">
      <c r="B13" s="242" t="s">
        <v>113</v>
      </c>
      <c r="C13" s="163"/>
      <c r="D13" s="163">
        <v>0.52</v>
      </c>
      <c r="E13" s="163">
        <f t="shared" si="2"/>
        <v>0.52</v>
      </c>
      <c r="F13" s="163">
        <f t="shared" si="0"/>
        <v>0.52</v>
      </c>
      <c r="G13" s="163">
        <f t="shared" si="0"/>
        <v>0.52</v>
      </c>
      <c r="H13" s="163">
        <f t="shared" si="0"/>
        <v>0.52</v>
      </c>
      <c r="I13" s="163">
        <f t="shared" si="0"/>
        <v>0.52</v>
      </c>
      <c r="J13" s="163">
        <f t="shared" si="0"/>
        <v>0.52</v>
      </c>
      <c r="K13" s="163">
        <f t="shared" si="0"/>
        <v>0.52</v>
      </c>
      <c r="L13" s="163">
        <f t="shared" si="0"/>
        <v>0.52</v>
      </c>
      <c r="M13" s="163">
        <f t="shared" si="0"/>
        <v>0.52</v>
      </c>
      <c r="N13" s="163">
        <f t="shared" si="0"/>
        <v>0.52</v>
      </c>
      <c r="O13" s="163">
        <f t="shared" si="0"/>
        <v>0.52</v>
      </c>
      <c r="P13" s="163">
        <f t="shared" si="0"/>
        <v>0.52</v>
      </c>
      <c r="Q13" s="163">
        <f t="shared" si="0"/>
        <v>0.52</v>
      </c>
      <c r="R13" s="163">
        <f t="shared" si="0"/>
        <v>0.52</v>
      </c>
      <c r="S13" s="163">
        <f t="shared" si="0"/>
        <v>0.52</v>
      </c>
      <c r="T13" s="163">
        <f t="shared" si="0"/>
        <v>0.52</v>
      </c>
      <c r="U13" s="163">
        <f t="shared" si="0"/>
        <v>0.52</v>
      </c>
      <c r="V13" s="163">
        <f t="shared" si="1"/>
        <v>0.52</v>
      </c>
      <c r="W13" s="163">
        <f t="shared" si="1"/>
        <v>0.52</v>
      </c>
      <c r="X13" s="163">
        <f t="shared" si="1"/>
        <v>0.52</v>
      </c>
      <c r="Y13" s="163">
        <f t="shared" si="1"/>
        <v>0.52</v>
      </c>
      <c r="Z13" s="163">
        <f t="shared" si="1"/>
        <v>0.52</v>
      </c>
      <c r="AA13" s="163">
        <f t="shared" si="1"/>
        <v>0.52</v>
      </c>
      <c r="AB13" s="163">
        <f t="shared" si="1"/>
        <v>0.52</v>
      </c>
      <c r="AC13" s="163">
        <f t="shared" si="1"/>
        <v>0.52</v>
      </c>
      <c r="AD13" s="163">
        <f t="shared" si="1"/>
        <v>0.52</v>
      </c>
      <c r="AE13" s="163">
        <f t="shared" si="1"/>
        <v>0.52</v>
      </c>
      <c r="AF13" s="163">
        <f t="shared" si="1"/>
        <v>0.52</v>
      </c>
      <c r="AG13" s="163">
        <f t="shared" si="1"/>
        <v>0.52</v>
      </c>
    </row>
    <row r="14" spans="2:33" x14ac:dyDescent="0.25">
      <c r="B14" s="243" t="s">
        <v>8</v>
      </c>
      <c r="C14" s="163"/>
      <c r="D14" s="163">
        <f>SUM(D11:D13)</f>
        <v>1</v>
      </c>
      <c r="E14" s="163">
        <f>SUM(E11:E13)</f>
        <v>1</v>
      </c>
      <c r="F14" s="163">
        <f t="shared" ref="F14:AG14" si="3">SUM(F11:F13)</f>
        <v>1</v>
      </c>
      <c r="G14" s="163">
        <f t="shared" si="3"/>
        <v>1</v>
      </c>
      <c r="H14" s="163">
        <f t="shared" si="3"/>
        <v>1</v>
      </c>
      <c r="I14" s="163">
        <f t="shared" si="3"/>
        <v>1</v>
      </c>
      <c r="J14" s="163">
        <f t="shared" si="3"/>
        <v>1</v>
      </c>
      <c r="K14" s="163">
        <f t="shared" si="3"/>
        <v>1</v>
      </c>
      <c r="L14" s="163">
        <f t="shared" si="3"/>
        <v>1</v>
      </c>
      <c r="M14" s="163">
        <f t="shared" si="3"/>
        <v>1</v>
      </c>
      <c r="N14" s="163">
        <f t="shared" si="3"/>
        <v>1</v>
      </c>
      <c r="O14" s="163">
        <f t="shared" si="3"/>
        <v>1</v>
      </c>
      <c r="P14" s="163">
        <f t="shared" si="3"/>
        <v>1</v>
      </c>
      <c r="Q14" s="163">
        <f t="shared" si="3"/>
        <v>1</v>
      </c>
      <c r="R14" s="163">
        <f t="shared" si="3"/>
        <v>1</v>
      </c>
      <c r="S14" s="163">
        <f t="shared" si="3"/>
        <v>1</v>
      </c>
      <c r="T14" s="163">
        <f t="shared" si="3"/>
        <v>1</v>
      </c>
      <c r="U14" s="163">
        <f t="shared" si="3"/>
        <v>1</v>
      </c>
      <c r="V14" s="163">
        <f t="shared" si="3"/>
        <v>1</v>
      </c>
      <c r="W14" s="163">
        <f t="shared" si="3"/>
        <v>1</v>
      </c>
      <c r="X14" s="163">
        <f t="shared" si="3"/>
        <v>1</v>
      </c>
      <c r="Y14" s="163">
        <f t="shared" si="3"/>
        <v>1</v>
      </c>
      <c r="Z14" s="163">
        <f t="shared" si="3"/>
        <v>1</v>
      </c>
      <c r="AA14" s="163">
        <f t="shared" si="3"/>
        <v>1</v>
      </c>
      <c r="AB14" s="163">
        <f t="shared" si="3"/>
        <v>1</v>
      </c>
      <c r="AC14" s="163">
        <f t="shared" si="3"/>
        <v>1</v>
      </c>
      <c r="AD14" s="163">
        <f t="shared" si="3"/>
        <v>1</v>
      </c>
      <c r="AE14" s="163">
        <f t="shared" si="3"/>
        <v>1</v>
      </c>
      <c r="AF14" s="163">
        <f t="shared" si="3"/>
        <v>1</v>
      </c>
      <c r="AG14" s="163">
        <f t="shared" si="3"/>
        <v>1</v>
      </c>
    </row>
    <row r="15" spans="2:33" x14ac:dyDescent="0.25">
      <c r="B15" s="244" t="s">
        <v>114</v>
      </c>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row>
    <row r="16" spans="2:33" x14ac:dyDescent="0.25">
      <c r="B16" s="242" t="str">
        <f>B11</f>
        <v>Debt</v>
      </c>
      <c r="C16" s="163"/>
      <c r="D16" s="163">
        <v>4.1669999999999999E-2</v>
      </c>
      <c r="E16" s="163">
        <f>D16</f>
        <v>4.1669999999999999E-2</v>
      </c>
      <c r="F16" s="163">
        <f t="shared" ref="F16:U18" si="4">E16</f>
        <v>4.1669999999999999E-2</v>
      </c>
      <c r="G16" s="163">
        <f t="shared" si="4"/>
        <v>4.1669999999999999E-2</v>
      </c>
      <c r="H16" s="163">
        <f t="shared" si="4"/>
        <v>4.1669999999999999E-2</v>
      </c>
      <c r="I16" s="163">
        <f t="shared" si="4"/>
        <v>4.1669999999999999E-2</v>
      </c>
      <c r="J16" s="163">
        <f t="shared" si="4"/>
        <v>4.1669999999999999E-2</v>
      </c>
      <c r="K16" s="163">
        <f t="shared" si="4"/>
        <v>4.1669999999999999E-2</v>
      </c>
      <c r="L16" s="163">
        <f t="shared" si="4"/>
        <v>4.1669999999999999E-2</v>
      </c>
      <c r="M16" s="163">
        <f t="shared" si="4"/>
        <v>4.1669999999999999E-2</v>
      </c>
      <c r="N16" s="163">
        <f t="shared" si="4"/>
        <v>4.1669999999999999E-2</v>
      </c>
      <c r="O16" s="163">
        <f t="shared" si="4"/>
        <v>4.1669999999999999E-2</v>
      </c>
      <c r="P16" s="163">
        <f t="shared" si="4"/>
        <v>4.1669999999999999E-2</v>
      </c>
      <c r="Q16" s="163">
        <f t="shared" si="4"/>
        <v>4.1669999999999999E-2</v>
      </c>
      <c r="R16" s="163">
        <f t="shared" si="4"/>
        <v>4.1669999999999999E-2</v>
      </c>
      <c r="S16" s="163">
        <f t="shared" si="4"/>
        <v>4.1669999999999999E-2</v>
      </c>
      <c r="T16" s="163">
        <f t="shared" si="4"/>
        <v>4.1669999999999999E-2</v>
      </c>
      <c r="U16" s="163">
        <f t="shared" si="4"/>
        <v>4.1669999999999999E-2</v>
      </c>
      <c r="V16" s="163">
        <f t="shared" ref="V16:AG18" si="5">U16</f>
        <v>4.1669999999999999E-2</v>
      </c>
      <c r="W16" s="163">
        <f t="shared" si="5"/>
        <v>4.1669999999999999E-2</v>
      </c>
      <c r="X16" s="163">
        <f t="shared" si="5"/>
        <v>4.1669999999999999E-2</v>
      </c>
      <c r="Y16" s="163">
        <f t="shared" si="5"/>
        <v>4.1669999999999999E-2</v>
      </c>
      <c r="Z16" s="163">
        <f t="shared" si="5"/>
        <v>4.1669999999999999E-2</v>
      </c>
      <c r="AA16" s="163">
        <f t="shared" si="5"/>
        <v>4.1669999999999999E-2</v>
      </c>
      <c r="AB16" s="163">
        <f t="shared" si="5"/>
        <v>4.1669999999999999E-2</v>
      </c>
      <c r="AC16" s="163">
        <f t="shared" si="5"/>
        <v>4.1669999999999999E-2</v>
      </c>
      <c r="AD16" s="163">
        <f t="shared" si="5"/>
        <v>4.1669999999999999E-2</v>
      </c>
      <c r="AE16" s="163">
        <f t="shared" si="5"/>
        <v>4.1669999999999999E-2</v>
      </c>
      <c r="AF16" s="163">
        <f t="shared" si="5"/>
        <v>4.1669999999999999E-2</v>
      </c>
      <c r="AG16" s="163">
        <f t="shared" si="5"/>
        <v>4.1669999999999999E-2</v>
      </c>
    </row>
    <row r="17" spans="1:33" x14ac:dyDescent="0.25">
      <c r="B17" s="242" t="str">
        <f>B12</f>
        <v>Preferred</v>
      </c>
      <c r="C17" s="163"/>
      <c r="D17" s="163">
        <v>5.5199999999999999E-2</v>
      </c>
      <c r="E17" s="163">
        <f t="shared" ref="E17:E18" si="6">D17</f>
        <v>5.5199999999999999E-2</v>
      </c>
      <c r="F17" s="163">
        <f t="shared" si="4"/>
        <v>5.5199999999999999E-2</v>
      </c>
      <c r="G17" s="163">
        <f t="shared" si="4"/>
        <v>5.5199999999999999E-2</v>
      </c>
      <c r="H17" s="163">
        <f t="shared" si="4"/>
        <v>5.5199999999999999E-2</v>
      </c>
      <c r="I17" s="163">
        <f t="shared" si="4"/>
        <v>5.5199999999999999E-2</v>
      </c>
      <c r="J17" s="163">
        <f t="shared" si="4"/>
        <v>5.5199999999999999E-2</v>
      </c>
      <c r="K17" s="163">
        <f t="shared" si="4"/>
        <v>5.5199999999999999E-2</v>
      </c>
      <c r="L17" s="163">
        <f t="shared" si="4"/>
        <v>5.5199999999999999E-2</v>
      </c>
      <c r="M17" s="163">
        <f t="shared" si="4"/>
        <v>5.5199999999999999E-2</v>
      </c>
      <c r="N17" s="163">
        <f t="shared" si="4"/>
        <v>5.5199999999999999E-2</v>
      </c>
      <c r="O17" s="163">
        <f t="shared" si="4"/>
        <v>5.5199999999999999E-2</v>
      </c>
      <c r="P17" s="163">
        <f t="shared" si="4"/>
        <v>5.5199999999999999E-2</v>
      </c>
      <c r="Q17" s="163">
        <f t="shared" si="4"/>
        <v>5.5199999999999999E-2</v>
      </c>
      <c r="R17" s="163">
        <f t="shared" si="4"/>
        <v>5.5199999999999999E-2</v>
      </c>
      <c r="S17" s="163">
        <f t="shared" si="4"/>
        <v>5.5199999999999999E-2</v>
      </c>
      <c r="T17" s="163">
        <f t="shared" si="4"/>
        <v>5.5199999999999999E-2</v>
      </c>
      <c r="U17" s="163">
        <f t="shared" si="4"/>
        <v>5.5199999999999999E-2</v>
      </c>
      <c r="V17" s="163">
        <f t="shared" si="5"/>
        <v>5.5199999999999999E-2</v>
      </c>
      <c r="W17" s="163">
        <f t="shared" si="5"/>
        <v>5.5199999999999999E-2</v>
      </c>
      <c r="X17" s="163">
        <f t="shared" si="5"/>
        <v>5.5199999999999999E-2</v>
      </c>
      <c r="Y17" s="163">
        <f t="shared" si="5"/>
        <v>5.5199999999999999E-2</v>
      </c>
      <c r="Z17" s="163">
        <f t="shared" si="5"/>
        <v>5.5199999999999999E-2</v>
      </c>
      <c r="AA17" s="163">
        <f t="shared" si="5"/>
        <v>5.5199999999999999E-2</v>
      </c>
      <c r="AB17" s="163">
        <f t="shared" si="5"/>
        <v>5.5199999999999999E-2</v>
      </c>
      <c r="AC17" s="163">
        <f t="shared" si="5"/>
        <v>5.5199999999999999E-2</v>
      </c>
      <c r="AD17" s="163">
        <f t="shared" si="5"/>
        <v>5.5199999999999999E-2</v>
      </c>
      <c r="AE17" s="163">
        <f t="shared" si="5"/>
        <v>5.5199999999999999E-2</v>
      </c>
      <c r="AF17" s="163">
        <f t="shared" si="5"/>
        <v>5.5199999999999999E-2</v>
      </c>
      <c r="AG17" s="163">
        <f t="shared" si="5"/>
        <v>5.5199999999999999E-2</v>
      </c>
    </row>
    <row r="18" spans="1:33" x14ac:dyDescent="0.25">
      <c r="B18" s="242" t="str">
        <f>B13</f>
        <v>Equity</v>
      </c>
      <c r="C18" s="246"/>
      <c r="D18" s="163">
        <v>0.10249999999999999</v>
      </c>
      <c r="E18" s="163">
        <f t="shared" si="6"/>
        <v>0.10249999999999999</v>
      </c>
      <c r="F18" s="163">
        <f t="shared" si="4"/>
        <v>0.10249999999999999</v>
      </c>
      <c r="G18" s="163">
        <f t="shared" si="4"/>
        <v>0.10249999999999999</v>
      </c>
      <c r="H18" s="163">
        <f t="shared" si="4"/>
        <v>0.10249999999999999</v>
      </c>
      <c r="I18" s="163">
        <f t="shared" si="4"/>
        <v>0.10249999999999999</v>
      </c>
      <c r="J18" s="163">
        <f t="shared" si="4"/>
        <v>0.10249999999999999</v>
      </c>
      <c r="K18" s="163">
        <f t="shared" si="4"/>
        <v>0.10249999999999999</v>
      </c>
      <c r="L18" s="163">
        <f t="shared" si="4"/>
        <v>0.10249999999999999</v>
      </c>
      <c r="M18" s="163">
        <f t="shared" si="4"/>
        <v>0.10249999999999999</v>
      </c>
      <c r="N18" s="163">
        <f t="shared" si="4"/>
        <v>0.10249999999999999</v>
      </c>
      <c r="O18" s="163">
        <f t="shared" si="4"/>
        <v>0.10249999999999999</v>
      </c>
      <c r="P18" s="163">
        <f t="shared" si="4"/>
        <v>0.10249999999999999</v>
      </c>
      <c r="Q18" s="163">
        <f t="shared" si="4"/>
        <v>0.10249999999999999</v>
      </c>
      <c r="R18" s="163">
        <f t="shared" si="4"/>
        <v>0.10249999999999999</v>
      </c>
      <c r="S18" s="163">
        <f t="shared" si="4"/>
        <v>0.10249999999999999</v>
      </c>
      <c r="T18" s="163">
        <f t="shared" si="4"/>
        <v>0.10249999999999999</v>
      </c>
      <c r="U18" s="163">
        <f t="shared" si="4"/>
        <v>0.10249999999999999</v>
      </c>
      <c r="V18" s="163">
        <f t="shared" si="5"/>
        <v>0.10249999999999999</v>
      </c>
      <c r="W18" s="163">
        <f t="shared" si="5"/>
        <v>0.10249999999999999</v>
      </c>
      <c r="X18" s="163">
        <f t="shared" si="5"/>
        <v>0.10249999999999999</v>
      </c>
      <c r="Y18" s="163">
        <f t="shared" si="5"/>
        <v>0.10249999999999999</v>
      </c>
      <c r="Z18" s="163">
        <f t="shared" si="5"/>
        <v>0.10249999999999999</v>
      </c>
      <c r="AA18" s="163">
        <f t="shared" si="5"/>
        <v>0.10249999999999999</v>
      </c>
      <c r="AB18" s="163">
        <f t="shared" si="5"/>
        <v>0.10249999999999999</v>
      </c>
      <c r="AC18" s="163">
        <f t="shared" si="5"/>
        <v>0.10249999999999999</v>
      </c>
      <c r="AD18" s="163">
        <f t="shared" si="5"/>
        <v>0.10249999999999999</v>
      </c>
      <c r="AE18" s="163">
        <f t="shared" si="5"/>
        <v>0.10249999999999999</v>
      </c>
      <c r="AF18" s="163">
        <f t="shared" si="5"/>
        <v>0.10249999999999999</v>
      </c>
      <c r="AG18" s="163">
        <f t="shared" si="5"/>
        <v>0.10249999999999999</v>
      </c>
    </row>
    <row r="19" spans="1:33" x14ac:dyDescent="0.25">
      <c r="B19" s="244" t="s">
        <v>115</v>
      </c>
      <c r="C19" s="163"/>
      <c r="D19" s="163">
        <f>ROUND(SUMPRODUCT(D11:D13,D16:D18), 4)</f>
        <v>7.3400000000000007E-2</v>
      </c>
      <c r="E19" s="163">
        <f t="shared" ref="E19:AG19" si="7">ROUND(SUMPRODUCT(E11:E13,E16:E18), 4)</f>
        <v>7.3400000000000007E-2</v>
      </c>
      <c r="F19" s="163">
        <f t="shared" si="7"/>
        <v>7.3400000000000007E-2</v>
      </c>
      <c r="G19" s="163">
        <f t="shared" si="7"/>
        <v>7.3400000000000007E-2</v>
      </c>
      <c r="H19" s="163">
        <f t="shared" si="7"/>
        <v>7.3400000000000007E-2</v>
      </c>
      <c r="I19" s="163">
        <f t="shared" si="7"/>
        <v>7.3400000000000007E-2</v>
      </c>
      <c r="J19" s="163">
        <f t="shared" si="7"/>
        <v>7.3400000000000007E-2</v>
      </c>
      <c r="K19" s="163">
        <f t="shared" si="7"/>
        <v>7.3400000000000007E-2</v>
      </c>
      <c r="L19" s="163">
        <f t="shared" si="7"/>
        <v>7.3400000000000007E-2</v>
      </c>
      <c r="M19" s="163">
        <f t="shared" si="7"/>
        <v>7.3400000000000007E-2</v>
      </c>
      <c r="N19" s="163">
        <f t="shared" si="7"/>
        <v>7.3400000000000007E-2</v>
      </c>
      <c r="O19" s="163">
        <f t="shared" si="7"/>
        <v>7.3400000000000007E-2</v>
      </c>
      <c r="P19" s="163">
        <f t="shared" si="7"/>
        <v>7.3400000000000007E-2</v>
      </c>
      <c r="Q19" s="163">
        <f t="shared" si="7"/>
        <v>7.3400000000000007E-2</v>
      </c>
      <c r="R19" s="163">
        <f t="shared" si="7"/>
        <v>7.3400000000000007E-2</v>
      </c>
      <c r="S19" s="163">
        <f t="shared" si="7"/>
        <v>7.3400000000000007E-2</v>
      </c>
      <c r="T19" s="163">
        <f t="shared" si="7"/>
        <v>7.3400000000000007E-2</v>
      </c>
      <c r="U19" s="163">
        <f t="shared" si="7"/>
        <v>7.3400000000000007E-2</v>
      </c>
      <c r="V19" s="163">
        <f t="shared" si="7"/>
        <v>7.3400000000000007E-2</v>
      </c>
      <c r="W19" s="163">
        <f t="shared" si="7"/>
        <v>7.3400000000000007E-2</v>
      </c>
      <c r="X19" s="163">
        <f t="shared" si="7"/>
        <v>7.3400000000000007E-2</v>
      </c>
      <c r="Y19" s="163">
        <f t="shared" si="7"/>
        <v>7.3400000000000007E-2</v>
      </c>
      <c r="Z19" s="163">
        <f t="shared" si="7"/>
        <v>7.3400000000000007E-2</v>
      </c>
      <c r="AA19" s="163">
        <f t="shared" si="7"/>
        <v>7.3400000000000007E-2</v>
      </c>
      <c r="AB19" s="163">
        <f t="shared" si="7"/>
        <v>7.3400000000000007E-2</v>
      </c>
      <c r="AC19" s="163">
        <f t="shared" si="7"/>
        <v>7.3400000000000007E-2</v>
      </c>
      <c r="AD19" s="163">
        <f t="shared" si="7"/>
        <v>7.3400000000000007E-2</v>
      </c>
      <c r="AE19" s="163">
        <f t="shared" si="7"/>
        <v>7.3400000000000007E-2</v>
      </c>
      <c r="AF19" s="163">
        <f t="shared" si="7"/>
        <v>7.3400000000000007E-2</v>
      </c>
      <c r="AG19" s="163">
        <f t="shared" si="7"/>
        <v>7.3400000000000007E-2</v>
      </c>
    </row>
    <row r="20" spans="1:33" ht="17.25" x14ac:dyDescent="0.25">
      <c r="B20" s="244" t="s">
        <v>143</v>
      </c>
      <c r="C20" s="163"/>
      <c r="D20" s="163">
        <f>D12*D17+D13*D18+D11*D16*(1-$C$29)</f>
        <v>6.7831098649999991E-2</v>
      </c>
      <c r="E20" s="163">
        <f t="shared" ref="E20:AG20" si="8">E12*E17+E13*E18+E11*E16*(1-$C$29)</f>
        <v>6.7831098649999991E-2</v>
      </c>
      <c r="F20" s="163">
        <f t="shared" si="8"/>
        <v>6.7831098649999991E-2</v>
      </c>
      <c r="G20" s="163">
        <f t="shared" si="8"/>
        <v>6.7831098649999991E-2</v>
      </c>
      <c r="H20" s="163">
        <f t="shared" si="8"/>
        <v>6.7831098649999991E-2</v>
      </c>
      <c r="I20" s="163">
        <f t="shared" si="8"/>
        <v>6.7831098649999991E-2</v>
      </c>
      <c r="J20" s="163">
        <f t="shared" si="8"/>
        <v>6.7831098649999991E-2</v>
      </c>
      <c r="K20" s="163">
        <f t="shared" si="8"/>
        <v>6.7831098649999991E-2</v>
      </c>
      <c r="L20" s="163">
        <f t="shared" si="8"/>
        <v>6.7831098649999991E-2</v>
      </c>
      <c r="M20" s="163">
        <f t="shared" si="8"/>
        <v>6.7831098649999991E-2</v>
      </c>
      <c r="N20" s="163">
        <f t="shared" si="8"/>
        <v>6.7831098649999991E-2</v>
      </c>
      <c r="O20" s="163">
        <f t="shared" si="8"/>
        <v>6.7831098649999991E-2</v>
      </c>
      <c r="P20" s="163">
        <f t="shared" si="8"/>
        <v>6.7831098649999991E-2</v>
      </c>
      <c r="Q20" s="163">
        <f t="shared" si="8"/>
        <v>6.7831098649999991E-2</v>
      </c>
      <c r="R20" s="163">
        <f t="shared" si="8"/>
        <v>6.7831098649999991E-2</v>
      </c>
      <c r="S20" s="163">
        <f t="shared" si="8"/>
        <v>6.7831098649999991E-2</v>
      </c>
      <c r="T20" s="163">
        <f t="shared" si="8"/>
        <v>6.7831098649999991E-2</v>
      </c>
      <c r="U20" s="163">
        <f t="shared" si="8"/>
        <v>6.7831098649999991E-2</v>
      </c>
      <c r="V20" s="163">
        <f t="shared" si="8"/>
        <v>6.7831098649999991E-2</v>
      </c>
      <c r="W20" s="163">
        <f t="shared" si="8"/>
        <v>6.7831098649999991E-2</v>
      </c>
      <c r="X20" s="163">
        <f t="shared" si="8"/>
        <v>6.7831098649999991E-2</v>
      </c>
      <c r="Y20" s="163">
        <f t="shared" si="8"/>
        <v>6.7831098649999991E-2</v>
      </c>
      <c r="Z20" s="163">
        <f t="shared" si="8"/>
        <v>6.7831098649999991E-2</v>
      </c>
      <c r="AA20" s="163">
        <f t="shared" si="8"/>
        <v>6.7831098649999991E-2</v>
      </c>
      <c r="AB20" s="163">
        <f t="shared" si="8"/>
        <v>6.7831098649999991E-2</v>
      </c>
      <c r="AC20" s="163">
        <f t="shared" si="8"/>
        <v>6.7831098649999991E-2</v>
      </c>
      <c r="AD20" s="163">
        <f t="shared" si="8"/>
        <v>6.7831098649999991E-2</v>
      </c>
      <c r="AE20" s="163">
        <f t="shared" si="8"/>
        <v>6.7831098649999991E-2</v>
      </c>
      <c r="AF20" s="163">
        <f t="shared" si="8"/>
        <v>6.7831098649999991E-2</v>
      </c>
      <c r="AG20" s="163">
        <f t="shared" si="8"/>
        <v>6.7831098649999991E-2</v>
      </c>
    </row>
    <row r="21" spans="1:33" ht="18" thickBot="1" x14ac:dyDescent="0.3">
      <c r="B21" s="247" t="s">
        <v>144</v>
      </c>
      <c r="C21" s="248"/>
      <c r="D21" s="248">
        <f>ROUND(SUMPRODUCT(D12:D13,D17:D18)/(1-$C$29)+D11*D16, 4)</f>
        <v>9.4200000000000006E-2</v>
      </c>
      <c r="E21" s="248">
        <f t="shared" ref="E21:AG21" si="9">ROUND(SUMPRODUCT(E12:E13,E17:E18)/(1-$C$29)+E11*E16, 4)</f>
        <v>9.4200000000000006E-2</v>
      </c>
      <c r="F21" s="248">
        <f t="shared" si="9"/>
        <v>9.4200000000000006E-2</v>
      </c>
      <c r="G21" s="248">
        <f t="shared" si="9"/>
        <v>9.4200000000000006E-2</v>
      </c>
      <c r="H21" s="248">
        <f t="shared" si="9"/>
        <v>9.4200000000000006E-2</v>
      </c>
      <c r="I21" s="248">
        <f t="shared" si="9"/>
        <v>9.4200000000000006E-2</v>
      </c>
      <c r="J21" s="248">
        <f t="shared" si="9"/>
        <v>9.4200000000000006E-2</v>
      </c>
      <c r="K21" s="248">
        <f t="shared" si="9"/>
        <v>9.4200000000000006E-2</v>
      </c>
      <c r="L21" s="248">
        <f t="shared" si="9"/>
        <v>9.4200000000000006E-2</v>
      </c>
      <c r="M21" s="248">
        <f t="shared" si="9"/>
        <v>9.4200000000000006E-2</v>
      </c>
      <c r="N21" s="248">
        <f t="shared" si="9"/>
        <v>9.4200000000000006E-2</v>
      </c>
      <c r="O21" s="248">
        <f t="shared" si="9"/>
        <v>9.4200000000000006E-2</v>
      </c>
      <c r="P21" s="248">
        <f t="shared" si="9"/>
        <v>9.4200000000000006E-2</v>
      </c>
      <c r="Q21" s="248">
        <f t="shared" si="9"/>
        <v>9.4200000000000006E-2</v>
      </c>
      <c r="R21" s="248">
        <f t="shared" si="9"/>
        <v>9.4200000000000006E-2</v>
      </c>
      <c r="S21" s="248">
        <f t="shared" si="9"/>
        <v>9.4200000000000006E-2</v>
      </c>
      <c r="T21" s="248">
        <f t="shared" si="9"/>
        <v>9.4200000000000006E-2</v>
      </c>
      <c r="U21" s="248">
        <f t="shared" si="9"/>
        <v>9.4200000000000006E-2</v>
      </c>
      <c r="V21" s="248">
        <f t="shared" si="9"/>
        <v>9.4200000000000006E-2</v>
      </c>
      <c r="W21" s="248">
        <f t="shared" si="9"/>
        <v>9.4200000000000006E-2</v>
      </c>
      <c r="X21" s="248">
        <f t="shared" si="9"/>
        <v>9.4200000000000006E-2</v>
      </c>
      <c r="Y21" s="248">
        <f t="shared" si="9"/>
        <v>9.4200000000000006E-2</v>
      </c>
      <c r="Z21" s="248">
        <f t="shared" si="9"/>
        <v>9.4200000000000006E-2</v>
      </c>
      <c r="AA21" s="248">
        <f t="shared" si="9"/>
        <v>9.4200000000000006E-2</v>
      </c>
      <c r="AB21" s="248">
        <f t="shared" si="9"/>
        <v>9.4200000000000006E-2</v>
      </c>
      <c r="AC21" s="248">
        <f t="shared" si="9"/>
        <v>9.4200000000000006E-2</v>
      </c>
      <c r="AD21" s="248">
        <f t="shared" si="9"/>
        <v>9.4200000000000006E-2</v>
      </c>
      <c r="AE21" s="248">
        <f t="shared" si="9"/>
        <v>9.4200000000000006E-2</v>
      </c>
      <c r="AF21" s="248">
        <f t="shared" si="9"/>
        <v>9.4200000000000006E-2</v>
      </c>
      <c r="AG21" s="248">
        <f t="shared" si="9"/>
        <v>9.4200000000000006E-2</v>
      </c>
    </row>
    <row r="22" spans="1:33" ht="65.25" customHeight="1" x14ac:dyDescent="0.25">
      <c r="B22" s="318" t="s">
        <v>145</v>
      </c>
      <c r="C22" s="317"/>
      <c r="D22" s="317"/>
      <c r="E22" s="317"/>
      <c r="F22" s="317"/>
      <c r="G22" s="317"/>
      <c r="H22" s="317"/>
      <c r="I22" s="317"/>
      <c r="J22" s="317"/>
      <c r="K22" s="317"/>
    </row>
    <row r="23" spans="1:33" ht="17.25" x14ac:dyDescent="0.25">
      <c r="B23" s="177"/>
    </row>
    <row r="24" spans="1:33" ht="51" customHeight="1" x14ac:dyDescent="0.25">
      <c r="B24" s="319" t="s">
        <v>152</v>
      </c>
      <c r="C24" s="319"/>
      <c r="D24" s="319"/>
      <c r="E24" s="319"/>
      <c r="F24" s="319"/>
      <c r="G24" s="319"/>
      <c r="H24" s="319"/>
      <c r="I24" s="319"/>
      <c r="J24" s="319"/>
      <c r="K24" s="319"/>
      <c r="W24" s="178"/>
      <c r="X24" s="178"/>
      <c r="Y24" s="178"/>
      <c r="Z24" s="178"/>
      <c r="AA24" s="178"/>
      <c r="AB24" s="178"/>
      <c r="AC24" s="178"/>
      <c r="AD24" s="178"/>
      <c r="AE24" s="178"/>
      <c r="AF24" s="178"/>
      <c r="AG24" s="178"/>
    </row>
    <row r="25" spans="1:33" ht="15.75" thickBot="1" x14ac:dyDescent="0.3">
      <c r="B25" s="194"/>
      <c r="C25" s="194"/>
      <c r="D25" s="194"/>
      <c r="E25" s="194"/>
      <c r="F25" s="194"/>
      <c r="G25" s="194"/>
      <c r="H25" s="194"/>
      <c r="I25" s="194"/>
      <c r="J25" s="194"/>
      <c r="K25" s="194"/>
      <c r="W25" s="178"/>
      <c r="X25" s="178"/>
      <c r="Y25" s="178"/>
      <c r="Z25" s="178"/>
      <c r="AA25" s="178"/>
      <c r="AB25" s="178"/>
      <c r="AC25" s="178"/>
      <c r="AD25" s="178"/>
      <c r="AE25" s="178"/>
      <c r="AF25" s="178"/>
      <c r="AG25" s="178"/>
    </row>
    <row r="26" spans="1:33" x14ac:dyDescent="0.25">
      <c r="B26" s="236" t="s">
        <v>0</v>
      </c>
      <c r="C26" s="213"/>
      <c r="D26" s="312" t="s">
        <v>108</v>
      </c>
      <c r="E26" s="313"/>
      <c r="F26" s="313"/>
      <c r="G26" s="313"/>
      <c r="H26" s="313"/>
      <c r="I26" s="313"/>
      <c r="J26" s="313"/>
      <c r="K26" s="313"/>
      <c r="L26" s="313"/>
      <c r="M26" s="313"/>
      <c r="N26" s="157"/>
      <c r="O26" s="157"/>
      <c r="W26" s="178"/>
      <c r="X26" s="313"/>
      <c r="Y26" s="313"/>
      <c r="Z26" s="313"/>
      <c r="AA26" s="313"/>
      <c r="AB26" s="313"/>
      <c r="AC26" s="313"/>
      <c r="AD26" s="313"/>
      <c r="AE26" s="313"/>
      <c r="AF26" s="313"/>
      <c r="AG26" s="313"/>
    </row>
    <row r="27" spans="1:33" x14ac:dyDescent="0.25">
      <c r="B27" s="249" t="s">
        <v>116</v>
      </c>
      <c r="C27" s="250">
        <f>[1]Pricing!G2/1000000</f>
        <v>7500</v>
      </c>
      <c r="D27" s="312" t="s">
        <v>117</v>
      </c>
      <c r="E27" s="313"/>
      <c r="F27" s="313"/>
      <c r="G27" s="313"/>
      <c r="H27" s="313"/>
      <c r="I27" s="313"/>
      <c r="J27" s="313"/>
      <c r="K27" s="313"/>
      <c r="L27" s="313"/>
      <c r="M27" s="313"/>
      <c r="N27" s="157"/>
      <c r="O27" s="157"/>
      <c r="W27" s="178"/>
      <c r="X27" s="313"/>
      <c r="Y27" s="313"/>
      <c r="Z27" s="313"/>
      <c r="AA27" s="313"/>
      <c r="AB27" s="313"/>
      <c r="AC27" s="313"/>
      <c r="AD27" s="313"/>
      <c r="AE27" s="313"/>
      <c r="AF27" s="313"/>
      <c r="AG27" s="313"/>
    </row>
    <row r="28" spans="1:33" x14ac:dyDescent="0.25">
      <c r="B28" s="249" t="s">
        <v>118</v>
      </c>
      <c r="C28" s="251">
        <v>30</v>
      </c>
      <c r="D28" s="314" t="s">
        <v>119</v>
      </c>
      <c r="E28" s="315"/>
      <c r="F28" s="315"/>
      <c r="G28" s="315"/>
      <c r="H28" s="315"/>
      <c r="I28" s="315"/>
      <c r="J28" s="315"/>
      <c r="K28" s="315"/>
      <c r="L28" s="315"/>
      <c r="M28" s="315"/>
      <c r="N28" s="179"/>
      <c r="O28" s="179"/>
      <c r="W28" s="178"/>
      <c r="X28" s="315"/>
      <c r="Y28" s="315"/>
      <c r="Z28" s="315"/>
      <c r="AA28" s="315"/>
      <c r="AB28" s="315"/>
      <c r="AC28" s="315"/>
      <c r="AD28" s="315"/>
      <c r="AE28" s="315"/>
      <c r="AF28" s="315"/>
      <c r="AG28" s="315"/>
    </row>
    <row r="29" spans="1:33" x14ac:dyDescent="0.25">
      <c r="B29" s="249" t="s">
        <v>120</v>
      </c>
      <c r="C29" s="218">
        <v>0.27979999999999999</v>
      </c>
      <c r="E29" s="180"/>
      <c r="F29" s="180"/>
      <c r="G29" s="180"/>
      <c r="H29" s="180"/>
      <c r="I29" s="180"/>
      <c r="J29" s="180"/>
      <c r="K29" s="180"/>
      <c r="L29" s="180"/>
      <c r="M29" s="180"/>
      <c r="W29" s="178"/>
      <c r="X29" s="178"/>
      <c r="Y29" s="178"/>
      <c r="Z29" s="178"/>
      <c r="AA29" s="178"/>
      <c r="AB29" s="178"/>
      <c r="AC29" s="178"/>
      <c r="AD29" s="178"/>
      <c r="AE29" s="178"/>
      <c r="AF29" s="178"/>
      <c r="AG29" s="178"/>
    </row>
    <row r="30" spans="1:33" ht="15.75" thickBot="1" x14ac:dyDescent="0.3">
      <c r="B30" s="222" t="s">
        <v>29</v>
      </c>
      <c r="C30" s="223">
        <v>3.3E-3</v>
      </c>
      <c r="E30" s="156"/>
      <c r="F30" s="180"/>
      <c r="G30" s="180"/>
      <c r="H30" s="180"/>
      <c r="I30" s="180"/>
      <c r="J30" s="180"/>
      <c r="K30" s="180"/>
      <c r="L30" s="180"/>
      <c r="M30" s="180"/>
    </row>
    <row r="31" spans="1:33" x14ac:dyDescent="0.25">
      <c r="C31" s="181"/>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row>
    <row r="32" spans="1:33" x14ac:dyDescent="0.25">
      <c r="A32" s="42">
        <v>1</v>
      </c>
      <c r="C32" s="182" t="s">
        <v>121</v>
      </c>
      <c r="D32" s="183">
        <v>2021</v>
      </c>
      <c r="E32" s="183">
        <v>2022</v>
      </c>
      <c r="F32" s="183">
        <v>2023</v>
      </c>
      <c r="G32" s="183">
        <v>2024</v>
      </c>
      <c r="H32" s="183">
        <v>2025</v>
      </c>
      <c r="I32" s="183">
        <v>2026</v>
      </c>
      <c r="J32" s="183">
        <v>2027</v>
      </c>
      <c r="K32" s="183">
        <v>2028</v>
      </c>
      <c r="L32" s="183">
        <v>2029</v>
      </c>
      <c r="M32" s="183">
        <v>2030</v>
      </c>
      <c r="N32" s="183">
        <v>2031</v>
      </c>
      <c r="O32" s="183">
        <v>2032</v>
      </c>
      <c r="P32" s="183">
        <v>2033</v>
      </c>
      <c r="Q32" s="183">
        <v>2034</v>
      </c>
      <c r="R32" s="183">
        <v>2035</v>
      </c>
      <c r="S32" s="183">
        <v>2036</v>
      </c>
      <c r="T32" s="183">
        <v>2037</v>
      </c>
      <c r="U32" s="183">
        <v>2038</v>
      </c>
      <c r="V32" s="183">
        <v>2039</v>
      </c>
      <c r="W32" s="183">
        <v>2040</v>
      </c>
      <c r="X32" s="183">
        <v>2041</v>
      </c>
      <c r="Y32" s="183">
        <v>2042</v>
      </c>
      <c r="Z32" s="183">
        <v>2043</v>
      </c>
      <c r="AA32" s="183">
        <v>2044</v>
      </c>
      <c r="AB32" s="183">
        <v>2045</v>
      </c>
      <c r="AC32" s="183">
        <v>2046</v>
      </c>
      <c r="AD32" s="183">
        <v>2047</v>
      </c>
      <c r="AE32" s="183">
        <v>2048</v>
      </c>
      <c r="AF32" s="183">
        <v>2049</v>
      </c>
      <c r="AG32" s="183">
        <v>2050</v>
      </c>
    </row>
    <row r="33" spans="1:33" x14ac:dyDescent="0.25">
      <c r="A33" s="42">
        <v>2</v>
      </c>
      <c r="C33" s="184" t="s">
        <v>122</v>
      </c>
      <c r="D33" s="185">
        <f t="shared" ref="D33:AG33" si="10">AVERAGE(D$44,D$46)*(D11*D16)</f>
        <v>145.97521874999998</v>
      </c>
      <c r="E33" s="185">
        <f t="shared" si="10"/>
        <v>141.02690625</v>
      </c>
      <c r="F33" s="185">
        <f t="shared" si="10"/>
        <v>136.07859374999998</v>
      </c>
      <c r="G33" s="185">
        <f t="shared" si="10"/>
        <v>131.13028125</v>
      </c>
      <c r="H33" s="185">
        <f t="shared" si="10"/>
        <v>126.18196875</v>
      </c>
      <c r="I33" s="185">
        <f t="shared" si="10"/>
        <v>121.23365625</v>
      </c>
      <c r="J33" s="185">
        <f t="shared" si="10"/>
        <v>116.28534375</v>
      </c>
      <c r="K33" s="185">
        <f t="shared" si="10"/>
        <v>111.33703125</v>
      </c>
      <c r="L33" s="185">
        <f t="shared" si="10"/>
        <v>106.38871875</v>
      </c>
      <c r="M33" s="185">
        <f t="shared" si="10"/>
        <v>101.44040625</v>
      </c>
      <c r="N33" s="185">
        <f t="shared" si="10"/>
        <v>96.492093749999995</v>
      </c>
      <c r="O33" s="185">
        <f t="shared" si="10"/>
        <v>91.543781249999995</v>
      </c>
      <c r="P33" s="185">
        <f t="shared" si="10"/>
        <v>86.595468749999995</v>
      </c>
      <c r="Q33" s="185">
        <f t="shared" si="10"/>
        <v>81.647156249999995</v>
      </c>
      <c r="R33" s="185">
        <f t="shared" si="10"/>
        <v>76.698843749999995</v>
      </c>
      <c r="S33" s="185">
        <f t="shared" si="10"/>
        <v>71.750531249999995</v>
      </c>
      <c r="T33" s="185">
        <f t="shared" si="10"/>
        <v>66.802218749999994</v>
      </c>
      <c r="U33" s="185">
        <f t="shared" si="10"/>
        <v>61.853906249999994</v>
      </c>
      <c r="V33" s="185">
        <f t="shared" si="10"/>
        <v>56.905593749999994</v>
      </c>
      <c r="W33" s="185">
        <f t="shared" si="10"/>
        <v>51.957281249999994</v>
      </c>
      <c r="X33" s="185">
        <f t="shared" si="10"/>
        <v>47.008968749999994</v>
      </c>
      <c r="Y33" s="185">
        <f t="shared" si="10"/>
        <v>42.060656249999994</v>
      </c>
      <c r="Z33" s="185">
        <f t="shared" si="10"/>
        <v>37.112343749999994</v>
      </c>
      <c r="AA33" s="185">
        <f t="shared" si="10"/>
        <v>32.164031250000001</v>
      </c>
      <c r="AB33" s="185">
        <f t="shared" si="10"/>
        <v>27.215718749999997</v>
      </c>
      <c r="AC33" s="185">
        <f t="shared" si="10"/>
        <v>22.267406249999997</v>
      </c>
      <c r="AD33" s="185">
        <f t="shared" si="10"/>
        <v>17.319093749999997</v>
      </c>
      <c r="AE33" s="185">
        <f t="shared" si="10"/>
        <v>12.370781249999999</v>
      </c>
      <c r="AF33" s="185">
        <f t="shared" si="10"/>
        <v>7.4224687499999993</v>
      </c>
      <c r="AG33" s="185">
        <f t="shared" si="10"/>
        <v>2.4741562499999996</v>
      </c>
    </row>
    <row r="34" spans="1:33" x14ac:dyDescent="0.25">
      <c r="A34" s="42">
        <v>3</v>
      </c>
      <c r="C34" s="184" t="s">
        <v>123</v>
      </c>
      <c r="D34" s="185">
        <f t="shared" ref="D34:AG34" si="11">AVERAGE(D$44,D$46)*(D12*D17)</f>
        <v>2.0354999999999999</v>
      </c>
      <c r="E34" s="185">
        <f t="shared" si="11"/>
        <v>1.9664999999999999</v>
      </c>
      <c r="F34" s="185">
        <f t="shared" si="11"/>
        <v>1.8975</v>
      </c>
      <c r="G34" s="185">
        <f t="shared" si="11"/>
        <v>1.8285</v>
      </c>
      <c r="H34" s="185">
        <f t="shared" si="11"/>
        <v>1.7594999999999998</v>
      </c>
      <c r="I34" s="185">
        <f t="shared" si="11"/>
        <v>1.6904999999999999</v>
      </c>
      <c r="J34" s="185">
        <f t="shared" si="11"/>
        <v>1.6214999999999999</v>
      </c>
      <c r="K34" s="185">
        <f t="shared" si="11"/>
        <v>1.5525</v>
      </c>
      <c r="L34" s="185">
        <f t="shared" si="11"/>
        <v>1.4834999999999998</v>
      </c>
      <c r="M34" s="185">
        <f t="shared" si="11"/>
        <v>1.4144999999999999</v>
      </c>
      <c r="N34" s="185">
        <f t="shared" si="11"/>
        <v>1.3454999999999999</v>
      </c>
      <c r="O34" s="185">
        <f t="shared" si="11"/>
        <v>1.2765</v>
      </c>
      <c r="P34" s="185">
        <f t="shared" si="11"/>
        <v>1.2075</v>
      </c>
      <c r="Q34" s="185">
        <f t="shared" si="11"/>
        <v>1.1384999999999998</v>
      </c>
      <c r="R34" s="185">
        <f t="shared" si="11"/>
        <v>1.0694999999999999</v>
      </c>
      <c r="S34" s="185">
        <f t="shared" si="11"/>
        <v>1.0004999999999999</v>
      </c>
      <c r="T34" s="185">
        <f t="shared" si="11"/>
        <v>0.93149999999999999</v>
      </c>
      <c r="U34" s="185">
        <f t="shared" si="11"/>
        <v>0.86249999999999993</v>
      </c>
      <c r="V34" s="185">
        <f t="shared" si="11"/>
        <v>0.79349999999999998</v>
      </c>
      <c r="W34" s="185">
        <f t="shared" si="11"/>
        <v>0.72449999999999992</v>
      </c>
      <c r="X34" s="185">
        <f t="shared" si="11"/>
        <v>0.65549999999999997</v>
      </c>
      <c r="Y34" s="185">
        <f t="shared" si="11"/>
        <v>0.58650000000000002</v>
      </c>
      <c r="Z34" s="185">
        <f t="shared" si="11"/>
        <v>0.51749999999999996</v>
      </c>
      <c r="AA34" s="185">
        <f t="shared" si="11"/>
        <v>0.44849999999999995</v>
      </c>
      <c r="AB34" s="185">
        <f t="shared" si="11"/>
        <v>0.3795</v>
      </c>
      <c r="AC34" s="185">
        <f t="shared" si="11"/>
        <v>0.3105</v>
      </c>
      <c r="AD34" s="185">
        <f t="shared" si="11"/>
        <v>0.24149999999999999</v>
      </c>
      <c r="AE34" s="185">
        <f t="shared" si="11"/>
        <v>0.17249999999999999</v>
      </c>
      <c r="AF34" s="185">
        <f t="shared" si="11"/>
        <v>0.10349999999999999</v>
      </c>
      <c r="AG34" s="185">
        <f t="shared" si="11"/>
        <v>3.4499999999999996E-2</v>
      </c>
    </row>
    <row r="35" spans="1:33" x14ac:dyDescent="0.25">
      <c r="A35" s="42">
        <v>4</v>
      </c>
      <c r="C35" s="184" t="s">
        <v>124</v>
      </c>
      <c r="D35" s="185">
        <f t="shared" ref="D35:AG35" si="12">AVERAGE(D$44,D$46)*(D13*D18)</f>
        <v>393.08749999999998</v>
      </c>
      <c r="E35" s="185">
        <f t="shared" si="12"/>
        <v>379.76249999999999</v>
      </c>
      <c r="F35" s="185">
        <f t="shared" si="12"/>
        <v>366.4375</v>
      </c>
      <c r="G35" s="185">
        <f t="shared" si="12"/>
        <v>353.11250000000001</v>
      </c>
      <c r="H35" s="185">
        <f t="shared" si="12"/>
        <v>339.78750000000002</v>
      </c>
      <c r="I35" s="185">
        <f t="shared" si="12"/>
        <v>326.46249999999998</v>
      </c>
      <c r="J35" s="185">
        <f t="shared" si="12"/>
        <v>313.13749999999999</v>
      </c>
      <c r="K35" s="185">
        <f t="shared" si="12"/>
        <v>299.8125</v>
      </c>
      <c r="L35" s="185">
        <f t="shared" si="12"/>
        <v>286.48750000000001</v>
      </c>
      <c r="M35" s="185">
        <f t="shared" si="12"/>
        <v>273.16250000000002</v>
      </c>
      <c r="N35" s="185">
        <f t="shared" si="12"/>
        <v>259.83749999999998</v>
      </c>
      <c r="O35" s="185">
        <f t="shared" si="12"/>
        <v>246.51249999999999</v>
      </c>
      <c r="P35" s="185">
        <f t="shared" si="12"/>
        <v>233.1875</v>
      </c>
      <c r="Q35" s="185">
        <f t="shared" si="12"/>
        <v>219.86250000000001</v>
      </c>
      <c r="R35" s="185">
        <f t="shared" si="12"/>
        <v>206.53749999999999</v>
      </c>
      <c r="S35" s="185">
        <f t="shared" si="12"/>
        <v>193.21250000000001</v>
      </c>
      <c r="T35" s="185">
        <f t="shared" si="12"/>
        <v>179.88749999999999</v>
      </c>
      <c r="U35" s="185">
        <f t="shared" si="12"/>
        <v>166.5625</v>
      </c>
      <c r="V35" s="185">
        <f t="shared" si="12"/>
        <v>153.23750000000001</v>
      </c>
      <c r="W35" s="185">
        <f t="shared" si="12"/>
        <v>139.91249999999999</v>
      </c>
      <c r="X35" s="185">
        <f t="shared" si="12"/>
        <v>126.58750000000001</v>
      </c>
      <c r="Y35" s="185">
        <f t="shared" si="12"/>
        <v>113.2625</v>
      </c>
      <c r="Z35" s="185">
        <f t="shared" si="12"/>
        <v>99.9375</v>
      </c>
      <c r="AA35" s="185">
        <f t="shared" si="12"/>
        <v>86.612499999999997</v>
      </c>
      <c r="AB35" s="185">
        <f t="shared" si="12"/>
        <v>73.287499999999994</v>
      </c>
      <c r="AC35" s="185">
        <f t="shared" si="12"/>
        <v>59.962499999999999</v>
      </c>
      <c r="AD35" s="185">
        <f t="shared" si="12"/>
        <v>46.637500000000003</v>
      </c>
      <c r="AE35" s="185">
        <f t="shared" si="12"/>
        <v>33.3125</v>
      </c>
      <c r="AF35" s="185">
        <f t="shared" si="12"/>
        <v>19.987500000000001</v>
      </c>
      <c r="AG35" s="185">
        <f t="shared" si="12"/>
        <v>6.6624999999999996</v>
      </c>
    </row>
    <row r="36" spans="1:33" x14ac:dyDescent="0.25">
      <c r="A36" s="42">
        <v>5</v>
      </c>
      <c r="C36" s="184" t="s">
        <v>125</v>
      </c>
      <c r="D36" s="185">
        <f>(D34+D35)/(1-$C$29)-(D34+D35)</f>
        <v>153.50654734795893</v>
      </c>
      <c r="E36" s="185">
        <f t="shared" ref="E36:AG36" si="13">(E34+E35)/(1-$C$29)-(E34+E35)</f>
        <v>148.30293557345186</v>
      </c>
      <c r="F36" s="185">
        <f t="shared" si="13"/>
        <v>143.09932379894474</v>
      </c>
      <c r="G36" s="185">
        <f t="shared" si="13"/>
        <v>137.89571202443773</v>
      </c>
      <c r="H36" s="185">
        <f t="shared" si="13"/>
        <v>132.6921002499306</v>
      </c>
      <c r="I36" s="185">
        <f t="shared" si="13"/>
        <v>127.48848847542354</v>
      </c>
      <c r="J36" s="185">
        <f t="shared" si="13"/>
        <v>122.28487670091647</v>
      </c>
      <c r="K36" s="185">
        <f t="shared" si="13"/>
        <v>117.08126492640935</v>
      </c>
      <c r="L36" s="185">
        <f t="shared" si="13"/>
        <v>111.87765315190228</v>
      </c>
      <c r="M36" s="185">
        <f t="shared" si="13"/>
        <v>106.67404137739521</v>
      </c>
      <c r="N36" s="185">
        <f t="shared" si="13"/>
        <v>101.47042960288809</v>
      </c>
      <c r="O36" s="185">
        <f t="shared" si="13"/>
        <v>96.266817828381022</v>
      </c>
      <c r="P36" s="185">
        <f t="shared" si="13"/>
        <v>91.063206053873927</v>
      </c>
      <c r="Q36" s="185">
        <f t="shared" si="13"/>
        <v>85.85959427936686</v>
      </c>
      <c r="R36" s="185">
        <f t="shared" si="13"/>
        <v>80.655982504859793</v>
      </c>
      <c r="S36" s="185">
        <f t="shared" si="13"/>
        <v>75.452370730352669</v>
      </c>
      <c r="T36" s="185">
        <f t="shared" si="13"/>
        <v>70.248758955845602</v>
      </c>
      <c r="U36" s="185">
        <f t="shared" si="13"/>
        <v>65.045147181338535</v>
      </c>
      <c r="V36" s="185">
        <f t="shared" si="13"/>
        <v>59.84153540683144</v>
      </c>
      <c r="W36" s="185">
        <f t="shared" si="13"/>
        <v>54.637923632324373</v>
      </c>
      <c r="X36" s="185">
        <f t="shared" si="13"/>
        <v>49.434311857817292</v>
      </c>
      <c r="Y36" s="185">
        <f t="shared" si="13"/>
        <v>44.230700083310197</v>
      </c>
      <c r="Z36" s="185">
        <f t="shared" si="13"/>
        <v>39.02708830880313</v>
      </c>
      <c r="AA36" s="185">
        <f t="shared" si="13"/>
        <v>33.823476534296034</v>
      </c>
      <c r="AB36" s="185">
        <f t="shared" si="13"/>
        <v>28.619864759788953</v>
      </c>
      <c r="AC36" s="185">
        <f t="shared" si="13"/>
        <v>23.416252985281872</v>
      </c>
      <c r="AD36" s="185">
        <f t="shared" si="13"/>
        <v>18.212641210774791</v>
      </c>
      <c r="AE36" s="185">
        <f t="shared" si="13"/>
        <v>13.009029436267703</v>
      </c>
      <c r="AF36" s="185">
        <f t="shared" si="13"/>
        <v>7.8054176617606252</v>
      </c>
      <c r="AG36" s="185">
        <f t="shared" si="13"/>
        <v>2.6018058872535414</v>
      </c>
    </row>
    <row r="37" spans="1:33" x14ac:dyDescent="0.25">
      <c r="A37" s="42">
        <v>6</v>
      </c>
      <c r="C37" s="184" t="s">
        <v>126</v>
      </c>
      <c r="D37" s="185">
        <f>SUM(D33:D36)</f>
        <v>694.60476609795887</v>
      </c>
      <c r="E37" s="185">
        <f t="shared" ref="E37:AG37" si="14">SUM(E33:E36)</f>
        <v>671.05884182345176</v>
      </c>
      <c r="F37" s="185">
        <f t="shared" si="14"/>
        <v>647.51291754894476</v>
      </c>
      <c r="G37" s="185">
        <f t="shared" si="14"/>
        <v>623.96699327443775</v>
      </c>
      <c r="H37" s="185">
        <f t="shared" si="14"/>
        <v>600.42106899993064</v>
      </c>
      <c r="I37" s="185">
        <f t="shared" si="14"/>
        <v>576.87514472542352</v>
      </c>
      <c r="J37" s="185">
        <f t="shared" si="14"/>
        <v>553.32922045091641</v>
      </c>
      <c r="K37" s="185">
        <f t="shared" si="14"/>
        <v>529.78329617640929</v>
      </c>
      <c r="L37" s="185">
        <f t="shared" si="14"/>
        <v>506.23737190190229</v>
      </c>
      <c r="M37" s="185">
        <f t="shared" si="14"/>
        <v>482.69144762739523</v>
      </c>
      <c r="N37" s="185">
        <f t="shared" si="14"/>
        <v>459.14552335288806</v>
      </c>
      <c r="O37" s="185">
        <f t="shared" si="14"/>
        <v>435.599599078381</v>
      </c>
      <c r="P37" s="185">
        <f t="shared" si="14"/>
        <v>412.05367480387395</v>
      </c>
      <c r="Q37" s="185">
        <f t="shared" si="14"/>
        <v>388.50775052936683</v>
      </c>
      <c r="R37" s="185">
        <f t="shared" si="14"/>
        <v>364.96182625485983</v>
      </c>
      <c r="S37" s="185">
        <f t="shared" si="14"/>
        <v>341.41590198035271</v>
      </c>
      <c r="T37" s="185">
        <f t="shared" si="14"/>
        <v>317.8699777058456</v>
      </c>
      <c r="U37" s="185">
        <f t="shared" si="14"/>
        <v>294.32405343133848</v>
      </c>
      <c r="V37" s="185">
        <f t="shared" si="14"/>
        <v>270.77812915683148</v>
      </c>
      <c r="W37" s="185">
        <f t="shared" si="14"/>
        <v>247.23220488232437</v>
      </c>
      <c r="X37" s="185">
        <f t="shared" si="14"/>
        <v>223.68628060781731</v>
      </c>
      <c r="Y37" s="185">
        <f t="shared" si="14"/>
        <v>200.14035633331019</v>
      </c>
      <c r="Z37" s="185">
        <f t="shared" si="14"/>
        <v>176.59443205880314</v>
      </c>
      <c r="AA37" s="185">
        <f t="shared" si="14"/>
        <v>153.04850778429602</v>
      </c>
      <c r="AB37" s="185">
        <f t="shared" si="14"/>
        <v>129.50258350978896</v>
      </c>
      <c r="AC37" s="185">
        <f t="shared" si="14"/>
        <v>105.95665923528186</v>
      </c>
      <c r="AD37" s="185">
        <f t="shared" si="14"/>
        <v>82.410734960774789</v>
      </c>
      <c r="AE37" s="185">
        <f t="shared" si="14"/>
        <v>58.864810686267703</v>
      </c>
      <c r="AF37" s="185">
        <f t="shared" si="14"/>
        <v>35.31888641176063</v>
      </c>
      <c r="AG37" s="185">
        <f t="shared" si="14"/>
        <v>11.77296213725354</v>
      </c>
    </row>
    <row r="38" spans="1:33" x14ac:dyDescent="0.25">
      <c r="A38" s="42">
        <v>7</v>
      </c>
      <c r="C38" s="184" t="s">
        <v>127</v>
      </c>
      <c r="D38" s="186">
        <f>-D45</f>
        <v>250</v>
      </c>
      <c r="E38" s="186">
        <f t="shared" ref="E38:AG38" si="15">-E45</f>
        <v>250</v>
      </c>
      <c r="F38" s="186">
        <f t="shared" si="15"/>
        <v>250</v>
      </c>
      <c r="G38" s="186">
        <f t="shared" si="15"/>
        <v>250</v>
      </c>
      <c r="H38" s="186">
        <f t="shared" si="15"/>
        <v>250</v>
      </c>
      <c r="I38" s="186">
        <f t="shared" si="15"/>
        <v>250</v>
      </c>
      <c r="J38" s="186">
        <f t="shared" si="15"/>
        <v>250</v>
      </c>
      <c r="K38" s="186">
        <f t="shared" si="15"/>
        <v>250</v>
      </c>
      <c r="L38" s="186">
        <f t="shared" si="15"/>
        <v>250</v>
      </c>
      <c r="M38" s="186">
        <f t="shared" si="15"/>
        <v>250</v>
      </c>
      <c r="N38" s="186">
        <f t="shared" si="15"/>
        <v>250</v>
      </c>
      <c r="O38" s="186">
        <f t="shared" si="15"/>
        <v>250</v>
      </c>
      <c r="P38" s="186">
        <f t="shared" si="15"/>
        <v>250</v>
      </c>
      <c r="Q38" s="186">
        <f t="shared" si="15"/>
        <v>250</v>
      </c>
      <c r="R38" s="186">
        <f t="shared" si="15"/>
        <v>250</v>
      </c>
      <c r="S38" s="186">
        <f t="shared" si="15"/>
        <v>250</v>
      </c>
      <c r="T38" s="186">
        <f t="shared" si="15"/>
        <v>250</v>
      </c>
      <c r="U38" s="186">
        <f t="shared" si="15"/>
        <v>250</v>
      </c>
      <c r="V38" s="186">
        <f t="shared" si="15"/>
        <v>250</v>
      </c>
      <c r="W38" s="186">
        <f t="shared" si="15"/>
        <v>250</v>
      </c>
      <c r="X38" s="186">
        <f t="shared" si="15"/>
        <v>250</v>
      </c>
      <c r="Y38" s="186">
        <f t="shared" si="15"/>
        <v>250</v>
      </c>
      <c r="Z38" s="186">
        <f t="shared" si="15"/>
        <v>250</v>
      </c>
      <c r="AA38" s="186">
        <f t="shared" si="15"/>
        <v>250</v>
      </c>
      <c r="AB38" s="186">
        <f t="shared" si="15"/>
        <v>250</v>
      </c>
      <c r="AC38" s="186">
        <f t="shared" si="15"/>
        <v>250</v>
      </c>
      <c r="AD38" s="186">
        <f t="shared" si="15"/>
        <v>250</v>
      </c>
      <c r="AE38" s="186">
        <f t="shared" si="15"/>
        <v>250</v>
      </c>
      <c r="AF38" s="186">
        <f t="shared" si="15"/>
        <v>250</v>
      </c>
      <c r="AG38" s="186">
        <f t="shared" si="15"/>
        <v>250</v>
      </c>
    </row>
    <row r="39" spans="1:33" x14ac:dyDescent="0.25">
      <c r="A39" s="42">
        <v>8</v>
      </c>
      <c r="C39" s="184" t="s">
        <v>31</v>
      </c>
      <c r="D39" s="187">
        <f>SUM(D37:D38)</f>
        <v>944.60476609795887</v>
      </c>
      <c r="E39" s="187">
        <f t="shared" ref="E39:AG39" si="16">SUM(E37:E38)</f>
        <v>921.05884182345176</v>
      </c>
      <c r="F39" s="187">
        <f t="shared" si="16"/>
        <v>897.51291754894476</v>
      </c>
      <c r="G39" s="187">
        <f t="shared" si="16"/>
        <v>873.96699327443775</v>
      </c>
      <c r="H39" s="187">
        <f t="shared" si="16"/>
        <v>850.42106899993064</v>
      </c>
      <c r="I39" s="187">
        <f t="shared" si="16"/>
        <v>826.87514472542352</v>
      </c>
      <c r="J39" s="187">
        <f t="shared" si="16"/>
        <v>803.32922045091641</v>
      </c>
      <c r="K39" s="187">
        <f t="shared" si="16"/>
        <v>779.78329617640929</v>
      </c>
      <c r="L39" s="187">
        <f t="shared" si="16"/>
        <v>756.23737190190229</v>
      </c>
      <c r="M39" s="187">
        <f t="shared" si="16"/>
        <v>732.69144762739529</v>
      </c>
      <c r="N39" s="187">
        <f t="shared" si="16"/>
        <v>709.14552335288806</v>
      </c>
      <c r="O39" s="187">
        <f t="shared" si="16"/>
        <v>685.59959907838106</v>
      </c>
      <c r="P39" s="187">
        <f t="shared" si="16"/>
        <v>662.05367480387395</v>
      </c>
      <c r="Q39" s="187">
        <f t="shared" si="16"/>
        <v>638.50775052936683</v>
      </c>
      <c r="R39" s="187">
        <f t="shared" si="16"/>
        <v>614.96182625485983</v>
      </c>
      <c r="S39" s="187">
        <f t="shared" si="16"/>
        <v>591.41590198035271</v>
      </c>
      <c r="T39" s="187">
        <f t="shared" si="16"/>
        <v>567.8699777058456</v>
      </c>
      <c r="U39" s="187">
        <f t="shared" si="16"/>
        <v>544.32405343133848</v>
      </c>
      <c r="V39" s="187">
        <f t="shared" si="16"/>
        <v>520.77812915683148</v>
      </c>
      <c r="W39" s="187">
        <f t="shared" si="16"/>
        <v>497.23220488232437</v>
      </c>
      <c r="X39" s="187">
        <f t="shared" si="16"/>
        <v>473.68628060781731</v>
      </c>
      <c r="Y39" s="187">
        <f t="shared" si="16"/>
        <v>450.14035633331019</v>
      </c>
      <c r="Z39" s="187">
        <f t="shared" si="16"/>
        <v>426.59443205880314</v>
      </c>
      <c r="AA39" s="187">
        <f t="shared" si="16"/>
        <v>403.04850778429602</v>
      </c>
      <c r="AB39" s="187">
        <f t="shared" si="16"/>
        <v>379.50258350978896</v>
      </c>
      <c r="AC39" s="187">
        <f t="shared" si="16"/>
        <v>355.95665923528185</v>
      </c>
      <c r="AD39" s="187">
        <f t="shared" si="16"/>
        <v>332.41073496077479</v>
      </c>
      <c r="AE39" s="187">
        <f t="shared" si="16"/>
        <v>308.86481068626767</v>
      </c>
      <c r="AF39" s="187">
        <f t="shared" si="16"/>
        <v>285.31888641176062</v>
      </c>
      <c r="AG39" s="187">
        <f t="shared" si="16"/>
        <v>261.77296213725356</v>
      </c>
    </row>
    <row r="40" spans="1:33" x14ac:dyDescent="0.25">
      <c r="A40" s="42">
        <v>9</v>
      </c>
      <c r="C40" s="184" t="s">
        <v>29</v>
      </c>
      <c r="D40" s="186">
        <f>SUM(D37:D38)*$C$30</f>
        <v>3.1171957281232641</v>
      </c>
      <c r="E40" s="186">
        <f t="shared" ref="E40:AF40" si="17">SUM(E37:E38)*$C$30</f>
        <v>3.039494178017391</v>
      </c>
      <c r="F40" s="186">
        <f t="shared" si="17"/>
        <v>2.9617926279115179</v>
      </c>
      <c r="G40" s="186">
        <f t="shared" si="17"/>
        <v>2.8840910778056448</v>
      </c>
      <c r="H40" s="186">
        <f t="shared" si="17"/>
        <v>2.8063895276997712</v>
      </c>
      <c r="I40" s="186">
        <f t="shared" si="17"/>
        <v>2.7286879775938977</v>
      </c>
      <c r="J40" s="186">
        <f t="shared" si="17"/>
        <v>2.6509864274880242</v>
      </c>
      <c r="K40" s="186">
        <f t="shared" si="17"/>
        <v>2.5732848773821506</v>
      </c>
      <c r="L40" s="186">
        <f t="shared" si="17"/>
        <v>2.4955833272762775</v>
      </c>
      <c r="M40" s="186">
        <f t="shared" si="17"/>
        <v>2.4178817771704044</v>
      </c>
      <c r="N40" s="186">
        <f t="shared" si="17"/>
        <v>2.3401802270645304</v>
      </c>
      <c r="O40" s="186">
        <f t="shared" si="17"/>
        <v>2.2624786769586573</v>
      </c>
      <c r="P40" s="186">
        <f t="shared" si="17"/>
        <v>2.1847771268527838</v>
      </c>
      <c r="Q40" s="186">
        <f t="shared" si="17"/>
        <v>2.1070755767469107</v>
      </c>
      <c r="R40" s="186">
        <f t="shared" si="17"/>
        <v>2.0293740266410376</v>
      </c>
      <c r="S40" s="186">
        <f t="shared" si="17"/>
        <v>1.9516724765351638</v>
      </c>
      <c r="T40" s="186">
        <f t="shared" si="17"/>
        <v>1.8739709264292905</v>
      </c>
      <c r="U40" s="186">
        <f t="shared" si="17"/>
        <v>1.796269376323417</v>
      </c>
      <c r="V40" s="186">
        <f t="shared" si="17"/>
        <v>1.7185678262175439</v>
      </c>
      <c r="W40" s="186">
        <f t="shared" si="17"/>
        <v>1.6408662761116704</v>
      </c>
      <c r="X40" s="186">
        <f t="shared" si="17"/>
        <v>1.563164726005797</v>
      </c>
      <c r="Y40" s="186">
        <f t="shared" si="17"/>
        <v>1.4854631758999237</v>
      </c>
      <c r="Z40" s="186">
        <f t="shared" si="17"/>
        <v>1.4077616257940504</v>
      </c>
      <c r="AA40" s="186">
        <f t="shared" si="17"/>
        <v>1.3300600756881769</v>
      </c>
      <c r="AB40" s="186">
        <f t="shared" si="17"/>
        <v>1.2523585255823035</v>
      </c>
      <c r="AC40" s="186">
        <f t="shared" si="17"/>
        <v>1.17465697547643</v>
      </c>
      <c r="AD40" s="186">
        <f t="shared" si="17"/>
        <v>1.0969554253705569</v>
      </c>
      <c r="AE40" s="186">
        <f t="shared" si="17"/>
        <v>1.0192538752646834</v>
      </c>
      <c r="AF40" s="186">
        <f t="shared" si="17"/>
        <v>0.94155232515881004</v>
      </c>
      <c r="AG40" s="186">
        <f t="shared" ref="AG40" si="18">SUM(AG37:AG38)*$C$30</f>
        <v>0.86385077505293673</v>
      </c>
    </row>
    <row r="41" spans="1:33" x14ac:dyDescent="0.25">
      <c r="A41" s="42">
        <v>10</v>
      </c>
      <c r="C41" s="184" t="s">
        <v>128</v>
      </c>
      <c r="D41" s="187">
        <f>D39+D40</f>
        <v>947.72196182608218</v>
      </c>
      <c r="E41" s="187">
        <f t="shared" ref="E41:AG41" si="19">E39+E40</f>
        <v>924.09833600146919</v>
      </c>
      <c r="F41" s="187">
        <f t="shared" si="19"/>
        <v>900.47471017685632</v>
      </c>
      <c r="G41" s="187">
        <f t="shared" si="19"/>
        <v>876.85108435224345</v>
      </c>
      <c r="H41" s="187">
        <f t="shared" si="19"/>
        <v>853.22745852763046</v>
      </c>
      <c r="I41" s="187">
        <f t="shared" si="19"/>
        <v>829.60383270301747</v>
      </c>
      <c r="J41" s="187">
        <f t="shared" si="19"/>
        <v>805.98020687840449</v>
      </c>
      <c r="K41" s="187">
        <f t="shared" si="19"/>
        <v>782.3565810537915</v>
      </c>
      <c r="L41" s="187">
        <f t="shared" si="19"/>
        <v>758.73295522917851</v>
      </c>
      <c r="M41" s="187">
        <f t="shared" si="19"/>
        <v>735.10932940456564</v>
      </c>
      <c r="N41" s="187">
        <f t="shared" si="19"/>
        <v>711.48570357995254</v>
      </c>
      <c r="O41" s="187">
        <f t="shared" si="19"/>
        <v>687.86207775533967</v>
      </c>
      <c r="P41" s="187">
        <f t="shared" si="19"/>
        <v>664.23845193072668</v>
      </c>
      <c r="Q41" s="187">
        <f t="shared" si="19"/>
        <v>640.6148261061137</v>
      </c>
      <c r="R41" s="187">
        <f t="shared" si="19"/>
        <v>616.99120028150082</v>
      </c>
      <c r="S41" s="187">
        <f t="shared" si="19"/>
        <v>593.36757445688784</v>
      </c>
      <c r="T41" s="187">
        <f t="shared" si="19"/>
        <v>569.74394863227485</v>
      </c>
      <c r="U41" s="187">
        <f t="shared" si="19"/>
        <v>546.12032280766186</v>
      </c>
      <c r="V41" s="187">
        <f t="shared" si="19"/>
        <v>522.49669698304899</v>
      </c>
      <c r="W41" s="187">
        <f t="shared" si="19"/>
        <v>498.87307115843606</v>
      </c>
      <c r="X41" s="187">
        <f t="shared" si="19"/>
        <v>475.24944533382313</v>
      </c>
      <c r="Y41" s="187">
        <f t="shared" si="19"/>
        <v>451.62581950921015</v>
      </c>
      <c r="Z41" s="187">
        <f t="shared" si="19"/>
        <v>428.00219368459716</v>
      </c>
      <c r="AA41" s="187">
        <f t="shared" si="19"/>
        <v>404.37856785998417</v>
      </c>
      <c r="AB41" s="187">
        <f t="shared" si="19"/>
        <v>380.75494203537124</v>
      </c>
      <c r="AC41" s="187">
        <f t="shared" si="19"/>
        <v>357.13131621075826</v>
      </c>
      <c r="AD41" s="187">
        <f t="shared" si="19"/>
        <v>333.50769038614533</v>
      </c>
      <c r="AE41" s="187">
        <f t="shared" si="19"/>
        <v>309.88406456153234</v>
      </c>
      <c r="AF41" s="187">
        <f t="shared" si="19"/>
        <v>286.26043873691941</v>
      </c>
      <c r="AG41" s="187">
        <f t="shared" si="19"/>
        <v>262.63681291230648</v>
      </c>
    </row>
    <row r="42" spans="1:33" x14ac:dyDescent="0.25">
      <c r="A42" s="42">
        <v>11</v>
      </c>
    </row>
    <row r="43" spans="1:33" x14ac:dyDescent="0.25">
      <c r="A43" s="42">
        <v>12</v>
      </c>
      <c r="C43" s="182" t="s">
        <v>129</v>
      </c>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row>
    <row r="44" spans="1:33" x14ac:dyDescent="0.25">
      <c r="A44" s="42">
        <v>13</v>
      </c>
      <c r="C44" s="184" t="s">
        <v>130</v>
      </c>
      <c r="D44" s="186">
        <f>C27</f>
        <v>7500</v>
      </c>
      <c r="E44" s="186">
        <f t="shared" ref="E44:AG44" si="20">D46</f>
        <v>7250</v>
      </c>
      <c r="F44" s="186">
        <f t="shared" si="20"/>
        <v>7000</v>
      </c>
      <c r="G44" s="186">
        <f t="shared" si="20"/>
        <v>6750</v>
      </c>
      <c r="H44" s="186">
        <f t="shared" si="20"/>
        <v>6500</v>
      </c>
      <c r="I44" s="186">
        <f t="shared" si="20"/>
        <v>6250</v>
      </c>
      <c r="J44" s="186">
        <f t="shared" si="20"/>
        <v>6000</v>
      </c>
      <c r="K44" s="186">
        <f t="shared" si="20"/>
        <v>5750</v>
      </c>
      <c r="L44" s="186">
        <f t="shared" si="20"/>
        <v>5500</v>
      </c>
      <c r="M44" s="186">
        <f t="shared" si="20"/>
        <v>5250</v>
      </c>
      <c r="N44" s="186">
        <f t="shared" si="20"/>
        <v>5000</v>
      </c>
      <c r="O44" s="186">
        <f t="shared" si="20"/>
        <v>4750</v>
      </c>
      <c r="P44" s="186">
        <f t="shared" si="20"/>
        <v>4500</v>
      </c>
      <c r="Q44" s="186">
        <f t="shared" si="20"/>
        <v>4250</v>
      </c>
      <c r="R44" s="186">
        <f t="shared" si="20"/>
        <v>4000</v>
      </c>
      <c r="S44" s="186">
        <f t="shared" si="20"/>
        <v>3750</v>
      </c>
      <c r="T44" s="186">
        <f t="shared" si="20"/>
        <v>3500</v>
      </c>
      <c r="U44" s="186">
        <f t="shared" si="20"/>
        <v>3250</v>
      </c>
      <c r="V44" s="186">
        <f t="shared" si="20"/>
        <v>3000</v>
      </c>
      <c r="W44" s="186">
        <f t="shared" si="20"/>
        <v>2750</v>
      </c>
      <c r="X44" s="186">
        <f t="shared" si="20"/>
        <v>2500</v>
      </c>
      <c r="Y44" s="186">
        <f t="shared" si="20"/>
        <v>2250</v>
      </c>
      <c r="Z44" s="186">
        <f t="shared" si="20"/>
        <v>2000</v>
      </c>
      <c r="AA44" s="186">
        <f t="shared" si="20"/>
        <v>1750</v>
      </c>
      <c r="AB44" s="186">
        <f t="shared" si="20"/>
        <v>1500</v>
      </c>
      <c r="AC44" s="186">
        <f t="shared" si="20"/>
        <v>1250</v>
      </c>
      <c r="AD44" s="186">
        <f t="shared" si="20"/>
        <v>1000</v>
      </c>
      <c r="AE44" s="186">
        <f t="shared" si="20"/>
        <v>750</v>
      </c>
      <c r="AF44" s="186">
        <f t="shared" si="20"/>
        <v>500</v>
      </c>
      <c r="AG44" s="186">
        <f t="shared" si="20"/>
        <v>250</v>
      </c>
    </row>
    <row r="45" spans="1:33" x14ac:dyDescent="0.25">
      <c r="A45" s="42">
        <v>14</v>
      </c>
      <c r="C45" s="184" t="s">
        <v>131</v>
      </c>
      <c r="D45" s="186">
        <f t="shared" ref="D45:AG45" si="21">-$D$44/$C$28</f>
        <v>-250</v>
      </c>
      <c r="E45" s="186">
        <f t="shared" si="21"/>
        <v>-250</v>
      </c>
      <c r="F45" s="186">
        <f t="shared" si="21"/>
        <v>-250</v>
      </c>
      <c r="G45" s="186">
        <f t="shared" si="21"/>
        <v>-250</v>
      </c>
      <c r="H45" s="186">
        <f t="shared" si="21"/>
        <v>-250</v>
      </c>
      <c r="I45" s="186">
        <f t="shared" si="21"/>
        <v>-250</v>
      </c>
      <c r="J45" s="186">
        <f t="shared" si="21"/>
        <v>-250</v>
      </c>
      <c r="K45" s="186">
        <f t="shared" si="21"/>
        <v>-250</v>
      </c>
      <c r="L45" s="186">
        <f t="shared" si="21"/>
        <v>-250</v>
      </c>
      <c r="M45" s="186">
        <f t="shared" si="21"/>
        <v>-250</v>
      </c>
      <c r="N45" s="186">
        <f t="shared" si="21"/>
        <v>-250</v>
      </c>
      <c r="O45" s="186">
        <f t="shared" si="21"/>
        <v>-250</v>
      </c>
      <c r="P45" s="186">
        <f t="shared" si="21"/>
        <v>-250</v>
      </c>
      <c r="Q45" s="186">
        <f t="shared" si="21"/>
        <v>-250</v>
      </c>
      <c r="R45" s="186">
        <f t="shared" si="21"/>
        <v>-250</v>
      </c>
      <c r="S45" s="186">
        <f t="shared" si="21"/>
        <v>-250</v>
      </c>
      <c r="T45" s="186">
        <f t="shared" si="21"/>
        <v>-250</v>
      </c>
      <c r="U45" s="186">
        <f t="shared" si="21"/>
        <v>-250</v>
      </c>
      <c r="V45" s="186">
        <f t="shared" si="21"/>
        <v>-250</v>
      </c>
      <c r="W45" s="186">
        <f t="shared" si="21"/>
        <v>-250</v>
      </c>
      <c r="X45" s="186">
        <f t="shared" si="21"/>
        <v>-250</v>
      </c>
      <c r="Y45" s="186">
        <f t="shared" si="21"/>
        <v>-250</v>
      </c>
      <c r="Z45" s="186">
        <f t="shared" si="21"/>
        <v>-250</v>
      </c>
      <c r="AA45" s="186">
        <f t="shared" si="21"/>
        <v>-250</v>
      </c>
      <c r="AB45" s="186">
        <f t="shared" si="21"/>
        <v>-250</v>
      </c>
      <c r="AC45" s="186">
        <f t="shared" si="21"/>
        <v>-250</v>
      </c>
      <c r="AD45" s="186">
        <f t="shared" si="21"/>
        <v>-250</v>
      </c>
      <c r="AE45" s="186">
        <f t="shared" si="21"/>
        <v>-250</v>
      </c>
      <c r="AF45" s="186">
        <f t="shared" si="21"/>
        <v>-250</v>
      </c>
      <c r="AG45" s="186">
        <f t="shared" si="21"/>
        <v>-250</v>
      </c>
    </row>
    <row r="46" spans="1:33" x14ac:dyDescent="0.25">
      <c r="A46" s="42">
        <v>15</v>
      </c>
      <c r="C46" s="184" t="s">
        <v>132</v>
      </c>
      <c r="D46" s="187">
        <f t="shared" ref="D46:AG46" si="22">SUM(D44:D45)</f>
        <v>7250</v>
      </c>
      <c r="E46" s="187">
        <f t="shared" si="22"/>
        <v>7000</v>
      </c>
      <c r="F46" s="187">
        <f t="shared" si="22"/>
        <v>6750</v>
      </c>
      <c r="G46" s="187">
        <f t="shared" si="22"/>
        <v>6500</v>
      </c>
      <c r="H46" s="187">
        <f t="shared" si="22"/>
        <v>6250</v>
      </c>
      <c r="I46" s="187">
        <f t="shared" si="22"/>
        <v>6000</v>
      </c>
      <c r="J46" s="187">
        <f t="shared" si="22"/>
        <v>5750</v>
      </c>
      <c r="K46" s="187">
        <f t="shared" si="22"/>
        <v>5500</v>
      </c>
      <c r="L46" s="187">
        <f t="shared" si="22"/>
        <v>5250</v>
      </c>
      <c r="M46" s="187">
        <f t="shared" si="22"/>
        <v>5000</v>
      </c>
      <c r="N46" s="187">
        <f t="shared" si="22"/>
        <v>4750</v>
      </c>
      <c r="O46" s="187">
        <f t="shared" si="22"/>
        <v>4500</v>
      </c>
      <c r="P46" s="187">
        <f t="shared" si="22"/>
        <v>4250</v>
      </c>
      <c r="Q46" s="187">
        <f t="shared" si="22"/>
        <v>4000</v>
      </c>
      <c r="R46" s="187">
        <f t="shared" si="22"/>
        <v>3750</v>
      </c>
      <c r="S46" s="187">
        <f t="shared" si="22"/>
        <v>3500</v>
      </c>
      <c r="T46" s="187">
        <f t="shared" si="22"/>
        <v>3250</v>
      </c>
      <c r="U46" s="187">
        <f t="shared" si="22"/>
        <v>3000</v>
      </c>
      <c r="V46" s="187">
        <f t="shared" si="22"/>
        <v>2750</v>
      </c>
      <c r="W46" s="187">
        <f t="shared" si="22"/>
        <v>2500</v>
      </c>
      <c r="X46" s="187">
        <f t="shared" si="22"/>
        <v>2250</v>
      </c>
      <c r="Y46" s="187">
        <f t="shared" si="22"/>
        <v>2000</v>
      </c>
      <c r="Z46" s="187">
        <f t="shared" si="22"/>
        <v>1750</v>
      </c>
      <c r="AA46" s="187">
        <f t="shared" si="22"/>
        <v>1500</v>
      </c>
      <c r="AB46" s="187">
        <f t="shared" si="22"/>
        <v>1250</v>
      </c>
      <c r="AC46" s="187">
        <f t="shared" si="22"/>
        <v>1000</v>
      </c>
      <c r="AD46" s="187">
        <f t="shared" si="22"/>
        <v>750</v>
      </c>
      <c r="AE46" s="187">
        <f t="shared" si="22"/>
        <v>500</v>
      </c>
      <c r="AF46" s="187">
        <f t="shared" si="22"/>
        <v>250</v>
      </c>
      <c r="AG46" s="187">
        <f t="shared" si="22"/>
        <v>0</v>
      </c>
    </row>
    <row r="48" spans="1:33" x14ac:dyDescent="0.25">
      <c r="C48" s="189"/>
      <c r="D48" s="190"/>
      <c r="E48" s="186"/>
      <c r="F48" s="186"/>
      <c r="G48" s="186"/>
      <c r="H48" s="186"/>
      <c r="I48" s="186"/>
      <c r="J48" s="186"/>
      <c r="K48" s="188"/>
      <c r="L48" s="188"/>
      <c r="M48" s="188"/>
      <c r="N48" s="188"/>
      <c r="O48" s="188"/>
      <c r="P48" s="188"/>
      <c r="Q48" s="188"/>
      <c r="R48" s="188"/>
      <c r="S48" s="188"/>
      <c r="T48" s="188"/>
      <c r="U48" s="188"/>
      <c r="V48" s="188"/>
      <c r="W48" s="188"/>
      <c r="X48" s="188"/>
      <c r="Y48" s="188"/>
      <c r="Z48" s="188"/>
      <c r="AA48" s="188"/>
      <c r="AB48" s="188"/>
      <c r="AC48" s="188"/>
      <c r="AD48" s="188"/>
      <c r="AE48" s="188"/>
      <c r="AF48" s="188"/>
    </row>
    <row r="49" spans="3:32" x14ac:dyDescent="0.25">
      <c r="C49" s="191"/>
      <c r="D49" s="192"/>
      <c r="E49" s="186"/>
      <c r="F49" s="186"/>
      <c r="G49" s="186"/>
      <c r="H49" s="186"/>
      <c r="I49" s="186"/>
      <c r="J49" s="186"/>
      <c r="K49" s="188"/>
      <c r="L49" s="188"/>
      <c r="M49" s="188"/>
      <c r="N49" s="188"/>
      <c r="O49" s="188"/>
      <c r="P49" s="188"/>
      <c r="Q49" s="188"/>
      <c r="R49" s="188"/>
      <c r="S49" s="188"/>
      <c r="T49" s="188"/>
      <c r="U49" s="188"/>
      <c r="V49" s="188"/>
      <c r="W49" s="188"/>
      <c r="X49" s="188"/>
      <c r="Y49" s="188"/>
      <c r="Z49" s="188"/>
      <c r="AA49" s="188"/>
      <c r="AB49" s="188"/>
      <c r="AC49" s="188"/>
      <c r="AD49" s="188"/>
      <c r="AE49" s="188"/>
      <c r="AF49" s="188"/>
    </row>
    <row r="50" spans="3:32" x14ac:dyDescent="0.25">
      <c r="C50" s="193"/>
      <c r="D50" s="186"/>
      <c r="E50" s="186"/>
      <c r="F50" s="186"/>
      <c r="G50" s="186"/>
      <c r="H50" s="186"/>
      <c r="I50" s="186"/>
      <c r="J50" s="186"/>
      <c r="K50" s="188"/>
      <c r="L50" s="188"/>
      <c r="M50" s="188"/>
      <c r="N50" s="188"/>
      <c r="O50" s="188"/>
      <c r="P50" s="188"/>
      <c r="Q50" s="188"/>
      <c r="R50" s="188"/>
      <c r="S50" s="188"/>
      <c r="T50" s="188"/>
      <c r="U50" s="188"/>
      <c r="V50" s="188"/>
      <c r="W50" s="188"/>
      <c r="X50" s="188"/>
      <c r="Y50" s="188"/>
      <c r="Z50" s="188"/>
      <c r="AA50" s="188"/>
      <c r="AB50" s="188"/>
      <c r="AC50" s="188"/>
      <c r="AD50" s="188"/>
      <c r="AE50" s="188"/>
      <c r="AF50" s="188"/>
    </row>
  </sheetData>
  <mergeCells count="10">
    <mergeCell ref="D27:M27"/>
    <mergeCell ref="X27:AG27"/>
    <mergeCell ref="D28:M28"/>
    <mergeCell ref="X28:AG28"/>
    <mergeCell ref="B2:K2"/>
    <mergeCell ref="B8:K8"/>
    <mergeCell ref="B22:K22"/>
    <mergeCell ref="B24:K24"/>
    <mergeCell ref="D26:M26"/>
    <mergeCell ref="X26:AG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H25"/>
  <sheetViews>
    <sheetView showGridLines="0" zoomScale="80" zoomScaleNormal="80" workbookViewId="0">
      <selection activeCell="E14" sqref="E14"/>
    </sheetView>
  </sheetViews>
  <sheetFormatPr defaultColWidth="8.85546875" defaultRowHeight="15" x14ac:dyDescent="0.25"/>
  <cols>
    <col min="1" max="1" width="4.140625" customWidth="1"/>
    <col min="2" max="2" width="32" bestFit="1" customWidth="1"/>
    <col min="7" max="7" width="9.140625" bestFit="1" customWidth="1"/>
  </cols>
  <sheetData>
    <row r="1" spans="1:34" ht="15.75" thickBot="1" x14ac:dyDescent="0.3">
      <c r="A1" s="5"/>
      <c r="B1" s="5"/>
      <c r="C1" s="5"/>
      <c r="D1" s="5"/>
      <c r="E1" s="5"/>
      <c r="F1" s="5"/>
      <c r="G1" s="5"/>
      <c r="H1" s="5"/>
      <c r="I1" s="5"/>
      <c r="J1" s="5"/>
      <c r="K1" s="5"/>
      <c r="L1" s="5"/>
      <c r="M1" s="5"/>
      <c r="N1" s="5"/>
      <c r="O1" s="10"/>
      <c r="P1" s="10"/>
      <c r="Q1" s="10"/>
      <c r="R1" s="10"/>
      <c r="S1" s="10"/>
      <c r="T1" s="10"/>
      <c r="U1" s="10"/>
      <c r="V1" s="10"/>
      <c r="W1" s="10"/>
      <c r="X1" s="10"/>
      <c r="Y1" s="10"/>
      <c r="Z1" s="10"/>
      <c r="AA1" s="10"/>
      <c r="AB1" s="10"/>
      <c r="AC1" s="10"/>
      <c r="AD1" s="10"/>
      <c r="AE1" s="10"/>
      <c r="AF1" s="10"/>
      <c r="AG1" s="5"/>
      <c r="AH1" s="5"/>
    </row>
    <row r="2" spans="1:34" x14ac:dyDescent="0.25">
      <c r="A2" s="146"/>
      <c r="B2" s="212" t="s">
        <v>0</v>
      </c>
      <c r="C2" s="213"/>
      <c r="D2" s="42"/>
      <c r="E2" s="307" t="s">
        <v>109</v>
      </c>
      <c r="F2" s="307"/>
      <c r="G2" s="307"/>
      <c r="H2" s="307"/>
      <c r="I2" s="307"/>
      <c r="J2" s="307"/>
      <c r="K2" s="307"/>
      <c r="L2" s="307"/>
      <c r="M2" s="307"/>
      <c r="N2" s="307"/>
      <c r="O2" s="307"/>
      <c r="P2" s="307"/>
      <c r="Q2" s="307"/>
      <c r="R2" s="5"/>
      <c r="S2" s="93"/>
      <c r="T2" s="42"/>
      <c r="U2" s="42"/>
      <c r="V2" s="42"/>
      <c r="W2" s="42"/>
      <c r="X2" s="42"/>
      <c r="Y2" s="42"/>
      <c r="Z2" s="42"/>
      <c r="AA2" s="42"/>
      <c r="AB2" s="42"/>
      <c r="AC2" s="42"/>
      <c r="AD2" s="42"/>
      <c r="AE2" s="42"/>
      <c r="AF2" s="42"/>
      <c r="AG2" s="42"/>
      <c r="AH2" s="42"/>
    </row>
    <row r="3" spans="1:34" x14ac:dyDescent="0.25">
      <c r="A3" s="5"/>
      <c r="B3" s="214" t="s">
        <v>1</v>
      </c>
      <c r="C3" s="215">
        <f>'Exhibit 3-2'!C3</f>
        <v>44287</v>
      </c>
      <c r="D3" s="42"/>
      <c r="E3" s="307" t="s">
        <v>150</v>
      </c>
      <c r="F3" s="307"/>
      <c r="G3" s="307"/>
      <c r="H3" s="307"/>
      <c r="I3" s="307"/>
      <c r="J3" s="307"/>
      <c r="K3" s="307"/>
      <c r="L3" s="307"/>
      <c r="M3" s="307"/>
      <c r="N3" s="307"/>
      <c r="O3" s="307"/>
      <c r="P3" s="307"/>
      <c r="Q3" s="307"/>
      <c r="R3" s="5"/>
      <c r="S3" s="42"/>
      <c r="T3" s="42"/>
      <c r="U3" s="42"/>
      <c r="V3" s="42"/>
      <c r="W3" s="42"/>
      <c r="X3" s="42"/>
      <c r="Y3" s="42"/>
      <c r="Z3" s="42"/>
      <c r="AA3" s="42"/>
      <c r="AB3" s="42"/>
      <c r="AC3" s="42"/>
      <c r="AD3" s="42"/>
      <c r="AE3" s="42"/>
      <c r="AF3" s="42"/>
      <c r="AG3" s="42"/>
      <c r="AH3" s="42"/>
    </row>
    <row r="4" spans="1:34" x14ac:dyDescent="0.25">
      <c r="A4" s="5"/>
      <c r="B4" s="216" t="s">
        <v>2</v>
      </c>
      <c r="C4" s="217">
        <f>'Table 6-3'!C4</f>
        <v>7500</v>
      </c>
      <c r="D4" s="43"/>
      <c r="E4" s="308" t="s">
        <v>5</v>
      </c>
      <c r="F4" s="308"/>
      <c r="G4" s="308"/>
      <c r="H4" s="308"/>
      <c r="I4" s="308"/>
      <c r="J4" s="308"/>
      <c r="K4" s="308"/>
      <c r="L4" s="308"/>
      <c r="M4" s="308"/>
      <c r="N4" s="308"/>
      <c r="O4" s="308"/>
      <c r="P4" s="308"/>
      <c r="Q4" s="308"/>
      <c r="R4" s="5"/>
      <c r="S4" s="42"/>
      <c r="T4" s="42"/>
      <c r="U4" s="42"/>
      <c r="V4" s="42"/>
      <c r="W4" s="42"/>
      <c r="X4" s="42"/>
      <c r="Y4" s="42"/>
      <c r="Z4" s="42"/>
      <c r="AA4" s="42"/>
      <c r="AB4" s="42"/>
      <c r="AC4" s="42"/>
      <c r="AD4" s="42"/>
      <c r="AE4" s="42"/>
      <c r="AF4" s="42"/>
      <c r="AG4" s="42"/>
      <c r="AH4" s="42"/>
    </row>
    <row r="5" spans="1:34" x14ac:dyDescent="0.25">
      <c r="A5" s="5"/>
      <c r="B5" s="214" t="s">
        <v>3</v>
      </c>
      <c r="C5" s="218">
        <f>Pricing!G4</f>
        <v>2.901514429710168E-2</v>
      </c>
      <c r="D5" s="5"/>
      <c r="E5" s="5"/>
      <c r="F5" s="5"/>
      <c r="G5" s="5"/>
      <c r="H5" s="5"/>
      <c r="I5" s="5"/>
      <c r="J5" s="5"/>
      <c r="K5" s="5"/>
      <c r="L5" s="5"/>
      <c r="M5" s="5"/>
      <c r="N5" s="5"/>
      <c r="O5" s="5"/>
      <c r="P5" s="5"/>
      <c r="Q5" s="5"/>
      <c r="R5" s="5"/>
      <c r="S5" s="42"/>
      <c r="T5" s="42"/>
      <c r="U5" s="42"/>
      <c r="V5" s="42"/>
      <c r="W5" s="42"/>
      <c r="X5" s="42"/>
      <c r="Y5" s="42"/>
      <c r="Z5" s="42"/>
      <c r="AA5" s="42"/>
      <c r="AB5" s="42"/>
      <c r="AC5" s="42"/>
      <c r="AD5" s="42"/>
      <c r="AE5" s="42"/>
      <c r="AF5" s="42"/>
      <c r="AG5" s="42"/>
      <c r="AH5" s="42"/>
    </row>
    <row r="6" spans="1:34" x14ac:dyDescent="0.25">
      <c r="A6" s="5"/>
      <c r="B6" s="219" t="s">
        <v>4</v>
      </c>
      <c r="C6" s="220">
        <f>30</f>
        <v>30</v>
      </c>
      <c r="D6" s="5"/>
      <c r="E6" s="5"/>
      <c r="F6" s="5"/>
      <c r="G6" s="5"/>
      <c r="H6" s="5"/>
      <c r="I6" s="5"/>
      <c r="J6" s="5"/>
      <c r="K6" s="5"/>
      <c r="L6" s="5"/>
      <c r="M6" s="5"/>
      <c r="N6" s="5"/>
      <c r="O6" s="5"/>
      <c r="P6" s="5"/>
      <c r="Q6" s="5"/>
      <c r="R6" s="5"/>
      <c r="S6" s="42"/>
      <c r="T6" s="42"/>
      <c r="U6" s="42"/>
      <c r="V6" s="42"/>
      <c r="W6" s="42"/>
      <c r="X6" s="42"/>
      <c r="Y6" s="42"/>
      <c r="Z6" s="42"/>
      <c r="AA6" s="42"/>
      <c r="AB6" s="42"/>
      <c r="AC6" s="42"/>
      <c r="AD6" s="42"/>
      <c r="AE6" s="42"/>
      <c r="AF6" s="42"/>
      <c r="AG6" s="42"/>
      <c r="AH6" s="42"/>
    </row>
    <row r="7" spans="1:34" x14ac:dyDescent="0.25">
      <c r="A7" s="5"/>
      <c r="B7" s="219" t="s">
        <v>9</v>
      </c>
      <c r="C7" s="221">
        <f>'Table 6-3'!C8</f>
        <v>5.1000000000000004E-4</v>
      </c>
      <c r="D7" s="43"/>
      <c r="E7" s="5"/>
      <c r="F7" s="5"/>
      <c r="G7" s="5"/>
      <c r="H7" s="5"/>
      <c r="I7" s="5"/>
      <c r="J7" s="5"/>
      <c r="K7" s="5"/>
      <c r="L7" s="5"/>
      <c r="M7" s="5"/>
      <c r="N7" s="5"/>
      <c r="O7" s="5"/>
      <c r="P7" s="5"/>
      <c r="Q7" s="5"/>
      <c r="R7" s="5"/>
      <c r="S7" s="42"/>
      <c r="T7" s="42"/>
      <c r="U7" s="42"/>
      <c r="V7" s="42"/>
      <c r="W7" s="42"/>
      <c r="X7" s="42"/>
      <c r="Y7" s="42"/>
      <c r="Z7" s="42"/>
      <c r="AA7" s="42"/>
      <c r="AB7" s="42"/>
      <c r="AC7" s="42"/>
      <c r="AD7" s="42"/>
      <c r="AE7" s="42"/>
      <c r="AF7" s="42"/>
      <c r="AG7" s="42"/>
      <c r="AH7" s="42"/>
    </row>
    <row r="8" spans="1:34" x14ac:dyDescent="0.25">
      <c r="A8" s="5"/>
      <c r="B8" s="219" t="s">
        <v>28</v>
      </c>
      <c r="C8" s="221">
        <f>'Table 6-3'!C9</f>
        <v>3.0000000000000001E-5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25">
      <c r="A9" s="5"/>
      <c r="B9" s="219" t="s">
        <v>29</v>
      </c>
      <c r="C9" s="221">
        <f>'Table 6-3'!C10</f>
        <v>3.3E-3</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x14ac:dyDescent="0.25">
      <c r="A10" s="5"/>
      <c r="B10" s="219" t="s">
        <v>47</v>
      </c>
      <c r="C10" s="218">
        <f>'Table 6-3'!C11</f>
        <v>0.21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15.75" thickBot="1" x14ac:dyDescent="0.3">
      <c r="A11" s="5"/>
      <c r="B11" s="222" t="s">
        <v>48</v>
      </c>
      <c r="C11" s="223">
        <f>'Table 6-3'!C12</f>
        <v>8.8400000000000006E-2</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25">
      <c r="A12" s="5"/>
      <c r="D12" s="43"/>
      <c r="E12" s="43"/>
      <c r="F12" s="45"/>
      <c r="G12" s="44"/>
      <c r="H12" s="44"/>
      <c r="I12" s="44"/>
      <c r="J12" s="44"/>
      <c r="K12" s="44"/>
      <c r="L12" s="42"/>
      <c r="M12" s="42"/>
      <c r="N12" s="42"/>
      <c r="O12" s="42"/>
      <c r="P12" s="42"/>
      <c r="Q12" s="42"/>
      <c r="R12" s="42"/>
      <c r="S12" s="42"/>
      <c r="T12" s="42"/>
      <c r="U12" s="42"/>
      <c r="V12" s="42"/>
      <c r="W12" s="42"/>
      <c r="X12" s="42"/>
      <c r="Y12" s="42"/>
      <c r="Z12" s="42"/>
      <c r="AA12" s="42"/>
      <c r="AB12" s="42"/>
      <c r="AC12" s="42"/>
      <c r="AD12" s="42"/>
      <c r="AE12" s="42"/>
      <c r="AF12" s="42"/>
      <c r="AG12" s="42"/>
      <c r="AH12" s="42"/>
    </row>
    <row r="13" spans="1:34" x14ac:dyDescent="0.25">
      <c r="A13" s="5">
        <v>1</v>
      </c>
      <c r="B13" s="7" t="s">
        <v>84</v>
      </c>
      <c r="C13" s="50"/>
      <c r="D13" s="51">
        <v>2020</v>
      </c>
      <c r="E13" s="51">
        <v>2021</v>
      </c>
      <c r="F13" s="51">
        <v>2022</v>
      </c>
      <c r="G13" s="51">
        <v>2023</v>
      </c>
      <c r="H13" s="51">
        <v>2024</v>
      </c>
      <c r="I13" s="51">
        <v>2025</v>
      </c>
      <c r="J13" s="51">
        <v>2026</v>
      </c>
      <c r="K13" s="51">
        <v>2027</v>
      </c>
      <c r="L13" s="51">
        <v>2028</v>
      </c>
      <c r="M13" s="51">
        <v>2029</v>
      </c>
      <c r="N13" s="51">
        <v>2030</v>
      </c>
      <c r="O13" s="51">
        <v>2031</v>
      </c>
      <c r="P13" s="51">
        <v>2032</v>
      </c>
      <c r="Q13" s="51">
        <v>2033</v>
      </c>
      <c r="R13" s="51">
        <v>2034</v>
      </c>
      <c r="S13" s="51">
        <v>2035</v>
      </c>
      <c r="T13" s="51">
        <v>2036</v>
      </c>
      <c r="U13" s="51">
        <v>2037</v>
      </c>
      <c r="V13" s="51">
        <v>2038</v>
      </c>
      <c r="W13" s="51">
        <v>2039</v>
      </c>
      <c r="X13" s="51">
        <v>2040</v>
      </c>
      <c r="Y13" s="51">
        <v>2041</v>
      </c>
      <c r="Z13" s="51">
        <v>2042</v>
      </c>
      <c r="AA13" s="51">
        <v>2043</v>
      </c>
      <c r="AB13" s="51">
        <v>2044</v>
      </c>
      <c r="AC13" s="51">
        <v>2045</v>
      </c>
      <c r="AD13" s="51">
        <v>2046</v>
      </c>
      <c r="AE13" s="51">
        <v>2047</v>
      </c>
      <c r="AF13" s="51">
        <v>2048</v>
      </c>
      <c r="AG13" s="51">
        <v>2049</v>
      </c>
      <c r="AH13" s="51">
        <v>2050</v>
      </c>
    </row>
    <row r="14" spans="1:34" x14ac:dyDescent="0.25">
      <c r="A14" s="5">
        <v>2</v>
      </c>
      <c r="B14" s="5" t="str">
        <f>'Exhibit 3-2'!B15</f>
        <v>Annual Debt Service</v>
      </c>
      <c r="C14" s="5"/>
      <c r="D14" s="13">
        <f>'Exhibit 3-2'!D15</f>
        <v>0</v>
      </c>
      <c r="E14" s="13">
        <f>'Exhibit 3-2'!E15</f>
        <v>186.42713313463253</v>
      </c>
      <c r="F14" s="13">
        <f>'Exhibit 3-2'!F15</f>
        <v>299.61503539494515</v>
      </c>
      <c r="G14" s="13">
        <f>'Exhibit 3-2'!G15</f>
        <v>299.61503539494515</v>
      </c>
      <c r="H14" s="13">
        <f>'Exhibit 3-2'!H15</f>
        <v>389.11043557785081</v>
      </c>
      <c r="I14" s="13">
        <f>'Exhibit 3-2'!I15</f>
        <v>389.11043557785081</v>
      </c>
      <c r="J14" s="13">
        <f>'Exhibit 3-2'!J15</f>
        <v>389.11043557785081</v>
      </c>
      <c r="K14" s="13">
        <f>'Exhibit 3-2'!K15</f>
        <v>389.11043557785081</v>
      </c>
      <c r="L14" s="13">
        <f>'Exhibit 3-2'!L15</f>
        <v>389.11043557785081</v>
      </c>
      <c r="M14" s="13">
        <f>'Exhibit 3-2'!M15</f>
        <v>389.11043557785081</v>
      </c>
      <c r="N14" s="13">
        <f>'Exhibit 3-2'!N15</f>
        <v>389.11043557785081</v>
      </c>
      <c r="O14" s="13">
        <f>'Exhibit 3-2'!O15</f>
        <v>389.11043557785081</v>
      </c>
      <c r="P14" s="13">
        <f>'Exhibit 3-2'!P15</f>
        <v>389.11043557785081</v>
      </c>
      <c r="Q14" s="13">
        <f>'Exhibit 3-2'!Q15</f>
        <v>389.11043557785081</v>
      </c>
      <c r="R14" s="13">
        <f>'Exhibit 3-2'!R15</f>
        <v>389.11043557785081</v>
      </c>
      <c r="S14" s="13">
        <f>'Exhibit 3-2'!S15</f>
        <v>389.11043557785081</v>
      </c>
      <c r="T14" s="13">
        <f>'Exhibit 3-2'!T15</f>
        <v>389.11043557785081</v>
      </c>
      <c r="U14" s="13">
        <f>'Exhibit 3-2'!U15</f>
        <v>389.11043557785081</v>
      </c>
      <c r="V14" s="13">
        <f>'Exhibit 3-2'!V15</f>
        <v>389.11043557785081</v>
      </c>
      <c r="W14" s="13">
        <f>'Exhibit 3-2'!W15</f>
        <v>389.11043557785081</v>
      </c>
      <c r="X14" s="13">
        <f>'Exhibit 3-2'!X15</f>
        <v>389.11043557785081</v>
      </c>
      <c r="Y14" s="13">
        <f>'Exhibit 3-2'!Y15</f>
        <v>389.11043557785081</v>
      </c>
      <c r="Z14" s="13">
        <f>'Exhibit 3-2'!Z15</f>
        <v>389.11043557785081</v>
      </c>
      <c r="AA14" s="13">
        <f>'Exhibit 3-2'!AA15</f>
        <v>389.11043557785081</v>
      </c>
      <c r="AB14" s="13">
        <f>'Exhibit 3-2'!AB15</f>
        <v>389.11043557785081</v>
      </c>
      <c r="AC14" s="13">
        <f>'Exhibit 3-2'!AC15</f>
        <v>389.11043557785081</v>
      </c>
      <c r="AD14" s="13">
        <f>'Exhibit 3-2'!AD15</f>
        <v>389.11043557785081</v>
      </c>
      <c r="AE14" s="13">
        <f>'Exhibit 3-2'!AE15</f>
        <v>389.11043557785081</v>
      </c>
      <c r="AF14" s="13">
        <f>'Exhibit 3-2'!AF15</f>
        <v>389.11043557785081</v>
      </c>
      <c r="AG14" s="13">
        <f>'Exhibit 3-2'!AG15</f>
        <v>389.11043557785081</v>
      </c>
      <c r="AH14" s="13">
        <f>'Exhibit 3-2'!AH15</f>
        <v>389.11043557785081</v>
      </c>
    </row>
    <row r="15" spans="1:34" x14ac:dyDescent="0.25">
      <c r="A15" s="5">
        <v>3</v>
      </c>
      <c r="B15" s="6" t="str">
        <f>'Exhibit 3-2'!B16</f>
        <v>Servicing &amp; Administrative Fees (PG&amp;E)</v>
      </c>
      <c r="C15" s="5"/>
      <c r="D15" s="13">
        <f>'Exhibit 3-2'!D16</f>
        <v>0</v>
      </c>
      <c r="E15" s="13">
        <f>'Exhibit 3-2'!E16</f>
        <v>2.8687500000000004</v>
      </c>
      <c r="F15" s="13">
        <f>'Exhibit 3-2'!F16</f>
        <v>3.8250000000000002</v>
      </c>
      <c r="G15" s="13">
        <f>'Exhibit 3-2'!G16</f>
        <v>3.8250000000000002</v>
      </c>
      <c r="H15" s="13">
        <f>'Exhibit 3-2'!H16</f>
        <v>3.8250000000000002</v>
      </c>
      <c r="I15" s="13">
        <f>'Exhibit 3-2'!I16</f>
        <v>3.8250000000000002</v>
      </c>
      <c r="J15" s="13">
        <f>'Exhibit 3-2'!J16</f>
        <v>3.8250000000000002</v>
      </c>
      <c r="K15" s="13">
        <f>'Exhibit 3-2'!K16</f>
        <v>3.8250000000000002</v>
      </c>
      <c r="L15" s="13">
        <f>'Exhibit 3-2'!L16</f>
        <v>3.8250000000000002</v>
      </c>
      <c r="M15" s="13">
        <f>'Exhibit 3-2'!M16</f>
        <v>3.8250000000000002</v>
      </c>
      <c r="N15" s="13">
        <f>'Exhibit 3-2'!N16</f>
        <v>3.8250000000000002</v>
      </c>
      <c r="O15" s="13">
        <f>'Exhibit 3-2'!O16</f>
        <v>3.8250000000000002</v>
      </c>
      <c r="P15" s="13">
        <f>'Exhibit 3-2'!P16</f>
        <v>3.8250000000000002</v>
      </c>
      <c r="Q15" s="13">
        <f>'Exhibit 3-2'!Q16</f>
        <v>3.8250000000000002</v>
      </c>
      <c r="R15" s="13">
        <f>'Exhibit 3-2'!R16</f>
        <v>3.8250000000000002</v>
      </c>
      <c r="S15" s="13">
        <f>'Exhibit 3-2'!S16</f>
        <v>3.8250000000000002</v>
      </c>
      <c r="T15" s="13">
        <f>'Exhibit 3-2'!T16</f>
        <v>3.8250000000000002</v>
      </c>
      <c r="U15" s="13">
        <f>'Exhibit 3-2'!U16</f>
        <v>3.8250000000000002</v>
      </c>
      <c r="V15" s="13">
        <f>'Exhibit 3-2'!V16</f>
        <v>3.8250000000000002</v>
      </c>
      <c r="W15" s="13">
        <f>'Exhibit 3-2'!W16</f>
        <v>3.8250000000000002</v>
      </c>
      <c r="X15" s="13">
        <f>'Exhibit 3-2'!X16</f>
        <v>3.8250000000000002</v>
      </c>
      <c r="Y15" s="13">
        <f>'Exhibit 3-2'!Y16</f>
        <v>3.8250000000000002</v>
      </c>
      <c r="Z15" s="13">
        <f>'Exhibit 3-2'!Z16</f>
        <v>3.8250000000000002</v>
      </c>
      <c r="AA15" s="13">
        <f>'Exhibit 3-2'!AA16</f>
        <v>3.8250000000000002</v>
      </c>
      <c r="AB15" s="13">
        <f>'Exhibit 3-2'!AB16</f>
        <v>3.8250000000000002</v>
      </c>
      <c r="AC15" s="13">
        <f>'Exhibit 3-2'!AC16</f>
        <v>3.8250000000000002</v>
      </c>
      <c r="AD15" s="13">
        <f>'Exhibit 3-2'!AD16</f>
        <v>3.8250000000000002</v>
      </c>
      <c r="AE15" s="13">
        <f>'Exhibit 3-2'!AE16</f>
        <v>3.8250000000000002</v>
      </c>
      <c r="AF15" s="13">
        <f>'Exhibit 3-2'!AF16</f>
        <v>3.8250000000000002</v>
      </c>
      <c r="AG15" s="13">
        <f>'Exhibit 3-2'!AG16</f>
        <v>3.8250000000000002</v>
      </c>
      <c r="AH15" s="13">
        <f>'Exhibit 3-2'!AH16</f>
        <v>3.8250000000000002</v>
      </c>
    </row>
    <row r="16" spans="1:34" x14ac:dyDescent="0.25">
      <c r="A16" s="5">
        <v>4</v>
      </c>
      <c r="B16" s="6" t="str">
        <f>'Exhibit 3-2'!B17</f>
        <v>Rating Agency Fees</v>
      </c>
      <c r="C16" s="5"/>
      <c r="D16" s="13">
        <f>'Exhibit 3-2'!D17</f>
        <v>0</v>
      </c>
      <c r="E16" s="13">
        <f>'Exhibit 3-2'!E17</f>
        <v>0.16874999999999998</v>
      </c>
      <c r="F16" s="13">
        <f>'Exhibit 3-2'!F17</f>
        <v>0.22500000000000001</v>
      </c>
      <c r="G16" s="13">
        <f>'Exhibit 3-2'!G17</f>
        <v>0.22500000000000001</v>
      </c>
      <c r="H16" s="13">
        <f>'Exhibit 3-2'!H17</f>
        <v>0.22500000000000001</v>
      </c>
      <c r="I16" s="13">
        <f>'Exhibit 3-2'!I17</f>
        <v>0.22500000000000001</v>
      </c>
      <c r="J16" s="13">
        <f>'Exhibit 3-2'!J17</f>
        <v>0.22500000000000001</v>
      </c>
      <c r="K16" s="13">
        <f>'Exhibit 3-2'!K17</f>
        <v>0.22500000000000001</v>
      </c>
      <c r="L16" s="13">
        <f>'Exhibit 3-2'!L17</f>
        <v>0.22500000000000001</v>
      </c>
      <c r="M16" s="13">
        <f>'Exhibit 3-2'!M17</f>
        <v>0.22500000000000001</v>
      </c>
      <c r="N16" s="13">
        <f>'Exhibit 3-2'!N17</f>
        <v>0.22500000000000001</v>
      </c>
      <c r="O16" s="13">
        <f>'Exhibit 3-2'!O17</f>
        <v>0.22500000000000001</v>
      </c>
      <c r="P16" s="13">
        <f>'Exhibit 3-2'!P17</f>
        <v>0.22500000000000001</v>
      </c>
      <c r="Q16" s="13">
        <f>'Exhibit 3-2'!Q17</f>
        <v>0.22500000000000001</v>
      </c>
      <c r="R16" s="13">
        <f>'Exhibit 3-2'!R17</f>
        <v>0.22500000000000001</v>
      </c>
      <c r="S16" s="13">
        <f>'Exhibit 3-2'!S17</f>
        <v>0.22500000000000001</v>
      </c>
      <c r="T16" s="13">
        <f>'Exhibit 3-2'!T17</f>
        <v>0.22500000000000001</v>
      </c>
      <c r="U16" s="13">
        <f>'Exhibit 3-2'!U17</f>
        <v>0.22500000000000001</v>
      </c>
      <c r="V16" s="13">
        <f>'Exhibit 3-2'!V17</f>
        <v>0.22500000000000001</v>
      </c>
      <c r="W16" s="13">
        <f>'Exhibit 3-2'!W17</f>
        <v>0.22500000000000001</v>
      </c>
      <c r="X16" s="13">
        <f>'Exhibit 3-2'!X17</f>
        <v>0.22500000000000001</v>
      </c>
      <c r="Y16" s="13">
        <f>'Exhibit 3-2'!Y17</f>
        <v>0.22500000000000001</v>
      </c>
      <c r="Z16" s="13">
        <f>'Exhibit 3-2'!Z17</f>
        <v>0.22500000000000001</v>
      </c>
      <c r="AA16" s="13">
        <f>'Exhibit 3-2'!AA17</f>
        <v>0.22500000000000001</v>
      </c>
      <c r="AB16" s="13">
        <f>'Exhibit 3-2'!AB17</f>
        <v>0.22500000000000001</v>
      </c>
      <c r="AC16" s="13">
        <f>'Exhibit 3-2'!AC17</f>
        <v>0.22500000000000001</v>
      </c>
      <c r="AD16" s="13">
        <f>'Exhibit 3-2'!AD17</f>
        <v>0.22500000000000001</v>
      </c>
      <c r="AE16" s="13">
        <f>'Exhibit 3-2'!AE17</f>
        <v>0.22500000000000001</v>
      </c>
      <c r="AF16" s="13">
        <f>'Exhibit 3-2'!AF17</f>
        <v>0.22500000000000001</v>
      </c>
      <c r="AG16" s="13">
        <f>'Exhibit 3-2'!AG17</f>
        <v>0.22500000000000001</v>
      </c>
      <c r="AH16" s="13">
        <f>'Exhibit 3-2'!AH17</f>
        <v>0.22500000000000001</v>
      </c>
    </row>
    <row r="17" spans="1:34" ht="17.25" x14ac:dyDescent="0.25">
      <c r="A17" s="5">
        <v>5</v>
      </c>
      <c r="B17" s="90" t="s">
        <v>41</v>
      </c>
      <c r="C17" s="17"/>
      <c r="D17" s="13">
        <f>'Exhibit 3-2'!D18</f>
        <v>0</v>
      </c>
      <c r="E17" s="13">
        <f>'Exhibit 3-2'!E18</f>
        <v>0.20625000000000002</v>
      </c>
      <c r="F17" s="13">
        <f>'Exhibit 3-2'!F18</f>
        <v>0.27500000000000002</v>
      </c>
      <c r="G17" s="13">
        <f>'Exhibit 3-2'!G18</f>
        <v>0.27500000000000002</v>
      </c>
      <c r="H17" s="13">
        <f>'Exhibit 3-2'!H18</f>
        <v>0.27500000000000002</v>
      </c>
      <c r="I17" s="13">
        <f>'Exhibit 3-2'!I18</f>
        <v>0.27500000000000002</v>
      </c>
      <c r="J17" s="13">
        <f>'Exhibit 3-2'!J18</f>
        <v>0.27500000000000002</v>
      </c>
      <c r="K17" s="13">
        <f>'Exhibit 3-2'!K18</f>
        <v>0.27500000000000002</v>
      </c>
      <c r="L17" s="13">
        <f>'Exhibit 3-2'!L18</f>
        <v>0.27500000000000002</v>
      </c>
      <c r="M17" s="13">
        <f>'Exhibit 3-2'!M18</f>
        <v>0.27500000000000002</v>
      </c>
      <c r="N17" s="13">
        <f>'Exhibit 3-2'!N18</f>
        <v>0.27500000000000002</v>
      </c>
      <c r="O17" s="13">
        <f>'Exhibit 3-2'!O18</f>
        <v>0.27500000000000002</v>
      </c>
      <c r="P17" s="13">
        <f>'Exhibit 3-2'!P18</f>
        <v>0.27500000000000002</v>
      </c>
      <c r="Q17" s="13">
        <f>'Exhibit 3-2'!Q18</f>
        <v>0.27500000000000002</v>
      </c>
      <c r="R17" s="13">
        <f>'Exhibit 3-2'!R18</f>
        <v>0.27500000000000002</v>
      </c>
      <c r="S17" s="13">
        <f>'Exhibit 3-2'!S18</f>
        <v>0.27500000000000002</v>
      </c>
      <c r="T17" s="13">
        <f>'Exhibit 3-2'!T18</f>
        <v>0.27500000000000002</v>
      </c>
      <c r="U17" s="13">
        <f>'Exhibit 3-2'!U18</f>
        <v>0.27500000000000002</v>
      </c>
      <c r="V17" s="13">
        <f>'Exhibit 3-2'!V18</f>
        <v>0.27500000000000002</v>
      </c>
      <c r="W17" s="13">
        <f>'Exhibit 3-2'!W18</f>
        <v>0.27500000000000002</v>
      </c>
      <c r="X17" s="13">
        <f>'Exhibit 3-2'!X18</f>
        <v>0.27500000000000002</v>
      </c>
      <c r="Y17" s="13">
        <f>'Exhibit 3-2'!Y18</f>
        <v>0.27500000000000002</v>
      </c>
      <c r="Z17" s="13">
        <f>'Exhibit 3-2'!Z18</f>
        <v>0.27500000000000002</v>
      </c>
      <c r="AA17" s="13">
        <f>'Exhibit 3-2'!AA18</f>
        <v>0.27500000000000002</v>
      </c>
      <c r="AB17" s="13">
        <f>'Exhibit 3-2'!AB18</f>
        <v>0.27500000000000002</v>
      </c>
      <c r="AC17" s="13">
        <f>'Exhibit 3-2'!AC18</f>
        <v>0.27500000000000002</v>
      </c>
      <c r="AD17" s="13">
        <f>'Exhibit 3-2'!AD18</f>
        <v>0.27500000000000002</v>
      </c>
      <c r="AE17" s="13">
        <f>'Exhibit 3-2'!AE18</f>
        <v>0.27500000000000002</v>
      </c>
      <c r="AF17" s="13">
        <f>'Exhibit 3-2'!AF18</f>
        <v>0.27500000000000002</v>
      </c>
      <c r="AG17" s="13">
        <f>'Exhibit 3-2'!AG18</f>
        <v>0.27500000000000002</v>
      </c>
      <c r="AH17" s="13">
        <f>'Exhibit 3-2'!AH18</f>
        <v>0.27500000000000002</v>
      </c>
    </row>
    <row r="18" spans="1:34" x14ac:dyDescent="0.25">
      <c r="A18" s="5">
        <v>6</v>
      </c>
      <c r="B18" s="91" t="s">
        <v>31</v>
      </c>
      <c r="C18" s="11"/>
      <c r="D18" s="14">
        <f>'Exhibit 3-2'!D19</f>
        <v>0</v>
      </c>
      <c r="E18" s="14">
        <f>'Exhibit 3-2'!E19</f>
        <v>189.67088313463253</v>
      </c>
      <c r="F18" s="14">
        <f>'Exhibit 3-2'!F19</f>
        <v>303.94003539494514</v>
      </c>
      <c r="G18" s="14">
        <f>'Exhibit 3-2'!G19</f>
        <v>303.94003539494514</v>
      </c>
      <c r="H18" s="14">
        <f>'Exhibit 3-2'!H19</f>
        <v>393.4354355778508</v>
      </c>
      <c r="I18" s="14">
        <f>'Exhibit 3-2'!I19</f>
        <v>393.4354355778508</v>
      </c>
      <c r="J18" s="14">
        <f>'Exhibit 3-2'!J19</f>
        <v>393.4354355778508</v>
      </c>
      <c r="K18" s="14">
        <f>'Exhibit 3-2'!K19</f>
        <v>393.4354355778508</v>
      </c>
      <c r="L18" s="14">
        <f>'Exhibit 3-2'!L19</f>
        <v>393.4354355778508</v>
      </c>
      <c r="M18" s="14">
        <f>'Exhibit 3-2'!M19</f>
        <v>393.4354355778508</v>
      </c>
      <c r="N18" s="14">
        <f>'Exhibit 3-2'!N19</f>
        <v>393.4354355778508</v>
      </c>
      <c r="O18" s="14">
        <f>'Exhibit 3-2'!O19</f>
        <v>393.4354355778508</v>
      </c>
      <c r="P18" s="14">
        <f>'Exhibit 3-2'!P19</f>
        <v>393.4354355778508</v>
      </c>
      <c r="Q18" s="14">
        <f>'Exhibit 3-2'!Q19</f>
        <v>393.4354355778508</v>
      </c>
      <c r="R18" s="14">
        <f>'Exhibit 3-2'!R19</f>
        <v>393.4354355778508</v>
      </c>
      <c r="S18" s="14">
        <f>'Exhibit 3-2'!S19</f>
        <v>393.4354355778508</v>
      </c>
      <c r="T18" s="14">
        <f>'Exhibit 3-2'!T19</f>
        <v>393.4354355778508</v>
      </c>
      <c r="U18" s="14">
        <f>'Exhibit 3-2'!U19</f>
        <v>393.4354355778508</v>
      </c>
      <c r="V18" s="14">
        <f>'Exhibit 3-2'!V19</f>
        <v>393.4354355778508</v>
      </c>
      <c r="W18" s="14">
        <f>'Exhibit 3-2'!W19</f>
        <v>393.4354355778508</v>
      </c>
      <c r="X18" s="14">
        <f>'Exhibit 3-2'!X19</f>
        <v>393.4354355778508</v>
      </c>
      <c r="Y18" s="14">
        <f>'Exhibit 3-2'!Y19</f>
        <v>393.4354355778508</v>
      </c>
      <c r="Z18" s="14">
        <f>'Exhibit 3-2'!Z19</f>
        <v>393.4354355778508</v>
      </c>
      <c r="AA18" s="14">
        <f>'Exhibit 3-2'!AA19</f>
        <v>393.4354355778508</v>
      </c>
      <c r="AB18" s="14">
        <f>'Exhibit 3-2'!AB19</f>
        <v>393.4354355778508</v>
      </c>
      <c r="AC18" s="14">
        <f>'Exhibit 3-2'!AC19</f>
        <v>393.4354355778508</v>
      </c>
      <c r="AD18" s="14">
        <f>'Exhibit 3-2'!AD19</f>
        <v>393.4354355778508</v>
      </c>
      <c r="AE18" s="14">
        <f>'Exhibit 3-2'!AE19</f>
        <v>393.4354355778508</v>
      </c>
      <c r="AF18" s="14">
        <f>'Exhibit 3-2'!AF19</f>
        <v>393.4354355778508</v>
      </c>
      <c r="AG18" s="14">
        <f>'Exhibit 3-2'!AG19</f>
        <v>393.4354355778508</v>
      </c>
      <c r="AH18" s="14">
        <f>'Exhibit 3-2'!AH19</f>
        <v>393.4354355778508</v>
      </c>
    </row>
    <row r="19" spans="1:34" ht="17.25" x14ac:dyDescent="0.25">
      <c r="A19" s="5">
        <v>7</v>
      </c>
      <c r="B19" s="90" t="s">
        <v>42</v>
      </c>
      <c r="C19" s="17"/>
      <c r="D19" s="13">
        <f>'Exhibit 3-2'!D20</f>
        <v>0</v>
      </c>
      <c r="E19" s="13">
        <f>'Exhibit 3-2'!E20</f>
        <v>63.223627711544161</v>
      </c>
      <c r="F19" s="13">
        <f>'Exhibit 3-2'!F20</f>
        <v>0</v>
      </c>
      <c r="G19" s="13">
        <f>'Exhibit 3-2'!G20</f>
        <v>0</v>
      </c>
      <c r="H19" s="13">
        <f>'Exhibit 3-2'!H20</f>
        <v>0</v>
      </c>
      <c r="I19" s="13">
        <f>'Exhibit 3-2'!I20</f>
        <v>0</v>
      </c>
      <c r="J19" s="13">
        <f>'Exhibit 3-2'!J20</f>
        <v>0</v>
      </c>
      <c r="K19" s="13">
        <f>'Exhibit 3-2'!K20</f>
        <v>0</v>
      </c>
      <c r="L19" s="13">
        <f>'Exhibit 3-2'!L20</f>
        <v>0</v>
      </c>
      <c r="M19" s="13">
        <f>'Exhibit 3-2'!M20</f>
        <v>0</v>
      </c>
      <c r="N19" s="13">
        <f>'Exhibit 3-2'!N20</f>
        <v>0</v>
      </c>
      <c r="O19" s="13">
        <f>'Exhibit 3-2'!O20</f>
        <v>0</v>
      </c>
      <c r="P19" s="13">
        <f>'Exhibit 3-2'!P20</f>
        <v>0</v>
      </c>
      <c r="Q19" s="13">
        <f>'Exhibit 3-2'!Q20</f>
        <v>0</v>
      </c>
      <c r="R19" s="13">
        <f>'Exhibit 3-2'!R20</f>
        <v>0</v>
      </c>
      <c r="S19" s="13">
        <f>'Exhibit 3-2'!S20</f>
        <v>0</v>
      </c>
      <c r="T19" s="13">
        <f>'Exhibit 3-2'!T20</f>
        <v>0</v>
      </c>
      <c r="U19" s="13">
        <f>'Exhibit 3-2'!U20</f>
        <v>0</v>
      </c>
      <c r="V19" s="13">
        <f>'Exhibit 3-2'!V20</f>
        <v>0</v>
      </c>
      <c r="W19" s="13">
        <f>'Exhibit 3-2'!W20</f>
        <v>0</v>
      </c>
      <c r="X19" s="13">
        <f>'Exhibit 3-2'!X20</f>
        <v>0</v>
      </c>
      <c r="Y19" s="13">
        <f>'Exhibit 3-2'!Y20</f>
        <v>0</v>
      </c>
      <c r="Z19" s="13">
        <f>'Exhibit 3-2'!Z20</f>
        <v>0</v>
      </c>
      <c r="AA19" s="13">
        <f>'Exhibit 3-2'!AA20</f>
        <v>0</v>
      </c>
      <c r="AB19" s="13">
        <f>'Exhibit 3-2'!AB20</f>
        <v>0</v>
      </c>
      <c r="AC19" s="13">
        <f>'Exhibit 3-2'!AC20</f>
        <v>0</v>
      </c>
      <c r="AD19" s="13">
        <f>'Exhibit 3-2'!AD20</f>
        <v>0</v>
      </c>
      <c r="AE19" s="13">
        <f>'Exhibit 3-2'!AE20</f>
        <v>0</v>
      </c>
      <c r="AF19" s="13">
        <f>'Exhibit 3-2'!AF20</f>
        <v>0</v>
      </c>
      <c r="AG19" s="13">
        <f>'Exhibit 3-2'!AG20</f>
        <v>0</v>
      </c>
      <c r="AH19" s="13">
        <f>'Exhibit 3-2'!AH20</f>
        <v>-63.223627711544161</v>
      </c>
    </row>
    <row r="20" spans="1:34" x14ac:dyDescent="0.25">
      <c r="A20" s="5">
        <v>8</v>
      </c>
      <c r="B20" s="15" t="str">
        <f>'Exhibit 3-2'!B21</f>
        <v xml:space="preserve">Uncollectibles </v>
      </c>
      <c r="C20" s="11"/>
      <c r="D20" s="14">
        <f>'Exhibit 3-2'!D21</f>
        <v>0</v>
      </c>
      <c r="E20" s="14">
        <f>'Exhibit 3-2'!E21</f>
        <v>0.83731502537611391</v>
      </c>
      <c r="F20" s="14">
        <f>'Exhibit 3-2'!F21</f>
        <v>1.0063229826460385</v>
      </c>
      <c r="G20" s="14">
        <f>'Exhibit 3-2'!G21</f>
        <v>1.0063229826460385</v>
      </c>
      <c r="H20" s="14">
        <f>'Exhibit 3-2'!H21</f>
        <v>1.3026356350023995</v>
      </c>
      <c r="I20" s="14">
        <f>'Exhibit 3-2'!I21</f>
        <v>1.3026356350023995</v>
      </c>
      <c r="J20" s="14">
        <f>'Exhibit 3-2'!J21</f>
        <v>1.3026356350023995</v>
      </c>
      <c r="K20" s="14">
        <f>'Exhibit 3-2'!K21</f>
        <v>1.3026356350023995</v>
      </c>
      <c r="L20" s="14">
        <f>'Exhibit 3-2'!L21</f>
        <v>1.3026356350023995</v>
      </c>
      <c r="M20" s="14">
        <f>'Exhibit 3-2'!M21</f>
        <v>1.3026356350023995</v>
      </c>
      <c r="N20" s="14">
        <f>'Exhibit 3-2'!N21</f>
        <v>1.3026356350023995</v>
      </c>
      <c r="O20" s="14">
        <f>'Exhibit 3-2'!O21</f>
        <v>1.3026356350023995</v>
      </c>
      <c r="P20" s="14">
        <f>'Exhibit 3-2'!P21</f>
        <v>1.3026356350023995</v>
      </c>
      <c r="Q20" s="14">
        <f>'Exhibit 3-2'!Q21</f>
        <v>1.3026356350023995</v>
      </c>
      <c r="R20" s="14">
        <f>'Exhibit 3-2'!R21</f>
        <v>1.3026356350023995</v>
      </c>
      <c r="S20" s="14">
        <f>'Exhibit 3-2'!S21</f>
        <v>1.3026356350023995</v>
      </c>
      <c r="T20" s="14">
        <f>'Exhibit 3-2'!T21</f>
        <v>1.3026356350023995</v>
      </c>
      <c r="U20" s="14">
        <f>'Exhibit 3-2'!U21</f>
        <v>1.3026356350023995</v>
      </c>
      <c r="V20" s="14">
        <f>'Exhibit 3-2'!V21</f>
        <v>1.3026356350023995</v>
      </c>
      <c r="W20" s="14">
        <f>'Exhibit 3-2'!W21</f>
        <v>1.3026356350023995</v>
      </c>
      <c r="X20" s="14">
        <f>'Exhibit 3-2'!X21</f>
        <v>1.3026356350023995</v>
      </c>
      <c r="Y20" s="14">
        <f>'Exhibit 3-2'!Y21</f>
        <v>1.3026356350023995</v>
      </c>
      <c r="Z20" s="14">
        <f>'Exhibit 3-2'!Z21</f>
        <v>1.3026356350023995</v>
      </c>
      <c r="AA20" s="14">
        <f>'Exhibit 3-2'!AA21</f>
        <v>1.3026356350023995</v>
      </c>
      <c r="AB20" s="14">
        <f>'Exhibit 3-2'!AB21</f>
        <v>1.3026356350023995</v>
      </c>
      <c r="AC20" s="14">
        <f>'Exhibit 3-2'!AC21</f>
        <v>1.3026356350023995</v>
      </c>
      <c r="AD20" s="14">
        <f>'Exhibit 3-2'!AD21</f>
        <v>1.3026356350023995</v>
      </c>
      <c r="AE20" s="14">
        <f>'Exhibit 3-2'!AE21</f>
        <v>1.3026356350023995</v>
      </c>
      <c r="AF20" s="14">
        <f>'Exhibit 3-2'!AF21</f>
        <v>1.3026356350023995</v>
      </c>
      <c r="AG20" s="14">
        <f>'Exhibit 3-2'!AG21</f>
        <v>1.3026356350023995</v>
      </c>
      <c r="AH20" s="14">
        <f>'Exhibit 3-2'!AH21</f>
        <v>1.0933068786583711</v>
      </c>
    </row>
    <row r="21" spans="1:34" x14ac:dyDescent="0.25">
      <c r="A21" s="5">
        <v>9</v>
      </c>
      <c r="B21" s="5" t="str">
        <f>'Exhibit 3-2'!B22</f>
        <v>Annual FRC RRQ</v>
      </c>
      <c r="C21" s="5"/>
      <c r="D21" s="13">
        <f>'Exhibit 3-2'!D22</f>
        <v>0</v>
      </c>
      <c r="E21" s="13">
        <f>'Exhibit 3-2'!E22</f>
        <v>253.73182587155281</v>
      </c>
      <c r="F21" s="13">
        <f>'Exhibit 3-2'!F22</f>
        <v>304.9463583775912</v>
      </c>
      <c r="G21" s="13">
        <f>'Exhibit 3-2'!G22</f>
        <v>304.9463583775912</v>
      </c>
      <c r="H21" s="13">
        <f>'Exhibit 3-2'!H22</f>
        <v>394.73807121285319</v>
      </c>
      <c r="I21" s="13">
        <f>'Exhibit 3-2'!I22</f>
        <v>394.73807121285319</v>
      </c>
      <c r="J21" s="13">
        <f>'Exhibit 3-2'!J22</f>
        <v>394.73807121285319</v>
      </c>
      <c r="K21" s="13">
        <f>'Exhibit 3-2'!K22</f>
        <v>394.73807121285319</v>
      </c>
      <c r="L21" s="13">
        <f>'Exhibit 3-2'!L22</f>
        <v>394.73807121285319</v>
      </c>
      <c r="M21" s="13">
        <f>'Exhibit 3-2'!M22</f>
        <v>394.73807121285319</v>
      </c>
      <c r="N21" s="13">
        <f>'Exhibit 3-2'!N22</f>
        <v>394.73807121285319</v>
      </c>
      <c r="O21" s="13">
        <f>'Exhibit 3-2'!O22</f>
        <v>394.73807121285319</v>
      </c>
      <c r="P21" s="13">
        <f>'Exhibit 3-2'!P22</f>
        <v>394.73807121285319</v>
      </c>
      <c r="Q21" s="13">
        <f>'Exhibit 3-2'!Q22</f>
        <v>394.73807121285319</v>
      </c>
      <c r="R21" s="13">
        <f>'Exhibit 3-2'!R22</f>
        <v>394.73807121285319</v>
      </c>
      <c r="S21" s="13">
        <f>'Exhibit 3-2'!S22</f>
        <v>394.73807121285319</v>
      </c>
      <c r="T21" s="13">
        <f>'Exhibit 3-2'!T22</f>
        <v>394.73807121285319</v>
      </c>
      <c r="U21" s="13">
        <f>'Exhibit 3-2'!U22</f>
        <v>394.73807121285319</v>
      </c>
      <c r="V21" s="13">
        <f>'Exhibit 3-2'!V22</f>
        <v>394.73807121285319</v>
      </c>
      <c r="W21" s="13">
        <f>'Exhibit 3-2'!W22</f>
        <v>394.73807121285319</v>
      </c>
      <c r="X21" s="13">
        <f>'Exhibit 3-2'!X22</f>
        <v>394.73807121285319</v>
      </c>
      <c r="Y21" s="13">
        <f>'Exhibit 3-2'!Y22</f>
        <v>394.73807121285319</v>
      </c>
      <c r="Z21" s="13">
        <f>'Exhibit 3-2'!Z22</f>
        <v>394.73807121285319</v>
      </c>
      <c r="AA21" s="13">
        <f>'Exhibit 3-2'!AA22</f>
        <v>394.73807121285319</v>
      </c>
      <c r="AB21" s="13">
        <f>'Exhibit 3-2'!AB22</f>
        <v>394.73807121285319</v>
      </c>
      <c r="AC21" s="13">
        <f>'Exhibit 3-2'!AC22</f>
        <v>394.73807121285319</v>
      </c>
      <c r="AD21" s="13">
        <f>'Exhibit 3-2'!AD22</f>
        <v>394.73807121285319</v>
      </c>
      <c r="AE21" s="13">
        <f>'Exhibit 3-2'!AE22</f>
        <v>394.73807121285319</v>
      </c>
      <c r="AF21" s="13">
        <f>'Exhibit 3-2'!AF22</f>
        <v>394.73807121285319</v>
      </c>
      <c r="AG21" s="13">
        <f>'Exhibit 3-2'!AG22</f>
        <v>394.73807121285319</v>
      </c>
      <c r="AH21" s="13">
        <f>'Exhibit 3-2'!AH22</f>
        <v>331.30511474496501</v>
      </c>
    </row>
    <row r="23" spans="1:34" ht="17.25" x14ac:dyDescent="0.25">
      <c r="B23" s="88" t="s">
        <v>164</v>
      </c>
    </row>
    <row r="24" spans="1:34" ht="17.25" x14ac:dyDescent="0.25">
      <c r="B24" s="88" t="s">
        <v>154</v>
      </c>
      <c r="E24" s="121"/>
      <c r="G24" s="121"/>
    </row>
    <row r="25" spans="1:34" ht="17.25" x14ac:dyDescent="0.25">
      <c r="B25" s="88" t="s">
        <v>169</v>
      </c>
    </row>
  </sheetData>
  <mergeCells count="3">
    <mergeCell ref="E2:Q2"/>
    <mergeCell ref="E3:Q3"/>
    <mergeCell ref="E4:Q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2:AF16"/>
  <sheetViews>
    <sheetView showGridLines="0" zoomScale="85" zoomScaleNormal="85" workbookViewId="0">
      <selection activeCell="J42" sqref="J42"/>
    </sheetView>
  </sheetViews>
  <sheetFormatPr defaultColWidth="9.140625" defaultRowHeight="14.25" x14ac:dyDescent="0.2"/>
  <cols>
    <col min="1" max="1" width="3.42578125" style="5" customWidth="1"/>
    <col min="2" max="2" width="35.42578125" style="5" bestFit="1" customWidth="1"/>
    <col min="3" max="3" width="10.140625" style="5" bestFit="1" customWidth="1"/>
    <col min="4" max="32" width="9.28515625" style="5" bestFit="1" customWidth="1"/>
    <col min="33" max="16384" width="9.140625" style="5"/>
  </cols>
  <sheetData>
    <row r="2" spans="1:32" ht="15" x14ac:dyDescent="0.25">
      <c r="A2" s="42"/>
      <c r="B2" s="307" t="s">
        <v>133</v>
      </c>
      <c r="C2" s="307"/>
      <c r="D2" s="307"/>
      <c r="E2" s="307"/>
      <c r="F2" s="307"/>
      <c r="G2" s="307"/>
      <c r="H2" s="307"/>
      <c r="I2" s="307"/>
      <c r="J2" s="307"/>
      <c r="K2" s="307"/>
      <c r="L2" s="307"/>
      <c r="M2" s="86"/>
      <c r="N2" s="86"/>
      <c r="O2" s="86"/>
      <c r="P2" s="86"/>
      <c r="Q2" s="86"/>
      <c r="R2" s="86"/>
      <c r="S2" s="86"/>
      <c r="T2" s="86"/>
      <c r="U2" s="86"/>
      <c r="V2" s="86"/>
      <c r="W2" s="86"/>
      <c r="X2" s="86"/>
      <c r="Y2" s="86"/>
      <c r="Z2" s="86"/>
      <c r="AA2" s="86"/>
      <c r="AB2" s="86"/>
      <c r="AC2" s="86"/>
      <c r="AD2" s="86"/>
      <c r="AE2" s="86"/>
      <c r="AF2" s="86"/>
    </row>
    <row r="3" spans="1:32" ht="15" x14ac:dyDescent="0.25">
      <c r="A3" s="42"/>
      <c r="B3" s="307" t="s">
        <v>134</v>
      </c>
      <c r="C3" s="307"/>
      <c r="D3" s="307"/>
      <c r="E3" s="307"/>
      <c r="F3" s="307"/>
      <c r="G3" s="307"/>
      <c r="H3" s="307"/>
      <c r="I3" s="307"/>
      <c r="J3" s="307"/>
      <c r="K3" s="307"/>
      <c r="L3" s="307"/>
      <c r="M3" s="86"/>
      <c r="N3" s="86"/>
      <c r="O3" s="86"/>
      <c r="P3" s="86"/>
      <c r="Q3" s="86"/>
      <c r="R3" s="86"/>
      <c r="S3" s="86"/>
      <c r="T3" s="86"/>
      <c r="U3" s="86"/>
      <c r="V3" s="86"/>
      <c r="W3" s="86"/>
      <c r="X3" s="86"/>
      <c r="Y3" s="86"/>
      <c r="Z3" s="86"/>
      <c r="AA3" s="86"/>
      <c r="AB3" s="86"/>
      <c r="AC3" s="86"/>
      <c r="AD3" s="86"/>
      <c r="AE3" s="86"/>
      <c r="AF3" s="86"/>
    </row>
    <row r="4" spans="1:32" x14ac:dyDescent="0.2">
      <c r="A4" s="42"/>
      <c r="B4" s="320" t="s">
        <v>119</v>
      </c>
      <c r="C4" s="320"/>
      <c r="D4" s="320"/>
      <c r="E4" s="320"/>
      <c r="F4" s="320"/>
      <c r="G4" s="320"/>
      <c r="H4" s="320"/>
      <c r="I4" s="320"/>
      <c r="J4" s="320"/>
      <c r="K4" s="320"/>
      <c r="L4" s="320"/>
      <c r="M4" s="161"/>
      <c r="N4" s="161"/>
      <c r="O4" s="161"/>
      <c r="P4" s="161"/>
      <c r="Q4" s="161"/>
      <c r="R4" s="161"/>
      <c r="S4" s="161"/>
      <c r="T4" s="161"/>
      <c r="U4" s="161"/>
      <c r="V4" s="161"/>
      <c r="W4" s="161"/>
      <c r="X4" s="161"/>
      <c r="Y4" s="161"/>
      <c r="Z4" s="161"/>
      <c r="AA4" s="161"/>
      <c r="AB4" s="161"/>
      <c r="AC4" s="161"/>
      <c r="AD4" s="161"/>
      <c r="AE4" s="161"/>
      <c r="AF4" s="161"/>
    </row>
    <row r="5" spans="1:32" x14ac:dyDescent="0.2">
      <c r="A5" s="162"/>
      <c r="B5" s="46"/>
      <c r="C5" s="163"/>
      <c r="D5" s="164"/>
      <c r="E5" s="165">
        <v>0.09</v>
      </c>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row>
    <row r="6" spans="1:32" ht="15" x14ac:dyDescent="0.25">
      <c r="A6" s="10">
        <v>1</v>
      </c>
      <c r="B6" s="49"/>
      <c r="C6" s="51">
        <v>2021</v>
      </c>
      <c r="D6" s="51">
        <v>2022</v>
      </c>
      <c r="E6" s="51">
        <v>2023</v>
      </c>
      <c r="F6" s="51">
        <v>2024</v>
      </c>
      <c r="G6" s="51">
        <v>2025</v>
      </c>
      <c r="H6" s="51">
        <v>2026</v>
      </c>
      <c r="I6" s="51">
        <v>2027</v>
      </c>
      <c r="J6" s="51">
        <v>2028</v>
      </c>
      <c r="K6" s="51">
        <v>2029</v>
      </c>
      <c r="L6" s="51">
        <v>2030</v>
      </c>
      <c r="M6" s="51">
        <v>2031</v>
      </c>
      <c r="N6" s="51">
        <v>2032</v>
      </c>
      <c r="O6" s="51">
        <v>2033</v>
      </c>
      <c r="P6" s="51">
        <v>2034</v>
      </c>
      <c r="Q6" s="51">
        <v>2035</v>
      </c>
      <c r="R6" s="51">
        <v>2036</v>
      </c>
      <c r="S6" s="51">
        <v>2037</v>
      </c>
      <c r="T6" s="51">
        <v>2038</v>
      </c>
      <c r="U6" s="51">
        <v>2039</v>
      </c>
      <c r="V6" s="51">
        <v>2040</v>
      </c>
      <c r="W6" s="51">
        <v>2041</v>
      </c>
      <c r="X6" s="51">
        <v>2042</v>
      </c>
      <c r="Y6" s="51">
        <v>2043</v>
      </c>
      <c r="Z6" s="51">
        <v>2044</v>
      </c>
      <c r="AA6" s="51">
        <v>2045</v>
      </c>
      <c r="AB6" s="51">
        <v>2046</v>
      </c>
      <c r="AC6" s="51">
        <v>2047</v>
      </c>
      <c r="AD6" s="51">
        <v>2048</v>
      </c>
      <c r="AE6" s="51">
        <v>2049</v>
      </c>
      <c r="AF6" s="51">
        <v>2050</v>
      </c>
    </row>
    <row r="7" spans="1:32" s="195" customFormat="1" x14ac:dyDescent="0.2">
      <c r="A7" s="10">
        <v>2</v>
      </c>
      <c r="B7" s="206" t="s">
        <v>135</v>
      </c>
      <c r="C7" s="167">
        <f>'Table 7-1'!D41</f>
        <v>947.72196182608218</v>
      </c>
      <c r="D7" s="167">
        <f>'Table 7-1'!E41</f>
        <v>924.09833600146919</v>
      </c>
      <c r="E7" s="167">
        <f>'Table 7-1'!F41</f>
        <v>900.47471017685632</v>
      </c>
      <c r="F7" s="167">
        <f>'Table 7-1'!G41</f>
        <v>876.85108435224345</v>
      </c>
      <c r="G7" s="167">
        <f>'Table 7-1'!H41</f>
        <v>853.22745852763046</v>
      </c>
      <c r="H7" s="167">
        <f>'Table 7-1'!I41</f>
        <v>829.60383270301747</v>
      </c>
      <c r="I7" s="167">
        <f>'Table 7-1'!J41</f>
        <v>805.98020687840449</v>
      </c>
      <c r="J7" s="167">
        <f>'Table 7-1'!K41</f>
        <v>782.3565810537915</v>
      </c>
      <c r="K7" s="167">
        <f>'Table 7-1'!L41</f>
        <v>758.73295522917851</v>
      </c>
      <c r="L7" s="167">
        <f>'Table 7-1'!M41</f>
        <v>735.10932940456564</v>
      </c>
      <c r="M7" s="167">
        <f>'Table 7-1'!N41</f>
        <v>711.48570357995254</v>
      </c>
      <c r="N7" s="167">
        <f>'Table 7-1'!O41</f>
        <v>687.86207775533967</v>
      </c>
      <c r="O7" s="167">
        <f>'Table 7-1'!P41</f>
        <v>664.23845193072668</v>
      </c>
      <c r="P7" s="167">
        <f>'Table 7-1'!Q41</f>
        <v>640.6148261061137</v>
      </c>
      <c r="Q7" s="167">
        <f>'Table 7-1'!R41</f>
        <v>616.99120028150082</v>
      </c>
      <c r="R7" s="167">
        <f>'Table 7-1'!S41</f>
        <v>593.36757445688784</v>
      </c>
      <c r="S7" s="167">
        <f>'Table 7-1'!T41</f>
        <v>569.74394863227485</v>
      </c>
      <c r="T7" s="167">
        <f>'Table 7-1'!U41</f>
        <v>546.12032280766186</v>
      </c>
      <c r="U7" s="167">
        <f>'Table 7-1'!V41</f>
        <v>522.49669698304899</v>
      </c>
      <c r="V7" s="167">
        <f>'Table 7-1'!W41</f>
        <v>498.87307115843606</v>
      </c>
      <c r="W7" s="167">
        <f>'Table 7-1'!X41</f>
        <v>475.24944533382313</v>
      </c>
      <c r="X7" s="167">
        <f>'Table 7-1'!Y41</f>
        <v>451.62581950921015</v>
      </c>
      <c r="Y7" s="167">
        <f>'Table 7-1'!Z41</f>
        <v>428.00219368459716</v>
      </c>
      <c r="Z7" s="167">
        <f>'Table 7-1'!AA41</f>
        <v>404.37856785998417</v>
      </c>
      <c r="AA7" s="167">
        <f>'Table 7-1'!AB41</f>
        <v>380.75494203537124</v>
      </c>
      <c r="AB7" s="167">
        <f>'Table 7-1'!AC41</f>
        <v>357.13131621075826</v>
      </c>
      <c r="AC7" s="167">
        <f>'Table 7-1'!AD41</f>
        <v>333.50769038614533</v>
      </c>
      <c r="AD7" s="167">
        <f>'Table 7-1'!AE41</f>
        <v>309.88406456153234</v>
      </c>
      <c r="AE7" s="167">
        <f>'Table 7-1'!AF41</f>
        <v>286.26043873691941</v>
      </c>
      <c r="AF7" s="167">
        <f>'Table 7-1'!AG41</f>
        <v>262.63681291230648</v>
      </c>
    </row>
    <row r="8" spans="1:32" s="195" customFormat="1" x14ac:dyDescent="0.2">
      <c r="A8" s="10">
        <v>3</v>
      </c>
      <c r="B8" s="10" t="s">
        <v>136</v>
      </c>
      <c r="C8" s="168">
        <f>'Table 7-2'!E21</f>
        <v>253.73182587155281</v>
      </c>
      <c r="D8" s="168">
        <f>'Table 7-2'!F21</f>
        <v>304.9463583775912</v>
      </c>
      <c r="E8" s="168">
        <f>'Table 7-2'!G21</f>
        <v>304.9463583775912</v>
      </c>
      <c r="F8" s="168">
        <f>'Table 7-2'!H21</f>
        <v>394.73807121285319</v>
      </c>
      <c r="G8" s="168">
        <f>'Table 7-2'!I21</f>
        <v>394.73807121285319</v>
      </c>
      <c r="H8" s="168">
        <f>'Table 7-2'!J21</f>
        <v>394.73807121285319</v>
      </c>
      <c r="I8" s="168">
        <f>'Table 7-2'!K21</f>
        <v>394.73807121285319</v>
      </c>
      <c r="J8" s="168">
        <f>'Table 7-2'!L21</f>
        <v>394.73807121285319</v>
      </c>
      <c r="K8" s="168">
        <f>'Table 7-2'!M21</f>
        <v>394.73807121285319</v>
      </c>
      <c r="L8" s="168">
        <f>'Table 7-2'!N21</f>
        <v>394.73807121285319</v>
      </c>
      <c r="M8" s="168">
        <f>'Table 7-2'!O21</f>
        <v>394.73807121285319</v>
      </c>
      <c r="N8" s="168">
        <f>'Table 7-2'!P21</f>
        <v>394.73807121285319</v>
      </c>
      <c r="O8" s="168">
        <f>'Table 7-2'!Q21</f>
        <v>394.73807121285319</v>
      </c>
      <c r="P8" s="168">
        <f>'Table 7-2'!R21</f>
        <v>394.73807121285319</v>
      </c>
      <c r="Q8" s="168">
        <f>'Table 7-2'!S21</f>
        <v>394.73807121285319</v>
      </c>
      <c r="R8" s="168">
        <f>'Table 7-2'!T21</f>
        <v>394.73807121285319</v>
      </c>
      <c r="S8" s="168">
        <f>'Table 7-2'!U21</f>
        <v>394.73807121285319</v>
      </c>
      <c r="T8" s="168">
        <f>'Table 7-2'!V21</f>
        <v>394.73807121285319</v>
      </c>
      <c r="U8" s="168">
        <f>'Table 7-2'!W21</f>
        <v>394.73807121285319</v>
      </c>
      <c r="V8" s="168">
        <f>'Table 7-2'!X21</f>
        <v>394.73807121285319</v>
      </c>
      <c r="W8" s="168">
        <f>'Table 7-2'!Y21</f>
        <v>394.73807121285319</v>
      </c>
      <c r="X8" s="168">
        <f>'Table 7-2'!Z21</f>
        <v>394.73807121285319</v>
      </c>
      <c r="Y8" s="168">
        <f>'Table 7-2'!AA21</f>
        <v>394.73807121285319</v>
      </c>
      <c r="Z8" s="168">
        <f>'Table 7-2'!AB21</f>
        <v>394.73807121285319</v>
      </c>
      <c r="AA8" s="168">
        <f>'Table 7-2'!AC21</f>
        <v>394.73807121285319</v>
      </c>
      <c r="AB8" s="168">
        <f>'Table 7-2'!AD21</f>
        <v>394.73807121285319</v>
      </c>
      <c r="AC8" s="168">
        <f>'Table 7-2'!AE21</f>
        <v>394.73807121285319</v>
      </c>
      <c r="AD8" s="168">
        <f>'Table 7-2'!AF21</f>
        <v>394.73807121285319</v>
      </c>
      <c r="AE8" s="168">
        <f>'Table 7-2'!AG21</f>
        <v>394.73807121285319</v>
      </c>
      <c r="AF8" s="168">
        <f>'Table 7-2'!AH21</f>
        <v>331.30511474496501</v>
      </c>
    </row>
    <row r="9" spans="1:32" s="195" customFormat="1" x14ac:dyDescent="0.2">
      <c r="A9" s="10">
        <v>4</v>
      </c>
      <c r="B9" s="10" t="s">
        <v>137</v>
      </c>
      <c r="C9" s="169">
        <f t="shared" ref="C9:AF9" si="0">C7-C8</f>
        <v>693.99013595452936</v>
      </c>
      <c r="D9" s="169">
        <f t="shared" si="0"/>
        <v>619.151977623878</v>
      </c>
      <c r="E9" s="169">
        <f t="shared" si="0"/>
        <v>595.52835179926512</v>
      </c>
      <c r="F9" s="169">
        <f t="shared" si="0"/>
        <v>482.11301313939026</v>
      </c>
      <c r="G9" s="169">
        <f t="shared" si="0"/>
        <v>458.48938731477728</v>
      </c>
      <c r="H9" s="169">
        <f t="shared" si="0"/>
        <v>434.86576149016429</v>
      </c>
      <c r="I9" s="169">
        <f t="shared" si="0"/>
        <v>411.2421356655513</v>
      </c>
      <c r="J9" s="169">
        <f t="shared" si="0"/>
        <v>387.61850984093832</v>
      </c>
      <c r="K9" s="169">
        <f t="shared" si="0"/>
        <v>363.99488401632533</v>
      </c>
      <c r="L9" s="169">
        <f t="shared" si="0"/>
        <v>340.37125819171246</v>
      </c>
      <c r="M9" s="169">
        <f t="shared" si="0"/>
        <v>316.74763236709936</v>
      </c>
      <c r="N9" s="169">
        <f t="shared" si="0"/>
        <v>293.12400654248648</v>
      </c>
      <c r="O9" s="169">
        <f t="shared" si="0"/>
        <v>269.5003807178735</v>
      </c>
      <c r="P9" s="169">
        <f t="shared" si="0"/>
        <v>245.87675489326051</v>
      </c>
      <c r="Q9" s="169">
        <f t="shared" si="0"/>
        <v>222.25312906864764</v>
      </c>
      <c r="R9" s="169">
        <f t="shared" si="0"/>
        <v>198.62950324403465</v>
      </c>
      <c r="S9" s="169">
        <f t="shared" si="0"/>
        <v>175.00587741942167</v>
      </c>
      <c r="T9" s="169">
        <f t="shared" si="0"/>
        <v>151.38225159480868</v>
      </c>
      <c r="U9" s="169">
        <f t="shared" si="0"/>
        <v>127.75862577019581</v>
      </c>
      <c r="V9" s="169">
        <f t="shared" si="0"/>
        <v>104.13499994558288</v>
      </c>
      <c r="W9" s="169">
        <f t="shared" si="0"/>
        <v>80.511374120969947</v>
      </c>
      <c r="X9" s="169">
        <f t="shared" si="0"/>
        <v>56.887748296356961</v>
      </c>
      <c r="Y9" s="169">
        <f t="shared" si="0"/>
        <v>33.264122471743974</v>
      </c>
      <c r="Z9" s="169">
        <f t="shared" si="0"/>
        <v>9.6404966471309876</v>
      </c>
      <c r="AA9" s="169">
        <f t="shared" si="0"/>
        <v>-13.983129177481942</v>
      </c>
      <c r="AB9" s="169">
        <f t="shared" si="0"/>
        <v>-37.606755002094928</v>
      </c>
      <c r="AC9" s="169">
        <f t="shared" si="0"/>
        <v>-61.230380826707858</v>
      </c>
      <c r="AD9" s="169">
        <f t="shared" si="0"/>
        <v>-84.854006651320844</v>
      </c>
      <c r="AE9" s="169">
        <f t="shared" si="0"/>
        <v>-108.47763247593377</v>
      </c>
      <c r="AF9" s="169">
        <f t="shared" si="0"/>
        <v>-68.668301832658528</v>
      </c>
    </row>
    <row r="10" spans="1:32" s="195" customFormat="1" x14ac:dyDescent="0.2">
      <c r="A10" s="10">
        <v>5</v>
      </c>
      <c r="B10" s="10" t="s">
        <v>138</v>
      </c>
      <c r="C10" s="169">
        <f>C9</f>
        <v>693.99013595452936</v>
      </c>
      <c r="D10" s="169">
        <f>D9+C10</f>
        <v>1313.1421135784074</v>
      </c>
      <c r="E10" s="169">
        <f t="shared" ref="E10:AF10" si="1">E9+D10</f>
        <v>1908.6704653776724</v>
      </c>
      <c r="F10" s="169">
        <f t="shared" si="1"/>
        <v>2390.7834785170626</v>
      </c>
      <c r="G10" s="169">
        <f t="shared" si="1"/>
        <v>2849.2728658318397</v>
      </c>
      <c r="H10" s="169">
        <f t="shared" si="1"/>
        <v>3284.1386273220041</v>
      </c>
      <c r="I10" s="169">
        <f t="shared" si="1"/>
        <v>3695.3807629875555</v>
      </c>
      <c r="J10" s="170">
        <f t="shared" si="1"/>
        <v>4082.9992728284938</v>
      </c>
      <c r="K10" s="170">
        <f t="shared" si="1"/>
        <v>4446.9941568448194</v>
      </c>
      <c r="L10" s="170">
        <f t="shared" si="1"/>
        <v>4787.3654150365319</v>
      </c>
      <c r="M10" s="170">
        <f t="shared" si="1"/>
        <v>5104.1130474036308</v>
      </c>
      <c r="N10" s="170">
        <f t="shared" si="1"/>
        <v>5397.2370539461172</v>
      </c>
      <c r="O10" s="170">
        <f t="shared" si="1"/>
        <v>5666.7374346639908</v>
      </c>
      <c r="P10" s="170">
        <f t="shared" si="1"/>
        <v>5912.6141895572509</v>
      </c>
      <c r="Q10" s="170">
        <f t="shared" si="1"/>
        <v>6134.8673186258984</v>
      </c>
      <c r="R10" s="170">
        <f t="shared" si="1"/>
        <v>6333.4968218699332</v>
      </c>
      <c r="S10" s="170">
        <f t="shared" si="1"/>
        <v>6508.5026992893545</v>
      </c>
      <c r="T10" s="170">
        <f t="shared" si="1"/>
        <v>6659.8849508841631</v>
      </c>
      <c r="U10" s="170">
        <f t="shared" si="1"/>
        <v>6787.6435766543591</v>
      </c>
      <c r="V10" s="170">
        <f t="shared" si="1"/>
        <v>6891.7785765999415</v>
      </c>
      <c r="W10" s="170">
        <f t="shared" si="1"/>
        <v>6972.2899507209113</v>
      </c>
      <c r="X10" s="170">
        <f t="shared" si="1"/>
        <v>7029.1776990172684</v>
      </c>
      <c r="Y10" s="170">
        <f t="shared" si="1"/>
        <v>7062.441821489012</v>
      </c>
      <c r="Z10" s="170">
        <f t="shared" si="1"/>
        <v>7072.0823181361429</v>
      </c>
      <c r="AA10" s="170">
        <f t="shared" si="1"/>
        <v>7058.0991889586612</v>
      </c>
      <c r="AB10" s="170">
        <f t="shared" si="1"/>
        <v>7020.4924339565659</v>
      </c>
      <c r="AC10" s="170">
        <f t="shared" si="1"/>
        <v>6959.262053129858</v>
      </c>
      <c r="AD10" s="170">
        <f t="shared" si="1"/>
        <v>6874.4080464785375</v>
      </c>
      <c r="AE10" s="170">
        <f t="shared" si="1"/>
        <v>6765.9304140026034</v>
      </c>
      <c r="AF10" s="170">
        <f t="shared" si="1"/>
        <v>6697.2621121699449</v>
      </c>
    </row>
    <row r="11" spans="1:32" s="195" customFormat="1" x14ac:dyDescent="0.2">
      <c r="A11" s="10">
        <v>6</v>
      </c>
      <c r="B11" s="10"/>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row>
    <row r="12" spans="1:32" s="195" customFormat="1" ht="15" x14ac:dyDescent="0.25">
      <c r="A12" s="10">
        <v>7</v>
      </c>
      <c r="B12" s="207" t="s">
        <v>139</v>
      </c>
      <c r="C12" s="171">
        <f>NPV(C13,C9:AF9)</f>
        <v>4215.6016929321586</v>
      </c>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row>
    <row r="13" spans="1:32" s="195" customFormat="1" ht="16.5" x14ac:dyDescent="0.2">
      <c r="A13" s="208">
        <v>8</v>
      </c>
      <c r="B13" s="10" t="s">
        <v>140</v>
      </c>
      <c r="C13" s="172">
        <f>'Table 7-1'!$D$19</f>
        <v>7.3400000000000007E-2</v>
      </c>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row>
    <row r="14" spans="1:32" x14ac:dyDescent="0.2">
      <c r="A14" s="208"/>
      <c r="B14" s="208"/>
    </row>
    <row r="15" spans="1:32" ht="16.5" x14ac:dyDescent="0.2">
      <c r="A15" s="208"/>
      <c r="B15" s="10" t="s">
        <v>146</v>
      </c>
    </row>
    <row r="16" spans="1:32" x14ac:dyDescent="0.2">
      <c r="A16" s="205"/>
      <c r="B16" s="205"/>
    </row>
  </sheetData>
  <mergeCells count="3">
    <mergeCell ref="B2:L2"/>
    <mergeCell ref="B3:L3"/>
    <mergeCell ref="B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B1:AH43"/>
  <sheetViews>
    <sheetView showGridLines="0" zoomScaleNormal="100" workbookViewId="0">
      <pane xSplit="2" ySplit="2" topLeftCell="C15" activePane="bottomRight" state="frozen"/>
      <selection pane="topRight" activeCell="C1" sqref="C1"/>
      <selection pane="bottomLeft" activeCell="A3" sqref="A3"/>
      <selection pane="bottomRight" activeCell="AG21" sqref="AG21"/>
    </sheetView>
  </sheetViews>
  <sheetFormatPr defaultColWidth="8.85546875" defaultRowHeight="15" outlineLevelRow="1" x14ac:dyDescent="0.25"/>
  <cols>
    <col min="1" max="1" width="2.85546875" customWidth="1"/>
    <col min="2" max="2" width="56.85546875" bestFit="1" customWidth="1"/>
    <col min="3" max="3" width="16.42578125" style="95" bestFit="1" customWidth="1"/>
    <col min="4" max="4" width="15.42578125" style="95" bestFit="1" customWidth="1"/>
    <col min="5" max="5" width="14.42578125" style="95" bestFit="1" customWidth="1"/>
    <col min="6" max="7" width="13.7109375" style="95" bestFit="1" customWidth="1"/>
    <col min="8" max="8" width="13.28515625" style="95" customWidth="1"/>
    <col min="9" max="9" width="14.28515625" style="95" bestFit="1" customWidth="1"/>
    <col min="10" max="23" width="13" style="95" customWidth="1"/>
    <col min="24" max="24" width="14.28515625" bestFit="1" customWidth="1"/>
    <col min="25" max="33" width="16" bestFit="1" customWidth="1"/>
  </cols>
  <sheetData>
    <row r="1" spans="2:34" x14ac:dyDescent="0.25">
      <c r="B1" s="96"/>
    </row>
    <row r="2" spans="2:34" x14ac:dyDescent="0.25">
      <c r="B2" s="252" t="s">
        <v>175</v>
      </c>
      <c r="C2" s="253">
        <v>2020</v>
      </c>
      <c r="D2" s="253">
        <f>C2+1</f>
        <v>2021</v>
      </c>
      <c r="E2" s="253">
        <f t="shared" ref="E2:AG2" si="0">D2+1</f>
        <v>2022</v>
      </c>
      <c r="F2" s="253">
        <f t="shared" si="0"/>
        <v>2023</v>
      </c>
      <c r="G2" s="253">
        <f t="shared" si="0"/>
        <v>2024</v>
      </c>
      <c r="H2" s="253">
        <f t="shared" si="0"/>
        <v>2025</v>
      </c>
      <c r="I2" s="253">
        <f t="shared" si="0"/>
        <v>2026</v>
      </c>
      <c r="J2" s="253">
        <f t="shared" si="0"/>
        <v>2027</v>
      </c>
      <c r="K2" s="253">
        <f t="shared" si="0"/>
        <v>2028</v>
      </c>
      <c r="L2" s="253">
        <f t="shared" si="0"/>
        <v>2029</v>
      </c>
      <c r="M2" s="253">
        <f t="shared" si="0"/>
        <v>2030</v>
      </c>
      <c r="N2" s="253">
        <f t="shared" si="0"/>
        <v>2031</v>
      </c>
      <c r="O2" s="253">
        <f t="shared" si="0"/>
        <v>2032</v>
      </c>
      <c r="P2" s="253">
        <f t="shared" si="0"/>
        <v>2033</v>
      </c>
      <c r="Q2" s="253">
        <f t="shared" si="0"/>
        <v>2034</v>
      </c>
      <c r="R2" s="253">
        <f t="shared" si="0"/>
        <v>2035</v>
      </c>
      <c r="S2" s="253">
        <f t="shared" si="0"/>
        <v>2036</v>
      </c>
      <c r="T2" s="253">
        <f t="shared" si="0"/>
        <v>2037</v>
      </c>
      <c r="U2" s="253">
        <f t="shared" si="0"/>
        <v>2038</v>
      </c>
      <c r="V2" s="253">
        <f t="shared" si="0"/>
        <v>2039</v>
      </c>
      <c r="W2" s="253">
        <f t="shared" si="0"/>
        <v>2040</v>
      </c>
      <c r="X2" s="253">
        <f t="shared" si="0"/>
        <v>2041</v>
      </c>
      <c r="Y2" s="253">
        <f t="shared" si="0"/>
        <v>2042</v>
      </c>
      <c r="Z2" s="253">
        <f t="shared" si="0"/>
        <v>2043</v>
      </c>
      <c r="AA2" s="253">
        <f t="shared" si="0"/>
        <v>2044</v>
      </c>
      <c r="AB2" s="253">
        <f t="shared" si="0"/>
        <v>2045</v>
      </c>
      <c r="AC2" s="253">
        <f t="shared" si="0"/>
        <v>2046</v>
      </c>
      <c r="AD2" s="253">
        <f t="shared" si="0"/>
        <v>2047</v>
      </c>
      <c r="AE2" s="253">
        <f t="shared" si="0"/>
        <v>2048</v>
      </c>
      <c r="AF2" s="253">
        <f t="shared" si="0"/>
        <v>2049</v>
      </c>
      <c r="AG2" s="253">
        <f t="shared" si="0"/>
        <v>2050</v>
      </c>
    </row>
    <row r="3" spans="2:34" s="112" customFormat="1" x14ac:dyDescent="0.25">
      <c r="B3" s="113" t="s">
        <v>80</v>
      </c>
      <c r="C3" s="111"/>
      <c r="D3" s="111"/>
      <c r="E3" s="111"/>
      <c r="F3" s="111"/>
      <c r="G3" s="111"/>
      <c r="H3" s="130"/>
      <c r="I3" s="129"/>
      <c r="J3" s="129"/>
      <c r="K3" s="129"/>
      <c r="L3" s="129"/>
      <c r="M3" s="128"/>
      <c r="N3" s="128"/>
      <c r="O3" s="128"/>
      <c r="P3" s="128"/>
      <c r="Q3" s="128"/>
      <c r="R3" s="128"/>
      <c r="S3" s="128"/>
      <c r="T3" s="128"/>
      <c r="U3" s="128"/>
      <c r="V3" s="111"/>
      <c r="W3" s="111"/>
      <c r="X3" s="111"/>
      <c r="Y3" s="111"/>
      <c r="Z3" s="111"/>
      <c r="AA3" s="111"/>
      <c r="AB3" s="111"/>
      <c r="AC3" s="111"/>
      <c r="AD3" s="111"/>
      <c r="AE3" s="111"/>
      <c r="AF3" s="111"/>
      <c r="AG3" s="111"/>
    </row>
    <row r="4" spans="2:34" s="99" customFormat="1" ht="14.25" customHeight="1" x14ac:dyDescent="0.25">
      <c r="B4" s="97" t="s">
        <v>177</v>
      </c>
      <c r="C4" s="98">
        <v>3047553.5753923329</v>
      </c>
      <c r="D4" s="98">
        <v>2085790.5974145432</v>
      </c>
      <c r="E4" s="98">
        <v>1952772.5241614555</v>
      </c>
      <c r="F4" s="98">
        <v>3801668.1708055767</v>
      </c>
      <c r="G4" s="98">
        <v>4239964.0758196823</v>
      </c>
      <c r="H4" s="98">
        <v>4536761.5611270601</v>
      </c>
      <c r="I4" s="98">
        <v>4854334.8704059543</v>
      </c>
      <c r="J4" s="98">
        <v>5194138.3113343716</v>
      </c>
      <c r="K4" s="98">
        <v>5557727.9931277782</v>
      </c>
      <c r="L4" s="98">
        <v>5946768.952646723</v>
      </c>
      <c r="M4" s="98">
        <v>6363042.7793319942</v>
      </c>
      <c r="N4" s="98">
        <v>6681194.9182985947</v>
      </c>
      <c r="O4" s="98">
        <v>7015254.6642135251</v>
      </c>
      <c r="P4" s="98">
        <v>7366017.3974242015</v>
      </c>
      <c r="Q4" s="98">
        <v>7734318.2672954118</v>
      </c>
      <c r="R4" s="98">
        <v>8121034.1806601826</v>
      </c>
      <c r="S4" s="98">
        <v>8527085.8896931913</v>
      </c>
      <c r="T4" s="98">
        <v>8953440.1841778513</v>
      </c>
      <c r="U4" s="98">
        <v>9401112.1933867447</v>
      </c>
      <c r="V4" s="98">
        <v>9871167.8030560818</v>
      </c>
      <c r="W4" s="98">
        <v>10364726.193208886</v>
      </c>
      <c r="X4" s="98">
        <v>10882962.50286933</v>
      </c>
      <c r="Y4" s="98">
        <v>11427110.628012797</v>
      </c>
      <c r="Z4" s="98">
        <v>11998466.159413436</v>
      </c>
      <c r="AA4" s="98">
        <v>12598389.467384109</v>
      </c>
      <c r="AB4" s="98">
        <v>13228308.940753315</v>
      </c>
      <c r="AC4" s="98">
        <v>13889724.387790982</v>
      </c>
      <c r="AD4" s="98">
        <v>14584210.607180532</v>
      </c>
      <c r="AE4" s="98">
        <v>15313421.13753956</v>
      </c>
      <c r="AF4" s="98">
        <v>16079092.194416538</v>
      </c>
      <c r="AG4" s="98">
        <v>16883046.804137364</v>
      </c>
      <c r="AH4" s="98"/>
    </row>
    <row r="5" spans="2:34" s="132" customFormat="1" ht="14.25" customHeight="1" x14ac:dyDescent="0.25">
      <c r="B5" s="149" t="s">
        <v>81</v>
      </c>
      <c r="C5" s="131">
        <f>SUM(C6:C8)</f>
        <v>-137608.56857536561</v>
      </c>
      <c r="D5" s="131">
        <f t="shared" ref="D5:G5" si="1">SUM(D6:D8)</f>
        <v>-139721.68416435449</v>
      </c>
      <c r="E5" s="131">
        <f t="shared" si="1"/>
        <v>-125801.60446657057</v>
      </c>
      <c r="F5" s="131">
        <f t="shared" si="1"/>
        <v>-124830.04385829394</v>
      </c>
      <c r="G5" s="131">
        <f t="shared" si="1"/>
        <v>-131495.48193324319</v>
      </c>
      <c r="H5" s="131">
        <f>G5*1.07</f>
        <v>-140700.16566857023</v>
      </c>
      <c r="I5" s="131">
        <f t="shared" ref="I5:M5" si="2">H5*1.07</f>
        <v>-150549.17726537015</v>
      </c>
      <c r="J5" s="131">
        <f t="shared" si="2"/>
        <v>-161087.61967394606</v>
      </c>
      <c r="K5" s="131">
        <f t="shared" si="2"/>
        <v>-172363.7530511223</v>
      </c>
      <c r="L5" s="131">
        <f t="shared" si="2"/>
        <v>-184429.21576470087</v>
      </c>
      <c r="M5" s="131">
        <f t="shared" si="2"/>
        <v>-197339.26086822993</v>
      </c>
      <c r="N5" s="131">
        <f>M5*1.05</f>
        <v>-207206.22391164143</v>
      </c>
      <c r="O5" s="131">
        <f t="shared" ref="O5:AG5" si="3">N5*1.05</f>
        <v>-217566.53510722352</v>
      </c>
      <c r="P5" s="131">
        <f t="shared" si="3"/>
        <v>-228444.86186258472</v>
      </c>
      <c r="Q5" s="131">
        <f t="shared" si="3"/>
        <v>-239867.10495571396</v>
      </c>
      <c r="R5" s="131">
        <f t="shared" si="3"/>
        <v>-251860.46020349968</v>
      </c>
      <c r="S5" s="131">
        <f t="shared" si="3"/>
        <v>-264453.48321367468</v>
      </c>
      <c r="T5" s="131">
        <f t="shared" si="3"/>
        <v>-277676.15737435844</v>
      </c>
      <c r="U5" s="131">
        <f t="shared" si="3"/>
        <v>-291559.96524307638</v>
      </c>
      <c r="V5" s="131">
        <f t="shared" si="3"/>
        <v>-306137.9635052302</v>
      </c>
      <c r="W5" s="131">
        <f t="shared" si="3"/>
        <v>-321444.86168049171</v>
      </c>
      <c r="X5" s="131">
        <f t="shared" si="3"/>
        <v>-337517.10476451629</v>
      </c>
      <c r="Y5" s="131">
        <f t="shared" si="3"/>
        <v>-354392.96000274213</v>
      </c>
      <c r="Z5" s="131">
        <f t="shared" si="3"/>
        <v>-372112.60800287925</v>
      </c>
      <c r="AA5" s="131">
        <f t="shared" si="3"/>
        <v>-390718.23840302322</v>
      </c>
      <c r="AB5" s="131">
        <f t="shared" si="3"/>
        <v>-410254.15032317437</v>
      </c>
      <c r="AC5" s="131">
        <f t="shared" si="3"/>
        <v>-430766.85783933313</v>
      </c>
      <c r="AD5" s="131">
        <f t="shared" si="3"/>
        <v>-452305.20073129982</v>
      </c>
      <c r="AE5" s="131">
        <f t="shared" si="3"/>
        <v>-474920.46076786483</v>
      </c>
      <c r="AF5" s="131">
        <f t="shared" si="3"/>
        <v>-498666.48380625807</v>
      </c>
      <c r="AG5" s="131">
        <f t="shared" si="3"/>
        <v>-523599.80799657101</v>
      </c>
      <c r="AH5" s="131"/>
    </row>
    <row r="6" spans="2:34" s="132" customFormat="1" outlineLevel="1" x14ac:dyDescent="0.25">
      <c r="B6" s="150" t="s">
        <v>83</v>
      </c>
      <c r="C6" s="131">
        <v>-226054.77683399792</v>
      </c>
      <c r="D6" s="131">
        <v>-228167.8924229868</v>
      </c>
      <c r="E6" s="131">
        <v>-214247.81272520288</v>
      </c>
      <c r="F6" s="131">
        <v>-213276.25211692625</v>
      </c>
      <c r="G6" s="131">
        <v>-219941.6901918755</v>
      </c>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row>
    <row r="7" spans="2:34" s="132" customFormat="1" outlineLevel="1" x14ac:dyDescent="0.25">
      <c r="B7" s="150" t="s">
        <v>65</v>
      </c>
      <c r="C7" s="131">
        <v>-50696.740000000005</v>
      </c>
      <c r="D7" s="131">
        <v>-50696.740000000005</v>
      </c>
      <c r="E7" s="131">
        <v>-50696.740000000005</v>
      </c>
      <c r="F7" s="131">
        <v>-50696.740000000005</v>
      </c>
      <c r="G7" s="131">
        <v>-50696.740000000005</v>
      </c>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row>
    <row r="8" spans="2:34" s="132" customFormat="1" outlineLevel="1" x14ac:dyDescent="0.25">
      <c r="B8" s="150" t="s">
        <v>66</v>
      </c>
      <c r="C8" s="131">
        <v>139142.9482586323</v>
      </c>
      <c r="D8" s="131">
        <v>139142.9482586323</v>
      </c>
      <c r="E8" s="131">
        <v>139142.9482586323</v>
      </c>
      <c r="F8" s="131">
        <v>139142.9482586323</v>
      </c>
      <c r="G8" s="131">
        <v>139142.9482586323</v>
      </c>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row>
    <row r="9" spans="2:34" s="132" customFormat="1" ht="15.75" customHeight="1" x14ac:dyDescent="0.25">
      <c r="B9" s="149" t="s">
        <v>172</v>
      </c>
      <c r="C9" s="131">
        <v>12010.61825442905</v>
      </c>
      <c r="D9" s="131">
        <v>19713.760000000009</v>
      </c>
      <c r="E9" s="131">
        <v>18819.600000000035</v>
      </c>
      <c r="F9" s="131">
        <v>-2486.3931342083379</v>
      </c>
      <c r="G9" s="131">
        <v>-1404.2972948222887</v>
      </c>
      <c r="H9" s="131">
        <v>-1404.2972948222887</v>
      </c>
      <c r="I9" s="131">
        <v>-1404.2972948222887</v>
      </c>
      <c r="J9" s="131">
        <v>-1404.2972948222887</v>
      </c>
      <c r="K9" s="131">
        <v>-1404.2972948222887</v>
      </c>
      <c r="L9" s="131">
        <v>-1404.2972948222887</v>
      </c>
      <c r="M9" s="131">
        <v>-1404.2972948222887</v>
      </c>
      <c r="N9" s="131">
        <v>-1404.2972948222887</v>
      </c>
      <c r="O9" s="131">
        <v>-1404.2972948222887</v>
      </c>
      <c r="P9" s="131">
        <v>-1404.2972948222887</v>
      </c>
      <c r="Q9" s="131">
        <v>-1404.2972948222887</v>
      </c>
      <c r="R9" s="131">
        <v>-1404.2972948222887</v>
      </c>
      <c r="S9" s="131">
        <v>-1404.2972948222887</v>
      </c>
      <c r="T9" s="131">
        <v>-1404.2972948222887</v>
      </c>
      <c r="U9" s="131">
        <v>-1404.2972948222887</v>
      </c>
      <c r="V9" s="131">
        <v>-1404.2972948222887</v>
      </c>
      <c r="W9" s="131">
        <v>-1404.2972948222887</v>
      </c>
      <c r="X9" s="131">
        <v>-1404.2972948222887</v>
      </c>
      <c r="Y9" s="131">
        <v>-1404.2972948222887</v>
      </c>
      <c r="Z9" s="131">
        <v>-1404.2972948222887</v>
      </c>
      <c r="AA9" s="131">
        <v>-1404.2972948222887</v>
      </c>
      <c r="AB9" s="131">
        <v>-1404.2972948222887</v>
      </c>
      <c r="AC9" s="131">
        <v>-1404.2972948222887</v>
      </c>
      <c r="AD9" s="131">
        <v>-1404.2972948222887</v>
      </c>
      <c r="AE9" s="131">
        <v>-1404.2972948222887</v>
      </c>
      <c r="AF9" s="131">
        <v>-1404.2972948222887</v>
      </c>
      <c r="AG9" s="131">
        <v>-1404.2972948222887</v>
      </c>
    </row>
    <row r="10" spans="2:34" s="109" customFormat="1" ht="15.75" customHeight="1" x14ac:dyDescent="0.25">
      <c r="B10" s="97" t="s">
        <v>176</v>
      </c>
      <c r="C10" s="98">
        <f t="shared" ref="C10:AG10" si="4">C4+C5+C9</f>
        <v>2921955.6250713966</v>
      </c>
      <c r="D10" s="98">
        <f t="shared" si="4"/>
        <v>1965782.6732501886</v>
      </c>
      <c r="E10" s="98">
        <f t="shared" si="4"/>
        <v>1845790.519694885</v>
      </c>
      <c r="F10" s="98">
        <f t="shared" si="4"/>
        <v>3674351.7338130744</v>
      </c>
      <c r="G10" s="98">
        <f t="shared" si="4"/>
        <v>4107064.2965916172</v>
      </c>
      <c r="H10" s="98">
        <f t="shared" si="4"/>
        <v>4394657.0981636671</v>
      </c>
      <c r="I10" s="98">
        <f t="shared" si="4"/>
        <v>4702381.3958457615</v>
      </c>
      <c r="J10" s="98">
        <f t="shared" si="4"/>
        <v>5031646.3943656031</v>
      </c>
      <c r="K10" s="98">
        <f t="shared" si="4"/>
        <v>5383959.942781833</v>
      </c>
      <c r="L10" s="98">
        <f t="shared" si="4"/>
        <v>5760935.4395872001</v>
      </c>
      <c r="M10" s="98">
        <f t="shared" si="4"/>
        <v>6164299.2211689418</v>
      </c>
      <c r="N10" s="98">
        <f t="shared" si="4"/>
        <v>6472584.397092131</v>
      </c>
      <c r="O10" s="98">
        <f t="shared" si="4"/>
        <v>6796283.8318114793</v>
      </c>
      <c r="P10" s="98">
        <f t="shared" si="4"/>
        <v>7136168.238266794</v>
      </c>
      <c r="Q10" s="98">
        <f t="shared" si="4"/>
        <v>7493046.8650448751</v>
      </c>
      <c r="R10" s="98">
        <f t="shared" si="4"/>
        <v>7867769.4231618606</v>
      </c>
      <c r="S10" s="98">
        <f t="shared" si="4"/>
        <v>8261228.1091846945</v>
      </c>
      <c r="T10" s="98">
        <f t="shared" si="4"/>
        <v>8674359.7295086719</v>
      </c>
      <c r="U10" s="98">
        <f t="shared" si="4"/>
        <v>9108147.9308488462</v>
      </c>
      <c r="V10" s="98">
        <f t="shared" si="4"/>
        <v>9563625.5422560293</v>
      </c>
      <c r="W10" s="98">
        <f t="shared" si="4"/>
        <v>10041877.034233574</v>
      </c>
      <c r="X10" s="98">
        <f t="shared" si="4"/>
        <v>10544041.100809993</v>
      </c>
      <c r="Y10" s="98">
        <f t="shared" si="4"/>
        <v>11071313.370715233</v>
      </c>
      <c r="Z10" s="98">
        <f t="shared" si="4"/>
        <v>11624949.254115736</v>
      </c>
      <c r="AA10" s="98">
        <f t="shared" si="4"/>
        <v>12206266.931686264</v>
      </c>
      <c r="AB10" s="98">
        <f t="shared" si="4"/>
        <v>12816650.493135318</v>
      </c>
      <c r="AC10" s="98">
        <f t="shared" si="4"/>
        <v>13457553.232656827</v>
      </c>
      <c r="AD10" s="98">
        <f t="shared" si="4"/>
        <v>14130501.109154411</v>
      </c>
      <c r="AE10" s="98">
        <f t="shared" si="4"/>
        <v>14837096.379476873</v>
      </c>
      <c r="AF10" s="98">
        <f t="shared" si="4"/>
        <v>15579021.413315458</v>
      </c>
      <c r="AG10" s="98">
        <f t="shared" si="4"/>
        <v>16358042.698845971</v>
      </c>
    </row>
    <row r="11" spans="2:34" s="99" customFormat="1" x14ac:dyDescent="0.25">
      <c r="B11" s="105" t="s">
        <v>67</v>
      </c>
      <c r="C11" s="9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row>
    <row r="12" spans="2:34" s="99" customFormat="1" x14ac:dyDescent="0.25">
      <c r="B12" s="100" t="s">
        <v>68</v>
      </c>
      <c r="C12" s="98">
        <v>-24150000</v>
      </c>
      <c r="D12" s="98">
        <v>-1350000</v>
      </c>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row>
    <row r="13" spans="2:34" s="99" customFormat="1" x14ac:dyDescent="0.25">
      <c r="B13" s="100" t="s">
        <v>69</v>
      </c>
      <c r="C13" s="98">
        <v>2200000</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row>
    <row r="14" spans="2:34" s="99" customFormat="1" x14ac:dyDescent="0.25">
      <c r="B14" s="100" t="s">
        <v>72</v>
      </c>
      <c r="C14" s="98">
        <v>-320000</v>
      </c>
      <c r="D14" s="98">
        <v>-320000</v>
      </c>
      <c r="E14" s="98">
        <v>-320000</v>
      </c>
      <c r="F14" s="98">
        <v>-320000</v>
      </c>
      <c r="G14" s="98">
        <v>-320000</v>
      </c>
      <c r="H14" s="98">
        <v>-320000</v>
      </c>
      <c r="I14" s="98">
        <v>-320000</v>
      </c>
      <c r="J14" s="98">
        <v>-320000</v>
      </c>
      <c r="K14" s="98">
        <v>-320000</v>
      </c>
      <c r="L14" s="98">
        <v>-320000</v>
      </c>
      <c r="M14" s="98">
        <v>-320000</v>
      </c>
      <c r="N14" s="98">
        <v>-320000</v>
      </c>
      <c r="O14" s="98">
        <v>-320000</v>
      </c>
      <c r="P14" s="98">
        <v>-320000</v>
      </c>
      <c r="Q14" s="98">
        <v>-320000</v>
      </c>
      <c r="R14" s="98"/>
      <c r="S14" s="98"/>
      <c r="T14" s="98"/>
      <c r="U14" s="98"/>
      <c r="V14" s="98"/>
      <c r="W14" s="98"/>
      <c r="X14" s="98"/>
      <c r="Y14" s="98"/>
      <c r="Z14" s="98"/>
      <c r="AA14" s="98"/>
      <c r="AB14" s="98"/>
      <c r="AC14" s="98"/>
      <c r="AD14" s="98"/>
      <c r="AE14" s="98"/>
      <c r="AF14" s="98"/>
      <c r="AG14" s="98"/>
    </row>
    <row r="15" spans="2:34" s="99" customFormat="1" x14ac:dyDescent="0.25">
      <c r="B15" s="100" t="s">
        <v>70</v>
      </c>
      <c r="C15" s="98">
        <v>-192600</v>
      </c>
      <c r="D15" s="98">
        <v>-192600</v>
      </c>
      <c r="E15" s="98">
        <v>-192600</v>
      </c>
      <c r="F15" s="98">
        <v>-192600</v>
      </c>
      <c r="G15" s="98">
        <v>-192600</v>
      </c>
      <c r="H15" s="98">
        <v>-192600</v>
      </c>
      <c r="I15" s="98">
        <v>-192600</v>
      </c>
      <c r="J15" s="98">
        <v>-192600</v>
      </c>
      <c r="K15" s="98">
        <v>-192600</v>
      </c>
      <c r="L15" s="98">
        <v>-192600</v>
      </c>
      <c r="M15" s="98"/>
      <c r="N15" s="98"/>
      <c r="O15" s="98"/>
      <c r="P15" s="98"/>
      <c r="Q15" s="98"/>
      <c r="R15" s="98"/>
      <c r="S15" s="98"/>
      <c r="T15" s="98"/>
      <c r="U15" s="98"/>
      <c r="V15" s="98"/>
      <c r="W15" s="98"/>
      <c r="X15" s="98"/>
      <c r="Y15" s="98"/>
      <c r="Z15" s="98"/>
      <c r="AA15" s="98"/>
      <c r="AB15" s="98"/>
      <c r="AC15" s="98"/>
      <c r="AD15" s="98"/>
      <c r="AE15" s="98"/>
      <c r="AF15" s="98"/>
      <c r="AG15" s="98"/>
    </row>
    <row r="16" spans="2:34" s="99" customFormat="1" x14ac:dyDescent="0.25">
      <c r="B16" s="100" t="s">
        <v>74</v>
      </c>
      <c r="C16" s="98">
        <v>179760</v>
      </c>
      <c r="D16" s="98">
        <v>166002.85714285716</v>
      </c>
      <c r="E16" s="98">
        <v>151187.47252747254</v>
      </c>
      <c r="F16" s="98">
        <v>135137.47252747254</v>
      </c>
      <c r="G16" s="98">
        <v>117628.38161838165</v>
      </c>
      <c r="H16" s="98">
        <v>98368.381618381653</v>
      </c>
      <c r="I16" s="98">
        <v>76968.381618381653</v>
      </c>
      <c r="J16" s="98">
        <v>52893.381618381653</v>
      </c>
      <c r="K16" s="98">
        <v>25379.095904095913</v>
      </c>
      <c r="L16" s="98">
        <v>-6720.9040959040867</v>
      </c>
      <c r="M16" s="98">
        <v>-199320.90409590409</v>
      </c>
      <c r="N16" s="98">
        <v>-199320.90409590409</v>
      </c>
      <c r="O16" s="98">
        <v>-199320.90409590409</v>
      </c>
      <c r="P16" s="98">
        <v>-199320.90409590409</v>
      </c>
      <c r="Q16" s="98">
        <v>-199320.90409590409</v>
      </c>
      <c r="R16" s="98"/>
      <c r="S16" s="98"/>
      <c r="T16" s="98"/>
      <c r="U16" s="98"/>
      <c r="V16" s="98"/>
      <c r="W16" s="98"/>
      <c r="X16" s="98"/>
      <c r="Y16" s="98"/>
      <c r="Z16" s="98"/>
      <c r="AA16" s="98"/>
      <c r="AB16" s="98"/>
      <c r="AC16" s="98"/>
      <c r="AD16" s="98"/>
      <c r="AE16" s="98"/>
      <c r="AF16" s="98"/>
      <c r="AG16" s="98"/>
    </row>
    <row r="17" spans="2:34" s="99" customFormat="1" x14ac:dyDescent="0.25">
      <c r="B17" s="105" t="s">
        <v>71</v>
      </c>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row>
    <row r="18" spans="2:34" s="99" customFormat="1" x14ac:dyDescent="0.25">
      <c r="B18" s="100" t="s">
        <v>97</v>
      </c>
      <c r="C18" s="98">
        <v>-1238277.1788521544</v>
      </c>
      <c r="D18" s="98">
        <v>-1467866.2064979838</v>
      </c>
      <c r="E18" s="98">
        <v>-1501416.2196882081</v>
      </c>
      <c r="F18" s="98">
        <v>-1570189.2341665674</v>
      </c>
      <c r="G18" s="98">
        <v>-1629489.3527626386</v>
      </c>
      <c r="H18" s="98">
        <v>-1716198.0824798942</v>
      </c>
      <c r="I18" s="98">
        <v>-1749130.5735618612</v>
      </c>
      <c r="J18" s="98">
        <v>-1788134.7882741638</v>
      </c>
      <c r="K18" s="98">
        <v>-1833640.0703354543</v>
      </c>
      <c r="L18" s="98">
        <v>-1886105.9531270356</v>
      </c>
      <c r="M18" s="98">
        <v>-1967866.5406418208</v>
      </c>
      <c r="N18" s="98">
        <v>-2065326.4025926529</v>
      </c>
      <c r="O18" s="98">
        <v>-2155011.3805469326</v>
      </c>
      <c r="P18" s="98">
        <v>-2249251.607865076</v>
      </c>
      <c r="Q18" s="98">
        <v>-2348277.3952973215</v>
      </c>
      <c r="R18" s="98">
        <v>-2452330.6497625615</v>
      </c>
      <c r="S18" s="98">
        <v>-2561665.4566175351</v>
      </c>
      <c r="T18" s="98">
        <v>-2676548.691113722</v>
      </c>
      <c r="U18" s="98">
        <v>-2797260.6605035593</v>
      </c>
      <c r="V18" s="98">
        <v>-2924095.7783307275</v>
      </c>
      <c r="W18" s="98">
        <v>-3057363.2725161039</v>
      </c>
      <c r="X18" s="98">
        <v>-3197387.9289315771</v>
      </c>
      <c r="Y18" s="98">
        <v>-3346124.049220975</v>
      </c>
      <c r="Z18" s="98">
        <v>-3503978.3121140897</v>
      </c>
      <c r="AA18" s="98">
        <v>-3671376.8680178225</v>
      </c>
      <c r="AB18" s="98">
        <v>-3848766.2867780011</v>
      </c>
      <c r="AC18" s="98">
        <v>-4035001.3750727638</v>
      </c>
      <c r="AD18" s="98">
        <v>-4230524.1783648068</v>
      </c>
      <c r="AE18" s="98">
        <v>-4435798.8420098163</v>
      </c>
      <c r="AF18" s="98">
        <v>-4651312.7162273265</v>
      </c>
      <c r="AG18" s="98">
        <v>-4877577.5163198663</v>
      </c>
      <c r="AH18" s="115"/>
    </row>
    <row r="19" spans="2:34" s="99" customFormat="1" x14ac:dyDescent="0.25">
      <c r="B19" s="100" t="s">
        <v>153</v>
      </c>
      <c r="C19" s="98">
        <v>0</v>
      </c>
      <c r="D19" s="98">
        <f>-Pricing!$I13/1000</f>
        <v>-125863.42657777778</v>
      </c>
      <c r="E19" s="98">
        <f>-(Pricing!$I14+Pricing!$I15)/1000</f>
        <v>-200726.08769465669</v>
      </c>
      <c r="F19" s="98">
        <f>-(Pricing!$I16+Pricing!$I17)/1000</f>
        <v>-198913.13034909058</v>
      </c>
      <c r="G19" s="98">
        <f>-(Pricing!$I18+Pricing!$I19)/1000</f>
        <v>-196658.61281160687</v>
      </c>
      <c r="H19" s="98">
        <f>-(Pricing!$I20+Pricing!$I21)/1000</f>
        <v>-193130.34242481791</v>
      </c>
      <c r="I19" s="98">
        <f>-(Pricing!$I23+Pricing!$I22)/1000</f>
        <v>-189537.38731983112</v>
      </c>
      <c r="J19" s="98">
        <f>-(Pricing!$I24+Pricing!$I25)/1000</f>
        <v>-185878.56161452591</v>
      </c>
      <c r="K19" s="98">
        <f>-(Pricing!$I26+Pricing!$I27)/1000</f>
        <v>-182152.65768568974</v>
      </c>
      <c r="L19" s="98">
        <f>-(Pricing!$I29+Pricing!$I28)/1000</f>
        <v>-178358.445770433</v>
      </c>
      <c r="M19" s="98">
        <f>-(Pricing!$I30+Pricing!$I31)/1000</f>
        <v>-173836.45301409901</v>
      </c>
      <c r="N19" s="98">
        <f>-(Pricing!$I33+Pricing!$I32)/1000</f>
        <v>-168163.69336268821</v>
      </c>
      <c r="O19" s="98">
        <f>-(Pricing!$I34+Pricing!$I35)/1000</f>
        <v>-162341.4488470155</v>
      </c>
      <c r="P19" s="98">
        <f>-(Pricing!$I37+Pricing!$I36)/1000</f>
        <v>-156365.78033938701</v>
      </c>
      <c r="Q19" s="98">
        <f>-(Pricing!$I38+Pricing!$I39)/1000</f>
        <v>-150232.64491078374</v>
      </c>
      <c r="R19" s="98">
        <f>-(Pricing!$I41+Pricing!$I40)/1000</f>
        <v>-143937.89309555691</v>
      </c>
      <c r="S19" s="98">
        <f>-(Pricing!$I42+Pricing!$I43)/1000</f>
        <v>-137459.42512263299</v>
      </c>
      <c r="T19" s="98">
        <f>-(Pricing!$I45+Pricing!$I44)/1000</f>
        <v>-130441.94807366318</v>
      </c>
      <c r="U19" s="98">
        <f>-(Pricing!$I46+Pricing!$I47)/1000</f>
        <v>-123122.30176869094</v>
      </c>
      <c r="V19" s="98">
        <f>-(Pricing!$I49+Pricing!$I48)/1000</f>
        <v>-115595.52848606929</v>
      </c>
      <c r="W19" s="98">
        <f>-(Pricing!$I50+Pricing!$I51)/1000</f>
        <v>-107855.76707034305</v>
      </c>
      <c r="X19" s="98">
        <f>-(Pricing!$I53+Pricing!$I52)/1000</f>
        <v>-99896.990510582036</v>
      </c>
      <c r="Y19" s="98">
        <f>-(Pricing!$I54+Pricing!$I55)/1000</f>
        <v>-91519.358595286249</v>
      </c>
      <c r="Z19" s="98">
        <f>-(Pricing!$I57+Pricing!$I56)/1000</f>
        <v>-82542.791322244491</v>
      </c>
      <c r="AA19" s="98">
        <f>-(Pricing!$I58+Pricing!$I59)/1000</f>
        <v>-73295.453968243077</v>
      </c>
      <c r="AB19" s="98">
        <f>-(Pricing!$I61+Pricing!$I60)/1000</f>
        <v>-63769.178997239229</v>
      </c>
      <c r="AC19" s="98">
        <f>-(Pricing!$I62+Pricing!$I63)/1000</f>
        <v>-53955.552506808875</v>
      </c>
      <c r="AD19" s="98">
        <f>-(Pricing!$I65+Pricing!$I64)/1000</f>
        <v>-43559.623313429176</v>
      </c>
      <c r="AE19" s="98">
        <f>-(Pricing!$I66+Pricing!$I67)/1000</f>
        <v>-32441.622130167543</v>
      </c>
      <c r="AF19" s="98">
        <f>-(Pricing!$I69+Pricing!$I68)/1000</f>
        <v>-20965.902354085996</v>
      </c>
      <c r="AG19" s="98">
        <f>-(Pricing!$I70+Pricing!$I71)/1000</f>
        <v>-9120.9544890494126</v>
      </c>
    </row>
    <row r="20" spans="2:34" s="99" customFormat="1" x14ac:dyDescent="0.25">
      <c r="B20" s="100" t="s">
        <v>95</v>
      </c>
      <c r="C20" s="98">
        <v>0</v>
      </c>
      <c r="D20" s="98">
        <f>'Table 6-3'!D37*1000</f>
        <v>0</v>
      </c>
      <c r="E20" s="98">
        <f>'Table 6-3'!E37*1000/(1-('Table 6-3'!$C$11+'Table 6-3'!$C$12))</f>
        <v>51515.123247556759</v>
      </c>
      <c r="F20" s="98">
        <f>'Table 6-3'!F37*1000/(1-('Table 6-3'!$C$11+'Table 6-3'!$C$12))</f>
        <v>60342.837864413552</v>
      </c>
      <c r="G20" s="98">
        <f>'Table 6-3'!G37*1000/(1-('Table 6-3'!$C$11+'Table 6-3'!$C$12))</f>
        <v>49967.823594089336</v>
      </c>
      <c r="H20" s="98">
        <f>'Table 6-3'!H37*1000/(1-('Table 6-3'!$C$11+'Table 6-3'!$C$12))</f>
        <v>38335.611933098269</v>
      </c>
      <c r="I20" s="98">
        <f>'Table 6-3'!I37*1000/(1-('Table 6-3'!$C$11+'Table 6-3'!$C$12))</f>
        <v>27234.359537298533</v>
      </c>
      <c r="J20" s="98">
        <f>'Table 6-3'!J37*1000/(1-('Table 6-3'!$C$11+'Table 6-3'!$C$12))</f>
        <v>25061.41252584464</v>
      </c>
      <c r="K20" s="98">
        <f>'Table 6-3'!K37*1000/(1-('Table 6-3'!$C$11+'Table 6-3'!$C$12))</f>
        <v>32474.045056704312</v>
      </c>
      <c r="L20" s="98">
        <f>'Table 6-3'!L37*1000/(1-('Table 6-3'!$C$11+'Table 6-3'!$C$12))</f>
        <v>43753.193325488319</v>
      </c>
      <c r="M20" s="98">
        <f>'Table 6-3'!M37*1000/(1-('Table 6-3'!$C$11+'Table 6-3'!$C$12))</f>
        <v>58295.403158437199</v>
      </c>
      <c r="N20" s="98">
        <f>'Table 6-3'!N37*1000/(1-('Table 6-3'!$C$11+'Table 6-3'!$C$12))</f>
        <v>76728.434751515742</v>
      </c>
      <c r="O20" s="98">
        <f>'Table 6-3'!O37*1000/(1-('Table 6-3'!$C$11+'Table 6-3'!$C$12))</f>
        <v>98753.927548611129</v>
      </c>
      <c r="P20" s="98">
        <f>'Table 6-3'!P37*1000/(1-('Table 6-3'!$C$11+'Table 6-3'!$C$12))</f>
        <v>123751.01898230116</v>
      </c>
      <c r="Q20" s="98">
        <f>'Table 6-3'!Q37*1000/(1-('Table 6-3'!$C$11+'Table 6-3'!$C$12))</f>
        <v>152008.0252036757</v>
      </c>
      <c r="R20" s="98">
        <f>'Table 6-3'!R37*1000/(1-('Table 6-3'!$C$11+'Table 6-3'!$C$12))</f>
        <v>180630.14552874389</v>
      </c>
      <c r="S20" s="98">
        <f>'Table 6-3'!S37*1000/(1-('Table 6-3'!$C$11+'Table 6-3'!$C$12))</f>
        <v>191943.36906054325</v>
      </c>
      <c r="T20" s="98">
        <f>'Table 6-3'!T37*1000/(1-('Table 6-3'!$C$11+'Table 6-3'!$C$12))</f>
        <v>184443.2830167145</v>
      </c>
      <c r="U20" s="98">
        <f>'Table 6-3'!U37*1000/(1-('Table 6-3'!$C$11+'Table 6-3'!$C$12))</f>
        <v>173970.60636887333</v>
      </c>
      <c r="V20" s="98">
        <f>'Table 6-3'!V37*1000/(1-('Table 6-3'!$C$11+'Table 6-3'!$C$12))</f>
        <v>163202.20387369776</v>
      </c>
      <c r="W20" s="98">
        <f>'Table 6-3'!W37*1000/(1-('Table 6-3'!$C$11+'Table 6-3'!$C$12))</f>
        <v>152129.72486977419</v>
      </c>
      <c r="X20" s="98">
        <f>'Table 6-3'!X37*1000/(1-('Table 6-3'!$C$11+'Table 6-3'!$C$12))</f>
        <v>140744.58289098431</v>
      </c>
      <c r="Y20" s="98">
        <f>'Table 6-3'!Y37*1000/(1-('Table 6-3'!$C$11+'Table 6-3'!$C$12))</f>
        <v>129037.94900788808</v>
      </c>
      <c r="Z20" s="98">
        <f>'Table 6-3'!Z37*1000/(1-('Table 6-3'!$C$11+'Table 6-3'!$C$12))</f>
        <v>117000.74498108122</v>
      </c>
      <c r="AA20" s="98">
        <f>'Table 6-3'!AA37*1000/(1-('Table 6-3'!$C$11+'Table 6-3'!$C$12))</f>
        <v>104623.63622121861</v>
      </c>
      <c r="AB20" s="98">
        <f>'Table 6-3'!AB37*1000/(1-('Table 6-3'!$C$11+'Table 6-3'!$C$12))</f>
        <v>91897.024550243586</v>
      </c>
      <c r="AC20" s="98">
        <f>'Table 6-3'!AC37*1000/(1-('Table 6-3'!$C$11+'Table 6-3'!$C$12))</f>
        <v>78811.040758210089</v>
      </c>
      <c r="AD20" s="98">
        <f>'Table 6-3'!AD37*1000/(1-('Table 6-3'!$C$11+'Table 6-3'!$C$12))</f>
        <v>65355.536949925525</v>
      </c>
      <c r="AE20" s="98">
        <f>'Table 6-3'!AE37*1000/(1-('Table 6-3'!$C$11+'Table 6-3'!$C$12))</f>
        <v>51520.078675479206</v>
      </c>
      <c r="AF20" s="98">
        <f>'Table 6-3'!AF37*1000/(1-('Table 6-3'!$C$11+'Table 6-3'!$C$12))</f>
        <v>37293.936838553855</v>
      </c>
      <c r="AG20" s="98">
        <f>'Table 6-3'!AG37*1000/(1-('Table 6-3'!$C$11+'Table 6-3'!$C$12))</f>
        <v>22666.07937624535</v>
      </c>
    </row>
    <row r="21" spans="2:34" x14ac:dyDescent="0.25">
      <c r="B21" s="299" t="s">
        <v>173</v>
      </c>
      <c r="C21" s="300">
        <f t="shared" ref="C21:AG21" si="5">C10+SUM(C12:C20)</f>
        <v>-20599161.553780761</v>
      </c>
      <c r="D21" s="300">
        <f t="shared" si="5"/>
        <v>-1324544.1026827157</v>
      </c>
      <c r="E21" s="300">
        <f t="shared" si="5"/>
        <v>-166249.19191295025</v>
      </c>
      <c r="F21" s="300">
        <f t="shared" si="5"/>
        <v>1588129.6796893023</v>
      </c>
      <c r="G21" s="300">
        <f t="shared" si="5"/>
        <v>1935912.5362298423</v>
      </c>
      <c r="H21" s="300">
        <f t="shared" si="5"/>
        <v>2109432.6668104348</v>
      </c>
      <c r="I21" s="300">
        <f t="shared" si="5"/>
        <v>2355316.176119749</v>
      </c>
      <c r="J21" s="300">
        <f t="shared" si="5"/>
        <v>2622987.8386211395</v>
      </c>
      <c r="K21" s="300">
        <f t="shared" si="5"/>
        <v>2913420.3557214895</v>
      </c>
      <c r="L21" s="300">
        <f t="shared" si="5"/>
        <v>3220903.3299193154</v>
      </c>
      <c r="M21" s="300">
        <f t="shared" si="5"/>
        <v>3561570.7265755548</v>
      </c>
      <c r="N21" s="300">
        <f t="shared" si="5"/>
        <v>3796501.8317924016</v>
      </c>
      <c r="O21" s="300">
        <f t="shared" si="5"/>
        <v>4058364.0258702384</v>
      </c>
      <c r="P21" s="300">
        <f t="shared" si="5"/>
        <v>4334980.9649487287</v>
      </c>
      <c r="Q21" s="300">
        <f t="shared" si="5"/>
        <v>4627223.9459445421</v>
      </c>
      <c r="R21" s="300">
        <f t="shared" si="5"/>
        <v>5452131.0258324854</v>
      </c>
      <c r="S21" s="300">
        <f t="shared" si="5"/>
        <v>5754046.5965050701</v>
      </c>
      <c r="T21" s="300">
        <f t="shared" si="5"/>
        <v>6051812.3733380008</v>
      </c>
      <c r="U21" s="300">
        <f t="shared" si="5"/>
        <v>6361735.5749454694</v>
      </c>
      <c r="V21" s="300">
        <f t="shared" si="5"/>
        <v>6687136.4393129302</v>
      </c>
      <c r="W21" s="300">
        <f t="shared" si="5"/>
        <v>7028787.7195169013</v>
      </c>
      <c r="X21" s="300">
        <f t="shared" si="5"/>
        <v>7387500.7642588187</v>
      </c>
      <c r="Y21" s="300">
        <f t="shared" si="5"/>
        <v>7762707.9119068589</v>
      </c>
      <c r="Z21" s="300">
        <f t="shared" si="5"/>
        <v>8155428.8956604833</v>
      </c>
      <c r="AA21" s="300">
        <f t="shared" si="5"/>
        <v>8566218.2459214162</v>
      </c>
      <c r="AB21" s="300">
        <f t="shared" si="5"/>
        <v>8996012.0519103222</v>
      </c>
      <c r="AC21" s="300">
        <f t="shared" si="5"/>
        <v>9447407.3458354659</v>
      </c>
      <c r="AD21" s="300">
        <f t="shared" si="5"/>
        <v>9921772.8444260992</v>
      </c>
      <c r="AE21" s="300">
        <f t="shared" si="5"/>
        <v>10420375.994012369</v>
      </c>
      <c r="AF21" s="300">
        <f t="shared" si="5"/>
        <v>10944036.7315726</v>
      </c>
      <c r="AG21" s="300">
        <f t="shared" si="5"/>
        <v>11494010.3074133</v>
      </c>
    </row>
    <row r="22" spans="2:34" x14ac:dyDescent="0.25">
      <c r="B22" s="254"/>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row>
    <row r="23" spans="2:34" s="99" customFormat="1" x14ac:dyDescent="0.25">
      <c r="B23" s="114" t="s">
        <v>82</v>
      </c>
      <c r="C23" s="98"/>
      <c r="D23" s="98"/>
      <c r="E23" s="98"/>
      <c r="F23" s="98"/>
      <c r="G23" s="98"/>
      <c r="H23" s="129"/>
      <c r="I23" s="129"/>
      <c r="J23" s="129"/>
      <c r="K23" s="129"/>
      <c r="L23" s="129"/>
      <c r="M23" s="128"/>
      <c r="N23" s="128"/>
      <c r="O23" s="128"/>
      <c r="P23" s="128"/>
      <c r="Q23" s="128"/>
      <c r="R23" s="128"/>
      <c r="S23" s="128"/>
      <c r="T23" s="128"/>
      <c r="U23" s="128"/>
      <c r="V23" s="98"/>
      <c r="W23" s="98"/>
      <c r="X23" s="98"/>
      <c r="Y23" s="98"/>
      <c r="Z23" s="98"/>
      <c r="AA23" s="98"/>
      <c r="AB23" s="98"/>
      <c r="AC23" s="98"/>
      <c r="AD23" s="98"/>
      <c r="AE23" s="98"/>
      <c r="AF23" s="98"/>
      <c r="AG23" s="98"/>
    </row>
    <row r="24" spans="2:34" s="107" customFormat="1" ht="14.25" customHeight="1" x14ac:dyDescent="0.25">
      <c r="B24" s="101" t="s">
        <v>177</v>
      </c>
      <c r="C24" s="102">
        <v>2438197.3896909249</v>
      </c>
      <c r="D24" s="102">
        <v>1577292.4425574332</v>
      </c>
      <c r="E24" s="102">
        <v>1497350.0917886824</v>
      </c>
      <c r="F24" s="102">
        <v>3129791.7946986612</v>
      </c>
      <c r="G24" s="102">
        <v>3538113.5781196677</v>
      </c>
      <c r="H24" s="102">
        <v>3785781.5285880445</v>
      </c>
      <c r="I24" s="102">
        <v>4050786.2355892076</v>
      </c>
      <c r="J24" s="102">
        <v>4334341.2720804522</v>
      </c>
      <c r="K24" s="102">
        <v>4637745.1611260837</v>
      </c>
      <c r="L24" s="102">
        <v>4962387.3224049099</v>
      </c>
      <c r="M24" s="102">
        <v>5309754.4349732539</v>
      </c>
      <c r="N24" s="102">
        <v>5575242.156721917</v>
      </c>
      <c r="O24" s="102">
        <v>5854004.2645580135</v>
      </c>
      <c r="P24" s="102">
        <v>6146704.4777859142</v>
      </c>
      <c r="Q24" s="102">
        <v>6454039.7016752101</v>
      </c>
      <c r="R24" s="102">
        <v>6776741.6867589708</v>
      </c>
      <c r="S24" s="102">
        <v>7115578.7710969197</v>
      </c>
      <c r="T24" s="102">
        <v>7471357.7096517663</v>
      </c>
      <c r="U24" s="102">
        <v>7844925.5951343551</v>
      </c>
      <c r="V24" s="102">
        <v>8237171.8748910734</v>
      </c>
      <c r="W24" s="102">
        <v>8649030.468635628</v>
      </c>
      <c r="X24" s="102">
        <v>9081481.9920674097</v>
      </c>
      <c r="Y24" s="102">
        <v>9535556.0916707814</v>
      </c>
      <c r="Z24" s="102">
        <v>10012333.896254322</v>
      </c>
      <c r="AA24" s="102">
        <v>10512950.591067038</v>
      </c>
      <c r="AB24" s="102">
        <v>11038598.12062039</v>
      </c>
      <c r="AC24" s="102">
        <v>11590528.02665141</v>
      </c>
      <c r="AD24" s="102">
        <v>12170054.427983981</v>
      </c>
      <c r="AE24" s="102">
        <v>12778557.14938318</v>
      </c>
      <c r="AF24" s="102">
        <v>13417485.00685234</v>
      </c>
      <c r="AG24" s="102">
        <v>14088359.257194957</v>
      </c>
      <c r="AH24" s="106"/>
    </row>
    <row r="25" spans="2:34" s="151" customFormat="1" ht="14.25" customHeight="1" x14ac:dyDescent="0.25">
      <c r="B25" s="152" t="s">
        <v>81</v>
      </c>
      <c r="C25" s="153">
        <f>SUM(C26:C29)</f>
        <v>-137608.56857536561</v>
      </c>
      <c r="D25" s="153">
        <f t="shared" ref="D25:G25" si="6">SUM(D26:D29)</f>
        <v>-139721.68416435449</v>
      </c>
      <c r="E25" s="153">
        <f t="shared" si="6"/>
        <v>-196915.81903066556</v>
      </c>
      <c r="F25" s="153">
        <f t="shared" si="6"/>
        <v>-201988.61020367782</v>
      </c>
      <c r="G25" s="153">
        <f t="shared" si="6"/>
        <v>-210545.77220215584</v>
      </c>
      <c r="H25" s="153">
        <f>G25*1.07</f>
        <v>-225283.97625630678</v>
      </c>
      <c r="I25" s="153">
        <f t="shared" ref="I25:M25" si="7">H25*1.07</f>
        <v>-241053.85459424826</v>
      </c>
      <c r="J25" s="153">
        <f t="shared" si="7"/>
        <v>-257927.62441584564</v>
      </c>
      <c r="K25" s="153">
        <f t="shared" si="7"/>
        <v>-275982.55812495487</v>
      </c>
      <c r="L25" s="153">
        <f t="shared" si="7"/>
        <v>-295301.33719370171</v>
      </c>
      <c r="M25" s="153">
        <f t="shared" si="7"/>
        <v>-315972.43079726084</v>
      </c>
      <c r="N25" s="153">
        <f>M25*1.05</f>
        <v>-331771.0523371239</v>
      </c>
      <c r="O25" s="153">
        <f t="shared" ref="O25:AG25" si="8">N25*1.05</f>
        <v>-348359.60495398013</v>
      </c>
      <c r="P25" s="153">
        <f t="shared" si="8"/>
        <v>-365777.58520167915</v>
      </c>
      <c r="Q25" s="153">
        <f t="shared" si="8"/>
        <v>-384066.4644617631</v>
      </c>
      <c r="R25" s="153">
        <f t="shared" si="8"/>
        <v>-403269.78768485127</v>
      </c>
      <c r="S25" s="153">
        <f t="shared" si="8"/>
        <v>-423433.27706909383</v>
      </c>
      <c r="T25" s="153">
        <f t="shared" si="8"/>
        <v>-444604.94092254853</v>
      </c>
      <c r="U25" s="153">
        <f t="shared" si="8"/>
        <v>-466835.18796867598</v>
      </c>
      <c r="V25" s="153">
        <f t="shared" si="8"/>
        <v>-490176.94736710982</v>
      </c>
      <c r="W25" s="153">
        <f t="shared" si="8"/>
        <v>-514685.79473546532</v>
      </c>
      <c r="X25" s="153">
        <f t="shared" si="8"/>
        <v>-540420.08447223855</v>
      </c>
      <c r="Y25" s="153">
        <f t="shared" si="8"/>
        <v>-567441.08869585046</v>
      </c>
      <c r="Z25" s="153">
        <f t="shared" si="8"/>
        <v>-595813.14313064306</v>
      </c>
      <c r="AA25" s="153">
        <f t="shared" si="8"/>
        <v>-625603.80028717523</v>
      </c>
      <c r="AB25" s="153">
        <f t="shared" si="8"/>
        <v>-656883.99030153407</v>
      </c>
      <c r="AC25" s="153">
        <f t="shared" si="8"/>
        <v>-689728.18981661077</v>
      </c>
      <c r="AD25" s="153">
        <f t="shared" si="8"/>
        <v>-724214.59930744139</v>
      </c>
      <c r="AE25" s="153">
        <f t="shared" si="8"/>
        <v>-760425.32927281351</v>
      </c>
      <c r="AF25" s="153">
        <f t="shared" si="8"/>
        <v>-798446.59573645424</v>
      </c>
      <c r="AG25" s="153">
        <f t="shared" si="8"/>
        <v>-838368.92552327702</v>
      </c>
      <c r="AH25" s="153"/>
    </row>
    <row r="26" spans="2:34" s="151" customFormat="1" ht="14.25" customHeight="1" outlineLevel="1" x14ac:dyDescent="0.25">
      <c r="B26" s="154" t="s">
        <v>83</v>
      </c>
      <c r="C26" s="153">
        <v>-226054.77683399792</v>
      </c>
      <c r="D26" s="153">
        <v>-228167.8924229868</v>
      </c>
      <c r="E26" s="153">
        <v>-214247.81272520288</v>
      </c>
      <c r="F26" s="153">
        <v>-213276.25211692625</v>
      </c>
      <c r="G26" s="153">
        <v>-219941.6901918755</v>
      </c>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row>
    <row r="27" spans="2:34" s="151" customFormat="1" ht="14.25" customHeight="1" outlineLevel="1" x14ac:dyDescent="0.25">
      <c r="B27" s="154" t="s">
        <v>65</v>
      </c>
      <c r="C27" s="153">
        <v>-50696.740000000005</v>
      </c>
      <c r="D27" s="153">
        <v>-50696.740000000005</v>
      </c>
      <c r="E27" s="153">
        <v>-50696.740000000005</v>
      </c>
      <c r="F27" s="153">
        <v>-50696.740000000005</v>
      </c>
      <c r="G27" s="153">
        <v>-50696.740000000005</v>
      </c>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row>
    <row r="28" spans="2:34" s="151" customFormat="1" ht="14.25" customHeight="1" outlineLevel="1" x14ac:dyDescent="0.25">
      <c r="B28" s="154" t="s">
        <v>66</v>
      </c>
      <c r="C28" s="153">
        <v>139142.9482586323</v>
      </c>
      <c r="D28" s="153">
        <v>139142.9482586323</v>
      </c>
      <c r="E28" s="153">
        <v>139142.9482586323</v>
      </c>
      <c r="F28" s="153">
        <v>139142.9482586323</v>
      </c>
      <c r="G28" s="153">
        <v>139142.9482586323</v>
      </c>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row>
    <row r="29" spans="2:34" s="151" customFormat="1" ht="14.25" customHeight="1" outlineLevel="1" x14ac:dyDescent="0.25">
      <c r="B29" s="154" t="s">
        <v>75</v>
      </c>
      <c r="C29" s="153">
        <v>0</v>
      </c>
      <c r="D29" s="153">
        <v>0</v>
      </c>
      <c r="E29" s="153">
        <v>-71114.214564095004</v>
      </c>
      <c r="F29" s="153">
        <v>-77158.566345383879</v>
      </c>
      <c r="G29" s="153">
        <v>-79050.290268912649</v>
      </c>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row>
    <row r="30" spans="2:34" s="103" customFormat="1" x14ac:dyDescent="0.25">
      <c r="B30" s="152" t="s">
        <v>172</v>
      </c>
      <c r="C30" s="153">
        <f t="shared" ref="C30:I30" si="9">C9</f>
        <v>12010.61825442905</v>
      </c>
      <c r="D30" s="153">
        <f t="shared" si="9"/>
        <v>19713.760000000009</v>
      </c>
      <c r="E30" s="153">
        <f t="shared" si="9"/>
        <v>18819.600000000035</v>
      </c>
      <c r="F30" s="153">
        <f t="shared" si="9"/>
        <v>-2486.3931342083379</v>
      </c>
      <c r="G30" s="153">
        <f t="shared" si="9"/>
        <v>-1404.2972948222887</v>
      </c>
      <c r="H30" s="153">
        <f t="shared" si="9"/>
        <v>-1404.2972948222887</v>
      </c>
      <c r="I30" s="153">
        <f t="shared" si="9"/>
        <v>-1404.2972948222887</v>
      </c>
      <c r="J30" s="153">
        <f t="shared" ref="J30:AG30" si="10">I30</f>
        <v>-1404.2972948222887</v>
      </c>
      <c r="K30" s="153">
        <f t="shared" si="10"/>
        <v>-1404.2972948222887</v>
      </c>
      <c r="L30" s="153">
        <f t="shared" si="10"/>
        <v>-1404.2972948222887</v>
      </c>
      <c r="M30" s="153">
        <f t="shared" si="10"/>
        <v>-1404.2972948222887</v>
      </c>
      <c r="N30" s="153">
        <f t="shared" si="10"/>
        <v>-1404.2972948222887</v>
      </c>
      <c r="O30" s="153">
        <f t="shared" si="10"/>
        <v>-1404.2972948222887</v>
      </c>
      <c r="P30" s="153">
        <f t="shared" si="10"/>
        <v>-1404.2972948222887</v>
      </c>
      <c r="Q30" s="153">
        <f t="shared" si="10"/>
        <v>-1404.2972948222887</v>
      </c>
      <c r="R30" s="153">
        <f t="shared" si="10"/>
        <v>-1404.2972948222887</v>
      </c>
      <c r="S30" s="153">
        <f t="shared" si="10"/>
        <v>-1404.2972948222887</v>
      </c>
      <c r="T30" s="153">
        <f t="shared" si="10"/>
        <v>-1404.2972948222887</v>
      </c>
      <c r="U30" s="153">
        <f t="shared" si="10"/>
        <v>-1404.2972948222887</v>
      </c>
      <c r="V30" s="153">
        <f t="shared" si="10"/>
        <v>-1404.2972948222887</v>
      </c>
      <c r="W30" s="153">
        <f t="shared" si="10"/>
        <v>-1404.2972948222887</v>
      </c>
      <c r="X30" s="153">
        <f t="shared" si="10"/>
        <v>-1404.2972948222887</v>
      </c>
      <c r="Y30" s="153">
        <f t="shared" si="10"/>
        <v>-1404.2972948222887</v>
      </c>
      <c r="Z30" s="153">
        <f t="shared" si="10"/>
        <v>-1404.2972948222887</v>
      </c>
      <c r="AA30" s="153">
        <f t="shared" si="10"/>
        <v>-1404.2972948222887</v>
      </c>
      <c r="AB30" s="153">
        <f t="shared" si="10"/>
        <v>-1404.2972948222887</v>
      </c>
      <c r="AC30" s="153">
        <f t="shared" si="10"/>
        <v>-1404.2972948222887</v>
      </c>
      <c r="AD30" s="153">
        <f t="shared" si="10"/>
        <v>-1404.2972948222887</v>
      </c>
      <c r="AE30" s="153">
        <f t="shared" si="10"/>
        <v>-1404.2972948222887</v>
      </c>
      <c r="AF30" s="153">
        <f t="shared" si="10"/>
        <v>-1404.2972948222887</v>
      </c>
      <c r="AG30" s="153">
        <f t="shared" si="10"/>
        <v>-1404.2972948222887</v>
      </c>
    </row>
    <row r="31" spans="2:34" s="107" customFormat="1" ht="14.25" customHeight="1" x14ac:dyDescent="0.25">
      <c r="B31" s="101" t="s">
        <v>176</v>
      </c>
      <c r="C31" s="102">
        <f t="shared" ref="C31:AG31" si="11">C24+C25+C30</f>
        <v>2312599.4393699886</v>
      </c>
      <c r="D31" s="102">
        <f t="shared" si="11"/>
        <v>1457284.5183930786</v>
      </c>
      <c r="E31" s="102">
        <f t="shared" si="11"/>
        <v>1319253.8727580169</v>
      </c>
      <c r="F31" s="102">
        <f t="shared" si="11"/>
        <v>2925316.791360775</v>
      </c>
      <c r="G31" s="102">
        <f t="shared" si="11"/>
        <v>3326163.5086226892</v>
      </c>
      <c r="H31" s="102">
        <f>H24+H25+H30</f>
        <v>3559093.2550369157</v>
      </c>
      <c r="I31" s="102">
        <f t="shared" si="11"/>
        <v>3808328.0837001372</v>
      </c>
      <c r="J31" s="102">
        <f t="shared" si="11"/>
        <v>4075009.350369784</v>
      </c>
      <c r="K31" s="102">
        <f t="shared" si="11"/>
        <v>4360358.3057063064</v>
      </c>
      <c r="L31" s="102">
        <f t="shared" si="11"/>
        <v>4665681.6879163859</v>
      </c>
      <c r="M31" s="102">
        <f t="shared" si="11"/>
        <v>4992377.7068811702</v>
      </c>
      <c r="N31" s="102">
        <f t="shared" si="11"/>
        <v>5242066.8070899704</v>
      </c>
      <c r="O31" s="102">
        <f t="shared" si="11"/>
        <v>5504240.3623092109</v>
      </c>
      <c r="P31" s="102">
        <f t="shared" si="11"/>
        <v>5779522.5952894129</v>
      </c>
      <c r="Q31" s="102">
        <f t="shared" si="11"/>
        <v>6068568.9399186242</v>
      </c>
      <c r="R31" s="102">
        <f t="shared" si="11"/>
        <v>6372067.601779297</v>
      </c>
      <c r="S31" s="102">
        <f t="shared" si="11"/>
        <v>6690741.1967330035</v>
      </c>
      <c r="T31" s="102">
        <f t="shared" si="11"/>
        <v>7025348.4714343948</v>
      </c>
      <c r="U31" s="102">
        <f t="shared" si="11"/>
        <v>7376686.1098708566</v>
      </c>
      <c r="V31" s="102">
        <f t="shared" si="11"/>
        <v>7745590.6302291406</v>
      </c>
      <c r="W31" s="102">
        <f t="shared" si="11"/>
        <v>8132940.3766053403</v>
      </c>
      <c r="X31" s="102">
        <f t="shared" si="11"/>
        <v>8539657.6103003491</v>
      </c>
      <c r="Y31" s="102">
        <f t="shared" si="11"/>
        <v>8966710.7056801096</v>
      </c>
      <c r="Z31" s="102">
        <f t="shared" si="11"/>
        <v>9415116.4558288567</v>
      </c>
      <c r="AA31" s="102">
        <f t="shared" si="11"/>
        <v>9885942.493485041</v>
      </c>
      <c r="AB31" s="102">
        <f t="shared" si="11"/>
        <v>10380309.833024034</v>
      </c>
      <c r="AC31" s="102">
        <f t="shared" si="11"/>
        <v>10899395.539539978</v>
      </c>
      <c r="AD31" s="102">
        <f t="shared" si="11"/>
        <v>11444435.531381717</v>
      </c>
      <c r="AE31" s="102">
        <f t="shared" si="11"/>
        <v>12016727.522815544</v>
      </c>
      <c r="AF31" s="102">
        <f t="shared" si="11"/>
        <v>12617634.113821063</v>
      </c>
      <c r="AG31" s="102">
        <f t="shared" si="11"/>
        <v>13248586.034376858</v>
      </c>
      <c r="AH31" s="106"/>
    </row>
    <row r="32" spans="2:34" x14ac:dyDescent="0.25">
      <c r="B32" s="105" t="s">
        <v>67</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row>
    <row r="33" spans="2:33" x14ac:dyDescent="0.25">
      <c r="B33" s="104" t="s">
        <v>68</v>
      </c>
      <c r="C33" s="102">
        <v>-24150000</v>
      </c>
      <c r="D33" s="102">
        <v>-1350000</v>
      </c>
      <c r="E33" s="102"/>
      <c r="F33" s="102"/>
      <c r="G33" s="102"/>
      <c r="H33" s="102"/>
      <c r="I33" s="102"/>
      <c r="J33" s="102"/>
      <c r="K33" s="102"/>
      <c r="L33" s="102"/>
      <c r="M33" s="102"/>
      <c r="N33" s="102"/>
      <c r="O33" s="102"/>
      <c r="P33" s="102"/>
      <c r="Q33" s="102"/>
      <c r="R33" s="102"/>
      <c r="S33" s="94"/>
      <c r="T33" s="94"/>
      <c r="U33" s="94"/>
      <c r="V33" s="94"/>
      <c r="W33" s="94"/>
    </row>
    <row r="34" spans="2:33" x14ac:dyDescent="0.25">
      <c r="B34" s="104" t="s">
        <v>69</v>
      </c>
      <c r="C34" s="102">
        <v>2200000</v>
      </c>
      <c r="D34" s="102"/>
      <c r="E34" s="102"/>
      <c r="F34" s="102"/>
      <c r="G34" s="102"/>
      <c r="H34" s="102"/>
      <c r="I34" s="102"/>
      <c r="J34" s="102"/>
      <c r="K34" s="102"/>
      <c r="L34" s="102"/>
      <c r="M34" s="102"/>
      <c r="N34" s="102"/>
      <c r="O34" s="102"/>
      <c r="P34" s="102"/>
      <c r="Q34" s="102"/>
      <c r="R34" s="102"/>
      <c r="S34" s="94"/>
      <c r="T34" s="94"/>
      <c r="U34" s="94"/>
      <c r="V34" s="94"/>
      <c r="W34" s="94"/>
    </row>
    <row r="35" spans="2:33" s="103" customFormat="1" x14ac:dyDescent="0.25">
      <c r="B35" s="104" t="s">
        <v>73</v>
      </c>
      <c r="C35" s="102">
        <v>-4800000</v>
      </c>
      <c r="D35" s="102"/>
      <c r="E35" s="102"/>
      <c r="F35" s="102"/>
      <c r="G35" s="102"/>
      <c r="H35" s="102"/>
      <c r="I35" s="102"/>
      <c r="J35" s="102"/>
      <c r="K35" s="102"/>
      <c r="L35" s="102"/>
      <c r="M35" s="102"/>
      <c r="N35" s="102"/>
      <c r="O35" s="102"/>
      <c r="P35" s="102"/>
      <c r="Q35" s="102"/>
      <c r="R35" s="102"/>
      <c r="S35" s="102"/>
      <c r="T35" s="102"/>
      <c r="U35" s="102"/>
      <c r="V35" s="102"/>
      <c r="W35" s="102"/>
    </row>
    <row r="36" spans="2:33" x14ac:dyDescent="0.25">
      <c r="B36" s="104" t="s">
        <v>70</v>
      </c>
      <c r="C36" s="102">
        <v>-192600</v>
      </c>
      <c r="D36" s="102">
        <v>-192600</v>
      </c>
      <c r="E36" s="102">
        <v>-192600</v>
      </c>
      <c r="F36" s="102">
        <v>-192600</v>
      </c>
      <c r="G36" s="102">
        <v>-192600</v>
      </c>
      <c r="H36" s="102">
        <v>-192600</v>
      </c>
      <c r="I36" s="102">
        <v>-192600</v>
      </c>
      <c r="J36" s="102">
        <v>-192600</v>
      </c>
      <c r="K36" s="102">
        <v>-192600</v>
      </c>
      <c r="L36" s="102">
        <v>-192600</v>
      </c>
      <c r="M36" s="102"/>
      <c r="N36" s="102"/>
      <c r="O36" s="102"/>
      <c r="P36" s="102"/>
      <c r="Q36" s="102"/>
      <c r="R36" s="102"/>
      <c r="S36" s="94"/>
      <c r="T36" s="94"/>
      <c r="U36" s="94"/>
      <c r="V36" s="94"/>
      <c r="W36" s="94"/>
    </row>
    <row r="37" spans="2:33" x14ac:dyDescent="0.25">
      <c r="B37" s="105" t="s">
        <v>71</v>
      </c>
      <c r="C37" s="94"/>
      <c r="D37" s="94"/>
      <c r="E37" s="94"/>
      <c r="F37" s="94"/>
      <c r="G37" s="94"/>
      <c r="H37" s="94"/>
      <c r="I37" s="94"/>
      <c r="J37" s="94"/>
      <c r="K37" s="94"/>
      <c r="L37" s="94"/>
      <c r="M37" s="94"/>
      <c r="N37" s="94"/>
      <c r="O37" s="94"/>
      <c r="P37" s="94"/>
      <c r="Q37" s="94"/>
      <c r="R37" s="94"/>
      <c r="S37" s="94"/>
      <c r="T37" s="94"/>
      <c r="U37" s="94"/>
      <c r="V37" s="94"/>
      <c r="W37" s="94"/>
    </row>
    <row r="38" spans="2:33" x14ac:dyDescent="0.25">
      <c r="B38" s="104" t="s">
        <v>97</v>
      </c>
      <c r="C38" s="102">
        <f t="shared" ref="C38:AG38" si="12">C18</f>
        <v>-1238277.1788521544</v>
      </c>
      <c r="D38" s="102">
        <f t="shared" si="12"/>
        <v>-1467866.2064979838</v>
      </c>
      <c r="E38" s="102">
        <f t="shared" si="12"/>
        <v>-1501416.2196882081</v>
      </c>
      <c r="F38" s="102">
        <f t="shared" si="12"/>
        <v>-1570189.2341665674</v>
      </c>
      <c r="G38" s="102">
        <f t="shared" si="12"/>
        <v>-1629489.3527626386</v>
      </c>
      <c r="H38" s="102">
        <f t="shared" si="12"/>
        <v>-1716198.0824798942</v>
      </c>
      <c r="I38" s="102">
        <f t="shared" si="12"/>
        <v>-1749130.5735618612</v>
      </c>
      <c r="J38" s="102">
        <f t="shared" si="12"/>
        <v>-1788134.7882741638</v>
      </c>
      <c r="K38" s="102">
        <f t="shared" si="12"/>
        <v>-1833640.0703354543</v>
      </c>
      <c r="L38" s="102">
        <f t="shared" si="12"/>
        <v>-1886105.9531270356</v>
      </c>
      <c r="M38" s="102">
        <f t="shared" si="12"/>
        <v>-1967866.5406418208</v>
      </c>
      <c r="N38" s="102">
        <f t="shared" si="12"/>
        <v>-2065326.4025926529</v>
      </c>
      <c r="O38" s="102">
        <f t="shared" si="12"/>
        <v>-2155011.3805469326</v>
      </c>
      <c r="P38" s="102">
        <f t="shared" si="12"/>
        <v>-2249251.607865076</v>
      </c>
      <c r="Q38" s="102">
        <f t="shared" si="12"/>
        <v>-2348277.3952973215</v>
      </c>
      <c r="R38" s="102">
        <f t="shared" si="12"/>
        <v>-2452330.6497625615</v>
      </c>
      <c r="S38" s="102">
        <f t="shared" si="12"/>
        <v>-2561665.4566175351</v>
      </c>
      <c r="T38" s="102">
        <f t="shared" si="12"/>
        <v>-2676548.691113722</v>
      </c>
      <c r="U38" s="102">
        <f t="shared" si="12"/>
        <v>-2797260.6605035593</v>
      </c>
      <c r="V38" s="102">
        <f t="shared" si="12"/>
        <v>-2924095.7783307275</v>
      </c>
      <c r="W38" s="102">
        <f t="shared" si="12"/>
        <v>-3057363.2725161039</v>
      </c>
      <c r="X38" s="102">
        <f t="shared" si="12"/>
        <v>-3197387.9289315771</v>
      </c>
      <c r="Y38" s="102">
        <f t="shared" si="12"/>
        <v>-3346124.049220975</v>
      </c>
      <c r="Z38" s="102">
        <f t="shared" si="12"/>
        <v>-3503978.3121140897</v>
      </c>
      <c r="AA38" s="102">
        <f t="shared" si="12"/>
        <v>-3671376.8680178225</v>
      </c>
      <c r="AB38" s="102">
        <f t="shared" si="12"/>
        <v>-3848766.2867780011</v>
      </c>
      <c r="AC38" s="102">
        <f t="shared" si="12"/>
        <v>-4035001.3750727638</v>
      </c>
      <c r="AD38" s="102">
        <f t="shared" si="12"/>
        <v>-4230524.1783648068</v>
      </c>
      <c r="AE38" s="102">
        <f t="shared" si="12"/>
        <v>-4435798.8420098163</v>
      </c>
      <c r="AF38" s="102">
        <f t="shared" si="12"/>
        <v>-4651312.7162273265</v>
      </c>
      <c r="AG38" s="102">
        <f t="shared" si="12"/>
        <v>-4877577.5163198663</v>
      </c>
    </row>
    <row r="39" spans="2:33" x14ac:dyDescent="0.25">
      <c r="B39" s="104" t="s">
        <v>153</v>
      </c>
      <c r="C39" s="102">
        <v>0</v>
      </c>
      <c r="D39" s="102">
        <f t="shared" ref="D39:AG39" si="13">D19</f>
        <v>-125863.42657777778</v>
      </c>
      <c r="E39" s="102">
        <f t="shared" si="13"/>
        <v>-200726.08769465669</v>
      </c>
      <c r="F39" s="102">
        <f t="shared" si="13"/>
        <v>-198913.13034909058</v>
      </c>
      <c r="G39" s="102">
        <f t="shared" si="13"/>
        <v>-196658.61281160687</v>
      </c>
      <c r="H39" s="102">
        <f t="shared" si="13"/>
        <v>-193130.34242481791</v>
      </c>
      <c r="I39" s="102">
        <f t="shared" si="13"/>
        <v>-189537.38731983112</v>
      </c>
      <c r="J39" s="102">
        <f t="shared" si="13"/>
        <v>-185878.56161452591</v>
      </c>
      <c r="K39" s="102">
        <f t="shared" si="13"/>
        <v>-182152.65768568974</v>
      </c>
      <c r="L39" s="102">
        <f t="shared" si="13"/>
        <v>-178358.445770433</v>
      </c>
      <c r="M39" s="102">
        <f t="shared" si="13"/>
        <v>-173836.45301409901</v>
      </c>
      <c r="N39" s="102">
        <f t="shared" si="13"/>
        <v>-168163.69336268821</v>
      </c>
      <c r="O39" s="102">
        <f t="shared" si="13"/>
        <v>-162341.4488470155</v>
      </c>
      <c r="P39" s="102">
        <f t="shared" si="13"/>
        <v>-156365.78033938701</v>
      </c>
      <c r="Q39" s="102">
        <f t="shared" si="13"/>
        <v>-150232.64491078374</v>
      </c>
      <c r="R39" s="102">
        <f t="shared" si="13"/>
        <v>-143937.89309555691</v>
      </c>
      <c r="S39" s="102">
        <f t="shared" si="13"/>
        <v>-137459.42512263299</v>
      </c>
      <c r="T39" s="102">
        <f t="shared" si="13"/>
        <v>-130441.94807366318</v>
      </c>
      <c r="U39" s="102">
        <f t="shared" si="13"/>
        <v>-123122.30176869094</v>
      </c>
      <c r="V39" s="102">
        <f t="shared" si="13"/>
        <v>-115595.52848606929</v>
      </c>
      <c r="W39" s="102">
        <f t="shared" si="13"/>
        <v>-107855.76707034305</v>
      </c>
      <c r="X39" s="102">
        <f t="shared" si="13"/>
        <v>-99896.990510582036</v>
      </c>
      <c r="Y39" s="102">
        <f t="shared" si="13"/>
        <v>-91519.358595286249</v>
      </c>
      <c r="Z39" s="102">
        <f t="shared" si="13"/>
        <v>-82542.791322244491</v>
      </c>
      <c r="AA39" s="102">
        <f t="shared" si="13"/>
        <v>-73295.453968243077</v>
      </c>
      <c r="AB39" s="102">
        <f t="shared" si="13"/>
        <v>-63769.178997239229</v>
      </c>
      <c r="AC39" s="102">
        <f t="shared" si="13"/>
        <v>-53955.552506808875</v>
      </c>
      <c r="AD39" s="102">
        <f t="shared" si="13"/>
        <v>-43559.623313429176</v>
      </c>
      <c r="AE39" s="102">
        <f t="shared" si="13"/>
        <v>-32441.622130167543</v>
      </c>
      <c r="AF39" s="102">
        <f t="shared" si="13"/>
        <v>-20965.902354085996</v>
      </c>
      <c r="AG39" s="102">
        <f t="shared" si="13"/>
        <v>-9120.9544890494126</v>
      </c>
    </row>
    <row r="40" spans="2:33" x14ac:dyDescent="0.25">
      <c r="B40" s="104" t="s">
        <v>95</v>
      </c>
      <c r="C40" s="102">
        <v>0</v>
      </c>
      <c r="D40" s="102">
        <f t="shared" ref="D40:AG40" si="14">D20</f>
        <v>0</v>
      </c>
      <c r="E40" s="102">
        <f t="shared" si="14"/>
        <v>51515.123247556759</v>
      </c>
      <c r="F40" s="102">
        <f t="shared" si="14"/>
        <v>60342.837864413552</v>
      </c>
      <c r="G40" s="102">
        <f t="shared" si="14"/>
        <v>49967.823594089336</v>
      </c>
      <c r="H40" s="102">
        <f t="shared" si="14"/>
        <v>38335.611933098269</v>
      </c>
      <c r="I40" s="102">
        <f t="shared" si="14"/>
        <v>27234.359537298533</v>
      </c>
      <c r="J40" s="102">
        <f t="shared" si="14"/>
        <v>25061.41252584464</v>
      </c>
      <c r="K40" s="102">
        <f t="shared" si="14"/>
        <v>32474.045056704312</v>
      </c>
      <c r="L40" s="102">
        <f t="shared" si="14"/>
        <v>43753.193325488319</v>
      </c>
      <c r="M40" s="102">
        <f t="shared" si="14"/>
        <v>58295.403158437199</v>
      </c>
      <c r="N40" s="102">
        <f t="shared" si="14"/>
        <v>76728.434751515742</v>
      </c>
      <c r="O40" s="102">
        <f t="shared" si="14"/>
        <v>98753.927548611129</v>
      </c>
      <c r="P40" s="102">
        <f t="shared" si="14"/>
        <v>123751.01898230116</v>
      </c>
      <c r="Q40" s="102">
        <f t="shared" si="14"/>
        <v>152008.0252036757</v>
      </c>
      <c r="R40" s="102">
        <f t="shared" si="14"/>
        <v>180630.14552874389</v>
      </c>
      <c r="S40" s="102">
        <f t="shared" si="14"/>
        <v>191943.36906054325</v>
      </c>
      <c r="T40" s="102">
        <f t="shared" si="14"/>
        <v>184443.2830167145</v>
      </c>
      <c r="U40" s="102">
        <f t="shared" si="14"/>
        <v>173970.60636887333</v>
      </c>
      <c r="V40" s="102">
        <f t="shared" si="14"/>
        <v>163202.20387369776</v>
      </c>
      <c r="W40" s="102">
        <f t="shared" si="14"/>
        <v>152129.72486977419</v>
      </c>
      <c r="X40" s="102">
        <f t="shared" si="14"/>
        <v>140744.58289098431</v>
      </c>
      <c r="Y40" s="102">
        <f t="shared" si="14"/>
        <v>129037.94900788808</v>
      </c>
      <c r="Z40" s="102">
        <f t="shared" si="14"/>
        <v>117000.74498108122</v>
      </c>
      <c r="AA40" s="102">
        <f t="shared" si="14"/>
        <v>104623.63622121861</v>
      </c>
      <c r="AB40" s="102">
        <f t="shared" si="14"/>
        <v>91897.024550243586</v>
      </c>
      <c r="AC40" s="102">
        <f t="shared" si="14"/>
        <v>78811.040758210089</v>
      </c>
      <c r="AD40" s="102">
        <f t="shared" si="14"/>
        <v>65355.536949925525</v>
      </c>
      <c r="AE40" s="102">
        <f t="shared" si="14"/>
        <v>51520.078675479206</v>
      </c>
      <c r="AF40" s="102">
        <f t="shared" si="14"/>
        <v>37293.936838553855</v>
      </c>
      <c r="AG40" s="102">
        <f t="shared" si="14"/>
        <v>22666.07937624535</v>
      </c>
    </row>
    <row r="41" spans="2:33" x14ac:dyDescent="0.25">
      <c r="B41" s="301" t="s">
        <v>174</v>
      </c>
      <c r="C41" s="302">
        <f t="shared" ref="C41:AG41" si="15">C31+SUM(C33:C40)</f>
        <v>-25868277.739482168</v>
      </c>
      <c r="D41" s="302">
        <f t="shared" si="15"/>
        <v>-1679045.114682683</v>
      </c>
      <c r="E41" s="302">
        <f t="shared" si="15"/>
        <v>-523973.3113772911</v>
      </c>
      <c r="F41" s="302">
        <f t="shared" si="15"/>
        <v>1023957.2647095306</v>
      </c>
      <c r="G41" s="302">
        <f t="shared" si="15"/>
        <v>1357383.3666425331</v>
      </c>
      <c r="H41" s="302">
        <f t="shared" si="15"/>
        <v>1495500.4420653018</v>
      </c>
      <c r="I41" s="302">
        <f t="shared" si="15"/>
        <v>1704294.4823557432</v>
      </c>
      <c r="J41" s="302">
        <f t="shared" si="15"/>
        <v>1933457.413006939</v>
      </c>
      <c r="K41" s="302">
        <f t="shared" si="15"/>
        <v>2184439.6227418669</v>
      </c>
      <c r="L41" s="302">
        <f t="shared" si="15"/>
        <v>2452370.4823444057</v>
      </c>
      <c r="M41" s="302">
        <f t="shared" si="15"/>
        <v>2908970.1163836876</v>
      </c>
      <c r="N41" s="302">
        <f t="shared" si="15"/>
        <v>3085305.1458861451</v>
      </c>
      <c r="O41" s="302">
        <f t="shared" si="15"/>
        <v>3285641.460463874</v>
      </c>
      <c r="P41" s="302">
        <f t="shared" si="15"/>
        <v>3497656.2260672511</v>
      </c>
      <c r="Q41" s="302">
        <f t="shared" si="15"/>
        <v>3722066.9249141947</v>
      </c>
      <c r="R41" s="302">
        <f t="shared" si="15"/>
        <v>3956429.2044499223</v>
      </c>
      <c r="S41" s="302">
        <f t="shared" si="15"/>
        <v>4183559.6840533786</v>
      </c>
      <c r="T41" s="302">
        <f t="shared" si="15"/>
        <v>4402801.1152637238</v>
      </c>
      <c r="U41" s="302">
        <f t="shared" si="15"/>
        <v>4630273.7539674798</v>
      </c>
      <c r="V41" s="302">
        <f t="shared" si="15"/>
        <v>4869101.5272860415</v>
      </c>
      <c r="W41" s="302">
        <f t="shared" si="15"/>
        <v>5119851.0618886668</v>
      </c>
      <c r="X41" s="302">
        <f t="shared" si="15"/>
        <v>5383117.2737491746</v>
      </c>
      <c r="Y41" s="302">
        <f t="shared" si="15"/>
        <v>5658105.2468717359</v>
      </c>
      <c r="Z41" s="302">
        <f t="shared" si="15"/>
        <v>5945596.0973736038</v>
      </c>
      <c r="AA41" s="302">
        <f t="shared" si="15"/>
        <v>6245893.8077201936</v>
      </c>
      <c r="AB41" s="302">
        <f t="shared" si="15"/>
        <v>6559671.3917990383</v>
      </c>
      <c r="AC41" s="302">
        <f t="shared" si="15"/>
        <v>6889249.6527186157</v>
      </c>
      <c r="AD41" s="302">
        <f t="shared" si="15"/>
        <v>7235707.2666534064</v>
      </c>
      <c r="AE41" s="302">
        <f t="shared" si="15"/>
        <v>7600007.1373510398</v>
      </c>
      <c r="AF41" s="302">
        <f t="shared" si="15"/>
        <v>7982649.432078205</v>
      </c>
      <c r="AG41" s="302">
        <f t="shared" si="15"/>
        <v>8384553.6429441869</v>
      </c>
    </row>
    <row r="43" spans="2:33" x14ac:dyDescent="0.25">
      <c r="C43" s="29"/>
      <c r="D43" s="29"/>
      <c r="E43" s="29"/>
      <c r="F43" s="29"/>
      <c r="G43" s="29"/>
      <c r="H43" s="29"/>
    </row>
  </sheetData>
  <pageMargins left="0.7" right="0.7" top="0.75" bottom="0.75" header="0.3" footer="0.3"/>
  <pageSetup orientation="portrait" r:id="rId1"/>
  <ignoredErrors>
    <ignoredError sqref="B5:G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V19"/>
  <sheetViews>
    <sheetView showGridLines="0" zoomScale="85" zoomScaleNormal="85" zoomScaleSheetLayoutView="85" workbookViewId="0">
      <selection activeCell="G20" sqref="G20"/>
    </sheetView>
  </sheetViews>
  <sheetFormatPr defaultColWidth="9.140625" defaultRowHeight="14.25" x14ac:dyDescent="0.2"/>
  <cols>
    <col min="1" max="1" width="4.85546875" style="5" customWidth="1"/>
    <col min="2" max="4" width="12.28515625" style="17" customWidth="1"/>
    <col min="5" max="16384" width="9.140625" style="5"/>
  </cols>
  <sheetData>
    <row r="1" spans="1:22" x14ac:dyDescent="0.2">
      <c r="A1" s="12"/>
      <c r="B1" s="61"/>
      <c r="C1" s="61"/>
      <c r="D1" s="62"/>
      <c r="E1" s="10"/>
      <c r="F1" s="10"/>
      <c r="G1" s="10"/>
      <c r="H1" s="10"/>
      <c r="I1" s="10"/>
      <c r="J1" s="10"/>
      <c r="K1" s="10"/>
      <c r="L1" s="10"/>
      <c r="M1" s="10"/>
      <c r="N1" s="10"/>
      <c r="O1" s="10"/>
      <c r="P1" s="10"/>
      <c r="Q1" s="10"/>
      <c r="R1" s="10"/>
      <c r="S1" s="10"/>
      <c r="T1" s="10"/>
      <c r="U1" s="10"/>
      <c r="V1" s="10"/>
    </row>
    <row r="2" spans="1:22" x14ac:dyDescent="0.2">
      <c r="B2" s="63" t="s">
        <v>40</v>
      </c>
      <c r="C2" s="64"/>
      <c r="D2" s="65"/>
      <c r="E2" s="1"/>
      <c r="F2" s="2"/>
      <c r="G2" s="2"/>
      <c r="H2" s="2"/>
      <c r="I2" s="2"/>
      <c r="J2" s="2"/>
      <c r="K2" s="2"/>
      <c r="L2" s="2"/>
      <c r="M2" s="2"/>
      <c r="N2" s="2"/>
      <c r="O2" s="2"/>
      <c r="P2" s="2"/>
      <c r="Q2" s="2"/>
      <c r="R2" s="2"/>
      <c r="S2" s="2"/>
      <c r="T2" s="2"/>
      <c r="U2" s="2"/>
      <c r="V2" s="2"/>
    </row>
    <row r="3" spans="1:22" x14ac:dyDescent="0.2">
      <c r="B3" s="63"/>
      <c r="C3" s="64"/>
      <c r="D3" s="65" t="s">
        <v>78</v>
      </c>
      <c r="E3" s="1"/>
      <c r="F3" s="2"/>
      <c r="G3" s="2"/>
      <c r="H3" s="2"/>
      <c r="I3" s="2"/>
      <c r="J3" s="2"/>
      <c r="K3" s="2"/>
      <c r="L3" s="2"/>
      <c r="M3" s="2"/>
      <c r="N3" s="2"/>
      <c r="O3" s="2"/>
      <c r="P3" s="2"/>
      <c r="Q3" s="2"/>
      <c r="R3" s="2"/>
      <c r="S3" s="2"/>
      <c r="T3" s="2"/>
      <c r="U3" s="2"/>
      <c r="V3" s="2"/>
    </row>
    <row r="4" spans="1:22" x14ac:dyDescent="0.2">
      <c r="A4" s="73">
        <v>1</v>
      </c>
      <c r="B4" s="66" t="s">
        <v>39</v>
      </c>
      <c r="D4" s="67">
        <f>'Table 6-3'!E16</f>
        <v>186.42713313463253</v>
      </c>
      <c r="E4" s="1"/>
      <c r="F4" s="1"/>
      <c r="G4" s="1"/>
      <c r="H4" s="1"/>
      <c r="I4" s="1"/>
      <c r="J4" s="1"/>
      <c r="K4" s="1"/>
      <c r="L4" s="1"/>
      <c r="M4" s="1"/>
      <c r="N4" s="1"/>
      <c r="O4" s="1"/>
      <c r="P4" s="1"/>
      <c r="Q4" s="1"/>
      <c r="R4" s="1"/>
      <c r="S4" s="1"/>
      <c r="T4" s="1"/>
      <c r="U4" s="1"/>
      <c r="V4" s="1"/>
    </row>
    <row r="5" spans="1:22" x14ac:dyDescent="0.2">
      <c r="A5" s="73">
        <v>2</v>
      </c>
      <c r="B5" s="74" t="s">
        <v>32</v>
      </c>
      <c r="C5" s="11"/>
      <c r="D5" s="75">
        <f>SUM('Table 6-3'!E17:E19)</f>
        <v>3.2437500000000004</v>
      </c>
      <c r="E5" s="3"/>
      <c r="F5" s="1"/>
      <c r="G5" s="1"/>
      <c r="H5" s="1"/>
      <c r="I5" s="1"/>
      <c r="J5" s="1"/>
      <c r="K5" s="1"/>
      <c r="L5" s="1"/>
      <c r="M5" s="1"/>
      <c r="N5" s="1"/>
      <c r="O5" s="1"/>
      <c r="P5" s="1"/>
      <c r="Q5" s="1"/>
      <c r="R5" s="1"/>
      <c r="S5" s="1"/>
      <c r="T5" s="1"/>
      <c r="U5" s="1"/>
      <c r="V5" s="1"/>
    </row>
    <row r="6" spans="1:22" x14ac:dyDescent="0.2">
      <c r="A6" s="73">
        <v>3</v>
      </c>
      <c r="B6" s="66" t="s">
        <v>33</v>
      </c>
      <c r="D6" s="68">
        <f>SUM(D4:D5)</f>
        <v>189.67088313463253</v>
      </c>
      <c r="G6" s="1"/>
      <c r="H6" s="1"/>
      <c r="I6" s="1"/>
      <c r="J6" s="1"/>
      <c r="K6" s="1"/>
      <c r="L6" s="1"/>
      <c r="M6" s="1"/>
      <c r="N6" s="1"/>
      <c r="O6" s="1"/>
      <c r="P6" s="1"/>
      <c r="Q6" s="1"/>
      <c r="R6" s="1"/>
      <c r="S6" s="1"/>
      <c r="T6" s="1"/>
      <c r="U6" s="1"/>
      <c r="V6" s="1"/>
    </row>
    <row r="7" spans="1:22" x14ac:dyDescent="0.2">
      <c r="A7" s="73">
        <v>4</v>
      </c>
      <c r="B7" s="66" t="s">
        <v>34</v>
      </c>
      <c r="D7" s="69">
        <v>6</v>
      </c>
      <c r="E7" s="4"/>
      <c r="F7" s="1"/>
      <c r="G7" s="1"/>
      <c r="H7" s="1"/>
      <c r="I7" s="1"/>
      <c r="J7" s="1"/>
      <c r="K7" s="1"/>
      <c r="L7" s="1"/>
      <c r="M7" s="1"/>
      <c r="N7" s="1"/>
      <c r="O7" s="1"/>
      <c r="P7" s="1"/>
      <c r="Q7" s="1"/>
      <c r="R7" s="1"/>
      <c r="S7" s="1"/>
      <c r="T7" s="1"/>
      <c r="U7" s="1"/>
      <c r="V7" s="1"/>
    </row>
    <row r="8" spans="1:22" x14ac:dyDescent="0.2">
      <c r="A8" s="73">
        <v>5</v>
      </c>
      <c r="B8" s="66" t="s">
        <v>35</v>
      </c>
      <c r="D8" s="69">
        <v>1.5</v>
      </c>
      <c r="E8" s="1"/>
      <c r="F8" s="1"/>
      <c r="G8" s="1"/>
      <c r="H8" s="1"/>
      <c r="I8" s="1"/>
      <c r="L8" s="1"/>
      <c r="M8" s="1"/>
      <c r="N8" s="1"/>
      <c r="O8" s="1"/>
      <c r="P8" s="1"/>
      <c r="Q8" s="1"/>
      <c r="R8" s="1"/>
      <c r="S8" s="1"/>
      <c r="T8" s="1"/>
      <c r="U8" s="1"/>
      <c r="V8" s="1"/>
    </row>
    <row r="9" spans="1:22" x14ac:dyDescent="0.2">
      <c r="A9" s="73">
        <v>6</v>
      </c>
      <c r="B9" s="66" t="s">
        <v>36</v>
      </c>
      <c r="D9" s="70">
        <f>D7-D8</f>
        <v>4.5</v>
      </c>
      <c r="E9" s="1"/>
      <c r="F9" s="1"/>
      <c r="G9" s="1"/>
      <c r="H9" s="1"/>
      <c r="I9" s="9"/>
      <c r="L9" s="1"/>
      <c r="M9" s="1"/>
      <c r="N9" s="1"/>
      <c r="O9" s="1"/>
      <c r="P9" s="1"/>
      <c r="Q9" s="1"/>
      <c r="R9" s="1"/>
      <c r="S9" s="1"/>
      <c r="T9" s="1"/>
      <c r="U9" s="1"/>
      <c r="V9" s="1"/>
    </row>
    <row r="10" spans="1:22" x14ac:dyDescent="0.2">
      <c r="A10" s="73">
        <v>7</v>
      </c>
      <c r="B10" s="66" t="s">
        <v>37</v>
      </c>
      <c r="D10" s="71">
        <f>D7/D9-1</f>
        <v>0.33333333333333326</v>
      </c>
      <c r="E10" s="1"/>
      <c r="F10" s="1"/>
      <c r="G10" s="1"/>
      <c r="H10" s="1"/>
      <c r="I10" s="9"/>
      <c r="L10" s="1"/>
      <c r="M10" s="1"/>
      <c r="N10" s="1"/>
      <c r="O10" s="1"/>
      <c r="P10" s="1"/>
      <c r="Q10" s="1"/>
      <c r="R10" s="1"/>
      <c r="S10" s="1"/>
      <c r="T10" s="1"/>
      <c r="U10" s="1"/>
      <c r="V10" s="1"/>
    </row>
    <row r="11" spans="1:22" x14ac:dyDescent="0.2">
      <c r="A11" s="73">
        <v>8</v>
      </c>
      <c r="B11" s="66" t="s">
        <v>38</v>
      </c>
      <c r="D11" s="68">
        <f>D6*D10</f>
        <v>63.223627711544161</v>
      </c>
      <c r="E11" s="1"/>
      <c r="F11" s="1"/>
      <c r="G11" s="1"/>
      <c r="H11" s="1"/>
      <c r="I11" s="9"/>
      <c r="L11" s="1"/>
      <c r="M11" s="1"/>
      <c r="N11" s="1"/>
      <c r="O11" s="1"/>
      <c r="P11" s="1"/>
      <c r="Q11" s="1"/>
      <c r="R11" s="1"/>
      <c r="S11" s="1"/>
      <c r="T11" s="1"/>
      <c r="U11" s="1"/>
      <c r="V11" s="1"/>
    </row>
    <row r="12" spans="1:22" x14ac:dyDescent="0.2">
      <c r="A12" s="1"/>
      <c r="B12" s="65"/>
      <c r="C12" s="65"/>
      <c r="D12" s="65"/>
      <c r="E12" s="1"/>
      <c r="F12" s="1"/>
      <c r="G12" s="1"/>
      <c r="H12" s="1"/>
      <c r="I12" s="9"/>
      <c r="L12" s="1"/>
      <c r="M12" s="1"/>
      <c r="N12" s="1"/>
      <c r="O12" s="1"/>
      <c r="P12" s="1"/>
      <c r="Q12" s="1"/>
      <c r="R12" s="1"/>
      <c r="S12" s="1"/>
      <c r="T12" s="1"/>
      <c r="U12" s="1"/>
      <c r="V12" s="1"/>
    </row>
    <row r="18" spans="4:7" x14ac:dyDescent="0.2">
      <c r="D18" s="72"/>
      <c r="E18" s="16"/>
      <c r="F18" s="16"/>
      <c r="G18" s="16"/>
    </row>
    <row r="19" spans="4:7" x14ac:dyDescent="0.2">
      <c r="D19" s="72"/>
      <c r="E19" s="16"/>
      <c r="F19" s="16"/>
      <c r="G19" s="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6c99b3-cd83-43e5-b4c1-d62f316c1e37"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3431F1B0318804A8B69DB634C2B57F8" ma:contentTypeVersion="6" ma:contentTypeDescription="Create a new document." ma:contentTypeScope="" ma:versionID="ec3543dda5fca16bd3a1176ab9c78cd5">
  <xsd:schema xmlns:xsd="http://www.w3.org/2001/XMLSchema" xmlns:xs="http://www.w3.org/2001/XMLSchema" xmlns:p="http://schemas.microsoft.com/office/2006/metadata/properties" xmlns:ns2="97e57212-3e02-407f-8b2d-05f7d7f19b15" xmlns:ns3="6fb7e333-13d3-46bb-80ad-c4aed4484e03" targetNamespace="http://schemas.microsoft.com/office/2006/metadata/properties" ma:root="true" ma:fieldsID="52d107714a90b79ccd1b4e6bf31d94c0" ns2:_="" ns3:_="">
    <xsd:import namespace="97e57212-3e02-407f-8b2d-05f7d7f19b15"/>
    <xsd:import namespace="6fb7e333-13d3-46bb-80ad-c4aed4484e03"/>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0e1af2f2-df82-4ee8-a406-708104f64298}" ma:internalName="TaxCatchAll" ma:showField="CatchAllData"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e1af2f2-df82-4ee8-a406-708104f64298}" ma:internalName="TaxCatchAllLabel" ma:readOnly="true" ma:showField="CatchAllDataLabel" ma:web="2d81c394-a4c4-407c-978b-7617cc33d0a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b7e333-13d3-46bb-80ad-c4aed4484e03"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9A07E2-BE9C-45A8-B011-47F825802D16}">
  <ds:schemaRefs>
    <ds:schemaRef ds:uri="97e57212-3e02-407f-8b2d-05f7d7f19b15"/>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6fb7e333-13d3-46bb-80ad-c4aed4484e03"/>
    <ds:schemaRef ds:uri="http://purl.org/dc/terms/"/>
    <ds:schemaRef ds:uri="http://purl.org/dc/elements/1.1/"/>
  </ds:schemaRefs>
</ds:datastoreItem>
</file>

<file path=customXml/itemProps2.xml><?xml version="1.0" encoding="utf-8"?>
<ds:datastoreItem xmlns:ds="http://schemas.openxmlformats.org/officeDocument/2006/customXml" ds:itemID="{FB08B806-63EA-410B-9466-A67B95195920}">
  <ds:schemaRefs>
    <ds:schemaRef ds:uri="http://schemas.microsoft.com/sharepoint/v3/contenttype/forms"/>
  </ds:schemaRefs>
</ds:datastoreItem>
</file>

<file path=customXml/itemProps3.xml><?xml version="1.0" encoding="utf-8"?>
<ds:datastoreItem xmlns:ds="http://schemas.openxmlformats.org/officeDocument/2006/customXml" ds:itemID="{B52FA4B8-15FF-4444-B0A1-58BB500C10E0}">
  <ds:schemaRefs>
    <ds:schemaRef ds:uri="Microsoft.SharePoint.Taxonomy.ContentTypeSync"/>
  </ds:schemaRefs>
</ds:datastoreItem>
</file>

<file path=customXml/itemProps4.xml><?xml version="1.0" encoding="utf-8"?>
<ds:datastoreItem xmlns:ds="http://schemas.openxmlformats.org/officeDocument/2006/customXml" ds:itemID="{04C5D942-D012-4018-A6E7-141F797D2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6fb7e333-13d3-46bb-80ad-c4aed4484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Exhibit 3-2</vt:lpstr>
      <vt:lpstr>Table 6-1</vt:lpstr>
      <vt:lpstr>Table 6-2</vt:lpstr>
      <vt:lpstr>Table 6-3</vt:lpstr>
      <vt:lpstr>Table 7-1</vt:lpstr>
      <vt:lpstr>Table 7-2</vt:lpstr>
      <vt:lpstr>Table 7-3</vt:lpstr>
      <vt:lpstr>Taxable Income Forecast</vt:lpstr>
      <vt:lpstr>Collection Lag</vt:lpstr>
      <vt:lpstr>Pricing</vt:lpstr>
      <vt:lpstr>Print 3-2</vt:lpstr>
      <vt:lpstr>Print_6-1</vt:lpstr>
      <vt:lpstr>Print_6-2</vt:lpstr>
      <vt:lpstr>Print_6-3</vt:lpstr>
      <vt:lpstr>Print_7-1</vt:lpstr>
      <vt:lpstr>Print_7-2</vt:lpstr>
      <vt:lpstr>Print_7-3</vt:lpstr>
      <vt:lpstr>'Print 3-2'!Print_Area</vt:lpstr>
      <vt:lpstr>'Print_6-1'!Print_Area</vt:lpstr>
      <vt:lpstr>'Print_6-2'!Print_Area</vt:lpstr>
      <vt:lpstr>'Print_6-3'!Print_Area</vt:lpstr>
      <vt:lpstr>'Print_7-1'!Print_Area</vt:lpstr>
      <vt:lpstr>'Print_7-2'!Print_Area</vt:lpstr>
      <vt:lpstr>'Print_7-3'!Print_Area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Willis, Dan</dc:creator>
  <cp:lastModifiedBy>Willis, Dan</cp:lastModifiedBy>
  <cp:lastPrinted>2020-04-07T05:09:31Z</cp:lastPrinted>
  <dcterms:created xsi:type="dcterms:W3CDTF">1900-01-01T08:00:00Z</dcterms:created>
  <dcterms:modified xsi:type="dcterms:W3CDTF">2020-09-11T21:56:28Z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0x010100F3431F1B0318804A8B69DB634C2B57F8</vt:lpwstr>
  </property>
  <property fmtid="{D5CDD505-2E9C-101B-9397-08002B2CF9AE}" pid="3" name="pgeRecordCategory">
    <vt:lpwstr/>
  </property>
</Properties>
</file>