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pge-my.sharepoint.com/personal/b6r6_pge_com/Documents/Desktop/"/>
    </mc:Choice>
  </mc:AlternateContent>
  <xr:revisionPtr revIDLastSave="3" documentId="8_{CFA2419E-A27D-4E27-BBD6-024C44D22D92}" xr6:coauthVersionLast="47" xr6:coauthVersionMax="47" xr10:uidLastSave="{E6ACDAFC-4BC2-4CB1-931C-51F69A76D922}"/>
  <bookViews>
    <workbookView xWindow="49110" yWindow="-16215" windowWidth="29040" windowHeight="15720" xr2:uid="{B0423E9F-38C1-4C05-87F4-C3BFFCF8D113}"/>
  </bookViews>
  <sheets>
    <sheet name="RY2027 Change Log" sheetId="2" r:id="rId1"/>
    <sheet name="1. A&amp;G" sheetId="3" r:id="rId2"/>
    <sheet name="2. FERC Audit (EOC) =&gt;" sheetId="4" r:id="rId3"/>
    <sheet name="2.1 O&amp;M (EOC)_1-9-26_Submittal" sheetId="5" r:id="rId4"/>
    <sheet name="2.2 A&amp;G (EOC)" sheetId="6" r:id="rId5"/>
    <sheet name="2.3 Discrimination Stlmt (EOC)" sheetId="7" r:id="rId6"/>
  </sheets>
  <definedNames>
    <definedName name="_xlnm._FilterDatabase" localSheetId="5" hidden="1">'2.3 Discrimination Stlmt (EOC)'!$A$6:$AF$14</definedName>
    <definedName name="_xlnm.Print_Area" localSheetId="3">'2.1 O&amp;M (EOC)_1-9-26_Submittal'!$A$3:$O$44</definedName>
    <definedName name="_xlnm.Print_Area" localSheetId="5">'2.3 Discrimination Stlmt (EOC)'!$A$1:$AG$70</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7" l="1"/>
  <c r="V14" i="7"/>
  <c r="W14" i="7"/>
  <c r="AA14" i="7"/>
  <c r="Q16" i="7"/>
  <c r="Q18" i="7" s="1"/>
  <c r="V16" i="7"/>
  <c r="W16" i="7"/>
  <c r="AA16" i="7"/>
  <c r="AA18" i="7" s="1"/>
  <c r="V17" i="7"/>
  <c r="V18" i="7" s="1"/>
  <c r="V37" i="7" s="1"/>
  <c r="W17" i="7"/>
  <c r="W18" i="7" s="1"/>
  <c r="AA17" i="7"/>
  <c r="C18" i="7"/>
  <c r="D18" i="7"/>
  <c r="E18" i="7"/>
  <c r="F18" i="7"/>
  <c r="G18" i="7"/>
  <c r="D47" i="7" s="1"/>
  <c r="H18" i="7"/>
  <c r="I18" i="7"/>
  <c r="J18" i="7"/>
  <c r="K18" i="7"/>
  <c r="L18" i="7"/>
  <c r="M18" i="7"/>
  <c r="M37" i="7" s="1"/>
  <c r="N18" i="7"/>
  <c r="O18" i="7"/>
  <c r="P18" i="7"/>
  <c r="R18" i="7"/>
  <c r="S18" i="7"/>
  <c r="T18" i="7"/>
  <c r="U18" i="7"/>
  <c r="E47" i="7" s="1"/>
  <c r="H47" i="7" s="1"/>
  <c r="Y18" i="7"/>
  <c r="Z18" i="7"/>
  <c r="Z37" i="7" s="1"/>
  <c r="V20" i="7"/>
  <c r="W20" i="7"/>
  <c r="AA20" i="7"/>
  <c r="V21" i="7"/>
  <c r="V22" i="7" s="1"/>
  <c r="W21" i="7"/>
  <c r="W22" i="7" s="1"/>
  <c r="AA21" i="7"/>
  <c r="C22" i="7"/>
  <c r="C37" i="7" s="1"/>
  <c r="D22" i="7"/>
  <c r="D37" i="7" s="1"/>
  <c r="E22" i="7"/>
  <c r="E37" i="7" s="1"/>
  <c r="F22" i="7"/>
  <c r="F37" i="7" s="1"/>
  <c r="G22" i="7"/>
  <c r="H22" i="7"/>
  <c r="I22" i="7"/>
  <c r="J22" i="7"/>
  <c r="K22" i="7"/>
  <c r="L22" i="7"/>
  <c r="M22" i="7"/>
  <c r="N22" i="7"/>
  <c r="O22" i="7"/>
  <c r="P22" i="7"/>
  <c r="P37" i="7" s="1"/>
  <c r="Q22" i="7"/>
  <c r="R22" i="7"/>
  <c r="R37" i="7" s="1"/>
  <c r="S22" i="7"/>
  <c r="S37" i="7" s="1"/>
  <c r="T22" i="7"/>
  <c r="U22" i="7"/>
  <c r="Y22" i="7"/>
  <c r="Z22" i="7"/>
  <c r="AA22" i="7"/>
  <c r="V24" i="7"/>
  <c r="V28" i="7" s="1"/>
  <c r="W24" i="7"/>
  <c r="AA24" i="7"/>
  <c r="G25" i="7"/>
  <c r="W25" i="7" s="1"/>
  <c r="V25" i="7"/>
  <c r="AA25" i="7"/>
  <c r="V26" i="7"/>
  <c r="W26" i="7"/>
  <c r="AA26" i="7"/>
  <c r="G27" i="7"/>
  <c r="N27" i="7"/>
  <c r="V27" i="7"/>
  <c r="W27" i="7"/>
  <c r="AA27" i="7"/>
  <c r="C28" i="7"/>
  <c r="D28" i="7"/>
  <c r="E28" i="7"/>
  <c r="F28" i="7"/>
  <c r="H28" i="7"/>
  <c r="I28" i="7"/>
  <c r="J28" i="7"/>
  <c r="K28" i="7"/>
  <c r="L28" i="7"/>
  <c r="M28" i="7"/>
  <c r="N28" i="7"/>
  <c r="O28" i="7"/>
  <c r="P28" i="7"/>
  <c r="Q28" i="7"/>
  <c r="R28" i="7"/>
  <c r="S28" i="7"/>
  <c r="T28" i="7"/>
  <c r="E49" i="7" s="1"/>
  <c r="H49" i="7" s="1"/>
  <c r="U28" i="7"/>
  <c r="Y28" i="7"/>
  <c r="Z28" i="7"/>
  <c r="AA28" i="7"/>
  <c r="Q30" i="7"/>
  <c r="W30" i="7" s="1"/>
  <c r="V30" i="7"/>
  <c r="V34" i="7" s="1"/>
  <c r="AA30" i="7"/>
  <c r="Q31" i="7"/>
  <c r="V31" i="7"/>
  <c r="W31" i="7"/>
  <c r="AA31" i="7"/>
  <c r="AA34" i="7" s="1"/>
  <c r="N32" i="7"/>
  <c r="N34" i="7" s="1"/>
  <c r="O32" i="7"/>
  <c r="O34" i="7" s="1"/>
  <c r="V32" i="7"/>
  <c r="W32" i="7"/>
  <c r="AA32" i="7"/>
  <c r="V33" i="7"/>
  <c r="W33" i="7" s="1"/>
  <c r="AA33" i="7"/>
  <c r="C34" i="7"/>
  <c r="D34" i="7"/>
  <c r="E34" i="7"/>
  <c r="F34" i="7"/>
  <c r="G34" i="7"/>
  <c r="H34" i="7"/>
  <c r="I34" i="7"/>
  <c r="J34" i="7"/>
  <c r="K34" i="7"/>
  <c r="L34" i="7"/>
  <c r="M34" i="7"/>
  <c r="P34" i="7"/>
  <c r="R34" i="7"/>
  <c r="S34" i="7"/>
  <c r="T34" i="7"/>
  <c r="U34" i="7"/>
  <c r="E50" i="7" s="1"/>
  <c r="H50" i="7" s="1"/>
  <c r="Y34" i="7"/>
  <c r="Z34" i="7"/>
  <c r="H37" i="7"/>
  <c r="I37" i="7"/>
  <c r="J37" i="7"/>
  <c r="K37" i="7"/>
  <c r="L37" i="7"/>
  <c r="T37" i="7"/>
  <c r="U37" i="7"/>
  <c r="Y37" i="7"/>
  <c r="F46" i="7"/>
  <c r="I46" i="7"/>
  <c r="F48" i="7"/>
  <c r="I48" i="7"/>
  <c r="G49" i="7"/>
  <c r="B1" i="6"/>
  <c r="K14" i="6"/>
  <c r="M14" i="6"/>
  <c r="I15" i="6"/>
  <c r="I18" i="6" s="1"/>
  <c r="M15" i="6"/>
  <c r="J16" i="6"/>
  <c r="J18" i="6" s="1"/>
  <c r="M16" i="6"/>
  <c r="J17" i="6"/>
  <c r="M17" i="6"/>
  <c r="H18" i="6"/>
  <c r="H44" i="6" s="1"/>
  <c r="K18" i="6"/>
  <c r="L18" i="6"/>
  <c r="K20" i="6"/>
  <c r="K24" i="6" s="1"/>
  <c r="I21" i="6"/>
  <c r="I53" i="6" s="1"/>
  <c r="I54" i="6" s="1"/>
  <c r="I55" i="6" s="1"/>
  <c r="M21" i="6"/>
  <c r="J22" i="6"/>
  <c r="J24" i="6" s="1"/>
  <c r="M22" i="6"/>
  <c r="J23" i="6"/>
  <c r="M23" i="6" s="1"/>
  <c r="H24" i="6"/>
  <c r="I24" i="6"/>
  <c r="L24" i="6"/>
  <c r="K26" i="6"/>
  <c r="K30" i="6" s="1"/>
  <c r="M26" i="6"/>
  <c r="I27" i="6"/>
  <c r="I30" i="6" s="1"/>
  <c r="M27" i="6"/>
  <c r="J28" i="6"/>
  <c r="J30" i="6" s="1"/>
  <c r="J44" i="6" s="1"/>
  <c r="J29" i="6"/>
  <c r="M29" i="6"/>
  <c r="H30" i="6"/>
  <c r="L30" i="6"/>
  <c r="L44" i="6" s="1"/>
  <c r="K32" i="6"/>
  <c r="K64" i="6" s="1"/>
  <c r="K66" i="6" s="1"/>
  <c r="K67" i="6" s="1"/>
  <c r="M32" i="6"/>
  <c r="I33" i="6"/>
  <c r="I65" i="6" s="1"/>
  <c r="J34" i="6"/>
  <c r="M34" i="6"/>
  <c r="J35" i="6"/>
  <c r="L35" i="6"/>
  <c r="M35" i="6"/>
  <c r="H36" i="6"/>
  <c r="J36" i="6"/>
  <c r="K36" i="6"/>
  <c r="L36" i="6"/>
  <c r="K38" i="6"/>
  <c r="M38" i="6"/>
  <c r="I39" i="6"/>
  <c r="M39" i="6" s="1"/>
  <c r="J40" i="6"/>
  <c r="M40" i="6"/>
  <c r="J41" i="6"/>
  <c r="M41" i="6"/>
  <c r="H42" i="6"/>
  <c r="M42" i="6" s="1"/>
  <c r="I42" i="6"/>
  <c r="J42" i="6"/>
  <c r="K42" i="6"/>
  <c r="L42" i="6"/>
  <c r="H46" i="6"/>
  <c r="M46" i="6" s="1"/>
  <c r="I46" i="6"/>
  <c r="J46" i="6"/>
  <c r="K46" i="6"/>
  <c r="L46" i="6"/>
  <c r="F47" i="6"/>
  <c r="H47" i="6" s="1"/>
  <c r="H52" i="6"/>
  <c r="I52" i="6"/>
  <c r="J52" i="6"/>
  <c r="L52" i="6"/>
  <c r="F53" i="6"/>
  <c r="H53" i="6" s="1"/>
  <c r="K53" i="6"/>
  <c r="L53" i="6"/>
  <c r="L54" i="6" s="1"/>
  <c r="L55" i="6" s="1"/>
  <c r="H58" i="6"/>
  <c r="I58" i="6"/>
  <c r="L58" i="6"/>
  <c r="L60" i="6" s="1"/>
  <c r="L61" i="6" s="1"/>
  <c r="F59" i="6"/>
  <c r="H59" i="6"/>
  <c r="K59" i="6"/>
  <c r="L59" i="6"/>
  <c r="H60" i="6"/>
  <c r="H61" i="6" s="1"/>
  <c r="H64" i="6"/>
  <c r="J64" i="6"/>
  <c r="L64" i="6"/>
  <c r="L66" i="6" s="1"/>
  <c r="L67" i="6" s="1"/>
  <c r="F65" i="6"/>
  <c r="H65" i="6" s="1"/>
  <c r="J65" i="6"/>
  <c r="J66" i="6" s="1"/>
  <c r="J67" i="6" s="1"/>
  <c r="K65" i="6"/>
  <c r="L65" i="6"/>
  <c r="H70" i="6"/>
  <c r="J70" i="6"/>
  <c r="J72" i="6" s="1"/>
  <c r="J73" i="6" s="1"/>
  <c r="K70" i="6"/>
  <c r="L70" i="6"/>
  <c r="L72" i="6" s="1"/>
  <c r="L73" i="6" s="1"/>
  <c r="F71" i="6"/>
  <c r="H71" i="6"/>
  <c r="M71" i="6" s="1"/>
  <c r="I71" i="6"/>
  <c r="J71" i="6"/>
  <c r="K71" i="6"/>
  <c r="K72" i="6" s="1"/>
  <c r="K73" i="6" s="1"/>
  <c r="L71" i="6"/>
  <c r="C1" i="5"/>
  <c r="L12" i="5"/>
  <c r="A13" i="5"/>
  <c r="A14" i="5"/>
  <c r="L14" i="5"/>
  <c r="A15" i="5"/>
  <c r="L15" i="5"/>
  <c r="A16" i="5"/>
  <c r="L16" i="5"/>
  <c r="A17" i="5"/>
  <c r="L17" i="5"/>
  <c r="A18" i="5"/>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L18" i="5"/>
  <c r="L19" i="5"/>
  <c r="G20" i="5"/>
  <c r="H20" i="5"/>
  <c r="I20" i="5"/>
  <c r="K20" i="5"/>
  <c r="D61" i="5" s="1"/>
  <c r="L20" i="5"/>
  <c r="G22" i="5"/>
  <c r="L22" i="5" s="1"/>
  <c r="L26" i="5" s="1"/>
  <c r="L43" i="5" s="1"/>
  <c r="I22" i="5"/>
  <c r="K22" i="5"/>
  <c r="G23" i="5"/>
  <c r="I23" i="5"/>
  <c r="K23" i="5"/>
  <c r="L23" i="5"/>
  <c r="G24" i="5"/>
  <c r="L24" i="5" s="1"/>
  <c r="I24" i="5"/>
  <c r="I26" i="5" s="1"/>
  <c r="I43" i="5" s="1"/>
  <c r="K24" i="5"/>
  <c r="G25" i="5"/>
  <c r="I25" i="5"/>
  <c r="K25" i="5"/>
  <c r="L25" i="5"/>
  <c r="H26" i="5"/>
  <c r="H43" i="5" s="1"/>
  <c r="J26" i="5"/>
  <c r="J43" i="5" s="1"/>
  <c r="K26" i="5"/>
  <c r="D62" i="5" s="1"/>
  <c r="L28" i="5"/>
  <c r="L29" i="5"/>
  <c r="L30" i="5"/>
  <c r="L31" i="5"/>
  <c r="L32" i="5"/>
  <c r="L33" i="5"/>
  <c r="G34" i="5"/>
  <c r="H34" i="5"/>
  <c r="I34" i="5"/>
  <c r="K34" i="5"/>
  <c r="L34" i="5"/>
  <c r="L36" i="5"/>
  <c r="L37" i="5"/>
  <c r="L38" i="5"/>
  <c r="L39" i="5"/>
  <c r="L40" i="5"/>
  <c r="G41" i="5"/>
  <c r="L41" i="5" s="1"/>
  <c r="H41" i="5"/>
  <c r="I41" i="5"/>
  <c r="J41" i="5"/>
  <c r="K41" i="5"/>
  <c r="D60" i="5"/>
  <c r="F60" i="5" s="1"/>
  <c r="E60" i="5"/>
  <c r="D63" i="5"/>
  <c r="E63" i="5"/>
  <c r="F63" i="5"/>
  <c r="D64" i="5"/>
  <c r="F64" i="5" s="1"/>
  <c r="E64" i="5"/>
  <c r="L72" i="5"/>
  <c r="L73" i="5"/>
  <c r="L74" i="5"/>
  <c r="L75" i="5"/>
  <c r="G76" i="5"/>
  <c r="L76" i="5" s="1"/>
  <c r="H76" i="5"/>
  <c r="I76" i="5"/>
  <c r="K76" i="5"/>
  <c r="L78" i="5"/>
  <c r="L79" i="5"/>
  <c r="L80" i="5"/>
  <c r="L81" i="5"/>
  <c r="G82" i="5"/>
  <c r="H82" i="5"/>
  <c r="I82" i="5"/>
  <c r="J82" i="5"/>
  <c r="K82" i="5"/>
  <c r="L82" i="5"/>
  <c r="C1" i="3"/>
  <c r="G8" i="3"/>
  <c r="W37" i="7" l="1"/>
  <c r="D50" i="7"/>
  <c r="F50" i="7" s="1"/>
  <c r="I50" i="7" s="1"/>
  <c r="G37" i="7"/>
  <c r="Q37" i="7"/>
  <c r="G47" i="7"/>
  <c r="F47" i="7"/>
  <c r="I47" i="7" s="1"/>
  <c r="AA37" i="7"/>
  <c r="O37" i="7"/>
  <c r="W28" i="7"/>
  <c r="N37" i="7"/>
  <c r="W34" i="7"/>
  <c r="Q34" i="7"/>
  <c r="G50" i="7" s="1"/>
  <c r="G28" i="7"/>
  <c r="D49" i="7" s="1"/>
  <c r="F49" i="7" s="1"/>
  <c r="I49" i="7" s="1"/>
  <c r="H48" i="6"/>
  <c r="H49" i="6" s="1"/>
  <c r="M65" i="6"/>
  <c r="I44" i="6"/>
  <c r="M30" i="6"/>
  <c r="K48" i="6"/>
  <c r="K49" i="6" s="1"/>
  <c r="K44" i="6"/>
  <c r="M24" i="6"/>
  <c r="M58" i="6"/>
  <c r="M53" i="6"/>
  <c r="H54" i="6"/>
  <c r="H55" i="6" s="1"/>
  <c r="H72" i="6"/>
  <c r="H73" i="6" s="1"/>
  <c r="I70" i="6"/>
  <c r="K58" i="6"/>
  <c r="K60" i="6" s="1"/>
  <c r="K61" i="6" s="1"/>
  <c r="H66" i="6"/>
  <c r="H67" i="6" s="1"/>
  <c r="I64" i="6"/>
  <c r="I66" i="6" s="1"/>
  <c r="I67" i="6" s="1"/>
  <c r="J58" i="6"/>
  <c r="J60" i="6" s="1"/>
  <c r="J61" i="6" s="1"/>
  <c r="K52" i="6"/>
  <c r="K54" i="6" s="1"/>
  <c r="K55" i="6" s="1"/>
  <c r="M33" i="6"/>
  <c r="M28" i="6"/>
  <c r="L47" i="6"/>
  <c r="L48" i="6" s="1"/>
  <c r="L49" i="6" s="1"/>
  <c r="I36" i="6"/>
  <c r="M36" i="6" s="1"/>
  <c r="I59" i="6"/>
  <c r="J53" i="6"/>
  <c r="J54" i="6" s="1"/>
  <c r="J55" i="6" s="1"/>
  <c r="K47" i="6"/>
  <c r="M20" i="6"/>
  <c r="J59" i="6"/>
  <c r="J47" i="6"/>
  <c r="J48" i="6" s="1"/>
  <c r="J49" i="6" s="1"/>
  <c r="I47" i="6"/>
  <c r="I48" i="6" s="1"/>
  <c r="I49" i="6" s="1"/>
  <c r="M18" i="6"/>
  <c r="K43" i="5"/>
  <c r="G26" i="5"/>
  <c r="G43" i="5" s="1"/>
  <c r="E62" i="5"/>
  <c r="F62" i="5" s="1"/>
  <c r="E61" i="5"/>
  <c r="E65" i="5" s="1"/>
  <c r="D65" i="5"/>
  <c r="M70" i="6" l="1"/>
  <c r="M72" i="6" s="1"/>
  <c r="M73" i="6" s="1"/>
  <c r="I72" i="6"/>
  <c r="I73" i="6" s="1"/>
  <c r="M52" i="6"/>
  <c r="M54" i="6" s="1"/>
  <c r="M55" i="6" s="1"/>
  <c r="M47" i="6"/>
  <c r="M48" i="6" s="1"/>
  <c r="M49" i="6" s="1"/>
  <c r="M44" i="6"/>
  <c r="M59" i="6"/>
  <c r="M60" i="6" s="1"/>
  <c r="M61" i="6" s="1"/>
  <c r="M64" i="6"/>
  <c r="M66" i="6" s="1"/>
  <c r="M67" i="6" s="1"/>
  <c r="I60" i="6"/>
  <c r="I61" i="6" s="1"/>
  <c r="F61" i="5"/>
  <c r="F6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tc={549DC186-D3B3-4AAB-B7C6-890800359493}</author>
  </authors>
  <commentList>
    <comment ref="I19" authorId="0" shapeId="0" xr:uid="{549DC186-D3B3-4AAB-B7C6-890800359493}">
      <text>
        <t xml:space="preserve">[Threaded comment]
Your version of Excel allows you to read this threaded comment; however, any edits to it will get removed if the file is opened in a newer version of Excel. Learn more: https://go.microsoft.com/fwlink/?linkid=870924
Comment:
    [Mention was removed] Should be AU10, not AU9
Reply:
    This still needs to be fixed looks like
Reply:
    yes I fixed it,  does not change the number thanks </t>
      </text>
    </comment>
  </commentList>
</comments>
</file>

<file path=xl/sharedStrings.xml><?xml version="1.0" encoding="utf-8"?>
<sst xmlns="http://schemas.openxmlformats.org/spreadsheetml/2006/main" count="812" uniqueCount="229">
  <si>
    <t>2020-2024</t>
  </si>
  <si>
    <t>Yes (Refund included as ATA)</t>
  </si>
  <si>
    <t>To reflect adjustments result from FERC Audit.  Refer to detail tab "2.1 O&amp;M (EOC)_1-9-26_Submittal, 2.2 A&amp;G (EOC) and 2.3 Discrimination Stlmt (EOC)".</t>
  </si>
  <si>
    <t>N/A</t>
  </si>
  <si>
    <t>18, 19, 24</t>
  </si>
  <si>
    <t>FERC Audit</t>
  </si>
  <si>
    <t>[Sch 19, Line 109, Col 3 and Line 204]
To correct wildfire claim expense recorded in 2024 in Account 925 amount to $54,838 (total electric amount) but included in recovery under non-wildfire injuries and damages in Rate Year 2026 - 2024 True Up. Refer to detail tab.</t>
  </si>
  <si>
    <t>Self-Identified through RY27 AU process</t>
  </si>
  <si>
    <t>Adjustments to be included in Draft</t>
  </si>
  <si>
    <t>Notes</t>
  </si>
  <si>
    <t>Changes Impacting Previously Filed Model
Yes/No
If yes, please specify the true up year impacted.</t>
  </si>
  <si>
    <t>TO21 (RY2027)
Yes/No</t>
  </si>
  <si>
    <t>Description and Location of Change</t>
  </si>
  <si>
    <t>WP Impacted</t>
  </si>
  <si>
    <t>Schedule Impacted</t>
  </si>
  <si>
    <t>Data Request Number or Source of Change</t>
  </si>
  <si>
    <t>Log Date</t>
  </si>
  <si>
    <t>Item</t>
  </si>
  <si>
    <t>TO21 Rate Year 2027 Annual Update Change Log</t>
  </si>
  <si>
    <t>Sch 19, Line 109, Col 3</t>
  </si>
  <si>
    <t>To remove from recovery as A&amp;G non-wildfire injuries and damages for 2024 True Up.</t>
  </si>
  <si>
    <t>Included in Recovery as A&amp;G non-wildfire injuries and damages on blended factor.</t>
  </si>
  <si>
    <t>Injuries and Damages</t>
  </si>
  <si>
    <t>Pay Fire</t>
  </si>
  <si>
    <t>Pine Fire</t>
  </si>
  <si>
    <t>Site Fire</t>
  </si>
  <si>
    <t>Note</t>
  </si>
  <si>
    <t>Location of Correction</t>
  </si>
  <si>
    <t>Correction</t>
  </si>
  <si>
    <t>RY2026 (2024 True Up) Treatement</t>
  </si>
  <si>
    <t>Total Electric (FF1) Amount</t>
  </si>
  <si>
    <t>Recorded Year</t>
  </si>
  <si>
    <t>FERC Account Description</t>
  </si>
  <si>
    <t>Recorded FERC Account</t>
  </si>
  <si>
    <t>Fire Ignition Date</t>
  </si>
  <si>
    <t>Fire</t>
  </si>
  <si>
    <t>Log Item #</t>
  </si>
  <si>
    <t>8204260</t>
  </si>
  <si>
    <t>Invair Systems LLC</t>
  </si>
  <si>
    <t>INV-PGEEA110822</t>
  </si>
  <si>
    <t>2053956</t>
  </si>
  <si>
    <t>Noyo Harbor</t>
  </si>
  <si>
    <t>177307106</t>
  </si>
  <si>
    <t>8200036</t>
  </si>
  <si>
    <t>Enoserv</t>
  </si>
  <si>
    <t>175653096</t>
  </si>
  <si>
    <t>70033869</t>
  </si>
  <si>
    <t>Corrections included in Rate Year 2026 filing</t>
  </si>
  <si>
    <t>Revised Correction</t>
  </si>
  <si>
    <t>8) These line items are the audit selected specific samples related corrections.  Row 70-74 is the revised extent of condition impact for the samples.  PG&amp;E incorprated the corrections reported to the DAA on 11/17/25 (Rows 76-80) in the Rate Year 2026 Annual Update filing.  As such, PG&amp;E will adjust the difference (Lines 10-15) to reflect the revised correction in Rate Year 2027 Annual Update filing.</t>
  </si>
  <si>
    <t>7) The adjustment has been made to the TO21 RY2026 and WDT4 RY2026 for the upcoming filing in December 2025.</t>
  </si>
  <si>
    <t>* Source from the electric department O&amp;M labor factor (Sch 24-Allocators, Line 109) from the last annual update version of the true up year.</t>
  </si>
  <si>
    <t>Electric Split*</t>
  </si>
  <si>
    <t>WDT, Sch 19-AandG, Line 104, Col 6</t>
  </si>
  <si>
    <t>TO, Sch 19-AandG, Line 104, Col 6</t>
  </si>
  <si>
    <t>Impacted Year</t>
  </si>
  <si>
    <t>Total</t>
  </si>
  <si>
    <t>Gas</t>
  </si>
  <si>
    <t>Electric</t>
  </si>
  <si>
    <t>7) Adjustments to Schedule 19-AandG for FERC Account 923</t>
  </si>
  <si>
    <t>6) Adjustments to Schedule 18, based on correct FERC Accounts for recorded year values (note intial FERC Account selection was based on formulas that picked up the first listed FERC Account).</t>
  </si>
  <si>
    <t xml:space="preserve">5) Extent of conditions for errors in contract for Rommel and Alderman from sample, see sample number 3 and 10 for 2024 samples.  Contracts for 2024 has also been adjusted </t>
  </si>
  <si>
    <t>4) FERC Staff sample selection # 21 for Invira Systems.   Work scope is for pole testing of tool, this is distribution expense</t>
  </si>
  <si>
    <t>3) FERC Staff sample selection # 14 for Noyo.  Noyo Harbor lease payment allocation 2 out 7 lease assigned to transmission and five out of seven is for distribution function.  Corrections made to FERC Accounts where the actual amounts were initally recorded. 2024 amount adjusted in TO21 annual update</t>
  </si>
  <si>
    <t>2) FERC Staff sample selection #7 for Enoserve.  Allocation for vendor Enoserv is 70% transmission and 30% distribution cost</t>
  </si>
  <si>
    <t xml:space="preserve">     Positive value repressents increase to the FERC Account Balance.</t>
  </si>
  <si>
    <t>1) Negative value represents reduction to the FERC Account Balance.</t>
  </si>
  <si>
    <t>Notes:</t>
  </si>
  <si>
    <t>Yes</t>
  </si>
  <si>
    <t>8212000</t>
  </si>
  <si>
    <t>Rommel &amp; Alderman Consulting LLC</t>
  </si>
  <si>
    <t>2701016470</t>
  </si>
  <si>
    <t>2701017128</t>
  </si>
  <si>
    <t>182498425</t>
  </si>
  <si>
    <t>184683580</t>
  </si>
  <si>
    <t>3, 7</t>
  </si>
  <si>
    <t>183239733</t>
  </si>
  <si>
    <t>INV-PGEEA01232023B</t>
  </si>
  <si>
    <t>179177071</t>
  </si>
  <si>
    <t>902567343</t>
  </si>
  <si>
    <t>902567344</t>
  </si>
  <si>
    <t>70048042</t>
  </si>
  <si>
    <t>2, 8</t>
  </si>
  <si>
    <t>Corrections for Specific Samples to be made in Rate Year 2027 (Note 8)</t>
  </si>
  <si>
    <t>8050436, 2005069</t>
  </si>
  <si>
    <t>5001439, 5017070</t>
  </si>
  <si>
    <t>172900867</t>
  </si>
  <si>
    <t>902107568</t>
  </si>
  <si>
    <t>173338636</t>
  </si>
  <si>
    <t>173172021</t>
  </si>
  <si>
    <t>170352855</t>
  </si>
  <si>
    <t>Note 1, 7</t>
  </si>
  <si>
    <t>Note 1</t>
  </si>
  <si>
    <t>Non-Labor Costs?</t>
  </si>
  <si>
    <t>WDT Models Impacted?</t>
  </si>
  <si>
    <t>TO Models Impacted?</t>
  </si>
  <si>
    <t>Net</t>
  </si>
  <si>
    <t>Administrative and General Salaries</t>
  </si>
  <si>
    <t>Distribution OH Line Expenses</t>
  </si>
  <si>
    <t>Miscellaneous Distribution Expenses</t>
  </si>
  <si>
    <t>Transmission OH Line Expenses</t>
  </si>
  <si>
    <t>Miscellaneous Transmission Expenses</t>
  </si>
  <si>
    <t>Order Number</t>
  </si>
  <si>
    <t>Planning Order Number</t>
  </si>
  <si>
    <t>Vendor</t>
  </si>
  <si>
    <t>Invoice Number/Document Number</t>
  </si>
  <si>
    <t>Line</t>
  </si>
  <si>
    <t>Sch 19, Ln 104, Col 6</t>
  </si>
  <si>
    <t>Sch 18, Ln 105, Col 7</t>
  </si>
  <si>
    <t>Sch 18, Ln 111, Col 7</t>
  </si>
  <si>
    <t>WDT Formula Rate Input Location</t>
  </si>
  <si>
    <t>No</t>
  </si>
  <si>
    <t>Is the FERC Account part of WDT Formula Rate?</t>
  </si>
  <si>
    <t>Sch 19, Ln 107, Col 6</t>
  </si>
  <si>
    <t>Sch 18, Ln 112, Col 7</t>
  </si>
  <si>
    <t>Sch 18, Ln 115, Col 7</t>
  </si>
  <si>
    <t>TO Formula Rate Input Location</t>
  </si>
  <si>
    <t>Is the FERC Account part of TO Formula Rate?</t>
  </si>
  <si>
    <t>FERC Account</t>
  </si>
  <si>
    <t>Extent of Condition Adjustment - Audit Finding O&amp;M</t>
  </si>
  <si>
    <t>PG&amp;E has previously excluded these amounts from recovery in prior year models.  PG&amp;E will continue not to seek recovery after the reclassification.</t>
  </si>
  <si>
    <t>Note 4:</t>
  </si>
  <si>
    <t>PG&amp;E does not recover CPUC intervenor compensation.</t>
  </si>
  <si>
    <t>Note 3:</t>
  </si>
  <si>
    <t>b. Both FERC Account 930.2 and 921 are part of the TO and WDT Formula Rate and are allocated base on the same allocator within TO and WDT Formula Rate. Therefore, it has no impact on the revenue requirement since the sum of the adjustments is net to zero.</t>
  </si>
  <si>
    <t xml:space="preserve">and DRR formula rates via an adjustment to FERC Account 930.2. </t>
  </si>
  <si>
    <t>a. Bank Fees recorded to orders 2053882 (CC 14759), 2053884 (CC 14480), 2054025 (CC 15927), 2054109 (CC 14695), 2054110 (CC 14661), and 2054111 (14660),  are recovered under the CPUC jurisidiction and thefore have historically been excluded from the TRR</t>
  </si>
  <si>
    <t>Note 2:</t>
  </si>
  <si>
    <t>Positive value repressents increase to the FERC Account Balance.</t>
  </si>
  <si>
    <t>Negative value represents reduction to the FERC Account Balance.</t>
  </si>
  <si>
    <t>Note 1:</t>
  </si>
  <si>
    <t>Check</t>
  </si>
  <si>
    <t>Total Company Amount</t>
  </si>
  <si>
    <t>Gas Amount</t>
  </si>
  <si>
    <t>Electric Amount</t>
  </si>
  <si>
    <t>Electric and Gas Split</t>
  </si>
  <si>
    <t>2024 Total</t>
  </si>
  <si>
    <t>Various</t>
  </si>
  <si>
    <t>Advertising</t>
  </si>
  <si>
    <t>Note 4</t>
  </si>
  <si>
    <t>Land Services - Legal Fees &amp; Expenses</t>
  </si>
  <si>
    <t>Note 3</t>
  </si>
  <si>
    <t>CPUC Intervenor Compensation</t>
  </si>
  <si>
    <t>Note 2</t>
  </si>
  <si>
    <t>Yes / No</t>
  </si>
  <si>
    <t>Bank Fees</t>
  </si>
  <si>
    <t>2023 Total</t>
  </si>
  <si>
    <t>2022 Total</t>
  </si>
  <si>
    <t>2021 Total</t>
  </si>
  <si>
    <t>2020 Total</t>
  </si>
  <si>
    <t>Exclusion from Recovery in Previous Submitted Model</t>
  </si>
  <si>
    <t>Informational and Instructional Advertising Expenses</t>
  </si>
  <si>
    <t>Office Supplies and Expenses</t>
  </si>
  <si>
    <t>Outside Services Employed</t>
  </si>
  <si>
    <t>Regulatory commission expenses</t>
  </si>
  <si>
    <t>Miscellaneous General Expenses</t>
  </si>
  <si>
    <t>Year Impacted</t>
  </si>
  <si>
    <t>Planning Order</t>
  </si>
  <si>
    <t>Expense Description</t>
  </si>
  <si>
    <t>Invoice / Document Number</t>
  </si>
  <si>
    <t>Line 105, Col 6</t>
  </si>
  <si>
    <t>Line 107, Col 6</t>
  </si>
  <si>
    <t>Line 112, Col 6</t>
  </si>
  <si>
    <t>Line 115, Col 6</t>
  </si>
  <si>
    <t>WDT Formula Rate Input Location on Schedule 19-AandG</t>
  </si>
  <si>
    <t>TO Formula Rate Input Location on Schedule 19-AandG</t>
  </si>
  <si>
    <t>Total Company Basis</t>
  </si>
  <si>
    <t>Extent of Condition Adjustment - Audit Finding A&amp;G</t>
  </si>
  <si>
    <t>The settlement was excluded from formula rate via adjustments reflected in prior models.</t>
  </si>
  <si>
    <t>Note 5:</t>
  </si>
  <si>
    <t>Source from the electric department O&amp;M labor factor (Sch 24-Allocators, Line 109) from the last annual update version of the true up year.</t>
  </si>
  <si>
    <t>PG&amp;E recovers only the bank fees and awards and removed remaining balances from recovery in FERC 930.2.  As such, no adjustments is needed because PG&amp;E did not recover such cost previously.</t>
  </si>
  <si>
    <t>In the TO and WDT formula rate, claims recorded 925 are recovered on cash basis.  Accruals are reversed in the formula rate and add in the paid claims for recovery.</t>
  </si>
  <si>
    <t>The paid claims for exclusion in formula rate included only the settlement portion but not the lost wages.</t>
  </si>
  <si>
    <t>When payment was made, the lost wages was recorded to PCC and the settlement portion was recorded in 925.</t>
  </si>
  <si>
    <t xml:space="preserve">The original settlement accrual including lost wages were reserved in 925. </t>
  </si>
  <si>
    <t xml:space="preserve">The settlement amount included the settlement and lost wages.  </t>
  </si>
  <si>
    <t>Gas A&amp;G Labor</t>
  </si>
  <si>
    <t>Gas O&amp;M Labor</t>
  </si>
  <si>
    <t>Subtotal</t>
  </si>
  <si>
    <t>Electric A&amp;G Labor</t>
  </si>
  <si>
    <t>Electric O&amp;M Labor</t>
  </si>
  <si>
    <t>Year</t>
  </si>
  <si>
    <t>Total Company Wages and Salaries</t>
  </si>
  <si>
    <t>Total Adjusted Electric Wages and Salaries</t>
  </si>
  <si>
    <t>Schedule 24-Allocators, Line 103</t>
  </si>
  <si>
    <t>Sch 24-Allocators, Line 107</t>
  </si>
  <si>
    <t>TO and WDT Formula Rate Model</t>
  </si>
  <si>
    <t>Adjustments to Schedule 24-Allocators Adjustments:</t>
  </si>
  <si>
    <t>Paid Employment settlements and wages</t>
  </si>
  <si>
    <t>no wage check</t>
  </si>
  <si>
    <t>PCC</t>
  </si>
  <si>
    <t>Amount Recorded in 925 Previously Excluded From Recovery</t>
  </si>
  <si>
    <t>Wages</t>
  </si>
  <si>
    <t>Injuries and damages</t>
  </si>
  <si>
    <t>Other Deductions</t>
  </si>
  <si>
    <t>Miscellaneous general expenses</t>
  </si>
  <si>
    <t>Administrative and general salaries</t>
  </si>
  <si>
    <t>Demonstrating and selling expenses</t>
  </si>
  <si>
    <t>Customer records and collection expenses</t>
  </si>
  <si>
    <t>Gas-related O&amp;M</t>
  </si>
  <si>
    <t>Miscellaneous hydraulic power generation expenses</t>
  </si>
  <si>
    <t>Maintenance of underground lines</t>
  </si>
  <si>
    <t>Maintenance of overhead lines</t>
  </si>
  <si>
    <t>Maintenance of station equipment</t>
  </si>
  <si>
    <t>Miscellaneous distribution expenses</t>
  </si>
  <si>
    <t>Underground line expenses</t>
  </si>
  <si>
    <t>Overhead line expenses</t>
  </si>
  <si>
    <t>Station expenses</t>
  </si>
  <si>
    <t>Maintenance of structures</t>
  </si>
  <si>
    <t>Miscellaneous transmission expenses</t>
  </si>
  <si>
    <t>Lost Wages</t>
  </si>
  <si>
    <t>Settlement</t>
  </si>
  <si>
    <t>Note 1, Note 3</t>
  </si>
  <si>
    <t>Sch 19-AandG, Line 115, Col 6</t>
  </si>
  <si>
    <t>Sch 19-AandG, Line 104, Col 6</t>
  </si>
  <si>
    <t>Sch 18-OandM, Line 117, Col 6</t>
  </si>
  <si>
    <t>Sch 18-OandM, Line 116, Col 6</t>
  </si>
  <si>
    <t>Sch 18-OandM, Line 115, Col 6</t>
  </si>
  <si>
    <t>Sch 18-OandM, Line 111, Col 6</t>
  </si>
  <si>
    <t>Sch 18-OandM, Line 106, Col 6</t>
  </si>
  <si>
    <t>Sch 18-OandM, Line 105, Col 6</t>
  </si>
  <si>
    <t>Sch 18-OandM, Line 104, Col 6</t>
  </si>
  <si>
    <t>Note 5</t>
  </si>
  <si>
    <t>Sch 18-OandM, Line 126, Col 6</t>
  </si>
  <si>
    <t>Sch 18-OandM, Line 125, Col 6</t>
  </si>
  <si>
    <t>Sch 18-OandM, Line 123, Col 6</t>
  </si>
  <si>
    <t>Sch 18-OandM, Line 118, Col 6</t>
  </si>
  <si>
    <t>Extent of Condition Adjustment - Audit Finding Discrimination Settlement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</si>
</sst>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mm/dd/yy;@"/>
    <numFmt numFmtId="165" formatCode="_(&quot;$&quot;* #,##0_);_(&quot;$&quot;* \(#,##0\);_(&quot;$&quot;* &quot;-&quot;??_);_(@_)"/>
  </numFmts>
  <fonts count="15" x14ac:knownFonts="1">
    <font>
      <sz val="11"/>
      <color theme="1"/>
      <name val="Aptos Narrow"/>
      <family val="2"/>
      <scheme val="minor"/>
    </font>
    <font>
      <sz val="11"/>
      <color theme="1"/>
      <name val="Aptos Narrow"/>
      <family val="2"/>
      <scheme val="minor"/>
    </font>
    <font>
      <b/>
      <sz val="11"/>
      <color theme="1"/>
      <name val="Aptos Narrow"/>
      <family val="2"/>
      <scheme val="minor"/>
    </font>
    <font>
      <b/>
      <sz val="11"/>
      <name val="Aptos Narrow"/>
      <family val="2"/>
      <scheme val="minor"/>
    </font>
    <font>
      <sz val="11"/>
      <name val="Aptos Narrow"/>
      <family val="2"/>
      <scheme val="minor"/>
    </font>
    <font>
      <b/>
      <sz val="11"/>
      <color rgb="FF000000"/>
      <name val="Aptos Narrow"/>
      <family val="2"/>
      <scheme val="minor"/>
    </font>
    <font>
      <sz val="11"/>
      <color rgb="FF000000"/>
      <name val="Aptos Narrow"/>
      <family val="2"/>
      <scheme val="minor"/>
    </font>
    <font>
      <sz val="11"/>
      <color rgb="FF000000"/>
      <name val="Aptos Narrow"/>
      <family val="2"/>
    </font>
    <font>
      <sz val="11"/>
      <name val="Aptos Narrow"/>
      <family val="2"/>
    </font>
    <font>
      <sz val="12"/>
      <color theme="1"/>
      <name val="Times New Roman"/>
      <family val="1"/>
    </font>
    <font>
      <u/>
      <sz val="11"/>
      <color theme="10"/>
      <name val="Aptos Narrow"/>
      <family val="2"/>
      <scheme val="minor"/>
    </font>
    <font>
      <b/>
      <i/>
      <sz val="11"/>
      <color theme="1"/>
      <name val="Aptos Narrow"/>
      <family val="2"/>
      <scheme val="minor"/>
    </font>
    <font>
      <b/>
      <sz val="11"/>
      <color rgb="FFC00000"/>
      <name val="Aptos Narrow"/>
      <family val="2"/>
      <scheme val="minor"/>
    </font>
    <font>
      <sz val="11"/>
      <color rgb="FF000000"/>
      <name val="Calibri"/>
      <family val="2"/>
    </font>
    <font>
      <u/>
      <sz val="11"/>
      <color theme="1"/>
      <name val="Aptos Narrow"/>
      <family val="2"/>
      <scheme val="minor"/>
    </font>
  </fonts>
  <fills count="9">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rgb="FFCCFFCC"/>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double">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cellStyleXfs>
  <cellXfs count="106">
    <xf numFmtId="0" fontId="0" fillId="0" borderId="0" xfId="0"/>
    <xf numFmtId="0" fontId="0" fillId="0" borderId="0" xfId="0" applyAlignment="1">
      <alignment horizontal="center"/>
    </xf>
    <xf numFmtId="0" fontId="0" fillId="0" borderId="0" xfId="0" applyAlignment="1">
      <alignment horizontal="center" wrapText="1"/>
    </xf>
    <xf numFmtId="164" fontId="0" fillId="0" borderId="0" xfId="0" applyNumberFormat="1"/>
    <xf numFmtId="0" fontId="0" fillId="0" borderId="0" xfId="0" applyAlignment="1">
      <alignment wrapText="1"/>
    </xf>
    <xf numFmtId="0" fontId="0" fillId="0" borderId="0" xfId="0" applyAlignment="1">
      <alignment horizontal="center" vertical="top"/>
    </xf>
    <xf numFmtId="0" fontId="0" fillId="0" borderId="0" xfId="0" applyAlignment="1">
      <alignment horizontal="center" vertical="top" wrapText="1"/>
    </xf>
    <xf numFmtId="164" fontId="0" fillId="0" borderId="0" xfId="0" applyNumberFormat="1" applyAlignment="1">
      <alignment vertical="top"/>
    </xf>
    <xf numFmtId="0" fontId="0" fillId="0" borderId="0" xfId="0" applyAlignment="1">
      <alignment vertical="top" wrapText="1"/>
    </xf>
    <xf numFmtId="0" fontId="0" fillId="0" borderId="0" xfId="0" applyAlignment="1">
      <alignment vertical="top"/>
    </xf>
    <xf numFmtId="0" fontId="3" fillId="0" borderId="0" xfId="0" applyFont="1" applyAlignment="1">
      <alignment vertical="top" wrapText="1"/>
    </xf>
    <xf numFmtId="0" fontId="4" fillId="0" borderId="0" xfId="0" applyFont="1" applyAlignment="1">
      <alignment horizontal="center" vertical="top" wrapText="1"/>
    </xf>
    <xf numFmtId="0" fontId="5" fillId="0" borderId="0" xfId="0" applyFont="1" applyAlignment="1">
      <alignment vertical="top" wrapText="1"/>
    </xf>
    <xf numFmtId="0" fontId="4"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center" vertical="top" wrapText="1"/>
    </xf>
    <xf numFmtId="0" fontId="4" fillId="0" borderId="0" xfId="0" applyFont="1" applyAlignment="1">
      <alignment horizontal="center" vertical="top"/>
    </xf>
    <xf numFmtId="0" fontId="8" fillId="0" borderId="0" xfId="0" applyFont="1" applyAlignment="1">
      <alignment horizontal="center" vertical="top" wrapText="1"/>
    </xf>
    <xf numFmtId="164" fontId="0" fillId="0" borderId="0" xfId="0" applyNumberFormat="1" applyAlignment="1">
      <alignment horizontal="center" vertical="top"/>
    </xf>
    <xf numFmtId="0" fontId="9" fillId="0" borderId="0" xfId="0" applyFont="1" applyAlignment="1">
      <alignment vertical="top" wrapText="1"/>
    </xf>
    <xf numFmtId="17" fontId="0" fillId="0" borderId="0" xfId="0" applyNumberFormat="1" applyAlignment="1">
      <alignment horizontal="center" vertical="top" wrapText="1"/>
    </xf>
    <xf numFmtId="0" fontId="2" fillId="2" borderId="0" xfId="0" applyFont="1" applyFill="1" applyAlignment="1">
      <alignment horizontal="center" wrapText="1"/>
    </xf>
    <xf numFmtId="0" fontId="2" fillId="2" borderId="0" xfId="0" applyFont="1" applyFill="1" applyAlignment="1">
      <alignment horizontal="left"/>
    </xf>
    <xf numFmtId="0" fontId="2" fillId="0" borderId="1" xfId="0" applyFont="1" applyBorder="1" applyAlignment="1">
      <alignment horizontal="center" wrapText="1"/>
    </xf>
    <xf numFmtId="0" fontId="2" fillId="0" borderId="2" xfId="0" applyFont="1" applyBorder="1" applyAlignment="1">
      <alignment horizontal="centerContinuous" wrapText="1"/>
    </xf>
    <xf numFmtId="0" fontId="2" fillId="0" borderId="0" xfId="0" applyFont="1"/>
    <xf numFmtId="44" fontId="0" fillId="0" borderId="3" xfId="2" applyFont="1" applyBorder="1"/>
    <xf numFmtId="44" fontId="0" fillId="0" borderId="0" xfId="2" applyFont="1"/>
    <xf numFmtId="14" fontId="0" fillId="0" borderId="0" xfId="0" applyNumberForma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0" fillId="0" borderId="0" xfId="3"/>
    <xf numFmtId="0" fontId="0" fillId="3" borderId="0" xfId="0" applyFill="1" applyAlignment="1">
      <alignment horizontal="center"/>
    </xf>
    <xf numFmtId="44" fontId="0" fillId="3" borderId="4" xfId="2" applyFont="1" applyFill="1" applyBorder="1"/>
    <xf numFmtId="0" fontId="0" fillId="3" borderId="0" xfId="0" applyFill="1"/>
    <xf numFmtId="44" fontId="0" fillId="3" borderId="0" xfId="2" applyFont="1" applyFill="1"/>
    <xf numFmtId="44" fontId="0" fillId="3" borderId="0" xfId="2" applyFont="1" applyFill="1" applyBorder="1"/>
    <xf numFmtId="44" fontId="0" fillId="0" borderId="0" xfId="2" applyFont="1" applyFill="1" applyBorder="1"/>
    <xf numFmtId="0" fontId="11" fillId="3" borderId="0" xfId="0" applyFont="1" applyFill="1" applyAlignment="1">
      <alignment horizontal="left"/>
    </xf>
    <xf numFmtId="0" fontId="0" fillId="4" borderId="0" xfId="0" applyFill="1" applyAlignment="1">
      <alignment horizontal="center"/>
    </xf>
    <xf numFmtId="44" fontId="0" fillId="4" borderId="4" xfId="2" applyFont="1" applyFill="1" applyBorder="1"/>
    <xf numFmtId="0" fontId="0" fillId="4" borderId="0" xfId="0" applyFill="1"/>
    <xf numFmtId="44" fontId="0" fillId="4" borderId="0" xfId="2" applyFont="1" applyFill="1"/>
    <xf numFmtId="44" fontId="0" fillId="0" borderId="0" xfId="2" applyFont="1" applyFill="1"/>
    <xf numFmtId="0" fontId="11" fillId="4" borderId="0" xfId="0" applyFont="1" applyFill="1" applyAlignment="1">
      <alignment horizontal="left"/>
    </xf>
    <xf numFmtId="0" fontId="0" fillId="0" borderId="0" xfId="0" applyAlignment="1">
      <alignment horizontal="left"/>
    </xf>
    <xf numFmtId="44" fontId="0" fillId="0" borderId="0" xfId="0" applyNumberFormat="1"/>
    <xf numFmtId="44" fontId="0" fillId="0" borderId="3" xfId="0" applyNumberFormat="1" applyBorder="1"/>
    <xf numFmtId="10" fontId="0" fillId="0" borderId="0" xfId="0" applyNumberFormat="1"/>
    <xf numFmtId="44" fontId="0" fillId="5" borderId="0" xfId="0" applyNumberFormat="1" applyFill="1"/>
    <xf numFmtId="44" fontId="0" fillId="6" borderId="0" xfId="0" applyNumberFormat="1" applyFill="1"/>
    <xf numFmtId="43" fontId="0" fillId="0" borderId="0" xfId="1" applyFont="1"/>
    <xf numFmtId="14" fontId="0" fillId="0" borderId="0" xfId="0" applyNumberFormat="1"/>
    <xf numFmtId="0" fontId="6" fillId="0" borderId="0" xfId="0" applyFont="1" applyAlignment="1">
      <alignment horizontal="center" vertical="top"/>
    </xf>
    <xf numFmtId="44" fontId="6" fillId="0" borderId="0" xfId="2" applyFont="1" applyFill="1" applyAlignment="1">
      <alignment horizontal="center" vertical="top"/>
    </xf>
    <xf numFmtId="44" fontId="6" fillId="0" borderId="0" xfId="2" applyFont="1" applyFill="1" applyAlignment="1">
      <alignment vertical="top"/>
    </xf>
    <xf numFmtId="44" fontId="6" fillId="0" borderId="0" xfId="2" applyFont="1" applyFill="1" applyAlignment="1">
      <alignment horizontal="center" vertical="top" wrapText="1"/>
    </xf>
    <xf numFmtId="44" fontId="0" fillId="0" borderId="4" xfId="2" applyFont="1" applyFill="1" applyBorder="1"/>
    <xf numFmtId="44" fontId="0" fillId="5" borderId="4" xfId="2" applyFont="1" applyFill="1" applyBorder="1"/>
    <xf numFmtId="44" fontId="0" fillId="6" borderId="4" xfId="2" applyFont="1" applyFill="1" applyBorder="1"/>
    <xf numFmtId="44" fontId="0" fillId="0" borderId="4" xfId="2" applyFont="1" applyBorder="1"/>
    <xf numFmtId="44" fontId="0" fillId="7" borderId="4" xfId="2" applyFont="1" applyFill="1" applyBorder="1"/>
    <xf numFmtId="0" fontId="11" fillId="0" borderId="0" xfId="0" applyFont="1" applyAlignment="1">
      <alignment horizontal="left"/>
    </xf>
    <xf numFmtId="44" fontId="0" fillId="0" borderId="2" xfId="2" applyFont="1" applyBorder="1"/>
    <xf numFmtId="0" fontId="2" fillId="0" borderId="0" xfId="0" applyFont="1" applyAlignment="1">
      <alignment horizontal="right"/>
    </xf>
    <xf numFmtId="0" fontId="12" fillId="0" borderId="0" xfId="0" applyFont="1" applyAlignment="1">
      <alignment horizontal="center" wrapText="1"/>
    </xf>
    <xf numFmtId="0" fontId="12" fillId="0" borderId="0" xfId="0" applyFont="1" applyAlignment="1">
      <alignment horizontal="center"/>
    </xf>
    <xf numFmtId="0" fontId="2" fillId="0" borderId="0" xfId="0" applyFont="1" applyAlignment="1">
      <alignment horizontal="left"/>
    </xf>
    <xf numFmtId="9" fontId="0" fillId="0" borderId="0" xfId="0" applyNumberFormat="1"/>
    <xf numFmtId="0" fontId="0" fillId="0" borderId="0" xfId="0" applyAlignment="1">
      <alignment horizontal="left" wrapText="1"/>
    </xf>
    <xf numFmtId="44" fontId="0" fillId="0" borderId="2" xfId="0" applyNumberFormat="1" applyBorder="1"/>
    <xf numFmtId="44" fontId="0" fillId="0" borderId="2" xfId="2" applyFont="1" applyFill="1" applyBorder="1"/>
    <xf numFmtId="165" fontId="0" fillId="8" borderId="2" xfId="2" applyNumberFormat="1" applyFont="1" applyFill="1" applyBorder="1"/>
    <xf numFmtId="44" fontId="0" fillId="8" borderId="2" xfId="2" applyFont="1" applyFill="1" applyBorder="1"/>
    <xf numFmtId="9" fontId="2" fillId="0" borderId="0" xfId="0" applyNumberFormat="1" applyFont="1" applyAlignment="1">
      <alignment horizontal="center"/>
    </xf>
    <xf numFmtId="9" fontId="2" fillId="0" borderId="0" xfId="0" applyNumberFormat="1" applyFont="1" applyAlignment="1">
      <alignment horizontal="center" wrapText="1"/>
    </xf>
    <xf numFmtId="165" fontId="0" fillId="0" borderId="0" xfId="2" applyNumberFormat="1" applyFont="1"/>
    <xf numFmtId="165" fontId="1" fillId="0" borderId="2" xfId="2" applyNumberFormat="1" applyFont="1" applyFill="1" applyBorder="1"/>
    <xf numFmtId="165" fontId="1" fillId="8" borderId="2" xfId="2" applyNumberFormat="1" applyFont="1" applyFill="1" applyBorder="1"/>
    <xf numFmtId="165" fontId="1" fillId="0" borderId="2" xfId="2" applyNumberFormat="1" applyFont="1" applyBorder="1"/>
    <xf numFmtId="165" fontId="1" fillId="0" borderId="0" xfId="2" applyNumberFormat="1" applyFont="1"/>
    <xf numFmtId="165" fontId="1" fillId="0" borderId="0" xfId="2" applyNumberFormat="1" applyFont="1" applyAlignment="1">
      <alignment horizontal="center" wrapText="1"/>
    </xf>
    <xf numFmtId="165" fontId="2" fillId="0" borderId="0" xfId="2" applyNumberFormat="1" applyFont="1" applyAlignment="1">
      <alignment horizontal="center" wrapText="1"/>
    </xf>
    <xf numFmtId="0" fontId="13" fillId="0" borderId="0" xfId="0" applyFont="1"/>
    <xf numFmtId="3" fontId="0" fillId="0" borderId="0" xfId="0" applyNumberFormat="1"/>
    <xf numFmtId="0" fontId="6" fillId="0" borderId="0" xfId="0" applyFont="1" applyAlignment="1">
      <alignment horizontal="center"/>
    </xf>
    <xf numFmtId="0" fontId="1" fillId="0" borderId="0" xfId="0" applyFont="1"/>
    <xf numFmtId="10" fontId="0" fillId="0" borderId="0" xfId="2" applyNumberFormat="1" applyFont="1"/>
    <xf numFmtId="44" fontId="0" fillId="8" borderId="0" xfId="2" applyFont="1" applyFill="1"/>
    <xf numFmtId="0" fontId="1" fillId="0" borderId="0" xfId="0" applyFont="1" applyAlignment="1">
      <alignment horizontal="center"/>
    </xf>
    <xf numFmtId="44" fontId="2" fillId="0" borderId="0" xfId="2" applyFont="1" applyAlignment="1">
      <alignment horizontal="center" wrapText="1"/>
    </xf>
    <xf numFmtId="0" fontId="5" fillId="0" borderId="0" xfId="0" applyFont="1" applyAlignment="1">
      <alignment horizontal="center" wrapText="1"/>
    </xf>
    <xf numFmtId="0" fontId="14" fillId="0" borderId="0" xfId="0" applyFont="1"/>
    <xf numFmtId="165" fontId="0" fillId="0" borderId="0" xfId="0" applyNumberFormat="1"/>
    <xf numFmtId="165" fontId="0" fillId="0" borderId="3" xfId="0" applyNumberFormat="1" applyBorder="1"/>
    <xf numFmtId="0" fontId="13" fillId="0" borderId="0" xfId="0" applyFont="1" applyAlignment="1">
      <alignment horizontal="center"/>
    </xf>
    <xf numFmtId="165" fontId="0" fillId="0" borderId="0" xfId="2" applyNumberFormat="1" applyFont="1" applyFill="1"/>
    <xf numFmtId="165" fontId="0" fillId="0" borderId="4" xfId="2" applyNumberFormat="1" applyFont="1" applyBorder="1"/>
    <xf numFmtId="165" fontId="0" fillId="6" borderId="4" xfId="2" applyNumberFormat="1" applyFont="1" applyFill="1" applyBorder="1"/>
    <xf numFmtId="165" fontId="0" fillId="5" borderId="4" xfId="2" applyNumberFormat="1" applyFont="1" applyFill="1" applyBorder="1"/>
    <xf numFmtId="0" fontId="2" fillId="0" borderId="1" xfId="0" applyFont="1" applyBorder="1" applyAlignment="1">
      <alignment wrapText="1"/>
    </xf>
    <xf numFmtId="0" fontId="2" fillId="0" borderId="5" xfId="0" applyFont="1" applyBorder="1" applyAlignment="1">
      <alignment horizontal="centerContinuous" wrapText="1"/>
    </xf>
    <xf numFmtId="0" fontId="2" fillId="0" borderId="4" xfId="0" applyFont="1" applyBorder="1" applyAlignment="1">
      <alignment horizontal="centerContinuous" wrapText="1"/>
    </xf>
    <xf numFmtId="0" fontId="2" fillId="0" borderId="6" xfId="0" applyFont="1" applyBorder="1" applyAlignment="1">
      <alignment horizontal="centerContinuous" wrapText="1"/>
    </xf>
    <xf numFmtId="0" fontId="0" fillId="0" borderId="0" xfId="0" applyAlignment="1">
      <alignment horizontal="left"/>
    </xf>
    <xf numFmtId="0" fontId="2" fillId="0" borderId="0" xfId="0" applyFont="1" applyAlignment="1">
      <alignment horizontal="left"/>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609599</xdr:colOff>
      <xdr:row>9</xdr:row>
      <xdr:rowOff>9525</xdr:rowOff>
    </xdr:from>
    <xdr:to>
      <xdr:col>8</xdr:col>
      <xdr:colOff>609599</xdr:colOff>
      <xdr:row>25</xdr:row>
      <xdr:rowOff>152400</xdr:rowOff>
    </xdr:to>
    <xdr:sp macro="" textlink="">
      <xdr:nvSpPr>
        <xdr:cNvPr id="2" name="TextBox 1">
          <a:extLst>
            <a:ext uri="{FF2B5EF4-FFF2-40B4-BE49-F238E27FC236}">
              <a16:creationId xmlns:a16="http://schemas.microsoft.com/office/drawing/2014/main" id="{0BC2605E-1B11-46DD-9583-F96B4A04D0D0}"/>
            </a:ext>
          </a:extLst>
        </xdr:cNvPr>
        <xdr:cNvSpPr txBox="1"/>
      </xdr:nvSpPr>
      <xdr:spPr>
        <a:xfrm>
          <a:off x="609599" y="1724025"/>
          <a:ext cx="4876800" cy="3190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a:t>
          </a:r>
        </a:p>
        <a:p>
          <a:r>
            <a:rPr lang="en-US" sz="1100"/>
            <a:t>1. The amount was expensed in 2024 and recovered as non-wildfire</a:t>
          </a:r>
          <a:r>
            <a:rPr lang="en-US" sz="1100" baseline="0"/>
            <a:t> related injuries and damages in RY2026-2024 true up.  It was i</a:t>
          </a:r>
          <a:r>
            <a:rPr lang="en-US" sz="1100"/>
            <a:t>dentified to be eligible for reimbursement from Wildfire Self-Insurance Fund </a:t>
          </a:r>
          <a:r>
            <a:rPr lang="en-US" sz="1100">
              <a:solidFill>
                <a:schemeClr val="dk1"/>
              </a:solidFill>
              <a:effectLst/>
              <a:latin typeface="+mn-lt"/>
              <a:ea typeface="+mn-ea"/>
              <a:cs typeface="+mn-cs"/>
            </a:rPr>
            <a:t>in 2025</a:t>
          </a:r>
          <a:r>
            <a:rPr lang="en-US" sz="1100"/>
            <a:t>.  The allocated ET portion was recorded to FERC wildfire self-insurance regulatory liability account in 2025 and will be included in the replenishment funding calculation in RY2027 Annual Update.</a:t>
          </a:r>
        </a:p>
        <a:p>
          <a:endParaRPr lang="en-US" sz="1100"/>
        </a:p>
        <a:p>
          <a:r>
            <a:rPr lang="en-US" sz="1100"/>
            <a:t>2. The amount was expensed in 2024 and recovered as non-wildfire related injuries and damages</a:t>
          </a:r>
          <a:r>
            <a:rPr lang="en-US" sz="1100" baseline="0"/>
            <a:t> in RY2026-2024 true up.  It was</a:t>
          </a:r>
          <a:r>
            <a:rPr lang="en-US" sz="1100"/>
            <a:t> incorrectly identified to be eligible for reimbursement from Wildfire Self-Insurance Fund in 2025 with t</a:t>
          </a:r>
          <a:r>
            <a:rPr lang="en-US" sz="1100" baseline="0"/>
            <a:t>he allocated network ET portion recorded to FERC wildfire self-insurance regulatory liabiltiy account in 2025.  The amount will be included in the replenishment funding calculation in RY2027 Annual Update.  PG&amp;E will remove from the books the allocated ET portion recorded to FERC wildfire self-insurance regulatory liability account in 2026 and the refund will be included in the replenishment funding calculation in RY2028 Annual Update.</a:t>
          </a:r>
        </a:p>
        <a:p>
          <a:endParaRPr lang="en-US" sz="1100" baseline="0"/>
        </a:p>
        <a:p>
          <a:r>
            <a:rPr lang="en-US" sz="1100">
              <a:solidFill>
                <a:schemeClr val="dk1"/>
              </a:solidFill>
              <a:effectLst/>
              <a:latin typeface="+mn-lt"/>
              <a:ea typeface="+mn-ea"/>
              <a:cs typeface="+mn-cs"/>
            </a:rPr>
            <a:t>3. The amount was expensed in 2024 and recovered as non-wildfire related injuries and damges in RY2026-2024 true up.  It was identified to be eligible for reimbursement from Wildfire Self-Insurance Fund in 2026.  The allocated ET portion was recorded to FERC wildfire self-insurance regulatory liability account in 2026 and will be included in the replenishment funding calculation in RY2028 Annual Update.</a:t>
          </a:r>
          <a:endParaRPr lang="en-US">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I19" dT="2026-01-07T21:45:43.31" personId="{00000000-0000-0000-0000-000000000000}" id="{549DC186-D3B3-4AAB-B7C6-890800359493}" done="1">
    <text>[Mention was removed] Should be AU10, not AU9</text>
  </threadedComment>
  <threadedComment ref="I19" dT="2026-01-09T00:03:20.07" personId="{00000000-0000-0000-0000-000000000000}" id="{BF6CC7BF-4CE3-464C-BB13-50410E5585B6}" parentId="{549DC186-D3B3-4AAB-B7C6-890800359493}">
    <text>This still needs to be fixed looks like</text>
  </threadedComment>
  <threadedComment ref="I19" dT="2026-01-09T01:47:00.37" personId="{00000000-0000-0000-0000-000000000000}" id="{1F16BE62-AA0F-4997-8DDB-DE31041FBCF6}" parentId="{549DC186-D3B3-4AAB-B7C6-890800359493}">
    <text xml:space="preserve">yes I fixed it,  does not change the number thanks </text>
  </threadedComment>
</ThreadedComments>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974F2-8D15-4CB2-85F0-94EDD65223D8}">
  <dimension ref="A1:I369"/>
  <sheetViews>
    <sheetView tabSelected="1" zoomScale="70" zoomScaleNormal="70" workbookViewId="0">
      <selection activeCell="F10" sqref="F10"/>
    </sheetView>
  </sheetViews>
  <sheetFormatPr defaultRowHeight="15" x14ac:dyDescent="0.25"/>
  <cols>
    <col min="1" max="1" width="9.7109375" bestFit="1" customWidth="1"/>
    <col min="2" max="2" width="11" customWidth="1"/>
    <col min="3" max="3" width="17.42578125" style="1" customWidth="1"/>
    <col min="4" max="4" width="19.42578125" style="1" bestFit="1" customWidth="1"/>
    <col min="5" max="5" width="20.5703125" style="2" customWidth="1"/>
    <col min="6" max="6" width="65.42578125" customWidth="1"/>
    <col min="7" max="7" width="16.42578125" style="1" customWidth="1"/>
    <col min="8" max="8" width="12.7109375" style="1" customWidth="1"/>
    <col min="9" max="9" width="32.85546875" bestFit="1" customWidth="1"/>
  </cols>
  <sheetData>
    <row r="1" spans="1:9" x14ac:dyDescent="0.25">
      <c r="A1" s="25" t="s">
        <v>18</v>
      </c>
    </row>
    <row r="2" spans="1:9" x14ac:dyDescent="0.25">
      <c r="A2" s="25"/>
    </row>
    <row r="4" spans="1:9" ht="60" customHeight="1" x14ac:dyDescent="0.25">
      <c r="A4" s="25"/>
      <c r="G4" s="24"/>
      <c r="H4" s="24"/>
    </row>
    <row r="5" spans="1:9" s="4" customFormat="1" ht="150" x14ac:dyDescent="0.25">
      <c r="A5" s="23" t="s">
        <v>17</v>
      </c>
      <c r="B5" s="23" t="s">
        <v>16</v>
      </c>
      <c r="C5" s="23" t="s">
        <v>15</v>
      </c>
      <c r="D5" s="23" t="s">
        <v>14</v>
      </c>
      <c r="E5" s="23" t="s">
        <v>13</v>
      </c>
      <c r="F5" s="23" t="s">
        <v>12</v>
      </c>
      <c r="G5" s="23" t="s">
        <v>11</v>
      </c>
      <c r="H5" s="23" t="s">
        <v>10</v>
      </c>
      <c r="I5" s="23" t="s">
        <v>9</v>
      </c>
    </row>
    <row r="6" spans="1:9" s="4" customFormat="1" x14ac:dyDescent="0.25">
      <c r="A6" s="22" t="s">
        <v>8</v>
      </c>
      <c r="B6" s="21"/>
      <c r="C6" s="21"/>
      <c r="D6" s="21"/>
      <c r="E6" s="21"/>
      <c r="F6" s="21"/>
      <c r="G6" s="21"/>
      <c r="H6" s="21"/>
      <c r="I6" s="21"/>
    </row>
    <row r="7" spans="1:9" s="9" customFormat="1" ht="75" x14ac:dyDescent="0.25">
      <c r="A7" s="5">
        <v>1</v>
      </c>
      <c r="B7" s="18">
        <v>46148</v>
      </c>
      <c r="C7" s="6" t="s">
        <v>7</v>
      </c>
      <c r="D7" s="5">
        <v>19</v>
      </c>
      <c r="E7" s="6" t="s">
        <v>3</v>
      </c>
      <c r="F7" s="8" t="s">
        <v>6</v>
      </c>
      <c r="G7" s="6" t="s">
        <v>1</v>
      </c>
      <c r="H7" s="5">
        <v>2024</v>
      </c>
    </row>
    <row r="8" spans="1:9" s="9" customFormat="1" ht="45" x14ac:dyDescent="0.25">
      <c r="A8" s="5">
        <v>2</v>
      </c>
      <c r="B8" s="18">
        <v>46171</v>
      </c>
      <c r="C8" s="6" t="s">
        <v>5</v>
      </c>
      <c r="D8" s="5" t="s">
        <v>4</v>
      </c>
      <c r="E8" s="6" t="s">
        <v>3</v>
      </c>
      <c r="F8" s="8" t="s">
        <v>2</v>
      </c>
      <c r="G8" s="6" t="s">
        <v>1</v>
      </c>
      <c r="H8" s="6" t="s">
        <v>0</v>
      </c>
    </row>
    <row r="9" spans="1:9" s="9" customFormat="1" x14ac:dyDescent="0.25">
      <c r="A9" s="5"/>
      <c r="B9" s="18"/>
      <c r="C9" s="6"/>
      <c r="D9" s="5"/>
      <c r="E9" s="6"/>
      <c r="F9" s="8"/>
      <c r="G9" s="6"/>
      <c r="H9" s="6"/>
    </row>
    <row r="10" spans="1:9" s="9" customFormat="1" x14ac:dyDescent="0.25">
      <c r="A10" s="5"/>
      <c r="B10" s="18"/>
      <c r="C10" s="6"/>
      <c r="D10" s="5"/>
      <c r="E10" s="6"/>
      <c r="F10" s="13"/>
      <c r="G10" s="6"/>
      <c r="H10" s="6"/>
      <c r="I10"/>
    </row>
    <row r="11" spans="1:9" s="9" customFormat="1" x14ac:dyDescent="0.25">
      <c r="A11" s="5"/>
      <c r="B11" s="18"/>
      <c r="C11" s="6"/>
      <c r="D11" s="5"/>
      <c r="E11" s="6"/>
      <c r="F11" s="13"/>
      <c r="G11" s="5"/>
      <c r="H11" s="5"/>
    </row>
    <row r="12" spans="1:9" s="9" customFormat="1" x14ac:dyDescent="0.25">
      <c r="A12" s="5"/>
      <c r="B12" s="18"/>
      <c r="C12" s="6"/>
      <c r="D12" s="5"/>
      <c r="E12" s="6"/>
      <c r="F12" s="13"/>
      <c r="G12" s="5"/>
      <c r="H12" s="5"/>
    </row>
    <row r="13" spans="1:9" s="9" customFormat="1" x14ac:dyDescent="0.25">
      <c r="A13" s="5"/>
      <c r="B13" s="18"/>
      <c r="C13" s="6"/>
      <c r="D13" s="5"/>
      <c r="E13" s="6"/>
      <c r="F13" s="13"/>
      <c r="G13" s="5"/>
      <c r="H13" s="5"/>
    </row>
    <row r="14" spans="1:9" s="9" customFormat="1" x14ac:dyDescent="0.25">
      <c r="A14" s="5"/>
      <c r="B14" s="18"/>
      <c r="C14" s="6"/>
      <c r="D14" s="5"/>
      <c r="E14" s="6"/>
      <c r="F14" s="14"/>
      <c r="G14" s="6"/>
      <c r="H14" s="5"/>
    </row>
    <row r="15" spans="1:9" s="9" customFormat="1" x14ac:dyDescent="0.25">
      <c r="A15" s="5"/>
      <c r="B15" s="18"/>
      <c r="C15" s="6"/>
      <c r="D15" s="5"/>
      <c r="E15" s="6"/>
      <c r="F15" s="14"/>
      <c r="G15" s="6"/>
      <c r="H15" s="5"/>
    </row>
    <row r="16" spans="1:9" s="9" customFormat="1" x14ac:dyDescent="0.25">
      <c r="A16" s="5"/>
      <c r="B16" s="18"/>
      <c r="C16" s="5"/>
      <c r="D16" s="5"/>
      <c r="E16" s="6"/>
      <c r="F16" s="8"/>
      <c r="G16" s="6"/>
      <c r="H16" s="11"/>
    </row>
    <row r="17" spans="1:9" s="9" customFormat="1" x14ac:dyDescent="0.25">
      <c r="A17" s="5"/>
      <c r="B17" s="18"/>
      <c r="C17" s="6"/>
      <c r="D17" s="5"/>
      <c r="E17" s="5"/>
      <c r="F17" s="8"/>
      <c r="G17" s="5"/>
      <c r="H17" s="20"/>
      <c r="I17" s="5"/>
    </row>
    <row r="18" spans="1:9" s="9" customFormat="1" x14ac:dyDescent="0.25">
      <c r="A18" s="5"/>
      <c r="B18" s="7"/>
      <c r="C18" s="6"/>
      <c r="D18" s="5"/>
      <c r="E18" s="5"/>
      <c r="F18" s="8"/>
      <c r="G18" s="5"/>
      <c r="H18" s="5"/>
    </row>
    <row r="19" spans="1:9" s="9" customFormat="1" ht="15.75" x14ac:dyDescent="0.25">
      <c r="A19" s="5"/>
      <c r="B19" s="7"/>
      <c r="C19" s="6"/>
      <c r="D19" s="5"/>
      <c r="E19" s="6"/>
      <c r="F19" s="19"/>
      <c r="G19" s="5"/>
      <c r="H19" s="5"/>
    </row>
    <row r="20" spans="1:9" s="9" customFormat="1" x14ac:dyDescent="0.25">
      <c r="A20" s="5"/>
      <c r="B20" s="7"/>
      <c r="C20" s="5"/>
      <c r="D20" s="5"/>
      <c r="E20" s="6"/>
      <c r="F20" s="8"/>
      <c r="G20" s="5"/>
      <c r="H20" s="5"/>
    </row>
    <row r="21" spans="1:9" s="9" customFormat="1" x14ac:dyDescent="0.25">
      <c r="A21" s="5"/>
      <c r="B21" s="7"/>
      <c r="C21" s="5"/>
      <c r="D21" s="5"/>
      <c r="E21" s="6"/>
      <c r="F21" s="8"/>
      <c r="G21" s="5"/>
      <c r="H21" s="5"/>
    </row>
    <row r="22" spans="1:9" s="9" customFormat="1" x14ac:dyDescent="0.25">
      <c r="A22" s="5"/>
      <c r="B22" s="7"/>
      <c r="C22" s="5"/>
      <c r="D22" s="5"/>
      <c r="E22" s="6"/>
      <c r="F22" s="8"/>
      <c r="G22" s="5"/>
      <c r="H22" s="5"/>
    </row>
    <row r="23" spans="1:9" s="9" customFormat="1" x14ac:dyDescent="0.25">
      <c r="A23" s="5"/>
      <c r="B23" s="7"/>
      <c r="C23" s="5"/>
      <c r="D23" s="5"/>
      <c r="E23" s="6"/>
      <c r="F23" s="8"/>
      <c r="G23" s="5"/>
      <c r="H23" s="5"/>
    </row>
    <row r="24" spans="1:9" s="9" customFormat="1" x14ac:dyDescent="0.25">
      <c r="A24" s="5"/>
      <c r="B24" s="7"/>
      <c r="C24" s="5"/>
      <c r="D24" s="5"/>
      <c r="E24" s="6"/>
      <c r="F24" s="8"/>
      <c r="G24" s="5"/>
      <c r="H24" s="6"/>
    </row>
    <row r="25" spans="1:9" s="9" customFormat="1" x14ac:dyDescent="0.25">
      <c r="A25" s="5"/>
      <c r="B25" s="7"/>
      <c r="C25"/>
      <c r="D25" s="5"/>
      <c r="E25" s="6"/>
      <c r="F25" s="8"/>
      <c r="G25" s="5"/>
      <c r="H25" s="5"/>
      <c r="I25" s="8"/>
    </row>
    <row r="26" spans="1:9" s="9" customFormat="1" x14ac:dyDescent="0.25">
      <c r="A26" s="5"/>
      <c r="B26" s="7"/>
      <c r="C26" s="5"/>
      <c r="D26" s="5"/>
      <c r="E26" s="6"/>
      <c r="F26" s="8"/>
      <c r="G26" s="5"/>
      <c r="H26" s="5"/>
    </row>
    <row r="27" spans="1:9" s="9" customFormat="1" ht="15.75" x14ac:dyDescent="0.25">
      <c r="A27" s="5"/>
      <c r="B27" s="7"/>
      <c r="C27" s="5"/>
      <c r="D27" s="5"/>
      <c r="E27" s="6"/>
      <c r="F27" s="19"/>
      <c r="G27" s="5"/>
      <c r="H27" s="5"/>
    </row>
    <row r="28" spans="1:9" s="9" customFormat="1" x14ac:dyDescent="0.25">
      <c r="A28" s="5"/>
      <c r="B28" s="7"/>
      <c r="C28" s="6"/>
      <c r="D28" s="5"/>
      <c r="E28" s="5"/>
      <c r="F28" s="8"/>
      <c r="G28" s="5"/>
      <c r="H28" s="5"/>
      <c r="I28" s="8"/>
    </row>
    <row r="29" spans="1:9" s="9" customFormat="1" x14ac:dyDescent="0.25">
      <c r="A29" s="5"/>
      <c r="B29" s="18"/>
      <c r="C29" s="5"/>
      <c r="D29" s="15"/>
      <c r="E29" s="15"/>
      <c r="F29" s="14"/>
      <c r="G29" s="5"/>
      <c r="H29" s="5"/>
    </row>
    <row r="30" spans="1:9" s="9" customFormat="1" x14ac:dyDescent="0.25">
      <c r="A30" s="5"/>
      <c r="B30" s="18"/>
      <c r="C30" s="5"/>
      <c r="D30" s="15"/>
      <c r="E30" s="15"/>
      <c r="F30" s="14"/>
      <c r="G30" s="5"/>
      <c r="H30" s="5"/>
    </row>
    <row r="31" spans="1:9" s="9" customFormat="1" x14ac:dyDescent="0.25">
      <c r="A31" s="5"/>
      <c r="B31" s="18"/>
      <c r="C31" s="5"/>
      <c r="D31" s="15"/>
      <c r="E31" s="15"/>
      <c r="F31" s="14"/>
      <c r="G31" s="5"/>
      <c r="H31" s="5"/>
    </row>
    <row r="32" spans="1:9" s="9" customFormat="1" x14ac:dyDescent="0.25">
      <c r="A32" s="5"/>
      <c r="B32" s="7"/>
      <c r="C32" s="5"/>
      <c r="D32" s="5"/>
      <c r="E32" s="6"/>
      <c r="F32" s="8"/>
      <c r="G32" s="5"/>
      <c r="H32" s="5"/>
    </row>
    <row r="33" spans="1:8" s="9" customFormat="1" x14ac:dyDescent="0.25">
      <c r="A33" s="5"/>
      <c r="B33" s="7"/>
      <c r="C33" s="6"/>
      <c r="D33" s="5"/>
      <c r="E33" s="17"/>
      <c r="F33" s="13"/>
      <c r="G33" s="5"/>
      <c r="H33" s="5"/>
    </row>
    <row r="34" spans="1:8" s="9" customFormat="1" x14ac:dyDescent="0.25">
      <c r="A34" s="5"/>
      <c r="B34" s="7"/>
      <c r="C34" s="6"/>
      <c r="D34" s="5"/>
      <c r="E34" s="17"/>
      <c r="F34" s="13"/>
      <c r="G34" s="5"/>
      <c r="H34" s="5"/>
    </row>
    <row r="35" spans="1:8" s="9" customFormat="1" x14ac:dyDescent="0.25">
      <c r="A35" s="5"/>
      <c r="B35" s="7"/>
      <c r="C35" s="6"/>
      <c r="D35" s="5"/>
      <c r="E35" s="17"/>
      <c r="F35" s="13"/>
      <c r="G35" s="5"/>
      <c r="H35" s="5"/>
    </row>
    <row r="36" spans="1:8" s="9" customFormat="1" x14ac:dyDescent="0.25">
      <c r="A36" s="5"/>
      <c r="B36" s="7"/>
      <c r="C36" s="6"/>
      <c r="D36" s="5"/>
      <c r="E36" s="17"/>
      <c r="F36" s="13"/>
      <c r="G36" s="5"/>
      <c r="H36" s="5"/>
    </row>
    <row r="37" spans="1:8" s="9" customFormat="1" x14ac:dyDescent="0.25">
      <c r="A37" s="5"/>
      <c r="B37" s="7"/>
      <c r="C37" s="6"/>
      <c r="D37" s="5"/>
      <c r="E37" s="17"/>
      <c r="F37" s="13"/>
      <c r="G37" s="5"/>
      <c r="H37" s="5"/>
    </row>
    <row r="38" spans="1:8" s="9" customFormat="1" x14ac:dyDescent="0.25">
      <c r="A38" s="5"/>
      <c r="B38" s="7"/>
      <c r="C38" s="6"/>
      <c r="D38" s="5"/>
      <c r="E38" s="17"/>
      <c r="F38" s="13"/>
      <c r="G38" s="5"/>
      <c r="H38" s="5"/>
    </row>
    <row r="39" spans="1:8" s="9" customFormat="1" x14ac:dyDescent="0.25">
      <c r="A39" s="5"/>
      <c r="B39" s="7"/>
      <c r="C39" s="6"/>
      <c r="D39" s="5"/>
      <c r="E39" s="6"/>
      <c r="F39" s="14"/>
      <c r="G39" s="5"/>
      <c r="H39" s="5"/>
    </row>
    <row r="40" spans="1:8" s="9" customFormat="1" x14ac:dyDescent="0.25">
      <c r="A40" s="5"/>
      <c r="B40" s="7"/>
      <c r="C40" s="6"/>
      <c r="D40" s="5"/>
      <c r="E40" s="6"/>
      <c r="F40" s="8"/>
      <c r="G40" s="5"/>
      <c r="H40" s="5"/>
    </row>
    <row r="41" spans="1:8" s="9" customFormat="1" x14ac:dyDescent="0.25">
      <c r="A41" s="5"/>
      <c r="B41" s="7"/>
      <c r="C41" s="5"/>
      <c r="D41" s="16"/>
      <c r="E41" s="11"/>
      <c r="F41" s="13"/>
      <c r="G41" s="5"/>
      <c r="H41" s="5"/>
    </row>
    <row r="42" spans="1:8" s="9" customFormat="1" x14ac:dyDescent="0.25">
      <c r="A42" s="5"/>
      <c r="B42" s="7"/>
      <c r="C42" s="5"/>
      <c r="D42" s="11"/>
      <c r="E42" s="11"/>
      <c r="F42" s="13"/>
      <c r="G42" s="5"/>
      <c r="H42" s="5"/>
    </row>
    <row r="43" spans="1:8" s="9" customFormat="1" x14ac:dyDescent="0.25">
      <c r="A43" s="5"/>
      <c r="B43" s="7"/>
      <c r="C43" s="6"/>
      <c r="D43" s="15"/>
      <c r="E43" s="15"/>
      <c r="F43" s="8"/>
      <c r="G43" s="5"/>
      <c r="H43" s="5"/>
    </row>
    <row r="44" spans="1:8" s="9" customFormat="1" x14ac:dyDescent="0.25">
      <c r="A44" s="5"/>
      <c r="B44" s="7"/>
      <c r="C44" s="6"/>
      <c r="D44" s="6"/>
      <c r="E44" s="6"/>
      <c r="F44" s="14"/>
      <c r="G44" s="5"/>
      <c r="H44" s="5"/>
    </row>
    <row r="45" spans="1:8" s="9" customFormat="1" x14ac:dyDescent="0.25">
      <c r="A45" s="5"/>
      <c r="B45" s="7"/>
      <c r="C45" s="6"/>
      <c r="D45" s="6"/>
      <c r="E45" s="6"/>
      <c r="F45" s="14"/>
      <c r="G45" s="5"/>
      <c r="H45" s="5"/>
    </row>
    <row r="46" spans="1:8" x14ac:dyDescent="0.25">
      <c r="A46" s="5"/>
      <c r="B46" s="7"/>
      <c r="C46" s="5"/>
      <c r="D46" s="5"/>
      <c r="E46" s="6"/>
      <c r="F46" s="8"/>
      <c r="G46" s="5"/>
      <c r="H46" s="6"/>
    </row>
    <row r="47" spans="1:8" x14ac:dyDescent="0.25">
      <c r="A47" s="5"/>
      <c r="B47" s="7"/>
      <c r="C47" s="5"/>
      <c r="D47" s="5"/>
      <c r="E47" s="6"/>
      <c r="F47" s="8"/>
      <c r="G47" s="5"/>
      <c r="H47" s="5"/>
    </row>
    <row r="48" spans="1:8" s="9" customFormat="1" x14ac:dyDescent="0.25">
      <c r="A48" s="5"/>
      <c r="B48" s="7"/>
      <c r="C48" s="6"/>
      <c r="D48" s="6"/>
      <c r="E48" s="6"/>
      <c r="F48" s="13"/>
      <c r="G48" s="5"/>
      <c r="H48" s="5"/>
    </row>
    <row r="49" spans="1:8" s="9" customFormat="1" x14ac:dyDescent="0.25">
      <c r="A49" s="5"/>
      <c r="B49" s="7"/>
      <c r="C49" s="6"/>
      <c r="D49" s="11"/>
      <c r="E49" s="11"/>
      <c r="F49" s="8"/>
      <c r="G49" s="5"/>
      <c r="H49" s="5"/>
    </row>
    <row r="50" spans="1:8" s="9" customFormat="1" x14ac:dyDescent="0.25">
      <c r="A50" s="5"/>
      <c r="B50" s="7"/>
      <c r="C50" s="6"/>
      <c r="D50" s="5"/>
      <c r="E50" s="6"/>
      <c r="F50" s="12"/>
      <c r="G50" s="5"/>
      <c r="H50" s="5"/>
    </row>
    <row r="51" spans="1:8" s="9" customFormat="1" x14ac:dyDescent="0.25">
      <c r="A51" s="5"/>
      <c r="B51" s="7"/>
      <c r="C51" s="6"/>
      <c r="D51" s="5"/>
      <c r="E51" s="11"/>
      <c r="F51" s="10"/>
      <c r="G51" s="5"/>
      <c r="H51" s="5"/>
    </row>
    <row r="52" spans="1:8" s="9" customFormat="1" x14ac:dyDescent="0.25">
      <c r="A52" s="5"/>
      <c r="B52" s="7"/>
      <c r="C52" s="6"/>
      <c r="D52" s="5"/>
      <c r="E52" s="11"/>
      <c r="F52" s="10"/>
      <c r="G52" s="5"/>
      <c r="H52" s="5"/>
    </row>
    <row r="53" spans="1:8" x14ac:dyDescent="0.25">
      <c r="A53" s="5"/>
      <c r="B53" s="7"/>
      <c r="C53" s="5"/>
      <c r="D53" s="5"/>
      <c r="E53" s="6"/>
      <c r="G53" s="5"/>
      <c r="H53" s="5"/>
    </row>
    <row r="54" spans="1:8" x14ac:dyDescent="0.25">
      <c r="A54" s="5"/>
      <c r="B54" s="7"/>
      <c r="C54" s="6"/>
      <c r="D54" s="5"/>
      <c r="E54" s="6"/>
      <c r="F54" s="8"/>
    </row>
    <row r="55" spans="1:8" x14ac:dyDescent="0.25">
      <c r="A55" s="5"/>
      <c r="B55" s="7"/>
      <c r="C55" s="6"/>
      <c r="D55" s="5"/>
      <c r="E55" s="6"/>
      <c r="F55" s="4"/>
    </row>
    <row r="56" spans="1:8" x14ac:dyDescent="0.25">
      <c r="A56" s="5"/>
      <c r="B56" s="7"/>
      <c r="C56" s="6"/>
      <c r="D56" s="5"/>
      <c r="E56" s="6"/>
      <c r="F56" s="4"/>
    </row>
    <row r="57" spans="1:8" x14ac:dyDescent="0.25">
      <c r="A57" s="5"/>
      <c r="B57" s="7"/>
      <c r="C57" s="6"/>
      <c r="D57" s="5"/>
      <c r="E57" s="6"/>
      <c r="F57" s="4"/>
    </row>
    <row r="58" spans="1:8" x14ac:dyDescent="0.25">
      <c r="A58" s="5"/>
      <c r="B58" s="7"/>
      <c r="C58" s="5"/>
      <c r="D58" s="5"/>
      <c r="E58" s="6"/>
      <c r="F58" s="4"/>
    </row>
    <row r="59" spans="1:8" x14ac:dyDescent="0.25">
      <c r="A59" s="5"/>
      <c r="B59" s="3"/>
      <c r="F59" s="4"/>
    </row>
    <row r="60" spans="1:8" x14ac:dyDescent="0.25">
      <c r="A60" s="1"/>
      <c r="B60" s="3"/>
      <c r="C60" s="2"/>
      <c r="F60" s="4"/>
    </row>
    <row r="61" spans="1:8" x14ac:dyDescent="0.25">
      <c r="A61" s="1"/>
      <c r="B61" s="3"/>
      <c r="C61" s="2"/>
      <c r="F61" s="4"/>
    </row>
    <row r="62" spans="1:8" x14ac:dyDescent="0.25">
      <c r="A62" s="1"/>
      <c r="B62" s="3"/>
      <c r="C62" s="2"/>
      <c r="F62" s="4"/>
    </row>
    <row r="63" spans="1:8" x14ac:dyDescent="0.25">
      <c r="A63" s="1"/>
      <c r="B63" s="3"/>
      <c r="F63" s="4"/>
    </row>
    <row r="64" spans="1:8" ht="330" customHeight="1" x14ac:dyDescent="0.25">
      <c r="A64" s="1"/>
      <c r="B64" s="3"/>
      <c r="C64" s="2"/>
      <c r="F64" s="4"/>
    </row>
    <row r="65" spans="1:6" ht="94.5" customHeight="1" x14ac:dyDescent="0.25">
      <c r="A65" s="1"/>
      <c r="B65" s="3"/>
      <c r="F65" s="4"/>
    </row>
    <row r="66" spans="1:6" x14ac:dyDescent="0.25">
      <c r="A66" s="1"/>
      <c r="B66" s="3"/>
      <c r="F66" s="4"/>
    </row>
    <row r="67" spans="1:6" x14ac:dyDescent="0.25">
      <c r="A67" s="1"/>
      <c r="B67" s="3"/>
      <c r="C67" s="2"/>
      <c r="F67" s="4"/>
    </row>
    <row r="68" spans="1:6" x14ac:dyDescent="0.25">
      <c r="B68" s="3"/>
    </row>
    <row r="69" spans="1:6" x14ac:dyDescent="0.25">
      <c r="B69" s="3"/>
    </row>
    <row r="70" spans="1:6" x14ac:dyDescent="0.25">
      <c r="B70" s="3"/>
    </row>
    <row r="71" spans="1:6" x14ac:dyDescent="0.25">
      <c r="B71" s="3"/>
    </row>
    <row r="72" spans="1:6" x14ac:dyDescent="0.25">
      <c r="B72" s="3"/>
    </row>
    <row r="73" spans="1:6" x14ac:dyDescent="0.25">
      <c r="B73" s="3"/>
    </row>
    <row r="74" spans="1:6" x14ac:dyDescent="0.25">
      <c r="B74" s="3"/>
    </row>
    <row r="75" spans="1:6" x14ac:dyDescent="0.25">
      <c r="B75" s="3"/>
    </row>
    <row r="76" spans="1:6" x14ac:dyDescent="0.25">
      <c r="B76" s="3"/>
    </row>
    <row r="77" spans="1:6" x14ac:dyDescent="0.25">
      <c r="B77" s="3"/>
    </row>
    <row r="78" spans="1:6" x14ac:dyDescent="0.25">
      <c r="B78" s="3"/>
    </row>
    <row r="79" spans="1:6" x14ac:dyDescent="0.25">
      <c r="B79" s="3"/>
    </row>
    <row r="80" spans="1:6" x14ac:dyDescent="0.25">
      <c r="B80" s="3"/>
    </row>
    <row r="81" spans="2:2" x14ac:dyDescent="0.25">
      <c r="B81" s="3"/>
    </row>
    <row r="82" spans="2:2" x14ac:dyDescent="0.25">
      <c r="B82" s="3"/>
    </row>
    <row r="83" spans="2:2" x14ac:dyDescent="0.25">
      <c r="B83" s="3"/>
    </row>
    <row r="84" spans="2:2" x14ac:dyDescent="0.25">
      <c r="B84" s="3"/>
    </row>
    <row r="85" spans="2:2" x14ac:dyDescent="0.25">
      <c r="B85" s="3"/>
    </row>
    <row r="86" spans="2:2" x14ac:dyDescent="0.25">
      <c r="B86" s="3"/>
    </row>
    <row r="87" spans="2:2" x14ac:dyDescent="0.25">
      <c r="B87" s="3"/>
    </row>
    <row r="88" spans="2:2" x14ac:dyDescent="0.25">
      <c r="B88" s="3"/>
    </row>
    <row r="89" spans="2:2" x14ac:dyDescent="0.25">
      <c r="B89" s="3"/>
    </row>
    <row r="90" spans="2:2" x14ac:dyDescent="0.25">
      <c r="B90" s="3"/>
    </row>
    <row r="91" spans="2:2" x14ac:dyDescent="0.25">
      <c r="B91" s="3"/>
    </row>
    <row r="92" spans="2:2" x14ac:dyDescent="0.25">
      <c r="B92" s="3"/>
    </row>
    <row r="93" spans="2:2" x14ac:dyDescent="0.25">
      <c r="B93" s="3"/>
    </row>
    <row r="94" spans="2:2" x14ac:dyDescent="0.25">
      <c r="B94" s="3"/>
    </row>
    <row r="95" spans="2:2" x14ac:dyDescent="0.25">
      <c r="B95" s="3"/>
    </row>
    <row r="96" spans="2:2" x14ac:dyDescent="0.25">
      <c r="B96" s="3"/>
    </row>
    <row r="97" spans="2:2" x14ac:dyDescent="0.25">
      <c r="B97" s="3"/>
    </row>
    <row r="98" spans="2:2" x14ac:dyDescent="0.25">
      <c r="B98" s="3"/>
    </row>
    <row r="99" spans="2:2" x14ac:dyDescent="0.25">
      <c r="B99" s="3"/>
    </row>
    <row r="100" spans="2:2" x14ac:dyDescent="0.25">
      <c r="B100" s="3"/>
    </row>
    <row r="101" spans="2:2" x14ac:dyDescent="0.25">
      <c r="B101" s="3"/>
    </row>
    <row r="102" spans="2:2" x14ac:dyDescent="0.25">
      <c r="B102" s="3"/>
    </row>
    <row r="103" spans="2:2" x14ac:dyDescent="0.25">
      <c r="B103" s="3"/>
    </row>
    <row r="104" spans="2:2" x14ac:dyDescent="0.25">
      <c r="B104" s="3"/>
    </row>
    <row r="105" spans="2:2" x14ac:dyDescent="0.25">
      <c r="B105" s="3"/>
    </row>
    <row r="106" spans="2:2" x14ac:dyDescent="0.25">
      <c r="B106" s="3"/>
    </row>
    <row r="107" spans="2:2" x14ac:dyDescent="0.25">
      <c r="B107" s="3"/>
    </row>
    <row r="108" spans="2:2" x14ac:dyDescent="0.25">
      <c r="B108" s="3"/>
    </row>
    <row r="109" spans="2:2" x14ac:dyDescent="0.25">
      <c r="B109" s="3"/>
    </row>
    <row r="110" spans="2:2" x14ac:dyDescent="0.25">
      <c r="B110" s="3"/>
    </row>
    <row r="111" spans="2:2" x14ac:dyDescent="0.25">
      <c r="B111" s="3"/>
    </row>
    <row r="112" spans="2:2" x14ac:dyDescent="0.25">
      <c r="B112" s="3"/>
    </row>
    <row r="113" spans="2:2" x14ac:dyDescent="0.25">
      <c r="B113" s="3"/>
    </row>
    <row r="114" spans="2:2" x14ac:dyDescent="0.25">
      <c r="B114" s="3"/>
    </row>
    <row r="115" spans="2:2" x14ac:dyDescent="0.25">
      <c r="B115" s="3"/>
    </row>
    <row r="116" spans="2:2" x14ac:dyDescent="0.25">
      <c r="B116" s="3"/>
    </row>
    <row r="117" spans="2:2" x14ac:dyDescent="0.25">
      <c r="B117" s="3"/>
    </row>
    <row r="118" spans="2:2" x14ac:dyDescent="0.25">
      <c r="B118" s="3"/>
    </row>
    <row r="119" spans="2:2" x14ac:dyDescent="0.25">
      <c r="B119" s="3"/>
    </row>
    <row r="120" spans="2:2" x14ac:dyDescent="0.25">
      <c r="B120" s="3"/>
    </row>
    <row r="121" spans="2:2" x14ac:dyDescent="0.25">
      <c r="B121" s="3"/>
    </row>
    <row r="122" spans="2:2" x14ac:dyDescent="0.25">
      <c r="B122" s="3"/>
    </row>
    <row r="123" spans="2:2" x14ac:dyDescent="0.25">
      <c r="B123" s="3"/>
    </row>
    <row r="124" spans="2:2" x14ac:dyDescent="0.25">
      <c r="B124" s="3"/>
    </row>
    <row r="125" spans="2:2" x14ac:dyDescent="0.25">
      <c r="B125" s="3"/>
    </row>
    <row r="126" spans="2:2" x14ac:dyDescent="0.25">
      <c r="B126" s="3"/>
    </row>
    <row r="127" spans="2:2" x14ac:dyDescent="0.25">
      <c r="B127" s="3"/>
    </row>
    <row r="128" spans="2:2" x14ac:dyDescent="0.25">
      <c r="B128" s="3"/>
    </row>
    <row r="129" spans="2:2" x14ac:dyDescent="0.25">
      <c r="B129" s="3"/>
    </row>
    <row r="130" spans="2:2" x14ac:dyDescent="0.25">
      <c r="B130" s="3"/>
    </row>
    <row r="131" spans="2:2" x14ac:dyDescent="0.25">
      <c r="B131" s="3"/>
    </row>
    <row r="132" spans="2:2" x14ac:dyDescent="0.25">
      <c r="B132" s="3"/>
    </row>
    <row r="133" spans="2:2" x14ac:dyDescent="0.25">
      <c r="B133" s="3"/>
    </row>
    <row r="134" spans="2:2" x14ac:dyDescent="0.25">
      <c r="B134" s="3"/>
    </row>
    <row r="135" spans="2:2" x14ac:dyDescent="0.25">
      <c r="B135" s="3"/>
    </row>
    <row r="136" spans="2:2" x14ac:dyDescent="0.25">
      <c r="B136" s="3"/>
    </row>
    <row r="137" spans="2:2" x14ac:dyDescent="0.25">
      <c r="B137" s="3"/>
    </row>
    <row r="138" spans="2:2" x14ac:dyDescent="0.25">
      <c r="B138" s="3"/>
    </row>
    <row r="139" spans="2:2" x14ac:dyDescent="0.25">
      <c r="B139" s="3"/>
    </row>
    <row r="140" spans="2:2" x14ac:dyDescent="0.25">
      <c r="B140" s="3"/>
    </row>
    <row r="141" spans="2:2" x14ac:dyDescent="0.25">
      <c r="B141" s="3"/>
    </row>
    <row r="142" spans="2:2" x14ac:dyDescent="0.25">
      <c r="B142" s="3"/>
    </row>
    <row r="143" spans="2:2" x14ac:dyDescent="0.25">
      <c r="B143" s="3"/>
    </row>
    <row r="144" spans="2:2" x14ac:dyDescent="0.25">
      <c r="B144" s="3"/>
    </row>
    <row r="145" spans="2:2" x14ac:dyDescent="0.25">
      <c r="B145" s="3"/>
    </row>
    <row r="146" spans="2:2" x14ac:dyDescent="0.25">
      <c r="B146" s="3"/>
    </row>
    <row r="147" spans="2:2" x14ac:dyDescent="0.25">
      <c r="B147" s="3"/>
    </row>
    <row r="148" spans="2:2" x14ac:dyDescent="0.25">
      <c r="B148" s="3"/>
    </row>
    <row r="149" spans="2:2" x14ac:dyDescent="0.25">
      <c r="B149" s="3"/>
    </row>
    <row r="150" spans="2:2" x14ac:dyDescent="0.25">
      <c r="B150" s="3"/>
    </row>
    <row r="151" spans="2:2" x14ac:dyDescent="0.25">
      <c r="B151" s="3"/>
    </row>
    <row r="152" spans="2:2" x14ac:dyDescent="0.25">
      <c r="B152" s="3"/>
    </row>
    <row r="153" spans="2:2" x14ac:dyDescent="0.25">
      <c r="B153" s="3"/>
    </row>
    <row r="154" spans="2:2" x14ac:dyDescent="0.25">
      <c r="B154" s="3"/>
    </row>
    <row r="155" spans="2:2" x14ac:dyDescent="0.25">
      <c r="B155" s="3"/>
    </row>
    <row r="156" spans="2:2" x14ac:dyDescent="0.25">
      <c r="B156" s="3"/>
    </row>
    <row r="157" spans="2:2" x14ac:dyDescent="0.25">
      <c r="B157" s="3"/>
    </row>
    <row r="158" spans="2:2" x14ac:dyDescent="0.25">
      <c r="B158" s="3"/>
    </row>
    <row r="159" spans="2:2" x14ac:dyDescent="0.25">
      <c r="B159" s="3"/>
    </row>
    <row r="160" spans="2:2" x14ac:dyDescent="0.25">
      <c r="B160" s="3"/>
    </row>
    <row r="161" spans="2:2" x14ac:dyDescent="0.25">
      <c r="B161" s="3"/>
    </row>
    <row r="162" spans="2:2" x14ac:dyDescent="0.25">
      <c r="B162" s="3"/>
    </row>
    <row r="163" spans="2:2" x14ac:dyDescent="0.25">
      <c r="B163" s="3"/>
    </row>
    <row r="164" spans="2:2" x14ac:dyDescent="0.25">
      <c r="B164" s="3"/>
    </row>
    <row r="165" spans="2:2" x14ac:dyDescent="0.25">
      <c r="B165" s="3"/>
    </row>
    <row r="166" spans="2:2" x14ac:dyDescent="0.25">
      <c r="B166" s="3"/>
    </row>
    <row r="167" spans="2:2" x14ac:dyDescent="0.25">
      <c r="B167" s="3"/>
    </row>
    <row r="168" spans="2:2" x14ac:dyDescent="0.25">
      <c r="B168" s="3"/>
    </row>
    <row r="169" spans="2:2" x14ac:dyDescent="0.25">
      <c r="B169" s="3"/>
    </row>
    <row r="170" spans="2:2" x14ac:dyDescent="0.25">
      <c r="B170" s="3"/>
    </row>
    <row r="171" spans="2:2" x14ac:dyDescent="0.25">
      <c r="B171" s="3"/>
    </row>
    <row r="172" spans="2:2" x14ac:dyDescent="0.25">
      <c r="B172" s="3"/>
    </row>
    <row r="173" spans="2:2" x14ac:dyDescent="0.25">
      <c r="B173" s="3"/>
    </row>
    <row r="174" spans="2:2" x14ac:dyDescent="0.25">
      <c r="B174" s="3"/>
    </row>
    <row r="175" spans="2:2" x14ac:dyDescent="0.25">
      <c r="B175" s="3"/>
    </row>
    <row r="176" spans="2:2" x14ac:dyDescent="0.25">
      <c r="B176" s="3"/>
    </row>
    <row r="177" spans="2:2" x14ac:dyDescent="0.25">
      <c r="B177" s="3"/>
    </row>
    <row r="178" spans="2:2" x14ac:dyDescent="0.25">
      <c r="B178" s="3"/>
    </row>
    <row r="179" spans="2:2" x14ac:dyDescent="0.25">
      <c r="B179" s="3"/>
    </row>
    <row r="180" spans="2:2" x14ac:dyDescent="0.25">
      <c r="B180" s="3"/>
    </row>
    <row r="181" spans="2:2" x14ac:dyDescent="0.25">
      <c r="B181" s="3"/>
    </row>
    <row r="182" spans="2:2" x14ac:dyDescent="0.25">
      <c r="B182" s="3"/>
    </row>
    <row r="183" spans="2:2" x14ac:dyDescent="0.25">
      <c r="B183" s="3"/>
    </row>
    <row r="184" spans="2:2" x14ac:dyDescent="0.25">
      <c r="B184" s="3"/>
    </row>
    <row r="185" spans="2:2" x14ac:dyDescent="0.25">
      <c r="B185" s="3"/>
    </row>
    <row r="186" spans="2:2" x14ac:dyDescent="0.25">
      <c r="B186" s="3"/>
    </row>
    <row r="187" spans="2:2" x14ac:dyDescent="0.25">
      <c r="B187" s="3"/>
    </row>
    <row r="188" spans="2:2" x14ac:dyDescent="0.25">
      <c r="B188" s="3"/>
    </row>
    <row r="189" spans="2:2" x14ac:dyDescent="0.25">
      <c r="B189" s="3"/>
    </row>
    <row r="190" spans="2:2" x14ac:dyDescent="0.25">
      <c r="B190" s="3"/>
    </row>
    <row r="191" spans="2:2" x14ac:dyDescent="0.25">
      <c r="B191" s="3"/>
    </row>
    <row r="192" spans="2:2" x14ac:dyDescent="0.25">
      <c r="B192" s="3"/>
    </row>
    <row r="193" spans="2:2" x14ac:dyDescent="0.25">
      <c r="B193" s="3"/>
    </row>
    <row r="194" spans="2:2" x14ac:dyDescent="0.25">
      <c r="B194" s="3"/>
    </row>
    <row r="195" spans="2:2" x14ac:dyDescent="0.25">
      <c r="B195" s="3"/>
    </row>
    <row r="196" spans="2:2" x14ac:dyDescent="0.25">
      <c r="B196" s="3"/>
    </row>
    <row r="197" spans="2:2" x14ac:dyDescent="0.25">
      <c r="B197" s="3"/>
    </row>
    <row r="198" spans="2:2" x14ac:dyDescent="0.25">
      <c r="B198" s="3"/>
    </row>
    <row r="199" spans="2:2" x14ac:dyDescent="0.25">
      <c r="B199" s="3"/>
    </row>
    <row r="200" spans="2:2" x14ac:dyDescent="0.25">
      <c r="B200" s="3"/>
    </row>
    <row r="201" spans="2:2" x14ac:dyDescent="0.25">
      <c r="B201" s="3"/>
    </row>
    <row r="202" spans="2:2" x14ac:dyDescent="0.25">
      <c r="B202" s="3"/>
    </row>
    <row r="203" spans="2:2" x14ac:dyDescent="0.25">
      <c r="B203" s="3"/>
    </row>
    <row r="204" spans="2:2" x14ac:dyDescent="0.25">
      <c r="B204" s="3"/>
    </row>
    <row r="205" spans="2:2" x14ac:dyDescent="0.25">
      <c r="B205" s="3"/>
    </row>
    <row r="206" spans="2:2" x14ac:dyDescent="0.25">
      <c r="B206" s="3"/>
    </row>
    <row r="207" spans="2:2" x14ac:dyDescent="0.25">
      <c r="B207" s="3"/>
    </row>
    <row r="208" spans="2:2" x14ac:dyDescent="0.25">
      <c r="B208" s="3"/>
    </row>
    <row r="209" spans="2:2" x14ac:dyDescent="0.25">
      <c r="B209" s="3"/>
    </row>
    <row r="210" spans="2:2" x14ac:dyDescent="0.25">
      <c r="B210" s="3"/>
    </row>
    <row r="211" spans="2:2" x14ac:dyDescent="0.25">
      <c r="B211" s="3"/>
    </row>
    <row r="212" spans="2:2" x14ac:dyDescent="0.25">
      <c r="B212" s="3"/>
    </row>
    <row r="213" spans="2:2" x14ac:dyDescent="0.25">
      <c r="B213" s="3"/>
    </row>
    <row r="214" spans="2:2" x14ac:dyDescent="0.25">
      <c r="B214" s="3"/>
    </row>
    <row r="215" spans="2:2" x14ac:dyDescent="0.25">
      <c r="B215" s="3"/>
    </row>
    <row r="216" spans="2:2" x14ac:dyDescent="0.25">
      <c r="B216" s="3"/>
    </row>
    <row r="217" spans="2:2" x14ac:dyDescent="0.25">
      <c r="B217" s="3"/>
    </row>
    <row r="218" spans="2:2" x14ac:dyDescent="0.25">
      <c r="B218" s="3"/>
    </row>
    <row r="219" spans="2:2" x14ac:dyDescent="0.25">
      <c r="B219" s="3"/>
    </row>
    <row r="220" spans="2:2" x14ac:dyDescent="0.25">
      <c r="B220" s="3"/>
    </row>
    <row r="221" spans="2:2" x14ac:dyDescent="0.25">
      <c r="B221" s="3"/>
    </row>
    <row r="222" spans="2:2" x14ac:dyDescent="0.25">
      <c r="B222" s="3"/>
    </row>
    <row r="223" spans="2:2" x14ac:dyDescent="0.25">
      <c r="B223" s="3"/>
    </row>
    <row r="224" spans="2:2" x14ac:dyDescent="0.25">
      <c r="B224" s="3"/>
    </row>
    <row r="225" spans="2:2" x14ac:dyDescent="0.25">
      <c r="B225" s="3"/>
    </row>
    <row r="226" spans="2:2" x14ac:dyDescent="0.25">
      <c r="B226" s="3"/>
    </row>
    <row r="227" spans="2:2" x14ac:dyDescent="0.25">
      <c r="B227" s="3"/>
    </row>
    <row r="228" spans="2:2" x14ac:dyDescent="0.25">
      <c r="B228" s="3"/>
    </row>
    <row r="229" spans="2:2" x14ac:dyDescent="0.25">
      <c r="B229" s="3"/>
    </row>
    <row r="230" spans="2:2" x14ac:dyDescent="0.25">
      <c r="B230" s="3"/>
    </row>
    <row r="231" spans="2:2" x14ac:dyDescent="0.25">
      <c r="B231" s="3"/>
    </row>
    <row r="232" spans="2:2" x14ac:dyDescent="0.25">
      <c r="B232" s="3"/>
    </row>
    <row r="233" spans="2:2" x14ac:dyDescent="0.25">
      <c r="B233" s="3"/>
    </row>
    <row r="234" spans="2:2" x14ac:dyDescent="0.25">
      <c r="B234" s="3"/>
    </row>
    <row r="235" spans="2:2" x14ac:dyDescent="0.25">
      <c r="B235" s="3"/>
    </row>
    <row r="236" spans="2:2" x14ac:dyDescent="0.25">
      <c r="B236" s="3"/>
    </row>
    <row r="237" spans="2:2" x14ac:dyDescent="0.25">
      <c r="B237" s="3"/>
    </row>
    <row r="238" spans="2:2" x14ac:dyDescent="0.25">
      <c r="B238" s="3"/>
    </row>
    <row r="239" spans="2:2" x14ac:dyDescent="0.25">
      <c r="B239" s="3"/>
    </row>
    <row r="240" spans="2:2" x14ac:dyDescent="0.25">
      <c r="B240" s="3"/>
    </row>
    <row r="241" spans="2:2" x14ac:dyDescent="0.25">
      <c r="B241" s="3"/>
    </row>
    <row r="242" spans="2:2" x14ac:dyDescent="0.25">
      <c r="B242" s="3"/>
    </row>
    <row r="243" spans="2:2" x14ac:dyDescent="0.25">
      <c r="B243" s="3"/>
    </row>
    <row r="244" spans="2:2" x14ac:dyDescent="0.25">
      <c r="B244" s="3"/>
    </row>
    <row r="245" spans="2:2" x14ac:dyDescent="0.25">
      <c r="B245" s="3"/>
    </row>
    <row r="246" spans="2:2" x14ac:dyDescent="0.25">
      <c r="B246" s="3"/>
    </row>
    <row r="247" spans="2:2" x14ac:dyDescent="0.25">
      <c r="B247" s="3"/>
    </row>
    <row r="248" spans="2:2" x14ac:dyDescent="0.25">
      <c r="B248" s="3"/>
    </row>
    <row r="249" spans="2:2" x14ac:dyDescent="0.25">
      <c r="B249" s="3"/>
    </row>
    <row r="250" spans="2:2" x14ac:dyDescent="0.25">
      <c r="B250" s="3"/>
    </row>
    <row r="251" spans="2:2" x14ac:dyDescent="0.25">
      <c r="B251" s="3"/>
    </row>
    <row r="252" spans="2:2" x14ac:dyDescent="0.25">
      <c r="B252" s="3"/>
    </row>
    <row r="253" spans="2:2" x14ac:dyDescent="0.25">
      <c r="B253" s="3"/>
    </row>
    <row r="254" spans="2:2" x14ac:dyDescent="0.25">
      <c r="B254" s="3"/>
    </row>
    <row r="255" spans="2:2" x14ac:dyDescent="0.25">
      <c r="B255" s="3"/>
    </row>
    <row r="256" spans="2:2" x14ac:dyDescent="0.25">
      <c r="B256" s="3"/>
    </row>
    <row r="257" spans="2:2" x14ac:dyDescent="0.25">
      <c r="B257" s="3"/>
    </row>
    <row r="258" spans="2:2" x14ac:dyDescent="0.25">
      <c r="B258" s="3"/>
    </row>
    <row r="259" spans="2:2" x14ac:dyDescent="0.25">
      <c r="B259" s="3"/>
    </row>
    <row r="260" spans="2:2" x14ac:dyDescent="0.25">
      <c r="B260" s="3"/>
    </row>
    <row r="261" spans="2:2" x14ac:dyDescent="0.25">
      <c r="B261" s="3"/>
    </row>
    <row r="262" spans="2:2" x14ac:dyDescent="0.25">
      <c r="B262" s="3"/>
    </row>
    <row r="263" spans="2:2" x14ac:dyDescent="0.25">
      <c r="B263" s="3"/>
    </row>
    <row r="264" spans="2:2" x14ac:dyDescent="0.25">
      <c r="B264" s="3"/>
    </row>
    <row r="265" spans="2:2" x14ac:dyDescent="0.25">
      <c r="B265" s="3"/>
    </row>
    <row r="266" spans="2:2" x14ac:dyDescent="0.25">
      <c r="B266" s="3"/>
    </row>
    <row r="267" spans="2:2" x14ac:dyDescent="0.25">
      <c r="B267" s="3"/>
    </row>
    <row r="268" spans="2:2" x14ac:dyDescent="0.25">
      <c r="B268" s="3"/>
    </row>
    <row r="269" spans="2:2" x14ac:dyDescent="0.25">
      <c r="B269" s="3"/>
    </row>
    <row r="270" spans="2:2" x14ac:dyDescent="0.25">
      <c r="B270" s="3"/>
    </row>
    <row r="271" spans="2:2" x14ac:dyDescent="0.25">
      <c r="B271" s="3"/>
    </row>
    <row r="272" spans="2:2" x14ac:dyDescent="0.25">
      <c r="B272" s="3"/>
    </row>
    <row r="273" spans="2:2" x14ac:dyDescent="0.25">
      <c r="B273" s="3"/>
    </row>
    <row r="274" spans="2:2" x14ac:dyDescent="0.25">
      <c r="B274" s="3"/>
    </row>
    <row r="275" spans="2:2" x14ac:dyDescent="0.25">
      <c r="B275" s="3"/>
    </row>
    <row r="276" spans="2:2" x14ac:dyDescent="0.25">
      <c r="B276" s="3"/>
    </row>
    <row r="277" spans="2:2" x14ac:dyDescent="0.25">
      <c r="B277" s="3"/>
    </row>
    <row r="278" spans="2:2" x14ac:dyDescent="0.25">
      <c r="B278" s="3"/>
    </row>
    <row r="279" spans="2:2" x14ac:dyDescent="0.25">
      <c r="B279" s="3"/>
    </row>
    <row r="280" spans="2:2" x14ac:dyDescent="0.25">
      <c r="B280" s="3"/>
    </row>
    <row r="281" spans="2:2" x14ac:dyDescent="0.25">
      <c r="B281" s="3"/>
    </row>
    <row r="282" spans="2:2" x14ac:dyDescent="0.25">
      <c r="B282" s="3"/>
    </row>
    <row r="283" spans="2:2" x14ac:dyDescent="0.25">
      <c r="B283" s="3"/>
    </row>
    <row r="284" spans="2:2" x14ac:dyDescent="0.25">
      <c r="B284" s="3"/>
    </row>
    <row r="285" spans="2:2" x14ac:dyDescent="0.25">
      <c r="B285" s="3"/>
    </row>
    <row r="286" spans="2:2" x14ac:dyDescent="0.25">
      <c r="B286" s="3"/>
    </row>
    <row r="287" spans="2:2" x14ac:dyDescent="0.25">
      <c r="B287" s="3"/>
    </row>
    <row r="288" spans="2:2" x14ac:dyDescent="0.25">
      <c r="B288" s="3"/>
    </row>
    <row r="289" spans="2:2" x14ac:dyDescent="0.25">
      <c r="B289" s="3"/>
    </row>
    <row r="290" spans="2:2" x14ac:dyDescent="0.25">
      <c r="B290" s="3"/>
    </row>
    <row r="291" spans="2:2" x14ac:dyDescent="0.25">
      <c r="B291" s="3"/>
    </row>
    <row r="292" spans="2:2" x14ac:dyDescent="0.25">
      <c r="B292" s="3"/>
    </row>
    <row r="293" spans="2:2" x14ac:dyDescent="0.25">
      <c r="B293" s="3"/>
    </row>
    <row r="294" spans="2:2" x14ac:dyDescent="0.25">
      <c r="B294" s="3"/>
    </row>
    <row r="295" spans="2:2" x14ac:dyDescent="0.25">
      <c r="B295" s="3"/>
    </row>
    <row r="296" spans="2:2" x14ac:dyDescent="0.25">
      <c r="B296" s="3"/>
    </row>
    <row r="297" spans="2:2" x14ac:dyDescent="0.25">
      <c r="B297" s="3"/>
    </row>
    <row r="298" spans="2:2" x14ac:dyDescent="0.25">
      <c r="B298" s="3"/>
    </row>
    <row r="299" spans="2:2" x14ac:dyDescent="0.25">
      <c r="B299" s="3"/>
    </row>
    <row r="300" spans="2:2" x14ac:dyDescent="0.25">
      <c r="B300" s="3"/>
    </row>
    <row r="301" spans="2:2" x14ac:dyDescent="0.25">
      <c r="B301" s="3"/>
    </row>
    <row r="302" spans="2:2" x14ac:dyDescent="0.25">
      <c r="B302" s="3"/>
    </row>
    <row r="303" spans="2:2" x14ac:dyDescent="0.25">
      <c r="B303" s="3"/>
    </row>
    <row r="304" spans="2:2" x14ac:dyDescent="0.25">
      <c r="B304" s="3"/>
    </row>
    <row r="305" spans="2:2" x14ac:dyDescent="0.25">
      <c r="B305" s="3"/>
    </row>
    <row r="306" spans="2:2" x14ac:dyDescent="0.25">
      <c r="B306" s="3"/>
    </row>
    <row r="307" spans="2:2" x14ac:dyDescent="0.25">
      <c r="B307" s="3"/>
    </row>
    <row r="308" spans="2:2" x14ac:dyDescent="0.25">
      <c r="B308" s="3"/>
    </row>
    <row r="309" spans="2:2" x14ac:dyDescent="0.25">
      <c r="B309" s="3"/>
    </row>
    <row r="310" spans="2:2" x14ac:dyDescent="0.25">
      <c r="B310" s="3"/>
    </row>
    <row r="311" spans="2:2" x14ac:dyDescent="0.25">
      <c r="B311" s="3"/>
    </row>
    <row r="312" spans="2:2" x14ac:dyDescent="0.25">
      <c r="B312" s="3"/>
    </row>
    <row r="313" spans="2:2" x14ac:dyDescent="0.25">
      <c r="B313" s="3"/>
    </row>
    <row r="314" spans="2:2" x14ac:dyDescent="0.25">
      <c r="B314" s="3"/>
    </row>
    <row r="315" spans="2:2" x14ac:dyDescent="0.25">
      <c r="B315" s="3"/>
    </row>
    <row r="316" spans="2:2" x14ac:dyDescent="0.25">
      <c r="B316" s="3"/>
    </row>
    <row r="317" spans="2:2" x14ac:dyDescent="0.25">
      <c r="B317" s="3"/>
    </row>
    <row r="318" spans="2:2" x14ac:dyDescent="0.25">
      <c r="B318" s="3"/>
    </row>
    <row r="319" spans="2:2" x14ac:dyDescent="0.25">
      <c r="B319" s="3"/>
    </row>
    <row r="320" spans="2:2" x14ac:dyDescent="0.25">
      <c r="B320" s="3"/>
    </row>
    <row r="321" spans="2:2" x14ac:dyDescent="0.25">
      <c r="B321" s="3"/>
    </row>
    <row r="322" spans="2:2" x14ac:dyDescent="0.25">
      <c r="B322" s="3"/>
    </row>
    <row r="323" spans="2:2" x14ac:dyDescent="0.25">
      <c r="B323" s="3"/>
    </row>
    <row r="324" spans="2:2" x14ac:dyDescent="0.25">
      <c r="B324" s="3"/>
    </row>
    <row r="325" spans="2:2" x14ac:dyDescent="0.25">
      <c r="B325" s="3"/>
    </row>
    <row r="326" spans="2:2" x14ac:dyDescent="0.25">
      <c r="B326" s="3"/>
    </row>
    <row r="327" spans="2:2" x14ac:dyDescent="0.25">
      <c r="B327" s="3"/>
    </row>
    <row r="328" spans="2:2" x14ac:dyDescent="0.25">
      <c r="B328" s="3"/>
    </row>
    <row r="329" spans="2:2" x14ac:dyDescent="0.25">
      <c r="B329" s="3"/>
    </row>
    <row r="330" spans="2:2" x14ac:dyDescent="0.25">
      <c r="B330" s="3"/>
    </row>
    <row r="331" spans="2:2" x14ac:dyDescent="0.25">
      <c r="B331" s="3"/>
    </row>
    <row r="332" spans="2:2" x14ac:dyDescent="0.25">
      <c r="B332" s="3"/>
    </row>
    <row r="333" spans="2:2" x14ac:dyDescent="0.25">
      <c r="B333" s="3"/>
    </row>
    <row r="334" spans="2:2" x14ac:dyDescent="0.25">
      <c r="B334" s="3"/>
    </row>
    <row r="335" spans="2:2" x14ac:dyDescent="0.25">
      <c r="B335" s="3"/>
    </row>
    <row r="336" spans="2:2" x14ac:dyDescent="0.25">
      <c r="B336" s="3"/>
    </row>
    <row r="337" spans="2:2" x14ac:dyDescent="0.25">
      <c r="B337" s="3"/>
    </row>
    <row r="338" spans="2:2" x14ac:dyDescent="0.25">
      <c r="B338" s="3"/>
    </row>
    <row r="339" spans="2:2" x14ac:dyDescent="0.25">
      <c r="B339" s="3"/>
    </row>
    <row r="340" spans="2:2" x14ac:dyDescent="0.25">
      <c r="B340" s="3"/>
    </row>
    <row r="341" spans="2:2" x14ac:dyDescent="0.25">
      <c r="B341" s="3"/>
    </row>
    <row r="342" spans="2:2" x14ac:dyDescent="0.25">
      <c r="B342" s="3"/>
    </row>
    <row r="343" spans="2:2" x14ac:dyDescent="0.25">
      <c r="B343" s="3"/>
    </row>
    <row r="344" spans="2:2" x14ac:dyDescent="0.25">
      <c r="B344" s="3"/>
    </row>
    <row r="345" spans="2:2" x14ac:dyDescent="0.25">
      <c r="B345" s="3"/>
    </row>
    <row r="346" spans="2:2" x14ac:dyDescent="0.25">
      <c r="B346" s="3"/>
    </row>
    <row r="347" spans="2:2" x14ac:dyDescent="0.25">
      <c r="B347" s="3"/>
    </row>
    <row r="348" spans="2:2" x14ac:dyDescent="0.25">
      <c r="B348" s="3"/>
    </row>
    <row r="349" spans="2:2" x14ac:dyDescent="0.25">
      <c r="B349" s="3"/>
    </row>
    <row r="350" spans="2:2" x14ac:dyDescent="0.25">
      <c r="B350" s="3"/>
    </row>
    <row r="351" spans="2:2" x14ac:dyDescent="0.25">
      <c r="B351" s="3"/>
    </row>
    <row r="352" spans="2:2" x14ac:dyDescent="0.25">
      <c r="B352" s="3"/>
    </row>
    <row r="353" spans="2:2" x14ac:dyDescent="0.25">
      <c r="B353" s="3"/>
    </row>
    <row r="354" spans="2:2" x14ac:dyDescent="0.25">
      <c r="B354" s="3"/>
    </row>
    <row r="355" spans="2:2" x14ac:dyDescent="0.25">
      <c r="B355" s="3"/>
    </row>
    <row r="356" spans="2:2" x14ac:dyDescent="0.25">
      <c r="B356" s="3"/>
    </row>
    <row r="357" spans="2:2" x14ac:dyDescent="0.25">
      <c r="B357" s="3"/>
    </row>
    <row r="358" spans="2:2" x14ac:dyDescent="0.25">
      <c r="B358" s="3"/>
    </row>
    <row r="359" spans="2:2" x14ac:dyDescent="0.25">
      <c r="B359" s="3"/>
    </row>
    <row r="360" spans="2:2" x14ac:dyDescent="0.25">
      <c r="B360" s="3"/>
    </row>
    <row r="361" spans="2:2" x14ac:dyDescent="0.25">
      <c r="B361" s="3"/>
    </row>
    <row r="362" spans="2:2" x14ac:dyDescent="0.25">
      <c r="B362" s="3"/>
    </row>
    <row r="363" spans="2:2" x14ac:dyDescent="0.25">
      <c r="B363" s="3"/>
    </row>
    <row r="364" spans="2:2" x14ac:dyDescent="0.25">
      <c r="B364" s="3"/>
    </row>
    <row r="365" spans="2:2" x14ac:dyDescent="0.25">
      <c r="B365" s="3"/>
    </row>
    <row r="366" spans="2:2" x14ac:dyDescent="0.25">
      <c r="B366" s="3"/>
    </row>
    <row r="367" spans="2:2" x14ac:dyDescent="0.25">
      <c r="B367" s="3"/>
    </row>
    <row r="368" spans="2:2" x14ac:dyDescent="0.25">
      <c r="B368" s="3"/>
    </row>
    <row r="369" spans="2:2" x14ac:dyDescent="0.25">
      <c r="B369" s="3"/>
    </row>
  </sheetData>
  <pageMargins left="0.7" right="0.7" top="0.75" bottom="0.75" header="0.3" footer="0.3"/>
  <pageSetup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1F3DF-7D44-4BF6-9C87-6C3CE8902E7C}">
  <dimension ref="B1:K12"/>
  <sheetViews>
    <sheetView workbookViewId="0">
      <selection activeCell="F10" sqref="F10"/>
    </sheetView>
  </sheetViews>
  <sheetFormatPr defaultRowHeight="15" x14ac:dyDescent="0.25"/>
  <cols>
    <col min="2" max="2" width="15.28515625" customWidth="1"/>
    <col min="3" max="3" width="16.42578125" bestFit="1" customWidth="1"/>
    <col min="5" max="5" width="23.85546875" bestFit="1" customWidth="1"/>
    <col min="7" max="7" width="11.5703125" bestFit="1" customWidth="1"/>
    <col min="8" max="8" width="31.140625" customWidth="1"/>
    <col min="9" max="9" width="34" customWidth="1"/>
  </cols>
  <sheetData>
    <row r="1" spans="2:11" x14ac:dyDescent="0.25">
      <c r="B1" s="25" t="s">
        <v>36</v>
      </c>
      <c r="C1" s="30">
        <f>'RY2027 Change Log'!A7</f>
        <v>1</v>
      </c>
    </row>
    <row r="4" spans="2:11" ht="60" x14ac:dyDescent="0.25">
      <c r="B4" s="30" t="s">
        <v>35</v>
      </c>
      <c r="C4" s="30" t="s">
        <v>34</v>
      </c>
      <c r="D4" s="29" t="s">
        <v>33</v>
      </c>
      <c r="E4" s="29" t="s">
        <v>32</v>
      </c>
      <c r="F4" s="29" t="s">
        <v>31</v>
      </c>
      <c r="G4" s="29" t="s">
        <v>30</v>
      </c>
      <c r="H4" s="29" t="s">
        <v>29</v>
      </c>
      <c r="I4" s="29" t="s">
        <v>28</v>
      </c>
      <c r="J4" s="29" t="s">
        <v>27</v>
      </c>
      <c r="K4" s="29" t="s">
        <v>26</v>
      </c>
    </row>
    <row r="5" spans="2:11" ht="45" x14ac:dyDescent="0.25">
      <c r="B5" t="s">
        <v>25</v>
      </c>
      <c r="C5" s="28">
        <v>45460</v>
      </c>
      <c r="D5" s="1">
        <v>925</v>
      </c>
      <c r="E5" s="1" t="s">
        <v>22</v>
      </c>
      <c r="F5" s="1">
        <v>2024</v>
      </c>
      <c r="G5" s="27">
        <v>1438</v>
      </c>
      <c r="H5" s="4" t="s">
        <v>21</v>
      </c>
      <c r="I5" s="4" t="s">
        <v>20</v>
      </c>
      <c r="J5" s="4" t="s">
        <v>19</v>
      </c>
      <c r="K5" s="1">
        <v>1</v>
      </c>
    </row>
    <row r="6" spans="2:11" ht="45" x14ac:dyDescent="0.25">
      <c r="B6" t="s">
        <v>24</v>
      </c>
      <c r="C6" s="28">
        <v>45275</v>
      </c>
      <c r="D6" s="1">
        <v>925</v>
      </c>
      <c r="E6" s="1" t="s">
        <v>22</v>
      </c>
      <c r="F6" s="1">
        <v>2024</v>
      </c>
      <c r="G6" s="27">
        <v>50000</v>
      </c>
      <c r="H6" s="4" t="s">
        <v>21</v>
      </c>
      <c r="I6" s="4" t="s">
        <v>20</v>
      </c>
      <c r="J6" s="4" t="s">
        <v>19</v>
      </c>
      <c r="K6" s="1">
        <v>2</v>
      </c>
    </row>
    <row r="7" spans="2:11" ht="45" x14ac:dyDescent="0.25">
      <c r="B7" t="s">
        <v>23</v>
      </c>
      <c r="C7" s="28">
        <v>45479</v>
      </c>
      <c r="D7" s="1">
        <v>925</v>
      </c>
      <c r="E7" s="1" t="s">
        <v>22</v>
      </c>
      <c r="F7" s="1">
        <v>2024</v>
      </c>
      <c r="G7" s="27">
        <v>3400</v>
      </c>
      <c r="H7" s="4" t="s">
        <v>21</v>
      </c>
      <c r="I7" s="4" t="s">
        <v>20</v>
      </c>
      <c r="J7" s="4" t="s">
        <v>19</v>
      </c>
      <c r="K7" s="1">
        <v>3</v>
      </c>
    </row>
    <row r="8" spans="2:11" ht="15.75" thickBot="1" x14ac:dyDescent="0.3">
      <c r="G8" s="26">
        <f>SUM(G5:G7)</f>
        <v>54838</v>
      </c>
    </row>
    <row r="9" spans="2:11" ht="15.75" thickTop="1" x14ac:dyDescent="0.25"/>
    <row r="11" spans="2:11" x14ac:dyDescent="0.25">
      <c r="B11" s="25"/>
    </row>
    <row r="12" spans="2:11" x14ac:dyDescent="0.25">
      <c r="B12" s="1"/>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91C17-99A8-4EF6-BE2A-3377C85AE6AA}">
  <dimension ref="C1:D4"/>
  <sheetViews>
    <sheetView workbookViewId="0">
      <selection activeCell="F10" sqref="F10"/>
    </sheetView>
  </sheetViews>
  <sheetFormatPr defaultRowHeight="15" x14ac:dyDescent="0.25"/>
  <cols>
    <col min="3" max="3" width="16.85546875" customWidth="1"/>
  </cols>
  <sheetData>
    <row r="1" spans="3:4" x14ac:dyDescent="0.25">
      <c r="C1" s="25"/>
      <c r="D1" s="30"/>
    </row>
    <row r="3" spans="3:4" x14ac:dyDescent="0.25">
      <c r="C3" s="31"/>
    </row>
    <row r="4" spans="3:4" x14ac:dyDescent="0.25">
      <c r="C4" s="31"/>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0F282-3AEE-4962-8AC7-D8E2FB76A8CC}">
  <dimension ref="A1:Q82"/>
  <sheetViews>
    <sheetView topLeftCell="A41" zoomScale="90" zoomScaleNormal="90" workbookViewId="0">
      <selection activeCell="F10" sqref="F10"/>
    </sheetView>
  </sheetViews>
  <sheetFormatPr defaultColWidth="9.140625" defaultRowHeight="15" customHeight="1" x14ac:dyDescent="0.25"/>
  <cols>
    <col min="2" max="2" width="20.5703125" bestFit="1" customWidth="1"/>
    <col min="3" max="3" width="32.85546875" bestFit="1" customWidth="1"/>
    <col min="4" max="4" width="17.5703125" bestFit="1" customWidth="1"/>
    <col min="5" max="5" width="18" bestFit="1" customWidth="1"/>
    <col min="6" max="6" width="14" bestFit="1" customWidth="1"/>
    <col min="7" max="7" width="14.85546875" customWidth="1"/>
    <col min="8" max="8" width="14.5703125" customWidth="1"/>
    <col min="9" max="10" width="16" customWidth="1"/>
    <col min="11" max="11" width="14.5703125" customWidth="1"/>
    <col min="12" max="12" width="13.42578125" bestFit="1" customWidth="1"/>
    <col min="13" max="14" width="14.42578125" customWidth="1"/>
    <col min="15" max="15" width="12.85546875" customWidth="1"/>
  </cols>
  <sheetData>
    <row r="1" spans="1:17" ht="15" customHeight="1" x14ac:dyDescent="0.25">
      <c r="B1" s="25" t="s">
        <v>36</v>
      </c>
      <c r="C1" s="30">
        <f>'RY2027 Change Log'!A8</f>
        <v>2</v>
      </c>
    </row>
    <row r="3" spans="1:17" x14ac:dyDescent="0.25">
      <c r="B3" s="105" t="s">
        <v>119</v>
      </c>
      <c r="C3" s="105"/>
      <c r="D3" s="25"/>
    </row>
    <row r="4" spans="1:17" ht="15" customHeight="1" x14ac:dyDescent="0.25">
      <c r="G4" s="27"/>
    </row>
    <row r="5" spans="1:17" x14ac:dyDescent="0.25">
      <c r="F5" s="64" t="s">
        <v>118</v>
      </c>
      <c r="G5" s="30">
        <v>566</v>
      </c>
      <c r="H5" s="30">
        <v>563</v>
      </c>
      <c r="I5" s="29">
        <v>588</v>
      </c>
      <c r="J5" s="29">
        <v>583</v>
      </c>
      <c r="K5" s="66">
        <v>923</v>
      </c>
      <c r="L5" s="29"/>
    </row>
    <row r="6" spans="1:17" x14ac:dyDescent="0.25">
      <c r="F6" s="64" t="s">
        <v>117</v>
      </c>
      <c r="G6" s="30" t="s">
        <v>68</v>
      </c>
      <c r="H6" s="30" t="s">
        <v>68</v>
      </c>
      <c r="I6" s="29" t="s">
        <v>111</v>
      </c>
      <c r="J6" s="29" t="s">
        <v>111</v>
      </c>
      <c r="K6" s="30" t="s">
        <v>68</v>
      </c>
      <c r="L6" s="29"/>
    </row>
    <row r="7" spans="1:17" ht="30" x14ac:dyDescent="0.25">
      <c r="F7" s="64" t="s">
        <v>116</v>
      </c>
      <c r="G7" s="29" t="s">
        <v>115</v>
      </c>
      <c r="H7" s="29" t="s">
        <v>114</v>
      </c>
      <c r="I7" s="29" t="s">
        <v>3</v>
      </c>
      <c r="J7" s="29" t="s">
        <v>3</v>
      </c>
      <c r="K7" s="65" t="s">
        <v>113</v>
      </c>
      <c r="L7" s="29"/>
    </row>
    <row r="8" spans="1:17" x14ac:dyDescent="0.25">
      <c r="F8" s="64" t="s">
        <v>112</v>
      </c>
      <c r="G8" s="30" t="s">
        <v>111</v>
      </c>
      <c r="H8" s="30" t="s">
        <v>111</v>
      </c>
      <c r="I8" s="29" t="s">
        <v>68</v>
      </c>
      <c r="J8" s="29" t="s">
        <v>68</v>
      </c>
      <c r="K8" s="30" t="s">
        <v>68</v>
      </c>
      <c r="L8" s="29"/>
    </row>
    <row r="9" spans="1:17" ht="30" x14ac:dyDescent="0.25">
      <c r="F9" s="64" t="s">
        <v>110</v>
      </c>
      <c r="G9" s="30" t="s">
        <v>3</v>
      </c>
      <c r="H9" s="30" t="s">
        <v>3</v>
      </c>
      <c r="I9" s="29" t="s">
        <v>109</v>
      </c>
      <c r="J9" s="29" t="s">
        <v>108</v>
      </c>
      <c r="K9" s="29" t="s">
        <v>107</v>
      </c>
      <c r="L9" s="29"/>
    </row>
    <row r="10" spans="1:17" ht="84.95" customHeight="1" x14ac:dyDescent="0.25">
      <c r="A10" s="30" t="s">
        <v>106</v>
      </c>
      <c r="B10" s="29" t="s">
        <v>105</v>
      </c>
      <c r="C10" s="29" t="s">
        <v>104</v>
      </c>
      <c r="D10" s="29" t="s">
        <v>103</v>
      </c>
      <c r="E10" s="29" t="s">
        <v>102</v>
      </c>
      <c r="F10" s="29" t="s">
        <v>55</v>
      </c>
      <c r="G10" s="29" t="s">
        <v>101</v>
      </c>
      <c r="H10" s="29" t="s">
        <v>100</v>
      </c>
      <c r="I10" s="29" t="s">
        <v>99</v>
      </c>
      <c r="J10" s="29" t="s">
        <v>98</v>
      </c>
      <c r="K10" s="29" t="s">
        <v>97</v>
      </c>
      <c r="L10" s="29" t="s">
        <v>96</v>
      </c>
      <c r="M10" s="29" t="s">
        <v>95</v>
      </c>
      <c r="N10" s="29" t="s">
        <v>94</v>
      </c>
      <c r="O10" s="29" t="s">
        <v>93</v>
      </c>
      <c r="P10" s="30" t="s">
        <v>9</v>
      </c>
    </row>
    <row r="11" spans="1:17" x14ac:dyDescent="0.25">
      <c r="A11" s="30"/>
      <c r="B11" s="29"/>
      <c r="C11" s="29"/>
      <c r="D11" s="29"/>
      <c r="E11" s="29"/>
      <c r="F11" s="29"/>
      <c r="G11" s="29" t="s">
        <v>92</v>
      </c>
      <c r="H11" s="29" t="s">
        <v>92</v>
      </c>
      <c r="I11" s="29" t="s">
        <v>92</v>
      </c>
      <c r="J11" s="29" t="s">
        <v>92</v>
      </c>
      <c r="K11" s="29" t="s">
        <v>91</v>
      </c>
      <c r="L11" s="29"/>
      <c r="M11" s="29"/>
      <c r="N11" s="29"/>
      <c r="O11" s="29"/>
      <c r="P11" s="30"/>
    </row>
    <row r="12" spans="1:17" x14ac:dyDescent="0.25">
      <c r="A12" s="1">
        <v>1</v>
      </c>
      <c r="B12" s="1" t="s">
        <v>90</v>
      </c>
      <c r="C12" t="s">
        <v>41</v>
      </c>
      <c r="D12" s="1" t="s">
        <v>85</v>
      </c>
      <c r="E12" s="1" t="s">
        <v>84</v>
      </c>
      <c r="F12" s="1">
        <v>2020</v>
      </c>
      <c r="G12" s="59">
        <v>-675</v>
      </c>
      <c r="H12" s="60"/>
      <c r="I12" s="60">
        <v>675</v>
      </c>
      <c r="J12" s="60"/>
      <c r="K12" s="60"/>
      <c r="L12" s="60">
        <f>SUM(G12:K12)</f>
        <v>0</v>
      </c>
      <c r="M12" s="1" t="s">
        <v>68</v>
      </c>
      <c r="N12" s="1" t="s">
        <v>68</v>
      </c>
      <c r="O12" s="1" t="s">
        <v>68</v>
      </c>
      <c r="P12" s="1">
        <v>3</v>
      </c>
      <c r="Q12" s="1"/>
    </row>
    <row r="13" spans="1:17" x14ac:dyDescent="0.25">
      <c r="A13" s="1">
        <f t="shared" ref="A13:A43" si="0">A12+1</f>
        <v>2</v>
      </c>
      <c r="B13" s="1"/>
      <c r="D13" s="1"/>
      <c r="E13" s="1"/>
      <c r="F13" s="1"/>
      <c r="G13" s="27"/>
      <c r="H13" s="27"/>
      <c r="I13" s="27"/>
      <c r="J13" s="27"/>
      <c r="K13" s="27"/>
      <c r="L13" s="27"/>
      <c r="M13" s="1"/>
      <c r="N13" s="1"/>
      <c r="O13" s="1"/>
      <c r="P13" s="1"/>
      <c r="Q13" s="1"/>
    </row>
    <row r="14" spans="1:17" x14ac:dyDescent="0.25">
      <c r="A14" s="1">
        <f t="shared" si="0"/>
        <v>3</v>
      </c>
      <c r="B14" s="1" t="s">
        <v>89</v>
      </c>
      <c r="C14" t="s">
        <v>44</v>
      </c>
      <c r="D14" s="1">
        <v>5041652</v>
      </c>
      <c r="E14" s="1" t="s">
        <v>46</v>
      </c>
      <c r="F14" s="1">
        <v>2021</v>
      </c>
      <c r="G14" s="27">
        <v>44824.289999999994</v>
      </c>
      <c r="H14" s="27"/>
      <c r="I14" s="27">
        <v>19210.41</v>
      </c>
      <c r="J14" s="27"/>
      <c r="K14" s="27">
        <v>-64034.7</v>
      </c>
      <c r="L14" s="27">
        <f t="shared" ref="L14:L20" si="1">SUM(G14:K14)</f>
        <v>0</v>
      </c>
      <c r="M14" s="1" t="s">
        <v>68</v>
      </c>
      <c r="N14" s="1" t="s">
        <v>68</v>
      </c>
      <c r="O14" s="1" t="s">
        <v>68</v>
      </c>
      <c r="P14" s="1">
        <v>2</v>
      </c>
      <c r="Q14" s="1"/>
    </row>
    <row r="15" spans="1:17" x14ac:dyDescent="0.25">
      <c r="A15" s="1">
        <f t="shared" si="0"/>
        <v>4</v>
      </c>
      <c r="B15" s="1" t="s">
        <v>87</v>
      </c>
      <c r="C15" t="s">
        <v>44</v>
      </c>
      <c r="D15" s="1">
        <v>5041652</v>
      </c>
      <c r="E15" s="1" t="s">
        <v>46</v>
      </c>
      <c r="F15" s="1">
        <v>2021</v>
      </c>
      <c r="G15" s="27">
        <v>20109.599999999999</v>
      </c>
      <c r="H15" s="27"/>
      <c r="I15" s="27">
        <v>8618.4</v>
      </c>
      <c r="J15" s="27"/>
      <c r="K15" s="27">
        <v>-28728</v>
      </c>
      <c r="L15" s="27">
        <f t="shared" si="1"/>
        <v>0</v>
      </c>
      <c r="M15" s="1" t="s">
        <v>68</v>
      </c>
      <c r="N15" s="1" t="s">
        <v>68</v>
      </c>
      <c r="O15" s="1" t="s">
        <v>68</v>
      </c>
      <c r="P15" s="1">
        <v>2</v>
      </c>
      <c r="Q15" s="1"/>
    </row>
    <row r="16" spans="1:17" x14ac:dyDescent="0.25">
      <c r="A16" s="1">
        <f t="shared" si="0"/>
        <v>5</v>
      </c>
      <c r="B16" s="1" t="s">
        <v>89</v>
      </c>
      <c r="C16" t="s">
        <v>44</v>
      </c>
      <c r="D16" s="1">
        <v>5270151</v>
      </c>
      <c r="E16" s="1" t="s">
        <v>43</v>
      </c>
      <c r="F16" s="1">
        <v>2021</v>
      </c>
      <c r="G16" s="27">
        <v>-8232.9989999999998</v>
      </c>
      <c r="H16" s="27"/>
      <c r="I16" s="27">
        <v>8232.9989999999998</v>
      </c>
      <c r="J16" s="27"/>
      <c r="K16" s="27"/>
      <c r="L16" s="27">
        <f t="shared" si="1"/>
        <v>0</v>
      </c>
      <c r="M16" s="1" t="s">
        <v>68</v>
      </c>
      <c r="N16" s="1" t="s">
        <v>68</v>
      </c>
      <c r="O16" s="1" t="s">
        <v>68</v>
      </c>
      <c r="P16" s="1">
        <v>2</v>
      </c>
      <c r="Q16" s="1"/>
    </row>
    <row r="17" spans="1:17" x14ac:dyDescent="0.25">
      <c r="A17" s="1">
        <f t="shared" si="0"/>
        <v>6</v>
      </c>
      <c r="B17" s="1" t="s">
        <v>88</v>
      </c>
      <c r="C17" t="s">
        <v>44</v>
      </c>
      <c r="D17" s="1">
        <v>5270151</v>
      </c>
      <c r="E17" s="1" t="s">
        <v>43</v>
      </c>
      <c r="F17" s="1">
        <v>2021</v>
      </c>
      <c r="G17" s="27">
        <v>-3.3000000000000002E-2</v>
      </c>
      <c r="H17" s="27"/>
      <c r="I17" s="27">
        <v>3.3000000000000002E-2</v>
      </c>
      <c r="J17" s="27"/>
      <c r="K17" s="27"/>
      <c r="L17" s="27">
        <f t="shared" si="1"/>
        <v>0</v>
      </c>
      <c r="M17" s="1" t="s">
        <v>68</v>
      </c>
      <c r="N17" s="1" t="s">
        <v>68</v>
      </c>
      <c r="O17" s="1" t="s">
        <v>68</v>
      </c>
      <c r="P17" s="1">
        <v>2</v>
      </c>
      <c r="Q17" s="1"/>
    </row>
    <row r="18" spans="1:17" x14ac:dyDescent="0.25">
      <c r="A18" s="1">
        <f t="shared" si="0"/>
        <v>7</v>
      </c>
      <c r="B18" s="1" t="s">
        <v>87</v>
      </c>
      <c r="C18" t="s">
        <v>44</v>
      </c>
      <c r="D18" s="1">
        <v>5270151</v>
      </c>
      <c r="E18" s="1" t="s">
        <v>43</v>
      </c>
      <c r="F18" s="1">
        <v>2021</v>
      </c>
      <c r="G18" s="27">
        <v>-14774.4</v>
      </c>
      <c r="H18" s="27"/>
      <c r="I18" s="27">
        <v>14774.4</v>
      </c>
      <c r="J18" s="27"/>
      <c r="K18" s="27"/>
      <c r="L18" s="27">
        <f t="shared" si="1"/>
        <v>0</v>
      </c>
      <c r="M18" s="1" t="s">
        <v>68</v>
      </c>
      <c r="N18" s="1" t="s">
        <v>68</v>
      </c>
      <c r="O18" s="1" t="s">
        <v>68</v>
      </c>
      <c r="P18" s="1">
        <v>2</v>
      </c>
      <c r="Q18" s="1"/>
    </row>
    <row r="19" spans="1:17" x14ac:dyDescent="0.25">
      <c r="A19" s="1">
        <f t="shared" si="0"/>
        <v>8</v>
      </c>
      <c r="B19" s="1" t="s">
        <v>86</v>
      </c>
      <c r="C19" t="s">
        <v>41</v>
      </c>
      <c r="D19" s="1" t="s">
        <v>85</v>
      </c>
      <c r="E19" s="1" t="s">
        <v>84</v>
      </c>
      <c r="F19" s="1">
        <v>2021</v>
      </c>
      <c r="G19" s="63">
        <v>-675</v>
      </c>
      <c r="H19" s="63"/>
      <c r="I19" s="63">
        <v>675</v>
      </c>
      <c r="J19" s="63"/>
      <c r="K19" s="63"/>
      <c r="L19" s="63">
        <f t="shared" si="1"/>
        <v>0</v>
      </c>
      <c r="M19" s="1" t="s">
        <v>68</v>
      </c>
      <c r="N19" s="1" t="s">
        <v>68</v>
      </c>
      <c r="O19" s="1" t="s">
        <v>68</v>
      </c>
      <c r="P19" s="1">
        <v>3</v>
      </c>
      <c r="Q19" s="1"/>
    </row>
    <row r="20" spans="1:17" x14ac:dyDescent="0.25">
      <c r="A20" s="1">
        <f t="shared" si="0"/>
        <v>9</v>
      </c>
      <c r="B20" s="1"/>
      <c r="D20" s="1"/>
      <c r="E20" s="1"/>
      <c r="F20" s="1"/>
      <c r="G20" s="59">
        <f>SUM(G14:G19)</f>
        <v>41251.457999999984</v>
      </c>
      <c r="H20" s="60">
        <f>SUM(H14:H19)</f>
        <v>0</v>
      </c>
      <c r="I20" s="58">
        <f>SUM(I14:I19)</f>
        <v>51511.241999999998</v>
      </c>
      <c r="J20" s="60"/>
      <c r="K20" s="60">
        <f>SUM(K14:K19)</f>
        <v>-92762.7</v>
      </c>
      <c r="L20" s="60">
        <f t="shared" si="1"/>
        <v>0</v>
      </c>
      <c r="M20" s="1"/>
      <c r="N20" s="1"/>
      <c r="O20" s="1"/>
      <c r="P20" s="1"/>
      <c r="Q20" s="1"/>
    </row>
    <row r="21" spans="1:17" x14ac:dyDescent="0.25">
      <c r="A21" s="1">
        <f t="shared" si="0"/>
        <v>10</v>
      </c>
      <c r="B21" s="62" t="s">
        <v>83</v>
      </c>
      <c r="D21" s="1"/>
      <c r="E21" s="1"/>
      <c r="F21" s="1"/>
      <c r="G21" s="27"/>
      <c r="H21" s="27"/>
      <c r="I21" s="27"/>
      <c r="J21" s="27"/>
      <c r="K21" s="27"/>
      <c r="L21" s="27"/>
      <c r="M21" s="1"/>
      <c r="N21" s="1"/>
      <c r="O21" s="1"/>
      <c r="P21" s="1"/>
      <c r="Q21" s="1"/>
    </row>
    <row r="22" spans="1:17" x14ac:dyDescent="0.25">
      <c r="A22" s="1">
        <f t="shared" si="0"/>
        <v>11</v>
      </c>
      <c r="B22" s="1" t="s">
        <v>45</v>
      </c>
      <c r="C22" t="s">
        <v>44</v>
      </c>
      <c r="D22" s="1">
        <v>5041652</v>
      </c>
      <c r="E22" s="1" t="s">
        <v>46</v>
      </c>
      <c r="F22" s="1">
        <v>2022</v>
      </c>
      <c r="G22" s="27">
        <f>G72-G78</f>
        <v>46780.909</v>
      </c>
      <c r="H22" s="27"/>
      <c r="I22" s="27">
        <f>I72-I78</f>
        <v>20048.960999999999</v>
      </c>
      <c r="J22" s="27"/>
      <c r="K22" s="27">
        <f>K72-K78</f>
        <v>-66829.87</v>
      </c>
      <c r="L22" s="27">
        <f>SUM(G22:K22)</f>
        <v>0</v>
      </c>
      <c r="M22" s="1" t="s">
        <v>68</v>
      </c>
      <c r="N22" s="1" t="s">
        <v>68</v>
      </c>
      <c r="O22" s="1" t="s">
        <v>68</v>
      </c>
      <c r="P22" s="1" t="s">
        <v>82</v>
      </c>
      <c r="Q22" s="1"/>
    </row>
    <row r="23" spans="1:17" x14ac:dyDescent="0.25">
      <c r="A23" s="1">
        <f t="shared" si="0"/>
        <v>12</v>
      </c>
      <c r="B23" s="1" t="s">
        <v>45</v>
      </c>
      <c r="C23" t="s">
        <v>44</v>
      </c>
      <c r="D23" s="1">
        <v>5270151</v>
      </c>
      <c r="E23" s="1" t="s">
        <v>43</v>
      </c>
      <c r="F23" s="1">
        <v>2022</v>
      </c>
      <c r="G23" s="27">
        <f>G73-G79</f>
        <v>20048.719000000001</v>
      </c>
      <c r="H23" s="27"/>
      <c r="I23" s="27">
        <f>I73-I79</f>
        <v>-20048.719000000001</v>
      </c>
      <c r="J23" s="27"/>
      <c r="K23" s="27">
        <f>K73-K79</f>
        <v>0</v>
      </c>
      <c r="L23" s="27">
        <f>SUM(G23:K23)</f>
        <v>0</v>
      </c>
      <c r="M23" s="1" t="s">
        <v>68</v>
      </c>
      <c r="N23" s="1" t="s">
        <v>68</v>
      </c>
      <c r="O23" s="1" t="s">
        <v>68</v>
      </c>
      <c r="P23" s="1" t="s">
        <v>82</v>
      </c>
      <c r="Q23" s="1"/>
    </row>
    <row r="24" spans="1:17" x14ac:dyDescent="0.25">
      <c r="A24" s="1">
        <f t="shared" si="0"/>
        <v>13</v>
      </c>
      <c r="B24" s="1" t="s">
        <v>42</v>
      </c>
      <c r="C24" t="s">
        <v>41</v>
      </c>
      <c r="D24" s="1">
        <v>5059779</v>
      </c>
      <c r="E24" s="1" t="s">
        <v>40</v>
      </c>
      <c r="F24" s="1">
        <v>2022</v>
      </c>
      <c r="G24" s="27">
        <f>G74-G80</f>
        <v>0</v>
      </c>
      <c r="H24" s="27"/>
      <c r="I24" s="27">
        <f>I74-I80</f>
        <v>0</v>
      </c>
      <c r="J24" s="27"/>
      <c r="K24" s="27">
        <f>K74-K80</f>
        <v>0</v>
      </c>
      <c r="L24" s="27">
        <f>SUM(G24:K24)</f>
        <v>0</v>
      </c>
      <c r="M24" s="1" t="s">
        <v>3</v>
      </c>
      <c r="N24" s="1" t="s">
        <v>3</v>
      </c>
      <c r="O24" s="1" t="s">
        <v>3</v>
      </c>
      <c r="P24" s="1"/>
      <c r="Q24" s="1"/>
    </row>
    <row r="25" spans="1:17" x14ac:dyDescent="0.25">
      <c r="A25" s="1">
        <f t="shared" si="0"/>
        <v>14</v>
      </c>
      <c r="B25" s="1" t="s">
        <v>39</v>
      </c>
      <c r="C25" t="s">
        <v>38</v>
      </c>
      <c r="D25" s="1">
        <v>5071625</v>
      </c>
      <c r="E25" s="1" t="s">
        <v>37</v>
      </c>
      <c r="F25" s="1">
        <v>2022</v>
      </c>
      <c r="G25" s="27">
        <f>G75-G81</f>
        <v>0</v>
      </c>
      <c r="H25" s="27"/>
      <c r="I25" s="27">
        <f>I75-I81</f>
        <v>0</v>
      </c>
      <c r="J25" s="27"/>
      <c r="K25" s="27">
        <f>K75-K81</f>
        <v>0</v>
      </c>
      <c r="L25" s="27">
        <f>SUM(G25:K25)</f>
        <v>0</v>
      </c>
      <c r="M25" s="1" t="s">
        <v>3</v>
      </c>
      <c r="N25" s="1" t="s">
        <v>3</v>
      </c>
      <c r="O25" s="1" t="s">
        <v>3</v>
      </c>
      <c r="P25" s="1"/>
      <c r="Q25" s="1"/>
    </row>
    <row r="26" spans="1:17" x14ac:dyDescent="0.25">
      <c r="A26" s="1">
        <f t="shared" si="0"/>
        <v>15</v>
      </c>
      <c r="B26" s="1"/>
      <c r="D26" s="1"/>
      <c r="E26" s="1"/>
      <c r="F26" s="1"/>
      <c r="G26" s="59">
        <f t="shared" ref="G26:L26" si="2">SUM(G22:G25)</f>
        <v>66829.627999999997</v>
      </c>
      <c r="H26" s="57">
        <f t="shared" si="2"/>
        <v>0</v>
      </c>
      <c r="I26" s="61">
        <f t="shared" si="2"/>
        <v>0.24199999999837019</v>
      </c>
      <c r="J26" s="57">
        <f t="shared" si="2"/>
        <v>0</v>
      </c>
      <c r="K26" s="57">
        <f t="shared" si="2"/>
        <v>-66829.87</v>
      </c>
      <c r="L26" s="57">
        <f t="shared" si="2"/>
        <v>0</v>
      </c>
      <c r="M26" s="1"/>
      <c r="N26" s="1"/>
      <c r="O26" s="1"/>
      <c r="P26" s="1"/>
      <c r="Q26" s="1"/>
    </row>
    <row r="27" spans="1:17" x14ac:dyDescent="0.25">
      <c r="A27" s="1">
        <f t="shared" si="0"/>
        <v>16</v>
      </c>
      <c r="B27" s="1"/>
      <c r="D27" s="1"/>
      <c r="E27" s="1"/>
      <c r="F27" s="1"/>
      <c r="G27" s="43"/>
      <c r="H27" s="43"/>
      <c r="I27" s="43"/>
      <c r="J27" s="43"/>
      <c r="K27" s="27"/>
      <c r="L27" s="27"/>
      <c r="M27" s="1"/>
      <c r="N27" s="1"/>
      <c r="O27" s="1"/>
      <c r="P27" s="1"/>
      <c r="Q27" s="1"/>
    </row>
    <row r="28" spans="1:17" x14ac:dyDescent="0.25">
      <c r="A28" s="1">
        <f t="shared" si="0"/>
        <v>17</v>
      </c>
      <c r="B28" s="1" t="s">
        <v>80</v>
      </c>
      <c r="C28" t="s">
        <v>44</v>
      </c>
      <c r="D28" s="1">
        <v>5063960</v>
      </c>
      <c r="E28" s="1" t="s">
        <v>81</v>
      </c>
      <c r="F28" s="1">
        <v>2023</v>
      </c>
      <c r="G28" s="27">
        <v>8360.0859999999993</v>
      </c>
      <c r="H28" s="27"/>
      <c r="I28" s="27">
        <v>3582.8939999999998</v>
      </c>
      <c r="J28" s="27"/>
      <c r="K28" s="27">
        <v>-11942.98</v>
      </c>
      <c r="L28" s="27">
        <f t="shared" ref="L28:L34" si="3">SUM(G28:K28)</f>
        <v>0</v>
      </c>
      <c r="M28" s="1" t="s">
        <v>68</v>
      </c>
      <c r="N28" s="1" t="s">
        <v>68</v>
      </c>
      <c r="O28" s="1" t="s">
        <v>68</v>
      </c>
      <c r="P28" s="1">
        <v>2</v>
      </c>
      <c r="Q28" s="1"/>
    </row>
    <row r="29" spans="1:17" x14ac:dyDescent="0.25">
      <c r="A29" s="1">
        <f t="shared" si="0"/>
        <v>18</v>
      </c>
      <c r="B29" s="1" t="s">
        <v>79</v>
      </c>
      <c r="C29" t="s">
        <v>44</v>
      </c>
      <c r="D29" s="1">
        <v>5063960</v>
      </c>
      <c r="E29" s="1" t="s">
        <v>81</v>
      </c>
      <c r="F29" s="1">
        <v>2023</v>
      </c>
      <c r="G29" s="27">
        <v>13406.4</v>
      </c>
      <c r="H29" s="27"/>
      <c r="I29" s="27">
        <v>5745.5999999999995</v>
      </c>
      <c r="J29" s="27"/>
      <c r="K29" s="27">
        <v>-19152</v>
      </c>
      <c r="L29" s="27">
        <f t="shared" si="3"/>
        <v>0</v>
      </c>
      <c r="M29" s="1" t="s">
        <v>68</v>
      </c>
      <c r="N29" s="1" t="s">
        <v>68</v>
      </c>
      <c r="O29" s="1" t="s">
        <v>68</v>
      </c>
      <c r="P29" s="1">
        <v>2</v>
      </c>
      <c r="Q29" s="1"/>
    </row>
    <row r="30" spans="1:17" x14ac:dyDescent="0.25">
      <c r="A30" s="1">
        <f t="shared" si="0"/>
        <v>19</v>
      </c>
      <c r="B30" s="1" t="s">
        <v>80</v>
      </c>
      <c r="C30" t="s">
        <v>44</v>
      </c>
      <c r="D30" s="1">
        <v>5270151</v>
      </c>
      <c r="E30" s="1" t="s">
        <v>43</v>
      </c>
      <c r="F30" s="1">
        <v>2023</v>
      </c>
      <c r="G30" s="27">
        <v>-1535.5260000000001</v>
      </c>
      <c r="H30" s="27"/>
      <c r="I30" s="27">
        <v>1535.5260000000001</v>
      </c>
      <c r="J30" s="27"/>
      <c r="K30" s="27"/>
      <c r="L30" s="27">
        <f t="shared" si="3"/>
        <v>0</v>
      </c>
      <c r="M30" s="1" t="s">
        <v>68</v>
      </c>
      <c r="N30" s="1" t="s">
        <v>68</v>
      </c>
      <c r="O30" s="1" t="s">
        <v>68</v>
      </c>
      <c r="P30" s="1">
        <v>2</v>
      </c>
      <c r="Q30" s="1"/>
    </row>
    <row r="31" spans="1:17" x14ac:dyDescent="0.25">
      <c r="A31" s="1">
        <f t="shared" si="0"/>
        <v>20</v>
      </c>
      <c r="B31" s="1" t="s">
        <v>79</v>
      </c>
      <c r="C31" t="s">
        <v>44</v>
      </c>
      <c r="D31" s="1">
        <v>5270151</v>
      </c>
      <c r="E31" s="1" t="s">
        <v>43</v>
      </c>
      <c r="F31" s="1">
        <v>2023</v>
      </c>
      <c r="G31" s="27">
        <v>-2462.4</v>
      </c>
      <c r="H31" s="27"/>
      <c r="I31" s="27">
        <v>2462.4</v>
      </c>
      <c r="J31" s="27"/>
      <c r="K31" s="27"/>
      <c r="L31" s="27">
        <f t="shared" si="3"/>
        <v>0</v>
      </c>
      <c r="M31" s="1" t="s">
        <v>68</v>
      </c>
      <c r="N31" s="1" t="s">
        <v>68</v>
      </c>
      <c r="O31" s="1" t="s">
        <v>68</v>
      </c>
      <c r="P31" s="1">
        <v>2</v>
      </c>
      <c r="Q31" s="1"/>
    </row>
    <row r="32" spans="1:17" x14ac:dyDescent="0.25">
      <c r="A32" s="1">
        <f t="shared" si="0"/>
        <v>21</v>
      </c>
      <c r="B32" s="1" t="s">
        <v>78</v>
      </c>
      <c r="C32" t="s">
        <v>41</v>
      </c>
      <c r="D32" s="1">
        <v>5059779</v>
      </c>
      <c r="E32" s="1" t="s">
        <v>40</v>
      </c>
      <c r="F32" s="1">
        <v>2023</v>
      </c>
      <c r="G32" s="27">
        <v>-3940</v>
      </c>
      <c r="H32" s="27"/>
      <c r="I32" s="27">
        <v>3940</v>
      </c>
      <c r="J32" s="27"/>
      <c r="K32" s="27"/>
      <c r="L32" s="27">
        <f t="shared" si="3"/>
        <v>0</v>
      </c>
      <c r="M32" s="1" t="s">
        <v>68</v>
      </c>
      <c r="N32" s="1" t="s">
        <v>68</v>
      </c>
      <c r="O32" s="1" t="s">
        <v>68</v>
      </c>
      <c r="P32" s="1">
        <v>3</v>
      </c>
      <c r="Q32" s="1"/>
    </row>
    <row r="33" spans="1:17" x14ac:dyDescent="0.25">
      <c r="A33" s="1">
        <f t="shared" si="0"/>
        <v>22</v>
      </c>
      <c r="B33" s="1" t="s">
        <v>77</v>
      </c>
      <c r="C33" t="s">
        <v>38</v>
      </c>
      <c r="D33" s="1">
        <v>5071625</v>
      </c>
      <c r="E33" s="1" t="s">
        <v>37</v>
      </c>
      <c r="F33" s="1">
        <v>2023</v>
      </c>
      <c r="G33" s="27">
        <v>-10000</v>
      </c>
      <c r="H33" s="27"/>
      <c r="I33" s="27">
        <v>10000</v>
      </c>
      <c r="J33" s="27"/>
      <c r="K33" s="27"/>
      <c r="L33" s="27">
        <f t="shared" si="3"/>
        <v>0</v>
      </c>
      <c r="M33" s="1" t="s">
        <v>68</v>
      </c>
      <c r="N33" s="1" t="s">
        <v>68</v>
      </c>
      <c r="O33" s="1" t="s">
        <v>68</v>
      </c>
      <c r="P33" s="1">
        <v>4</v>
      </c>
      <c r="Q33" s="1"/>
    </row>
    <row r="34" spans="1:17" x14ac:dyDescent="0.25">
      <c r="A34" s="1">
        <f t="shared" si="0"/>
        <v>23</v>
      </c>
      <c r="B34" s="1"/>
      <c r="D34" s="1"/>
      <c r="E34" s="1"/>
      <c r="F34" s="1"/>
      <c r="G34" s="59">
        <f>SUM(G28:G33)</f>
        <v>3828.559999999994</v>
      </c>
      <c r="H34" s="60">
        <f>SUM(H28:H33)</f>
        <v>0</v>
      </c>
      <c r="I34" s="58">
        <f>SUM(I28:I33)</f>
        <v>27266.42</v>
      </c>
      <c r="J34" s="60"/>
      <c r="K34" s="60">
        <f>SUM(K28:K33)</f>
        <v>-31094.98</v>
      </c>
      <c r="L34" s="60">
        <f t="shared" si="3"/>
        <v>0</v>
      </c>
      <c r="M34" s="1"/>
      <c r="N34" s="1"/>
      <c r="O34" s="1"/>
      <c r="P34" s="1"/>
      <c r="Q34" s="1"/>
    </row>
    <row r="35" spans="1:17" x14ac:dyDescent="0.25">
      <c r="A35" s="1">
        <f t="shared" si="0"/>
        <v>24</v>
      </c>
      <c r="B35" s="1"/>
      <c r="D35" s="1"/>
      <c r="E35" s="1"/>
      <c r="F35" s="1"/>
      <c r="G35" s="27"/>
      <c r="H35" s="27"/>
      <c r="I35" s="27"/>
      <c r="J35" s="27"/>
      <c r="K35" s="27"/>
      <c r="L35" s="27"/>
      <c r="M35" s="1"/>
      <c r="N35" s="1"/>
      <c r="O35" s="1"/>
      <c r="P35" s="1"/>
      <c r="Q35" s="1"/>
    </row>
    <row r="36" spans="1:17" x14ac:dyDescent="0.25">
      <c r="A36" s="1">
        <f t="shared" si="0"/>
        <v>25</v>
      </c>
      <c r="B36" s="1" t="s">
        <v>76</v>
      </c>
      <c r="C36" t="s">
        <v>41</v>
      </c>
      <c r="D36" s="1">
        <v>5059779</v>
      </c>
      <c r="E36" s="1" t="s">
        <v>40</v>
      </c>
      <c r="F36" s="1">
        <v>2024</v>
      </c>
      <c r="G36" s="27">
        <v>-4136.4285714285716</v>
      </c>
      <c r="H36" s="27"/>
      <c r="I36" s="27">
        <v>4136.4285714285716</v>
      </c>
      <c r="J36" s="27"/>
      <c r="K36" s="27"/>
      <c r="L36" s="27">
        <f t="shared" ref="L36:L41" si="4">SUM(G36:K36)</f>
        <v>0</v>
      </c>
      <c r="M36" s="1" t="s">
        <v>68</v>
      </c>
      <c r="N36" s="1" t="s">
        <v>68</v>
      </c>
      <c r="O36" s="1" t="s">
        <v>68</v>
      </c>
      <c r="P36" s="1" t="s">
        <v>75</v>
      </c>
      <c r="Q36" s="1"/>
    </row>
    <row r="37" spans="1:17" x14ac:dyDescent="0.25">
      <c r="A37" s="1">
        <f t="shared" si="0"/>
        <v>26</v>
      </c>
      <c r="B37" s="1" t="s">
        <v>74</v>
      </c>
      <c r="C37" t="s">
        <v>70</v>
      </c>
      <c r="D37" s="1">
        <v>5057971</v>
      </c>
      <c r="E37" s="1" t="s">
        <v>69</v>
      </c>
      <c r="F37" s="1">
        <v>2024</v>
      </c>
      <c r="G37" s="43">
        <v>0</v>
      </c>
      <c r="H37" s="43">
        <v>-68796.875</v>
      </c>
      <c r="I37" s="43"/>
      <c r="J37" s="43">
        <v>68796.875</v>
      </c>
      <c r="K37" s="43"/>
      <c r="L37" s="43">
        <f t="shared" si="4"/>
        <v>0</v>
      </c>
      <c r="M37" s="1" t="s">
        <v>68</v>
      </c>
      <c r="N37" s="1" t="s">
        <v>68</v>
      </c>
      <c r="O37" s="1" t="s">
        <v>68</v>
      </c>
      <c r="P37" s="1">
        <v>5</v>
      </c>
      <c r="Q37" s="1"/>
    </row>
    <row r="38" spans="1:17" x14ac:dyDescent="0.25">
      <c r="A38" s="1">
        <f t="shared" si="0"/>
        <v>27</v>
      </c>
      <c r="B38" s="1" t="s">
        <v>73</v>
      </c>
      <c r="C38" t="s">
        <v>70</v>
      </c>
      <c r="D38" s="1">
        <v>5057971</v>
      </c>
      <c r="E38" s="1" t="s">
        <v>69</v>
      </c>
      <c r="F38" s="1">
        <v>2024</v>
      </c>
      <c r="G38" s="43">
        <v>0</v>
      </c>
      <c r="H38" s="43">
        <v>-28128</v>
      </c>
      <c r="I38" s="43"/>
      <c r="J38" s="43">
        <v>28128</v>
      </c>
      <c r="K38" s="43"/>
      <c r="L38" s="43">
        <f t="shared" si="4"/>
        <v>0</v>
      </c>
      <c r="M38" s="1" t="s">
        <v>68</v>
      </c>
      <c r="N38" s="1" t="s">
        <v>68</v>
      </c>
      <c r="O38" s="1" t="s">
        <v>68</v>
      </c>
      <c r="P38" s="1">
        <v>5</v>
      </c>
      <c r="Q38" s="1"/>
    </row>
    <row r="39" spans="1:17" x14ac:dyDescent="0.25">
      <c r="A39" s="1">
        <f t="shared" si="0"/>
        <v>28</v>
      </c>
      <c r="B39" s="1" t="s">
        <v>72</v>
      </c>
      <c r="C39" t="s">
        <v>70</v>
      </c>
      <c r="D39" s="1">
        <v>5057971</v>
      </c>
      <c r="E39" s="1" t="s">
        <v>69</v>
      </c>
      <c r="F39" s="1">
        <v>2024</v>
      </c>
      <c r="G39" s="43">
        <v>0</v>
      </c>
      <c r="H39" s="43">
        <v>-459983.75</v>
      </c>
      <c r="I39" s="43"/>
      <c r="J39" s="43">
        <v>459983.75</v>
      </c>
      <c r="K39" s="43"/>
      <c r="L39" s="43">
        <f t="shared" si="4"/>
        <v>0</v>
      </c>
      <c r="M39" s="54" t="s">
        <v>68</v>
      </c>
      <c r="N39" s="54" t="s">
        <v>68</v>
      </c>
      <c r="O39" s="54" t="s">
        <v>68</v>
      </c>
      <c r="P39" s="53">
        <v>5</v>
      </c>
      <c r="Q39" s="53"/>
    </row>
    <row r="40" spans="1:17" x14ac:dyDescent="0.25">
      <c r="A40" s="1">
        <f t="shared" si="0"/>
        <v>29</v>
      </c>
      <c r="B40" s="1" t="s">
        <v>71</v>
      </c>
      <c r="C40" t="s">
        <v>70</v>
      </c>
      <c r="D40" s="1">
        <v>5057971</v>
      </c>
      <c r="E40" s="1" t="s">
        <v>69</v>
      </c>
      <c r="F40" s="1">
        <v>2024</v>
      </c>
      <c r="G40" s="43">
        <v>0</v>
      </c>
      <c r="H40" s="43">
        <v>-126575</v>
      </c>
      <c r="I40" s="43"/>
      <c r="J40" s="43">
        <v>126575</v>
      </c>
      <c r="K40" s="43"/>
      <c r="L40" s="43">
        <f t="shared" si="4"/>
        <v>0</v>
      </c>
      <c r="M40" s="54" t="s">
        <v>68</v>
      </c>
      <c r="N40" s="54" t="s">
        <v>68</v>
      </c>
      <c r="O40" s="54" t="s">
        <v>68</v>
      </c>
      <c r="P40" s="53">
        <v>5</v>
      </c>
      <c r="Q40" s="53"/>
    </row>
    <row r="41" spans="1:17" x14ac:dyDescent="0.25">
      <c r="A41" s="1">
        <f t="shared" si="0"/>
        <v>30</v>
      </c>
      <c r="B41" s="1"/>
      <c r="D41" s="1"/>
      <c r="E41" s="1"/>
      <c r="F41" s="1"/>
      <c r="G41" s="57">
        <f>SUM(G36:G40)</f>
        <v>-4136.4285714285716</v>
      </c>
      <c r="H41" s="59">
        <f>SUM(H36:H40)</f>
        <v>-683483.625</v>
      </c>
      <c r="I41" s="57">
        <f>SUM(I36:I40)</f>
        <v>4136.4285714285716</v>
      </c>
      <c r="J41" s="58">
        <f>SUM(J36:J40)</f>
        <v>683483.625</v>
      </c>
      <c r="K41" s="57">
        <f>SUM(K36:K40)</f>
        <v>0</v>
      </c>
      <c r="L41" s="57">
        <f t="shared" si="4"/>
        <v>0</v>
      </c>
      <c r="M41" s="55"/>
      <c r="N41" s="55"/>
      <c r="O41" s="55"/>
      <c r="P41" s="53"/>
    </row>
    <row r="42" spans="1:17" x14ac:dyDescent="0.25">
      <c r="A42" s="1">
        <f t="shared" si="0"/>
        <v>31</v>
      </c>
      <c r="B42" s="1"/>
      <c r="D42" s="1"/>
      <c r="E42" s="1"/>
      <c r="F42" s="1"/>
      <c r="G42" s="43"/>
      <c r="H42" s="43"/>
      <c r="I42" s="43"/>
      <c r="J42" s="43"/>
      <c r="K42" s="43"/>
      <c r="L42" s="56"/>
      <c r="M42" s="55"/>
      <c r="N42" s="55"/>
      <c r="O42" s="55"/>
      <c r="P42" s="53"/>
    </row>
    <row r="43" spans="1:17" ht="15.75" thickBot="1" x14ac:dyDescent="0.3">
      <c r="A43" s="1">
        <f t="shared" si="0"/>
        <v>32</v>
      </c>
      <c r="D43" s="1"/>
      <c r="E43" s="52">
        <v>46031</v>
      </c>
      <c r="F43" s="30" t="s">
        <v>56</v>
      </c>
      <c r="G43" s="26">
        <f t="shared" ref="G43:L43" si="5">SUM(G12,G20,G26,G34,G41)</f>
        <v>107098.21742857141</v>
      </c>
      <c r="H43" s="26">
        <f t="shared" si="5"/>
        <v>-683483.625</v>
      </c>
      <c r="I43" s="26">
        <f t="shared" si="5"/>
        <v>83589.33257142856</v>
      </c>
      <c r="J43" s="26">
        <f t="shared" si="5"/>
        <v>683483.625</v>
      </c>
      <c r="K43" s="26">
        <f t="shared" si="5"/>
        <v>-190687.55000000002</v>
      </c>
      <c r="L43" s="26">
        <f t="shared" si="5"/>
        <v>0</v>
      </c>
      <c r="M43" s="54" t="s">
        <v>68</v>
      </c>
      <c r="N43" s="54" t="s">
        <v>68</v>
      </c>
      <c r="O43" s="54" t="s">
        <v>68</v>
      </c>
      <c r="P43" s="53">
        <v>6</v>
      </c>
    </row>
    <row r="44" spans="1:17" ht="15.75" thickTop="1" x14ac:dyDescent="0.25">
      <c r="E44" s="52"/>
    </row>
    <row r="45" spans="1:17" x14ac:dyDescent="0.25">
      <c r="E45" s="52"/>
      <c r="G45" s="51"/>
      <c r="H45" s="51"/>
      <c r="I45" s="51"/>
      <c r="J45" s="51"/>
      <c r="K45" s="51"/>
      <c r="L45" s="51"/>
    </row>
    <row r="46" spans="1:17" ht="15" customHeight="1" x14ac:dyDescent="0.25">
      <c r="G46" s="46"/>
      <c r="H46" s="46"/>
      <c r="I46" s="46"/>
      <c r="J46" s="46"/>
      <c r="K46" s="46"/>
    </row>
    <row r="47" spans="1:17" x14ac:dyDescent="0.25">
      <c r="B47" s="25" t="s">
        <v>67</v>
      </c>
    </row>
    <row r="48" spans="1:17" x14ac:dyDescent="0.25">
      <c r="B48" s="45" t="s">
        <v>66</v>
      </c>
      <c r="C48" s="45"/>
      <c r="D48" s="45"/>
      <c r="E48" s="45"/>
      <c r="F48" s="45"/>
      <c r="G48" s="45"/>
      <c r="H48" s="45"/>
      <c r="I48" s="45"/>
      <c r="J48" s="45"/>
      <c r="K48" s="45"/>
      <c r="L48" s="45"/>
      <c r="M48" s="45"/>
      <c r="N48" s="45"/>
      <c r="O48" s="45"/>
      <c r="P48" s="45"/>
    </row>
    <row r="49" spans="2:16" x14ac:dyDescent="0.25">
      <c r="B49" s="45" t="s">
        <v>65</v>
      </c>
      <c r="C49" s="45"/>
      <c r="D49" s="45"/>
      <c r="E49" s="45"/>
      <c r="F49" s="45"/>
      <c r="G49" s="45"/>
      <c r="H49" s="45"/>
      <c r="I49" s="45"/>
      <c r="J49" s="45"/>
      <c r="K49" s="45"/>
      <c r="L49" s="45"/>
      <c r="M49" s="45"/>
      <c r="N49" s="45"/>
      <c r="O49" s="45"/>
      <c r="P49" s="45"/>
    </row>
    <row r="50" spans="2:16" x14ac:dyDescent="0.25">
      <c r="B50" s="45" t="s">
        <v>64</v>
      </c>
      <c r="C50" s="45"/>
      <c r="D50" s="45"/>
      <c r="E50" s="45"/>
      <c r="F50" s="45"/>
      <c r="G50" s="45"/>
      <c r="H50" s="45"/>
      <c r="I50" s="45"/>
      <c r="J50" s="45"/>
      <c r="K50" s="45"/>
      <c r="L50" s="45"/>
      <c r="M50" s="45"/>
      <c r="N50" s="45"/>
      <c r="O50" s="45"/>
      <c r="P50" s="45"/>
    </row>
    <row r="51" spans="2:16" ht="15" customHeight="1" x14ac:dyDescent="0.25">
      <c r="B51" s="45" t="s">
        <v>63</v>
      </c>
      <c r="C51" s="45"/>
      <c r="D51" s="45"/>
      <c r="E51" s="45"/>
      <c r="F51" s="45"/>
      <c r="G51" s="45"/>
      <c r="H51" s="45"/>
      <c r="I51" s="45"/>
      <c r="J51" s="45"/>
      <c r="K51" s="45"/>
      <c r="L51" s="45"/>
      <c r="M51" s="45"/>
      <c r="N51" s="45"/>
      <c r="O51" s="45"/>
      <c r="P51" s="45"/>
    </row>
    <row r="52" spans="2:16" x14ac:dyDescent="0.25">
      <c r="B52" s="45" t="s">
        <v>62</v>
      </c>
      <c r="C52" s="45"/>
      <c r="D52" s="45"/>
      <c r="E52" s="45"/>
      <c r="F52" s="45"/>
      <c r="G52" s="45"/>
      <c r="H52" s="45"/>
      <c r="I52" s="45"/>
      <c r="J52" s="45"/>
      <c r="K52" s="45"/>
      <c r="L52" s="45"/>
      <c r="M52" s="45"/>
      <c r="N52" s="45"/>
      <c r="O52" s="45"/>
      <c r="P52" s="45"/>
    </row>
    <row r="53" spans="2:16" x14ac:dyDescent="0.25">
      <c r="B53" s="45" t="s">
        <v>61</v>
      </c>
      <c r="C53" s="45"/>
      <c r="D53" s="45"/>
      <c r="E53" s="45"/>
      <c r="F53" s="45"/>
      <c r="G53" s="45"/>
      <c r="H53" s="45"/>
      <c r="I53" s="45"/>
      <c r="J53" s="45"/>
      <c r="K53" s="45"/>
      <c r="L53" s="45"/>
      <c r="M53" s="45"/>
      <c r="N53" s="45"/>
      <c r="O53" s="45"/>
      <c r="P53" s="45"/>
    </row>
    <row r="54" spans="2:16" x14ac:dyDescent="0.25">
      <c r="B54" s="45" t="s">
        <v>60</v>
      </c>
      <c r="C54" s="45"/>
      <c r="D54" s="45"/>
      <c r="E54" s="45"/>
      <c r="F54" s="45"/>
      <c r="G54" s="45"/>
      <c r="H54" s="45"/>
      <c r="I54" s="45"/>
      <c r="J54" s="45"/>
      <c r="K54" s="45"/>
      <c r="L54" s="45"/>
      <c r="M54" s="45"/>
      <c r="N54" s="45"/>
      <c r="O54" s="45"/>
      <c r="P54" s="45"/>
    </row>
    <row r="55" spans="2:16" x14ac:dyDescent="0.25">
      <c r="B55" s="45" t="s">
        <v>59</v>
      </c>
      <c r="C55" s="45"/>
      <c r="D55" s="45"/>
      <c r="E55" s="45"/>
      <c r="F55" s="45"/>
      <c r="G55" s="45"/>
      <c r="H55" s="45"/>
      <c r="I55" s="45"/>
      <c r="J55" s="45"/>
      <c r="K55" s="45"/>
      <c r="L55" s="45"/>
      <c r="M55" s="45"/>
      <c r="N55" s="45"/>
      <c r="O55" s="45"/>
      <c r="P55" s="45"/>
    </row>
    <row r="56" spans="2:16" x14ac:dyDescent="0.25"/>
    <row r="57" spans="2:16" x14ac:dyDescent="0.25"/>
    <row r="58" spans="2:16" x14ac:dyDescent="0.25">
      <c r="D58" s="30" t="s">
        <v>58</v>
      </c>
      <c r="E58" s="30" t="s">
        <v>57</v>
      </c>
      <c r="F58" s="30" t="s">
        <v>56</v>
      </c>
    </row>
    <row r="59" spans="2:16" ht="51.75" customHeight="1" x14ac:dyDescent="0.25">
      <c r="C59" s="29" t="s">
        <v>55</v>
      </c>
      <c r="D59" s="29" t="s">
        <v>54</v>
      </c>
      <c r="E59" s="30" t="s">
        <v>3</v>
      </c>
      <c r="F59" s="29" t="s">
        <v>53</v>
      </c>
      <c r="G59" s="30" t="s">
        <v>52</v>
      </c>
    </row>
    <row r="60" spans="2:16" ht="15" customHeight="1" x14ac:dyDescent="0.25">
      <c r="C60" s="1">
        <v>2020</v>
      </c>
      <c r="D60" s="46">
        <f>K12*G60</f>
        <v>0</v>
      </c>
      <c r="E60" s="46">
        <f>K12-D60</f>
        <v>0</v>
      </c>
      <c r="F60" s="46">
        <f>D60+E60</f>
        <v>0</v>
      </c>
    </row>
    <row r="61" spans="2:16" ht="15" customHeight="1" x14ac:dyDescent="0.25">
      <c r="C61" s="1">
        <v>2021</v>
      </c>
      <c r="D61" s="50">
        <f>K20*G61</f>
        <v>-65221.894247021104</v>
      </c>
      <c r="E61" s="46">
        <f>K20-D61</f>
        <v>-27540.805752978893</v>
      </c>
      <c r="F61" s="49">
        <f>D61+E61</f>
        <v>-92762.7</v>
      </c>
      <c r="G61" s="48">
        <v>0.70310474196008854</v>
      </c>
    </row>
    <row r="62" spans="2:16" ht="15" customHeight="1" x14ac:dyDescent="0.25">
      <c r="C62" s="1">
        <v>2022</v>
      </c>
      <c r="D62" s="50">
        <f>K26*G62</f>
        <v>-47270.509555571509</v>
      </c>
      <c r="E62" s="46">
        <f>K26-D62</f>
        <v>-19559.360444428487</v>
      </c>
      <c r="F62" s="49">
        <f>D62+E62</f>
        <v>-66829.87</v>
      </c>
      <c r="G62" s="48">
        <v>0.70732607373875656</v>
      </c>
    </row>
    <row r="63" spans="2:16" ht="15" customHeight="1" x14ac:dyDescent="0.25">
      <c r="C63" s="1">
        <v>2023</v>
      </c>
      <c r="D63" s="50">
        <f>K34*G63</f>
        <v>-23668.986887987077</v>
      </c>
      <c r="E63" s="46">
        <f>K34-D63</f>
        <v>-7425.9931120129222</v>
      </c>
      <c r="F63" s="49">
        <f>D63+E63</f>
        <v>-31094.98</v>
      </c>
      <c r="G63" s="48">
        <v>0.76118353792113957</v>
      </c>
    </row>
    <row r="64" spans="2:16" ht="15" customHeight="1" x14ac:dyDescent="0.25">
      <c r="C64" s="1">
        <v>2024</v>
      </c>
      <c r="D64" s="46">
        <f>K41*G64</f>
        <v>0</v>
      </c>
      <c r="E64" s="46">
        <f>K41-D64</f>
        <v>0</v>
      </c>
      <c r="F64" s="46">
        <f>D64+E64</f>
        <v>0</v>
      </c>
      <c r="G64" s="48">
        <v>0.75319514946044341</v>
      </c>
    </row>
    <row r="65" spans="1:17" ht="15" customHeight="1" thickBot="1" x14ac:dyDescent="0.3">
      <c r="C65" s="1"/>
      <c r="D65" s="47">
        <f>SUM(D60:D64)</f>
        <v>-136161.39069057969</v>
      </c>
      <c r="E65" s="47">
        <f>SUM(E60:E64)</f>
        <v>-54526.159309420298</v>
      </c>
      <c r="F65" s="47">
        <f>SUM(F60:F64)</f>
        <v>-190687.55000000002</v>
      </c>
    </row>
    <row r="66" spans="1:17" ht="15" customHeight="1" thickTop="1" x14ac:dyDescent="0.25">
      <c r="C66" s="1"/>
      <c r="D66" s="46"/>
      <c r="E66" s="46"/>
      <c r="F66" s="46"/>
    </row>
    <row r="67" spans="1:17" ht="15" customHeight="1" x14ac:dyDescent="0.25">
      <c r="B67" s="104" t="s">
        <v>51</v>
      </c>
      <c r="C67" s="104"/>
      <c r="D67" s="104"/>
      <c r="E67" s="104"/>
      <c r="F67" s="104"/>
      <c r="G67" s="104"/>
      <c r="H67" s="104"/>
      <c r="I67" s="104"/>
      <c r="J67" s="104"/>
      <c r="K67" s="104"/>
      <c r="L67" s="104"/>
      <c r="M67" s="104"/>
      <c r="N67" s="104"/>
      <c r="O67" s="104"/>
      <c r="P67" s="104"/>
    </row>
    <row r="68" spans="1:17" ht="15" customHeight="1" x14ac:dyDescent="0.25">
      <c r="B68" s="104" t="s">
        <v>50</v>
      </c>
      <c r="C68" s="104"/>
      <c r="D68" s="104"/>
      <c r="E68" s="104"/>
      <c r="F68" s="104"/>
      <c r="G68" s="104"/>
      <c r="H68" s="104"/>
      <c r="I68" s="104"/>
      <c r="J68" s="104"/>
      <c r="K68" s="104"/>
      <c r="L68" s="104"/>
      <c r="M68" s="104"/>
      <c r="N68" s="104"/>
      <c r="O68" s="104"/>
      <c r="P68" s="104"/>
    </row>
    <row r="69" spans="1:17" ht="15" customHeight="1" x14ac:dyDescent="0.25">
      <c r="B69" t="s">
        <v>49</v>
      </c>
    </row>
    <row r="70" spans="1:17" ht="15" customHeight="1" x14ac:dyDescent="0.25">
      <c r="G70" s="30"/>
      <c r="H70" s="30"/>
      <c r="I70" s="29"/>
      <c r="J70" s="29"/>
      <c r="K70" s="30"/>
      <c r="L70" s="25"/>
    </row>
    <row r="71" spans="1:17" x14ac:dyDescent="0.25">
      <c r="A71" s="1"/>
      <c r="B71" s="44" t="s">
        <v>48</v>
      </c>
      <c r="D71" s="1"/>
      <c r="E71" s="1"/>
      <c r="F71" s="1"/>
      <c r="G71" s="43"/>
      <c r="H71" s="43"/>
      <c r="I71" s="43"/>
      <c r="J71" s="43"/>
      <c r="K71" s="43"/>
      <c r="L71" s="43"/>
      <c r="M71" s="1"/>
      <c r="N71" s="1"/>
      <c r="O71" s="1"/>
      <c r="P71" s="1"/>
      <c r="Q71" s="1"/>
    </row>
    <row r="72" spans="1:17" x14ac:dyDescent="0.25">
      <c r="A72" s="1"/>
      <c r="B72" s="39" t="s">
        <v>45</v>
      </c>
      <c r="C72" s="41" t="s">
        <v>44</v>
      </c>
      <c r="D72" s="39">
        <v>5041652</v>
      </c>
      <c r="E72" s="39" t="s">
        <v>46</v>
      </c>
      <c r="F72" s="39">
        <v>2022</v>
      </c>
      <c r="G72" s="42">
        <v>46780.909</v>
      </c>
      <c r="H72" s="42"/>
      <c r="I72" s="42">
        <v>20048.960999999999</v>
      </c>
      <c r="J72" s="42"/>
      <c r="K72" s="42">
        <v>-66829.87</v>
      </c>
      <c r="L72" s="42">
        <f>SUM(G72:K72)</f>
        <v>0</v>
      </c>
      <c r="M72" s="39" t="s">
        <v>3</v>
      </c>
      <c r="N72" s="39" t="s">
        <v>3</v>
      </c>
      <c r="O72" s="39" t="s">
        <v>3</v>
      </c>
      <c r="P72" s="1"/>
      <c r="Q72" s="1"/>
    </row>
    <row r="73" spans="1:17" x14ac:dyDescent="0.25">
      <c r="A73" s="1"/>
      <c r="B73" s="39" t="s">
        <v>45</v>
      </c>
      <c r="C73" s="41" t="s">
        <v>44</v>
      </c>
      <c r="D73" s="39">
        <v>5270151</v>
      </c>
      <c r="E73" s="39" t="s">
        <v>43</v>
      </c>
      <c r="F73" s="39">
        <v>2022</v>
      </c>
      <c r="G73" s="42">
        <v>-8592.4110000000001</v>
      </c>
      <c r="H73" s="42"/>
      <c r="I73" s="42">
        <v>8592.4110000000001</v>
      </c>
      <c r="J73" s="42"/>
      <c r="K73" s="42"/>
      <c r="L73" s="42">
        <f>SUM(G73:K73)</f>
        <v>0</v>
      </c>
      <c r="M73" s="39" t="s">
        <v>3</v>
      </c>
      <c r="N73" s="39" t="s">
        <v>3</v>
      </c>
      <c r="O73" s="39" t="s">
        <v>3</v>
      </c>
      <c r="P73" s="1"/>
      <c r="Q73" s="1"/>
    </row>
    <row r="74" spans="1:17" x14ac:dyDescent="0.25">
      <c r="A74" s="1"/>
      <c r="B74" s="39" t="s">
        <v>42</v>
      </c>
      <c r="C74" s="41" t="s">
        <v>41</v>
      </c>
      <c r="D74" s="39">
        <v>5059779</v>
      </c>
      <c r="E74" s="39" t="s">
        <v>40</v>
      </c>
      <c r="F74" s="39">
        <v>2022</v>
      </c>
      <c r="G74" s="42">
        <v>-10157</v>
      </c>
      <c r="H74" s="42"/>
      <c r="I74" s="42">
        <v>10157</v>
      </c>
      <c r="J74" s="42"/>
      <c r="K74" s="42"/>
      <c r="L74" s="42">
        <f>SUM(G74:K74)</f>
        <v>0</v>
      </c>
      <c r="M74" s="39" t="s">
        <v>3</v>
      </c>
      <c r="N74" s="39" t="s">
        <v>3</v>
      </c>
      <c r="O74" s="39" t="s">
        <v>3</v>
      </c>
      <c r="P74" s="1"/>
      <c r="Q74" s="1"/>
    </row>
    <row r="75" spans="1:17" x14ac:dyDescent="0.25">
      <c r="A75" s="1"/>
      <c r="B75" s="39" t="s">
        <v>39</v>
      </c>
      <c r="C75" s="41" t="s">
        <v>38</v>
      </c>
      <c r="D75" s="39">
        <v>5071625</v>
      </c>
      <c r="E75" s="39" t="s">
        <v>37</v>
      </c>
      <c r="F75" s="39">
        <v>2022</v>
      </c>
      <c r="G75" s="42">
        <v>-24000</v>
      </c>
      <c r="H75" s="42"/>
      <c r="I75" s="42">
        <v>24000</v>
      </c>
      <c r="J75" s="42"/>
      <c r="K75" s="42"/>
      <c r="L75" s="42">
        <f>SUM(G75:K75)</f>
        <v>0</v>
      </c>
      <c r="M75" s="39" t="s">
        <v>3</v>
      </c>
      <c r="N75" s="39" t="s">
        <v>3</v>
      </c>
      <c r="O75" s="39" t="s">
        <v>3</v>
      </c>
      <c r="P75" s="1"/>
      <c r="Q75" s="1"/>
    </row>
    <row r="76" spans="1:17" x14ac:dyDescent="0.25">
      <c r="A76" s="1"/>
      <c r="B76" s="39"/>
      <c r="C76" s="41"/>
      <c r="D76" s="39"/>
      <c r="E76" s="39"/>
      <c r="F76" s="39"/>
      <c r="G76" s="40">
        <f>SUM(G72:G75)</f>
        <v>4031.4979999999996</v>
      </c>
      <c r="H76" s="40">
        <f>SUM(H72:H75)</f>
        <v>0</v>
      </c>
      <c r="I76" s="40">
        <f>SUM(I72:I75)</f>
        <v>62798.372000000003</v>
      </c>
      <c r="J76" s="40"/>
      <c r="K76" s="40">
        <f>SUM(K72:K75)</f>
        <v>-66829.87</v>
      </c>
      <c r="L76" s="40">
        <f>SUM(G76:K76)</f>
        <v>0</v>
      </c>
      <c r="M76" s="39" t="s">
        <v>3</v>
      </c>
      <c r="N76" s="39" t="s">
        <v>3</v>
      </c>
      <c r="O76" s="39" t="s">
        <v>3</v>
      </c>
      <c r="P76" s="1"/>
      <c r="Q76" s="1"/>
    </row>
    <row r="77" spans="1:17" x14ac:dyDescent="0.25">
      <c r="A77" s="1"/>
      <c r="B77" s="38" t="s">
        <v>47</v>
      </c>
      <c r="C77" s="34"/>
      <c r="D77" s="1"/>
      <c r="E77" s="1"/>
      <c r="F77" s="1"/>
      <c r="G77" s="37"/>
      <c r="H77" s="37"/>
      <c r="I77" s="37"/>
      <c r="J77" s="37"/>
      <c r="K77" s="37"/>
      <c r="L77" s="37"/>
      <c r="M77" s="1"/>
      <c r="N77" s="1"/>
      <c r="O77" s="1"/>
      <c r="P77" s="1"/>
      <c r="Q77" s="1"/>
    </row>
    <row r="78" spans="1:17" x14ac:dyDescent="0.25">
      <c r="A78" s="1"/>
      <c r="B78" s="32" t="s">
        <v>45</v>
      </c>
      <c r="C78" s="34" t="s">
        <v>44</v>
      </c>
      <c r="D78" s="32">
        <v>5041652</v>
      </c>
      <c r="E78" s="32" t="s">
        <v>46</v>
      </c>
      <c r="F78" s="32">
        <v>2022</v>
      </c>
      <c r="G78" s="36">
        <v>0</v>
      </c>
      <c r="H78" s="36"/>
      <c r="I78" s="36">
        <v>0</v>
      </c>
      <c r="J78" s="36"/>
      <c r="K78" s="36"/>
      <c r="L78" s="35">
        <f>SUM(G78:K78)</f>
        <v>0</v>
      </c>
      <c r="M78" s="32" t="s">
        <v>3</v>
      </c>
      <c r="N78" s="32" t="s">
        <v>3</v>
      </c>
      <c r="O78" s="32" t="s">
        <v>3</v>
      </c>
      <c r="P78" s="1"/>
      <c r="Q78" s="1"/>
    </row>
    <row r="79" spans="1:17" x14ac:dyDescent="0.25">
      <c r="A79" s="1"/>
      <c r="B79" s="32" t="s">
        <v>45</v>
      </c>
      <c r="C79" s="34" t="s">
        <v>44</v>
      </c>
      <c r="D79" s="32">
        <v>5270151</v>
      </c>
      <c r="E79" s="32" t="s">
        <v>43</v>
      </c>
      <c r="F79" s="32">
        <v>2022</v>
      </c>
      <c r="G79" s="36">
        <v>-28641.13</v>
      </c>
      <c r="H79" s="36"/>
      <c r="I79" s="36">
        <v>28641.13</v>
      </c>
      <c r="J79" s="36"/>
      <c r="K79" s="36"/>
      <c r="L79" s="35">
        <f>SUM(G79:K79)</f>
        <v>0</v>
      </c>
      <c r="M79" s="32" t="s">
        <v>3</v>
      </c>
      <c r="N79" s="32" t="s">
        <v>3</v>
      </c>
      <c r="O79" s="32" t="s">
        <v>3</v>
      </c>
      <c r="P79" s="1"/>
      <c r="Q79" s="1"/>
    </row>
    <row r="80" spans="1:17" x14ac:dyDescent="0.25">
      <c r="A80" s="1"/>
      <c r="B80" s="32" t="s">
        <v>42</v>
      </c>
      <c r="C80" s="34" t="s">
        <v>41</v>
      </c>
      <c r="D80" s="32">
        <v>5059779</v>
      </c>
      <c r="E80" s="32" t="s">
        <v>40</v>
      </c>
      <c r="F80" s="32">
        <v>2022</v>
      </c>
      <c r="G80" s="36">
        <v>-10157</v>
      </c>
      <c r="H80" s="36"/>
      <c r="I80" s="36">
        <v>10157</v>
      </c>
      <c r="J80" s="36"/>
      <c r="K80" s="36"/>
      <c r="L80" s="35">
        <f>SUM(G80:K80)</f>
        <v>0</v>
      </c>
      <c r="M80" s="32" t="s">
        <v>3</v>
      </c>
      <c r="N80" s="32" t="s">
        <v>3</v>
      </c>
      <c r="O80" s="32" t="s">
        <v>3</v>
      </c>
      <c r="P80" s="1"/>
      <c r="Q80" s="1"/>
    </row>
    <row r="81" spans="1:17" x14ac:dyDescent="0.25">
      <c r="A81" s="1"/>
      <c r="B81" s="32" t="s">
        <v>39</v>
      </c>
      <c r="C81" s="34" t="s">
        <v>38</v>
      </c>
      <c r="D81" s="32">
        <v>5071625</v>
      </c>
      <c r="E81" s="32" t="s">
        <v>37</v>
      </c>
      <c r="F81" s="32">
        <v>2022</v>
      </c>
      <c r="G81" s="36">
        <v>-24000</v>
      </c>
      <c r="H81" s="36"/>
      <c r="I81" s="36">
        <v>24000</v>
      </c>
      <c r="J81" s="36"/>
      <c r="K81" s="36"/>
      <c r="L81" s="35">
        <f>SUM(G81:K81)</f>
        <v>0</v>
      </c>
      <c r="M81" s="32" t="s">
        <v>3</v>
      </c>
      <c r="N81" s="32" t="s">
        <v>3</v>
      </c>
      <c r="O81" s="32" t="s">
        <v>3</v>
      </c>
      <c r="P81" s="1"/>
      <c r="Q81" s="1"/>
    </row>
    <row r="82" spans="1:17" x14ac:dyDescent="0.25">
      <c r="A82" s="1"/>
      <c r="B82" s="32"/>
      <c r="C82" s="34"/>
      <c r="D82" s="32"/>
      <c r="E82" s="32"/>
      <c r="F82" s="32"/>
      <c r="G82" s="33">
        <f t="shared" ref="G82:L82" si="6">SUM(G78:G81)</f>
        <v>-62798.130000000005</v>
      </c>
      <c r="H82" s="33">
        <f t="shared" si="6"/>
        <v>0</v>
      </c>
      <c r="I82" s="33">
        <f t="shared" si="6"/>
        <v>62798.130000000005</v>
      </c>
      <c r="J82" s="33">
        <f t="shared" si="6"/>
        <v>0</v>
      </c>
      <c r="K82" s="33">
        <f t="shared" si="6"/>
        <v>0</v>
      </c>
      <c r="L82" s="33">
        <f t="shared" si="6"/>
        <v>0</v>
      </c>
      <c r="M82" s="32" t="s">
        <v>3</v>
      </c>
      <c r="N82" s="32" t="s">
        <v>3</v>
      </c>
      <c r="O82" s="32" t="s">
        <v>3</v>
      </c>
      <c r="P82" s="1"/>
      <c r="Q82" s="1"/>
    </row>
  </sheetData>
  <mergeCells count="3">
    <mergeCell ref="B67:P67"/>
    <mergeCell ref="B68:P68"/>
    <mergeCell ref="B3:C3"/>
  </mergeCells>
  <pageMargins left="0.7" right="0.7" top="0.75" bottom="0.75" header="0.3" footer="0.3"/>
  <pageSetup scale="35" orientation="portrait"/>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C0688-EB0D-4EA0-84A4-91AA6BCC3A34}">
  <dimension ref="A1:R86"/>
  <sheetViews>
    <sheetView view="pageBreakPreview" topLeftCell="A55" zoomScale="60" zoomScaleNormal="75" workbookViewId="0">
      <selection activeCell="F10" sqref="F10"/>
    </sheetView>
  </sheetViews>
  <sheetFormatPr defaultRowHeight="15" x14ac:dyDescent="0.25"/>
  <cols>
    <col min="1" max="1" width="15.5703125" customWidth="1"/>
    <col min="2" max="2" width="20.42578125" customWidth="1"/>
    <col min="3" max="3" width="7.85546875" bestFit="1" customWidth="1"/>
    <col min="4" max="4" width="37.140625" customWidth="1"/>
    <col min="5" max="5" width="13.28515625" customWidth="1"/>
    <col min="6" max="6" width="12.5703125" customWidth="1"/>
    <col min="7" max="7" width="14" bestFit="1" customWidth="1"/>
    <col min="8" max="12" width="20.28515625" customWidth="1"/>
    <col min="13" max="13" width="16.28515625" bestFit="1" customWidth="1"/>
    <col min="14" max="14" width="14.7109375" customWidth="1"/>
    <col min="15" max="16" width="11.7109375" customWidth="1"/>
    <col min="17" max="17" width="10.140625" customWidth="1"/>
  </cols>
  <sheetData>
    <row r="1" spans="1:18" x14ac:dyDescent="0.25">
      <c r="A1" s="25" t="s">
        <v>36</v>
      </c>
      <c r="B1" s="30">
        <f>'RY2027 Change Log'!A8</f>
        <v>2</v>
      </c>
    </row>
    <row r="3" spans="1:18" x14ac:dyDescent="0.25">
      <c r="B3" s="25" t="s">
        <v>167</v>
      </c>
      <c r="C3" s="25"/>
    </row>
    <row r="6" spans="1:18" s="25" customFormat="1" x14ac:dyDescent="0.25">
      <c r="N6"/>
    </row>
    <row r="7" spans="1:18" x14ac:dyDescent="0.25">
      <c r="B7" s="25" t="s">
        <v>166</v>
      </c>
      <c r="C7" s="25"/>
      <c r="G7" s="64" t="s">
        <v>118</v>
      </c>
      <c r="H7" s="30">
        <v>930.2</v>
      </c>
      <c r="I7" s="30">
        <v>928</v>
      </c>
      <c r="J7" s="30">
        <v>923</v>
      </c>
      <c r="K7" s="30">
        <v>921</v>
      </c>
      <c r="L7" s="30">
        <v>909</v>
      </c>
    </row>
    <row r="8" spans="1:18" x14ac:dyDescent="0.25">
      <c r="B8" s="25"/>
      <c r="C8" s="25"/>
      <c r="G8" s="64" t="s">
        <v>117</v>
      </c>
      <c r="H8" s="30" t="s">
        <v>68</v>
      </c>
      <c r="I8" s="30" t="s">
        <v>68</v>
      </c>
      <c r="J8" s="30" t="s">
        <v>68</v>
      </c>
      <c r="K8" s="30" t="s">
        <v>68</v>
      </c>
      <c r="L8" s="30" t="s">
        <v>111</v>
      </c>
    </row>
    <row r="9" spans="1:18" x14ac:dyDescent="0.25">
      <c r="B9" s="25"/>
      <c r="C9" s="25"/>
      <c r="G9" s="64" t="s">
        <v>165</v>
      </c>
      <c r="H9" s="30" t="s">
        <v>163</v>
      </c>
      <c r="I9" s="30" t="s">
        <v>162</v>
      </c>
      <c r="J9" s="30" t="s">
        <v>161</v>
      </c>
      <c r="K9" s="30" t="s">
        <v>160</v>
      </c>
      <c r="L9" s="30" t="s">
        <v>3</v>
      </c>
    </row>
    <row r="10" spans="1:18" x14ac:dyDescent="0.25">
      <c r="B10" s="25"/>
      <c r="C10" s="25"/>
      <c r="G10" s="64" t="s">
        <v>112</v>
      </c>
      <c r="H10" s="30" t="s">
        <v>68</v>
      </c>
      <c r="I10" s="30" t="s">
        <v>68</v>
      </c>
      <c r="J10" s="30" t="s">
        <v>68</v>
      </c>
      <c r="K10" s="30" t="s">
        <v>68</v>
      </c>
      <c r="L10" s="30" t="s">
        <v>111</v>
      </c>
    </row>
    <row r="11" spans="1:18" x14ac:dyDescent="0.25">
      <c r="B11" s="25"/>
      <c r="C11" s="25"/>
      <c r="G11" s="64" t="s">
        <v>164</v>
      </c>
      <c r="H11" s="30" t="s">
        <v>163</v>
      </c>
      <c r="I11" s="30" t="s">
        <v>162</v>
      </c>
      <c r="J11" s="30" t="s">
        <v>161</v>
      </c>
      <c r="K11" s="30" t="s">
        <v>160</v>
      </c>
      <c r="L11" s="30" t="s">
        <v>3</v>
      </c>
    </row>
    <row r="12" spans="1:18" ht="75" x14ac:dyDescent="0.25">
      <c r="A12" s="30" t="s">
        <v>106</v>
      </c>
      <c r="B12" s="29" t="s">
        <v>159</v>
      </c>
      <c r="C12" s="29" t="s">
        <v>104</v>
      </c>
      <c r="D12" s="30" t="s">
        <v>158</v>
      </c>
      <c r="E12" s="30" t="s">
        <v>157</v>
      </c>
      <c r="F12" s="30" t="s">
        <v>102</v>
      </c>
      <c r="G12" s="30" t="s">
        <v>156</v>
      </c>
      <c r="H12" s="29" t="s">
        <v>155</v>
      </c>
      <c r="I12" s="29" t="s">
        <v>154</v>
      </c>
      <c r="J12" s="29" t="s">
        <v>153</v>
      </c>
      <c r="K12" s="29" t="s">
        <v>152</v>
      </c>
      <c r="L12" s="29" t="s">
        <v>151</v>
      </c>
      <c r="M12" s="29" t="s">
        <v>96</v>
      </c>
      <c r="N12" s="29" t="s">
        <v>150</v>
      </c>
      <c r="O12" s="29" t="s">
        <v>95</v>
      </c>
      <c r="P12" s="29" t="s">
        <v>94</v>
      </c>
      <c r="Q12" s="29" t="s">
        <v>9</v>
      </c>
      <c r="R12" s="29"/>
    </row>
    <row r="13" spans="1:18" x14ac:dyDescent="0.25">
      <c r="A13" s="1"/>
      <c r="B13" s="30"/>
      <c r="C13" s="30"/>
      <c r="G13" s="30"/>
      <c r="H13" s="82"/>
      <c r="I13" s="82"/>
      <c r="J13" s="82"/>
      <c r="K13" s="82"/>
      <c r="L13" s="82"/>
      <c r="M13" s="29"/>
      <c r="N13" s="29"/>
      <c r="O13" s="29"/>
      <c r="P13" s="29"/>
      <c r="Q13" s="75"/>
      <c r="R13" s="29"/>
    </row>
    <row r="14" spans="1:18" x14ac:dyDescent="0.25">
      <c r="A14" s="1">
        <v>1</v>
      </c>
      <c r="B14" t="s">
        <v>137</v>
      </c>
      <c r="C14" t="s">
        <v>137</v>
      </c>
      <c r="D14" s="45" t="s">
        <v>145</v>
      </c>
      <c r="E14" s="1" t="s">
        <v>137</v>
      </c>
      <c r="F14" s="1" t="s">
        <v>137</v>
      </c>
      <c r="G14" s="1">
        <v>2020</v>
      </c>
      <c r="H14" s="81">
        <v>-15832176.42</v>
      </c>
      <c r="I14" s="81"/>
      <c r="J14" s="81"/>
      <c r="K14" s="81">
        <f>-H14</f>
        <v>15832176.42</v>
      </c>
      <c r="L14" s="81"/>
      <c r="M14" s="27">
        <f>SUM(H14:L14)</f>
        <v>0</v>
      </c>
      <c r="N14" s="2" t="s">
        <v>144</v>
      </c>
      <c r="O14" s="1" t="s">
        <v>111</v>
      </c>
      <c r="P14" s="1" t="s">
        <v>111</v>
      </c>
      <c r="Q14" s="1" t="s">
        <v>143</v>
      </c>
    </row>
    <row r="15" spans="1:18" x14ac:dyDescent="0.25">
      <c r="A15" s="1">
        <v>2</v>
      </c>
      <c r="B15" t="s">
        <v>137</v>
      </c>
      <c r="C15" t="s">
        <v>137</v>
      </c>
      <c r="D15" s="69" t="s">
        <v>142</v>
      </c>
      <c r="E15" s="1" t="s">
        <v>137</v>
      </c>
      <c r="F15" s="1" t="s">
        <v>137</v>
      </c>
      <c r="G15" s="1">
        <v>2020</v>
      </c>
      <c r="H15" s="80">
        <v>-3662972.76</v>
      </c>
      <c r="I15" s="80">
        <f>-H15</f>
        <v>3662972.76</v>
      </c>
      <c r="J15" s="80"/>
      <c r="K15" s="80"/>
      <c r="L15" s="80"/>
      <c r="M15" s="27">
        <f>SUM(H15:L15)</f>
        <v>0</v>
      </c>
      <c r="N15" s="2" t="s">
        <v>68</v>
      </c>
      <c r="O15" s="1" t="s">
        <v>111</v>
      </c>
      <c r="P15" s="1" t="s">
        <v>111</v>
      </c>
      <c r="Q15" s="1" t="s">
        <v>141</v>
      </c>
    </row>
    <row r="16" spans="1:18" x14ac:dyDescent="0.25">
      <c r="A16" s="1">
        <v>3</v>
      </c>
      <c r="B16" t="s">
        <v>137</v>
      </c>
      <c r="C16" t="s">
        <v>137</v>
      </c>
      <c r="D16" s="69" t="s">
        <v>140</v>
      </c>
      <c r="E16" s="1" t="s">
        <v>137</v>
      </c>
      <c r="F16" s="1" t="s">
        <v>137</v>
      </c>
      <c r="G16" s="1">
        <v>2020</v>
      </c>
      <c r="H16" s="80">
        <v>-82169.52</v>
      </c>
      <c r="I16" s="80"/>
      <c r="J16" s="27">
        <f>-H16</f>
        <v>82169.52</v>
      </c>
      <c r="K16" s="80"/>
      <c r="L16" s="80"/>
      <c r="M16" s="27">
        <f>SUM(H16:L16)</f>
        <v>0</v>
      </c>
      <c r="N16" s="2" t="s">
        <v>68</v>
      </c>
      <c r="O16" s="1" t="s">
        <v>111</v>
      </c>
      <c r="P16" s="1" t="s">
        <v>111</v>
      </c>
      <c r="Q16" s="1" t="s">
        <v>139</v>
      </c>
    </row>
    <row r="17" spans="1:18" x14ac:dyDescent="0.25">
      <c r="A17" s="1">
        <v>4</v>
      </c>
      <c r="B17" t="s">
        <v>137</v>
      </c>
      <c r="C17" t="s">
        <v>137</v>
      </c>
      <c r="D17" s="69" t="s">
        <v>138</v>
      </c>
      <c r="E17" s="1" t="s">
        <v>137</v>
      </c>
      <c r="F17" s="1" t="s">
        <v>137</v>
      </c>
      <c r="G17" s="1">
        <v>2020</v>
      </c>
      <c r="H17" s="79"/>
      <c r="I17" s="78">
        <v>795850.21</v>
      </c>
      <c r="J17" s="78">
        <f>-12114684.17+2151.71</f>
        <v>-12112532.459999999</v>
      </c>
      <c r="K17" s="77"/>
      <c r="L17" s="71">
        <v>11316682.25</v>
      </c>
      <c r="M17" s="63">
        <f>SUM(H17:L17)</f>
        <v>0</v>
      </c>
      <c r="N17" s="1" t="s">
        <v>111</v>
      </c>
      <c r="O17" s="1" t="s">
        <v>68</v>
      </c>
      <c r="P17" s="1" t="s">
        <v>68</v>
      </c>
      <c r="Q17" s="1"/>
    </row>
    <row r="18" spans="1:18" x14ac:dyDescent="0.25">
      <c r="A18" s="1"/>
      <c r="D18" s="69"/>
      <c r="E18" s="4"/>
      <c r="F18" s="1"/>
      <c r="G18" s="30" t="s">
        <v>149</v>
      </c>
      <c r="H18" s="76">
        <f>SUM(H14:H17)</f>
        <v>-19577318.699999999</v>
      </c>
      <c r="I18" s="76">
        <f>SUM(I14:I17)</f>
        <v>4458822.97</v>
      </c>
      <c r="J18" s="76">
        <f>SUM(J14:J17)</f>
        <v>-12030362.939999999</v>
      </c>
      <c r="K18" s="76">
        <f>SUM(K14:K17)</f>
        <v>15832176.42</v>
      </c>
      <c r="L18" s="76">
        <f>SUM(L14:L17)</f>
        <v>11316682.25</v>
      </c>
      <c r="M18" s="27">
        <f>SUM(H18:L18)</f>
        <v>0</v>
      </c>
      <c r="O18" s="1"/>
      <c r="P18" s="1"/>
    </row>
    <row r="19" spans="1:18" x14ac:dyDescent="0.25">
      <c r="A19" s="1"/>
      <c r="B19" s="30"/>
      <c r="C19" s="30"/>
      <c r="D19" s="67"/>
      <c r="E19" s="30"/>
      <c r="F19" s="30"/>
      <c r="G19" s="30"/>
      <c r="H19" s="29"/>
      <c r="I19" s="29"/>
      <c r="J19" s="29"/>
      <c r="K19" s="29"/>
      <c r="L19" s="29"/>
      <c r="M19" s="29"/>
      <c r="N19" s="29"/>
      <c r="O19" s="29"/>
      <c r="P19" s="29"/>
      <c r="Q19" s="75"/>
      <c r="R19" s="29"/>
    </row>
    <row r="20" spans="1:18" x14ac:dyDescent="0.25">
      <c r="A20" s="1">
        <v>1</v>
      </c>
      <c r="B20" t="s">
        <v>137</v>
      </c>
      <c r="C20" t="s">
        <v>137</v>
      </c>
      <c r="D20" s="45" t="s">
        <v>145</v>
      </c>
      <c r="E20" s="1" t="s">
        <v>137</v>
      </c>
      <c r="F20" s="1" t="s">
        <v>137</v>
      </c>
      <c r="G20" s="1">
        <v>2021</v>
      </c>
      <c r="H20" s="27">
        <v>-14527363.83</v>
      </c>
      <c r="I20" s="27"/>
      <c r="J20" s="27"/>
      <c r="K20" s="27">
        <f>-H20</f>
        <v>14527363.83</v>
      </c>
      <c r="L20" s="27"/>
      <c r="M20" s="27">
        <f>SUM(H20:L20)</f>
        <v>0</v>
      </c>
      <c r="N20" s="2" t="s">
        <v>144</v>
      </c>
      <c r="O20" s="1" t="s">
        <v>111</v>
      </c>
      <c r="P20" s="1" t="s">
        <v>111</v>
      </c>
      <c r="Q20" s="1" t="s">
        <v>143</v>
      </c>
    </row>
    <row r="21" spans="1:18" x14ac:dyDescent="0.25">
      <c r="A21" s="1">
        <v>2</v>
      </c>
      <c r="B21" t="s">
        <v>137</v>
      </c>
      <c r="C21" t="s">
        <v>137</v>
      </c>
      <c r="D21" s="69" t="s">
        <v>142</v>
      </c>
      <c r="E21" s="1" t="s">
        <v>137</v>
      </c>
      <c r="F21" s="1" t="s">
        <v>137</v>
      </c>
      <c r="G21" s="1">
        <v>2021</v>
      </c>
      <c r="H21" s="27">
        <v>-3516483.19</v>
      </c>
      <c r="I21" s="27">
        <f>-H21</f>
        <v>3516483.19</v>
      </c>
      <c r="J21" s="27"/>
      <c r="K21" s="27"/>
      <c r="L21" s="27"/>
      <c r="M21" s="27">
        <f>SUM(H21:L21)</f>
        <v>0</v>
      </c>
      <c r="N21" s="2" t="s">
        <v>68</v>
      </c>
      <c r="O21" s="1" t="s">
        <v>111</v>
      </c>
      <c r="P21" s="1" t="s">
        <v>111</v>
      </c>
      <c r="Q21" s="1" t="s">
        <v>141</v>
      </c>
    </row>
    <row r="22" spans="1:18" x14ac:dyDescent="0.25">
      <c r="A22" s="1">
        <v>3</v>
      </c>
      <c r="B22" t="s">
        <v>137</v>
      </c>
      <c r="C22" t="s">
        <v>137</v>
      </c>
      <c r="D22" s="69" t="s">
        <v>140</v>
      </c>
      <c r="E22" s="1" t="s">
        <v>137</v>
      </c>
      <c r="F22" s="1" t="s">
        <v>137</v>
      </c>
      <c r="G22" s="1">
        <v>2021</v>
      </c>
      <c r="H22" s="27">
        <v>-31899.54</v>
      </c>
      <c r="I22" s="27"/>
      <c r="J22" s="27">
        <f>-H22</f>
        <v>31899.54</v>
      </c>
      <c r="K22" s="27"/>
      <c r="L22" s="27"/>
      <c r="M22" s="27">
        <f>SUM(H22:L22)</f>
        <v>0</v>
      </c>
      <c r="N22" s="2" t="s">
        <v>68</v>
      </c>
      <c r="O22" s="1" t="s">
        <v>111</v>
      </c>
      <c r="P22" s="1" t="s">
        <v>111</v>
      </c>
      <c r="Q22" s="1" t="s">
        <v>139</v>
      </c>
    </row>
    <row r="23" spans="1:18" x14ac:dyDescent="0.25">
      <c r="A23" s="1">
        <v>4</v>
      </c>
      <c r="B23" t="s">
        <v>137</v>
      </c>
      <c r="C23" t="s">
        <v>137</v>
      </c>
      <c r="D23" s="69" t="s">
        <v>138</v>
      </c>
      <c r="E23" s="1" t="s">
        <v>137</v>
      </c>
      <c r="F23" s="1" t="s">
        <v>137</v>
      </c>
      <c r="G23" s="1">
        <v>2021</v>
      </c>
      <c r="H23" s="63"/>
      <c r="I23" s="73">
        <v>547558.69999999995</v>
      </c>
      <c r="J23" s="72">
        <f>269189.38-11908957.41</f>
        <v>-11639768.029999999</v>
      </c>
      <c r="K23" s="63"/>
      <c r="L23" s="71">
        <v>11092209.33</v>
      </c>
      <c r="M23" s="63">
        <f>SUM(H23:L23)</f>
        <v>0</v>
      </c>
      <c r="N23" s="1" t="s">
        <v>111</v>
      </c>
      <c r="O23" s="1" t="s">
        <v>68</v>
      </c>
      <c r="P23" s="1" t="s">
        <v>68</v>
      </c>
      <c r="Q23" s="1"/>
    </row>
    <row r="24" spans="1:18" x14ac:dyDescent="0.25">
      <c r="A24" s="1"/>
      <c r="D24" s="69"/>
      <c r="E24" s="4"/>
      <c r="F24" s="1"/>
      <c r="G24" s="30" t="s">
        <v>148</v>
      </c>
      <c r="H24" s="27">
        <f>SUM(H20:H23)</f>
        <v>-18075746.559999999</v>
      </c>
      <c r="I24" s="27">
        <f>SUM(I20:I23)</f>
        <v>4064041.8899999997</v>
      </c>
      <c r="J24" s="27">
        <f>SUM(J20:J23)</f>
        <v>-11607868.49</v>
      </c>
      <c r="K24" s="27">
        <f>SUM(K20:K23)</f>
        <v>14527363.83</v>
      </c>
      <c r="L24" s="27">
        <f>SUM(L20:L23)</f>
        <v>11092209.33</v>
      </c>
      <c r="M24" s="27">
        <f>SUM(H24:L24)</f>
        <v>0</v>
      </c>
      <c r="O24" s="1"/>
      <c r="P24" s="1"/>
    </row>
    <row r="25" spans="1:18" x14ac:dyDescent="0.25">
      <c r="A25" s="1"/>
      <c r="D25" s="69"/>
      <c r="E25" s="4"/>
      <c r="F25" s="1"/>
      <c r="G25" s="30"/>
      <c r="H25" s="27"/>
      <c r="I25" s="27"/>
      <c r="J25" s="27"/>
      <c r="K25" s="27"/>
      <c r="L25" s="27"/>
      <c r="M25" s="27"/>
      <c r="N25" s="1"/>
      <c r="O25" s="1"/>
      <c r="P25" s="1"/>
      <c r="Q25" s="74"/>
    </row>
    <row r="26" spans="1:18" x14ac:dyDescent="0.25">
      <c r="A26" s="1">
        <v>1</v>
      </c>
      <c r="B26" t="s">
        <v>137</v>
      </c>
      <c r="C26" t="s">
        <v>137</v>
      </c>
      <c r="D26" s="45" t="s">
        <v>145</v>
      </c>
      <c r="E26" s="1" t="s">
        <v>137</v>
      </c>
      <c r="F26" s="1" t="s">
        <v>137</v>
      </c>
      <c r="G26" s="1">
        <v>2022</v>
      </c>
      <c r="H26" s="27">
        <v>-14565593.27</v>
      </c>
      <c r="I26" s="27"/>
      <c r="J26" s="27"/>
      <c r="K26" s="27">
        <f>-H26</f>
        <v>14565593.27</v>
      </c>
      <c r="L26" s="27"/>
      <c r="M26" s="46">
        <f>SUM(H26:L26)</f>
        <v>0</v>
      </c>
      <c r="N26" s="2" t="s">
        <v>144</v>
      </c>
      <c r="O26" s="1" t="s">
        <v>111</v>
      </c>
      <c r="P26" s="1" t="s">
        <v>111</v>
      </c>
      <c r="Q26" s="1" t="s">
        <v>143</v>
      </c>
    </row>
    <row r="27" spans="1:18" x14ac:dyDescent="0.25">
      <c r="A27" s="1">
        <v>2</v>
      </c>
      <c r="B27" t="s">
        <v>137</v>
      </c>
      <c r="C27" t="s">
        <v>137</v>
      </c>
      <c r="D27" s="69" t="s">
        <v>142</v>
      </c>
      <c r="E27" s="1" t="s">
        <v>137</v>
      </c>
      <c r="F27" s="1" t="s">
        <v>137</v>
      </c>
      <c r="G27" s="1">
        <v>2022</v>
      </c>
      <c r="H27" s="27">
        <v>-6276661.4400000004</v>
      </c>
      <c r="I27" s="27">
        <f>-H27</f>
        <v>6276661.4400000004</v>
      </c>
      <c r="J27" s="27"/>
      <c r="K27" s="27"/>
      <c r="L27" s="27"/>
      <c r="M27" s="46">
        <f>SUM(H27:L27)</f>
        <v>0</v>
      </c>
      <c r="N27" s="2" t="s">
        <v>68</v>
      </c>
      <c r="O27" s="1" t="s">
        <v>111</v>
      </c>
      <c r="P27" s="1" t="s">
        <v>111</v>
      </c>
      <c r="Q27" s="1" t="s">
        <v>141</v>
      </c>
    </row>
    <row r="28" spans="1:18" x14ac:dyDescent="0.25">
      <c r="A28" s="1">
        <v>3</v>
      </c>
      <c r="B28" t="s">
        <v>137</v>
      </c>
      <c r="C28" t="s">
        <v>137</v>
      </c>
      <c r="D28" s="69" t="s">
        <v>140</v>
      </c>
      <c r="E28" s="1" t="s">
        <v>137</v>
      </c>
      <c r="F28" s="1" t="s">
        <v>137</v>
      </c>
      <c r="G28" s="1">
        <v>2022</v>
      </c>
      <c r="H28" s="27">
        <v>-350983</v>
      </c>
      <c r="I28" s="27"/>
      <c r="J28" s="27">
        <f>-H28</f>
        <v>350983</v>
      </c>
      <c r="K28" s="27"/>
      <c r="L28" s="27"/>
      <c r="M28" s="46">
        <f>SUM(H28:L28)</f>
        <v>0</v>
      </c>
      <c r="N28" s="2" t="s">
        <v>68</v>
      </c>
      <c r="O28" s="1" t="s">
        <v>111</v>
      </c>
      <c r="P28" s="1" t="s">
        <v>111</v>
      </c>
      <c r="Q28" s="1" t="s">
        <v>139</v>
      </c>
    </row>
    <row r="29" spans="1:18" x14ac:dyDescent="0.25">
      <c r="A29" s="1">
        <v>4</v>
      </c>
      <c r="B29" t="s">
        <v>137</v>
      </c>
      <c r="C29" t="s">
        <v>137</v>
      </c>
      <c r="D29" s="69" t="s">
        <v>138</v>
      </c>
      <c r="E29" s="1" t="s">
        <v>137</v>
      </c>
      <c r="F29" s="1" t="s">
        <v>137</v>
      </c>
      <c r="G29" s="1">
        <v>2022</v>
      </c>
      <c r="H29" s="63"/>
      <c r="I29" s="73">
        <v>772392.1</v>
      </c>
      <c r="J29" s="72">
        <f>150776.34-16403567.07</f>
        <v>-16252790.73</v>
      </c>
      <c r="K29" s="63"/>
      <c r="L29" s="71">
        <v>15480398.630000001</v>
      </c>
      <c r="M29" s="70">
        <f>SUM(H29:L29)</f>
        <v>0</v>
      </c>
      <c r="N29" s="1" t="s">
        <v>111</v>
      </c>
      <c r="O29" s="1" t="s">
        <v>68</v>
      </c>
      <c r="P29" s="1" t="s">
        <v>68</v>
      </c>
      <c r="Q29" s="1"/>
    </row>
    <row r="30" spans="1:18" x14ac:dyDescent="0.25">
      <c r="A30" s="1"/>
      <c r="D30" s="69"/>
      <c r="E30" s="4"/>
      <c r="F30" s="1"/>
      <c r="G30" s="30" t="s">
        <v>147</v>
      </c>
      <c r="H30" s="27">
        <f>SUM(H26:H29)</f>
        <v>-21193237.710000001</v>
      </c>
      <c r="I30" s="27">
        <f>SUM(I26:I29)</f>
        <v>7049053.54</v>
      </c>
      <c r="J30" s="27">
        <f>SUM(J26:J29)</f>
        <v>-15901807.73</v>
      </c>
      <c r="K30" s="27">
        <f>SUM(K26:K29)</f>
        <v>14565593.27</v>
      </c>
      <c r="L30" s="27">
        <f>SUM(L26:L29)</f>
        <v>15480398.630000001</v>
      </c>
      <c r="M30" s="27">
        <f>SUM(H30:L30)</f>
        <v>0</v>
      </c>
      <c r="O30" s="1"/>
      <c r="P30" s="1"/>
    </row>
    <row r="31" spans="1:18" x14ac:dyDescent="0.25">
      <c r="A31" s="1"/>
      <c r="D31" s="69"/>
      <c r="E31" s="4"/>
      <c r="F31" s="1"/>
      <c r="G31" s="1"/>
      <c r="H31" s="27"/>
      <c r="I31" s="27"/>
      <c r="J31" s="27"/>
      <c r="K31" s="27"/>
      <c r="L31" s="27"/>
      <c r="M31" s="27"/>
      <c r="O31" s="1"/>
      <c r="P31" s="1"/>
    </row>
    <row r="32" spans="1:18" x14ac:dyDescent="0.25">
      <c r="A32" s="1">
        <v>1</v>
      </c>
      <c r="B32" t="s">
        <v>137</v>
      </c>
      <c r="C32" t="s">
        <v>137</v>
      </c>
      <c r="D32" s="45" t="s">
        <v>145</v>
      </c>
      <c r="E32" s="1" t="s">
        <v>137</v>
      </c>
      <c r="F32" s="1" t="s">
        <v>137</v>
      </c>
      <c r="G32" s="1">
        <v>2023</v>
      </c>
      <c r="H32" s="27">
        <v>-17702037.02</v>
      </c>
      <c r="I32" s="27"/>
      <c r="J32" s="27"/>
      <c r="K32" s="27">
        <f>-H32</f>
        <v>17702037.02</v>
      </c>
      <c r="L32" s="27"/>
      <c r="M32" s="46">
        <f>SUM(H32:L32)</f>
        <v>0</v>
      </c>
      <c r="N32" s="2" t="s">
        <v>144</v>
      </c>
      <c r="O32" s="1" t="s">
        <v>111</v>
      </c>
      <c r="P32" s="1" t="s">
        <v>111</v>
      </c>
      <c r="Q32" s="1" t="s">
        <v>143</v>
      </c>
    </row>
    <row r="33" spans="1:17" x14ac:dyDescent="0.25">
      <c r="A33" s="1">
        <v>2</v>
      </c>
      <c r="B33" t="s">
        <v>137</v>
      </c>
      <c r="C33" t="s">
        <v>137</v>
      </c>
      <c r="D33" s="69" t="s">
        <v>142</v>
      </c>
      <c r="E33" s="1" t="s">
        <v>137</v>
      </c>
      <c r="F33" s="1" t="s">
        <v>137</v>
      </c>
      <c r="G33" s="1">
        <v>2023</v>
      </c>
      <c r="H33" s="27">
        <v>-5851223.1299999999</v>
      </c>
      <c r="I33" s="27">
        <f>-H33</f>
        <v>5851223.1299999999</v>
      </c>
      <c r="J33" s="27"/>
      <c r="K33" s="27"/>
      <c r="L33" s="27"/>
      <c r="M33" s="46">
        <f>SUM(H33:L33)</f>
        <v>0</v>
      </c>
      <c r="N33" s="2" t="s">
        <v>68</v>
      </c>
      <c r="O33" s="1" t="s">
        <v>111</v>
      </c>
      <c r="P33" s="1" t="s">
        <v>111</v>
      </c>
      <c r="Q33" s="1" t="s">
        <v>141</v>
      </c>
    </row>
    <row r="34" spans="1:17" x14ac:dyDescent="0.25">
      <c r="A34" s="1">
        <v>3</v>
      </c>
      <c r="B34" t="s">
        <v>137</v>
      </c>
      <c r="C34" t="s">
        <v>137</v>
      </c>
      <c r="D34" s="69" t="s">
        <v>140</v>
      </c>
      <c r="E34" s="1" t="s">
        <v>137</v>
      </c>
      <c r="F34" s="1" t="s">
        <v>137</v>
      </c>
      <c r="G34" s="1">
        <v>2023</v>
      </c>
      <c r="H34" s="27">
        <v>-297884.17</v>
      </c>
      <c r="I34" s="27"/>
      <c r="J34" s="27">
        <f>-H34</f>
        <v>297884.17</v>
      </c>
      <c r="K34" s="27"/>
      <c r="L34" s="27"/>
      <c r="M34" s="46">
        <f>SUM(H34:L34)</f>
        <v>0</v>
      </c>
      <c r="N34" s="2" t="s">
        <v>68</v>
      </c>
      <c r="O34" s="1" t="s">
        <v>111</v>
      </c>
      <c r="P34" s="1" t="s">
        <v>111</v>
      </c>
      <c r="Q34" s="1" t="s">
        <v>139</v>
      </c>
    </row>
    <row r="35" spans="1:17" x14ac:dyDescent="0.25">
      <c r="A35" s="1">
        <v>4</v>
      </c>
      <c r="B35" t="s">
        <v>137</v>
      </c>
      <c r="C35" t="s">
        <v>137</v>
      </c>
      <c r="D35" s="69" t="s">
        <v>138</v>
      </c>
      <c r="E35" s="1" t="s">
        <v>137</v>
      </c>
      <c r="F35" s="1" t="s">
        <v>137</v>
      </c>
      <c r="G35" s="1">
        <v>2023</v>
      </c>
      <c r="H35" s="71"/>
      <c r="I35" s="73">
        <v>680965.61</v>
      </c>
      <c r="J35" s="72">
        <f>311586.92-13359688.31</f>
        <v>-13048101.390000001</v>
      </c>
      <c r="K35" s="71"/>
      <c r="L35" s="71">
        <f>-(I35+J35)</f>
        <v>12367135.780000001</v>
      </c>
      <c r="M35" s="70">
        <f>SUM(H35:L35)</f>
        <v>0</v>
      </c>
      <c r="N35" s="1" t="s">
        <v>111</v>
      </c>
      <c r="O35" s="1" t="s">
        <v>68</v>
      </c>
      <c r="P35" s="1" t="s">
        <v>68</v>
      </c>
      <c r="Q35" s="1"/>
    </row>
    <row r="36" spans="1:17" x14ac:dyDescent="0.25">
      <c r="A36" s="1"/>
      <c r="D36" s="69"/>
      <c r="E36" s="4"/>
      <c r="F36" s="1"/>
      <c r="G36" s="30" t="s">
        <v>146</v>
      </c>
      <c r="H36" s="27">
        <f>SUM(H32:H35)</f>
        <v>-23851144.32</v>
      </c>
      <c r="I36" s="27">
        <f>SUM(I32:I35)</f>
        <v>6532188.7400000002</v>
      </c>
      <c r="J36" s="27">
        <f>SUM(J32:J35)</f>
        <v>-12750217.220000001</v>
      </c>
      <c r="K36" s="27">
        <f>SUM(K32:K35)</f>
        <v>17702037.02</v>
      </c>
      <c r="L36" s="27">
        <f>SUM(L32:L35)</f>
        <v>12367135.780000001</v>
      </c>
      <c r="M36" s="27">
        <f>SUM(H36:L36)</f>
        <v>0</v>
      </c>
      <c r="O36" s="1"/>
      <c r="P36" s="1"/>
    </row>
    <row r="37" spans="1:17" x14ac:dyDescent="0.25">
      <c r="A37" s="1"/>
      <c r="D37" s="69"/>
      <c r="E37" s="4"/>
      <c r="F37" s="1"/>
      <c r="G37" s="1"/>
      <c r="H37" s="27"/>
      <c r="I37" s="27"/>
      <c r="J37" s="27"/>
      <c r="K37" s="27"/>
      <c r="L37" s="27"/>
      <c r="M37" s="27"/>
      <c r="O37" s="1"/>
      <c r="P37" s="1"/>
    </row>
    <row r="38" spans="1:17" x14ac:dyDescent="0.25">
      <c r="A38" s="1">
        <v>1</v>
      </c>
      <c r="B38" t="s">
        <v>137</v>
      </c>
      <c r="C38" t="s">
        <v>137</v>
      </c>
      <c r="D38" s="45" t="s">
        <v>145</v>
      </c>
      <c r="E38" s="1" t="s">
        <v>137</v>
      </c>
      <c r="F38" s="1" t="s">
        <v>137</v>
      </c>
      <c r="G38" s="1">
        <v>2024</v>
      </c>
      <c r="H38" s="27">
        <v>-13659412.41</v>
      </c>
      <c r="I38" s="27"/>
      <c r="J38" s="27"/>
      <c r="K38" s="27">
        <f>-H38</f>
        <v>13659412.41</v>
      </c>
      <c r="L38" s="27"/>
      <c r="M38" s="46">
        <f>SUM(H38:L38)</f>
        <v>0</v>
      </c>
      <c r="N38" s="2" t="s">
        <v>144</v>
      </c>
      <c r="O38" s="1" t="s">
        <v>111</v>
      </c>
      <c r="P38" s="1" t="s">
        <v>111</v>
      </c>
      <c r="Q38" s="1" t="s">
        <v>143</v>
      </c>
    </row>
    <row r="39" spans="1:17" x14ac:dyDescent="0.25">
      <c r="A39" s="1">
        <v>2</v>
      </c>
      <c r="B39" t="s">
        <v>137</v>
      </c>
      <c r="C39" t="s">
        <v>137</v>
      </c>
      <c r="D39" s="69" t="s">
        <v>142</v>
      </c>
      <c r="E39" s="1" t="s">
        <v>137</v>
      </c>
      <c r="F39" s="1" t="s">
        <v>137</v>
      </c>
      <c r="G39" s="1">
        <v>2024</v>
      </c>
      <c r="H39" s="27">
        <v>-10598231.039999999</v>
      </c>
      <c r="I39" s="27">
        <f>-H39</f>
        <v>10598231.039999999</v>
      </c>
      <c r="J39" s="27"/>
      <c r="K39" s="27"/>
      <c r="L39" s="27"/>
      <c r="M39" s="46">
        <f>SUM(H39:L39)</f>
        <v>0</v>
      </c>
      <c r="N39" s="2" t="s">
        <v>68</v>
      </c>
      <c r="O39" s="1" t="s">
        <v>111</v>
      </c>
      <c r="P39" s="1" t="s">
        <v>111</v>
      </c>
      <c r="Q39" s="1" t="s">
        <v>141</v>
      </c>
    </row>
    <row r="40" spans="1:17" x14ac:dyDescent="0.25">
      <c r="A40" s="1">
        <v>3</v>
      </c>
      <c r="B40" t="s">
        <v>137</v>
      </c>
      <c r="C40" t="s">
        <v>137</v>
      </c>
      <c r="D40" s="69" t="s">
        <v>140</v>
      </c>
      <c r="E40" s="1" t="s">
        <v>137</v>
      </c>
      <c r="F40" s="1" t="s">
        <v>137</v>
      </c>
      <c r="G40" s="1">
        <v>2024</v>
      </c>
      <c r="H40" s="27">
        <v>-196628.07</v>
      </c>
      <c r="I40" s="27"/>
      <c r="J40" s="27">
        <f>-H40</f>
        <v>196628.07</v>
      </c>
      <c r="K40" s="27"/>
      <c r="L40" s="27"/>
      <c r="M40" s="46">
        <f>SUM(H40:L40)</f>
        <v>0</v>
      </c>
      <c r="N40" s="2" t="s">
        <v>68</v>
      </c>
      <c r="O40" s="1" t="s">
        <v>111</v>
      </c>
      <c r="P40" s="1" t="s">
        <v>111</v>
      </c>
      <c r="Q40" s="1" t="s">
        <v>139</v>
      </c>
    </row>
    <row r="41" spans="1:17" x14ac:dyDescent="0.25">
      <c r="A41" s="1">
        <v>4</v>
      </c>
      <c r="B41" t="s">
        <v>137</v>
      </c>
      <c r="C41" t="s">
        <v>137</v>
      </c>
      <c r="D41" s="69" t="s">
        <v>138</v>
      </c>
      <c r="E41" s="1" t="s">
        <v>137</v>
      </c>
      <c r="F41" s="1" t="s">
        <v>137</v>
      </c>
      <c r="G41" s="1">
        <v>2024</v>
      </c>
      <c r="H41" s="63"/>
      <c r="I41" s="73">
        <v>969861.66999999993</v>
      </c>
      <c r="J41" s="72">
        <f>672244.56-12799818.99</f>
        <v>-12127574.43</v>
      </c>
      <c r="K41" s="63"/>
      <c r="L41" s="71">
        <v>11157712.76</v>
      </c>
      <c r="M41" s="70">
        <f>SUM(H41:L41)</f>
        <v>0</v>
      </c>
      <c r="N41" s="1" t="s">
        <v>111</v>
      </c>
      <c r="O41" s="1" t="s">
        <v>68</v>
      </c>
      <c r="P41" s="1" t="s">
        <v>68</v>
      </c>
      <c r="Q41" s="1"/>
    </row>
    <row r="42" spans="1:17" x14ac:dyDescent="0.25">
      <c r="A42" s="1"/>
      <c r="D42" s="69"/>
      <c r="E42" s="4"/>
      <c r="F42" s="1"/>
      <c r="G42" s="30" t="s">
        <v>136</v>
      </c>
      <c r="H42" s="27">
        <f>SUM(H38:H41)</f>
        <v>-24454271.52</v>
      </c>
      <c r="I42" s="27">
        <f>SUM(I38:I41)</f>
        <v>11568092.709999999</v>
      </c>
      <c r="J42" s="27">
        <f>SUM(J38:J41)</f>
        <v>-11930946.359999999</v>
      </c>
      <c r="K42" s="27">
        <f>SUM(K38:K41)</f>
        <v>13659412.41</v>
      </c>
      <c r="L42" s="27">
        <f>SUM(L38:L41)</f>
        <v>11157712.76</v>
      </c>
      <c r="M42" s="27">
        <f>SUM(H42:L42)</f>
        <v>0</v>
      </c>
      <c r="O42" s="1"/>
      <c r="P42" s="1"/>
    </row>
    <row r="43" spans="1:17" x14ac:dyDescent="0.25">
      <c r="A43" s="1"/>
      <c r="D43" s="69"/>
      <c r="E43" s="4"/>
      <c r="F43" s="1"/>
      <c r="G43" s="1"/>
      <c r="H43" s="27"/>
      <c r="I43" s="27"/>
      <c r="J43" s="27"/>
      <c r="K43" s="27"/>
      <c r="L43" s="27"/>
      <c r="M43" s="27"/>
      <c r="O43" s="1"/>
      <c r="P43" s="1"/>
    </row>
    <row r="44" spans="1:17" ht="15.75" thickBot="1" x14ac:dyDescent="0.3">
      <c r="A44" s="1"/>
      <c r="D44" s="45"/>
      <c r="F44" s="1"/>
      <c r="G44" s="1"/>
      <c r="H44" s="26">
        <f t="shared" ref="H44:M44" si="0">H30+H24+H18+H36+H42</f>
        <v>-107151718.80999999</v>
      </c>
      <c r="I44" s="26">
        <f t="shared" si="0"/>
        <v>33672199.850000001</v>
      </c>
      <c r="J44" s="26">
        <f t="shared" si="0"/>
        <v>-64221202.739999995</v>
      </c>
      <c r="K44" s="26">
        <f t="shared" si="0"/>
        <v>76286582.950000003</v>
      </c>
      <c r="L44" s="26">
        <f t="shared" si="0"/>
        <v>61414138.75</v>
      </c>
      <c r="M44" s="26">
        <f t="shared" si="0"/>
        <v>0</v>
      </c>
    </row>
    <row r="45" spans="1:17" ht="15.75" thickTop="1" x14ac:dyDescent="0.25">
      <c r="D45" s="67" t="s">
        <v>135</v>
      </c>
      <c r="E45" s="25"/>
    </row>
    <row r="46" spans="1:17" x14ac:dyDescent="0.25">
      <c r="D46" s="45" t="s">
        <v>134</v>
      </c>
      <c r="F46" s="68">
        <v>1</v>
      </c>
      <c r="G46" s="1">
        <v>2020</v>
      </c>
      <c r="H46" s="46">
        <f t="shared" ref="H46:L47" si="1">SUMIF($G$13:$G$44,$G46,H$13:H$44)*$F46</f>
        <v>-19577318.699999999</v>
      </c>
      <c r="I46" s="46">
        <f t="shared" si="1"/>
        <v>4458822.97</v>
      </c>
      <c r="J46" s="46">
        <f t="shared" si="1"/>
        <v>-12030362.939999999</v>
      </c>
      <c r="K46" s="46">
        <f t="shared" si="1"/>
        <v>15832176.42</v>
      </c>
      <c r="L46" s="46">
        <f t="shared" si="1"/>
        <v>11316682.25</v>
      </c>
      <c r="M46" s="46">
        <f>SUM(H46:L46)</f>
        <v>0</v>
      </c>
    </row>
    <row r="47" spans="1:17" x14ac:dyDescent="0.25">
      <c r="D47" s="45" t="s">
        <v>133</v>
      </c>
      <c r="F47" s="68">
        <f>1-F46</f>
        <v>0</v>
      </c>
      <c r="G47" s="1">
        <v>2020</v>
      </c>
      <c r="H47" s="46">
        <f t="shared" si="1"/>
        <v>0</v>
      </c>
      <c r="I47" s="46">
        <f t="shared" si="1"/>
        <v>0</v>
      </c>
      <c r="J47" s="46">
        <f t="shared" si="1"/>
        <v>0</v>
      </c>
      <c r="K47" s="46">
        <f t="shared" si="1"/>
        <v>0</v>
      </c>
      <c r="L47" s="46">
        <f t="shared" si="1"/>
        <v>0</v>
      </c>
      <c r="M47" s="46">
        <f>SUM(H47:L47)</f>
        <v>0</v>
      </c>
    </row>
    <row r="48" spans="1:17" ht="15.75" thickBot="1" x14ac:dyDescent="0.3">
      <c r="D48" s="45" t="s">
        <v>132</v>
      </c>
      <c r="F48" s="68"/>
      <c r="G48" s="1"/>
      <c r="H48" s="47">
        <f t="shared" ref="H48:M48" si="2">SUM(H46:H47)</f>
        <v>-19577318.699999999</v>
      </c>
      <c r="I48" s="47">
        <f t="shared" si="2"/>
        <v>4458822.97</v>
      </c>
      <c r="J48" s="47">
        <f t="shared" si="2"/>
        <v>-12030362.939999999</v>
      </c>
      <c r="K48" s="47">
        <f t="shared" si="2"/>
        <v>15832176.42</v>
      </c>
      <c r="L48" s="47">
        <f t="shared" si="2"/>
        <v>11316682.25</v>
      </c>
      <c r="M48" s="47">
        <f t="shared" si="2"/>
        <v>0</v>
      </c>
    </row>
    <row r="49" spans="4:13" ht="15.75" thickTop="1" x14ac:dyDescent="0.25">
      <c r="D49" s="45" t="s">
        <v>131</v>
      </c>
      <c r="H49" s="51">
        <f t="shared" ref="H49:M49" si="3">H48-H18</f>
        <v>0</v>
      </c>
      <c r="I49" s="51">
        <f t="shared" si="3"/>
        <v>0</v>
      </c>
      <c r="J49" s="51">
        <f t="shared" si="3"/>
        <v>0</v>
      </c>
      <c r="K49" s="51">
        <f t="shared" si="3"/>
        <v>0</v>
      </c>
      <c r="L49" s="51">
        <f t="shared" si="3"/>
        <v>0</v>
      </c>
      <c r="M49" s="51">
        <f t="shared" si="3"/>
        <v>0</v>
      </c>
    </row>
    <row r="50" spans="4:13" x14ac:dyDescent="0.25">
      <c r="D50" s="45"/>
      <c r="H50" s="51"/>
      <c r="I50" s="51"/>
      <c r="J50" s="51"/>
      <c r="K50" s="51"/>
      <c r="L50" s="51"/>
      <c r="M50" s="51"/>
    </row>
    <row r="51" spans="4:13" x14ac:dyDescent="0.25">
      <c r="D51" s="67" t="s">
        <v>135</v>
      </c>
      <c r="E51" s="25"/>
    </row>
    <row r="52" spans="4:13" x14ac:dyDescent="0.25">
      <c r="D52" s="45" t="s">
        <v>134</v>
      </c>
      <c r="F52" s="68">
        <v>1</v>
      </c>
      <c r="G52" s="1">
        <v>2021</v>
      </c>
      <c r="H52" s="46">
        <f t="shared" ref="H52:L53" si="4">SUMIF($G$13:$G$44,$G52,H$13:H$44)*$F52</f>
        <v>-18075746.559999999</v>
      </c>
      <c r="I52" s="46">
        <f t="shared" si="4"/>
        <v>4064041.8899999997</v>
      </c>
      <c r="J52" s="46">
        <f t="shared" si="4"/>
        <v>-11607868.49</v>
      </c>
      <c r="K52" s="46">
        <f t="shared" si="4"/>
        <v>14527363.83</v>
      </c>
      <c r="L52" s="46">
        <f t="shared" si="4"/>
        <v>11092209.33</v>
      </c>
      <c r="M52" s="46">
        <f>SUM(H52:L52)</f>
        <v>0</v>
      </c>
    </row>
    <row r="53" spans="4:13" x14ac:dyDescent="0.25">
      <c r="D53" s="45" t="s">
        <v>133</v>
      </c>
      <c r="F53" s="68">
        <f>1-F52</f>
        <v>0</v>
      </c>
      <c r="G53" s="1">
        <v>2021</v>
      </c>
      <c r="H53" s="46">
        <f t="shared" si="4"/>
        <v>0</v>
      </c>
      <c r="I53" s="46">
        <f t="shared" si="4"/>
        <v>0</v>
      </c>
      <c r="J53" s="46">
        <f t="shared" si="4"/>
        <v>0</v>
      </c>
      <c r="K53" s="46">
        <f t="shared" si="4"/>
        <v>0</v>
      </c>
      <c r="L53" s="46">
        <f t="shared" si="4"/>
        <v>0</v>
      </c>
      <c r="M53" s="46">
        <f>SUM(H53:L53)</f>
        <v>0</v>
      </c>
    </row>
    <row r="54" spans="4:13" ht="15.75" thickBot="1" x14ac:dyDescent="0.3">
      <c r="D54" s="45" t="s">
        <v>132</v>
      </c>
      <c r="F54" s="68"/>
      <c r="G54" s="1"/>
      <c r="H54" s="47">
        <f t="shared" ref="H54:M54" si="5">SUM(H52:H53)</f>
        <v>-18075746.559999999</v>
      </c>
      <c r="I54" s="47">
        <f t="shared" si="5"/>
        <v>4064041.8899999997</v>
      </c>
      <c r="J54" s="47">
        <f t="shared" si="5"/>
        <v>-11607868.49</v>
      </c>
      <c r="K54" s="47">
        <f t="shared" si="5"/>
        <v>14527363.83</v>
      </c>
      <c r="L54" s="47">
        <f t="shared" si="5"/>
        <v>11092209.33</v>
      </c>
      <c r="M54" s="47">
        <f t="shared" si="5"/>
        <v>0</v>
      </c>
    </row>
    <row r="55" spans="4:13" ht="15.75" thickTop="1" x14ac:dyDescent="0.25">
      <c r="D55" s="45" t="s">
        <v>131</v>
      </c>
      <c r="H55" s="51">
        <f t="shared" ref="H55:M55" si="6">H54-H24</f>
        <v>0</v>
      </c>
      <c r="I55" s="51">
        <f t="shared" si="6"/>
        <v>0</v>
      </c>
      <c r="J55" s="51">
        <f t="shared" si="6"/>
        <v>0</v>
      </c>
      <c r="K55" s="51">
        <f t="shared" si="6"/>
        <v>0</v>
      </c>
      <c r="L55" s="51">
        <f t="shared" si="6"/>
        <v>0</v>
      </c>
      <c r="M55" s="51">
        <f t="shared" si="6"/>
        <v>0</v>
      </c>
    </row>
    <row r="56" spans="4:13" x14ac:dyDescent="0.25">
      <c r="D56" s="45"/>
      <c r="H56" s="51"/>
      <c r="I56" s="51"/>
      <c r="J56" s="51"/>
      <c r="K56" s="51"/>
      <c r="L56" s="51"/>
      <c r="M56" s="51"/>
    </row>
    <row r="57" spans="4:13" x14ac:dyDescent="0.25">
      <c r="D57" s="67" t="s">
        <v>135</v>
      </c>
      <c r="E57" s="25"/>
    </row>
    <row r="58" spans="4:13" x14ac:dyDescent="0.25">
      <c r="D58" s="45" t="s">
        <v>134</v>
      </c>
      <c r="F58" s="68">
        <v>1</v>
      </c>
      <c r="G58" s="1">
        <v>2022</v>
      </c>
      <c r="H58" s="46">
        <f t="shared" ref="H58:L59" si="7">SUMIF($G$13:$G$44,$G58,H$13:H$44)*$F58</f>
        <v>-21193237.710000001</v>
      </c>
      <c r="I58" s="46">
        <f t="shared" si="7"/>
        <v>7049053.54</v>
      </c>
      <c r="J58" s="46">
        <f t="shared" si="7"/>
        <v>-15901807.73</v>
      </c>
      <c r="K58" s="46">
        <f t="shared" si="7"/>
        <v>14565593.27</v>
      </c>
      <c r="L58" s="46">
        <f t="shared" si="7"/>
        <v>15480398.630000001</v>
      </c>
      <c r="M58" s="46">
        <f>SUM(H58:L58)</f>
        <v>0</v>
      </c>
    </row>
    <row r="59" spans="4:13" x14ac:dyDescent="0.25">
      <c r="D59" s="45" t="s">
        <v>133</v>
      </c>
      <c r="F59" s="68">
        <f>1-F58</f>
        <v>0</v>
      </c>
      <c r="G59" s="1">
        <v>2022</v>
      </c>
      <c r="H59" s="46">
        <f t="shared" si="7"/>
        <v>0</v>
      </c>
      <c r="I59" s="46">
        <f t="shared" si="7"/>
        <v>0</v>
      </c>
      <c r="J59" s="46">
        <f t="shared" si="7"/>
        <v>0</v>
      </c>
      <c r="K59" s="46">
        <f t="shared" si="7"/>
        <v>0</v>
      </c>
      <c r="L59" s="46">
        <f t="shared" si="7"/>
        <v>0</v>
      </c>
      <c r="M59" s="46">
        <f>SUM(H59:L59)</f>
        <v>0</v>
      </c>
    </row>
    <row r="60" spans="4:13" ht="15.75" thickBot="1" x14ac:dyDescent="0.3">
      <c r="D60" s="45" t="s">
        <v>132</v>
      </c>
      <c r="F60" s="68"/>
      <c r="G60" s="1"/>
      <c r="H60" s="47">
        <f t="shared" ref="H60:M60" si="8">SUM(H58:H59)</f>
        <v>-21193237.710000001</v>
      </c>
      <c r="I60" s="47">
        <f t="shared" si="8"/>
        <v>7049053.54</v>
      </c>
      <c r="J60" s="47">
        <f t="shared" si="8"/>
        <v>-15901807.73</v>
      </c>
      <c r="K60" s="47">
        <f t="shared" si="8"/>
        <v>14565593.27</v>
      </c>
      <c r="L60" s="47">
        <f t="shared" si="8"/>
        <v>15480398.630000001</v>
      </c>
      <c r="M60" s="47">
        <f t="shared" si="8"/>
        <v>0</v>
      </c>
    </row>
    <row r="61" spans="4:13" ht="15.75" thickTop="1" x14ac:dyDescent="0.25">
      <c r="D61" s="45" t="s">
        <v>131</v>
      </c>
      <c r="H61" s="46">
        <f t="shared" ref="H61:M61" si="9">H60-H30</f>
        <v>0</v>
      </c>
      <c r="I61" s="46">
        <f t="shared" si="9"/>
        <v>0</v>
      </c>
      <c r="J61" s="46">
        <f t="shared" si="9"/>
        <v>0</v>
      </c>
      <c r="K61" s="46">
        <f t="shared" si="9"/>
        <v>0</v>
      </c>
      <c r="L61" s="46">
        <f t="shared" si="9"/>
        <v>0</v>
      </c>
      <c r="M61" s="46">
        <f t="shared" si="9"/>
        <v>0</v>
      </c>
    </row>
    <row r="62" spans="4:13" x14ac:dyDescent="0.25">
      <c r="D62" s="45"/>
      <c r="H62" s="46"/>
      <c r="I62" s="46"/>
      <c r="J62" s="46"/>
      <c r="K62" s="46"/>
      <c r="L62" s="46"/>
      <c r="M62" s="46"/>
    </row>
    <row r="63" spans="4:13" x14ac:dyDescent="0.25">
      <c r="D63" s="67" t="s">
        <v>135</v>
      </c>
      <c r="E63" s="25"/>
    </row>
    <row r="64" spans="4:13" x14ac:dyDescent="0.25">
      <c r="D64" s="45" t="s">
        <v>134</v>
      </c>
      <c r="F64" s="68">
        <v>1</v>
      </c>
      <c r="G64" s="1">
        <v>2023</v>
      </c>
      <c r="H64" s="46">
        <f t="shared" ref="H64:L65" si="10">SUMIF($G$13:$G$44,$G64,H$13:H$44)*$F64</f>
        <v>-23851144.32</v>
      </c>
      <c r="I64" s="46">
        <f t="shared" si="10"/>
        <v>6532188.7400000002</v>
      </c>
      <c r="J64" s="46">
        <f t="shared" si="10"/>
        <v>-12750217.220000001</v>
      </c>
      <c r="K64" s="46">
        <f t="shared" si="10"/>
        <v>17702037.02</v>
      </c>
      <c r="L64" s="46">
        <f t="shared" si="10"/>
        <v>12367135.780000001</v>
      </c>
      <c r="M64" s="46">
        <f>SUM(H64:L64)</f>
        <v>0</v>
      </c>
    </row>
    <row r="65" spans="2:17" x14ac:dyDescent="0.25">
      <c r="D65" s="45" t="s">
        <v>133</v>
      </c>
      <c r="F65" s="68">
        <f>1-F64</f>
        <v>0</v>
      </c>
      <c r="G65" s="1">
        <v>2023</v>
      </c>
      <c r="H65" s="46">
        <f t="shared" si="10"/>
        <v>0</v>
      </c>
      <c r="I65" s="46">
        <f t="shared" si="10"/>
        <v>0</v>
      </c>
      <c r="J65" s="46">
        <f t="shared" si="10"/>
        <v>0</v>
      </c>
      <c r="K65" s="46">
        <f t="shared" si="10"/>
        <v>0</v>
      </c>
      <c r="L65" s="46">
        <f t="shared" si="10"/>
        <v>0</v>
      </c>
      <c r="M65" s="46">
        <f>SUM(H65:L65)</f>
        <v>0</v>
      </c>
    </row>
    <row r="66" spans="2:17" ht="15.75" thickBot="1" x14ac:dyDescent="0.3">
      <c r="D66" s="45" t="s">
        <v>132</v>
      </c>
      <c r="F66" s="68"/>
      <c r="G66" s="1"/>
      <c r="H66" s="47">
        <f t="shared" ref="H66:M66" si="11">SUM(H64:H65)</f>
        <v>-23851144.32</v>
      </c>
      <c r="I66" s="47">
        <f t="shared" si="11"/>
        <v>6532188.7400000002</v>
      </c>
      <c r="J66" s="47">
        <f t="shared" si="11"/>
        <v>-12750217.220000001</v>
      </c>
      <c r="K66" s="47">
        <f t="shared" si="11"/>
        <v>17702037.02</v>
      </c>
      <c r="L66" s="47">
        <f t="shared" si="11"/>
        <v>12367135.780000001</v>
      </c>
      <c r="M66" s="47">
        <f t="shared" si="11"/>
        <v>0</v>
      </c>
    </row>
    <row r="67" spans="2:17" ht="15.75" thickTop="1" x14ac:dyDescent="0.25">
      <c r="D67" s="45" t="s">
        <v>131</v>
      </c>
      <c r="H67" s="51">
        <f t="shared" ref="H67:M67" si="12">H66-H36</f>
        <v>0</v>
      </c>
      <c r="I67" s="51">
        <f t="shared" si="12"/>
        <v>0</v>
      </c>
      <c r="J67" s="51">
        <f t="shared" si="12"/>
        <v>0</v>
      </c>
      <c r="K67" s="51">
        <f t="shared" si="12"/>
        <v>0</v>
      </c>
      <c r="L67" s="51">
        <f t="shared" si="12"/>
        <v>0</v>
      </c>
      <c r="M67" s="51">
        <f t="shared" si="12"/>
        <v>0</v>
      </c>
    </row>
    <row r="68" spans="2:17" x14ac:dyDescent="0.25">
      <c r="D68" s="45"/>
      <c r="H68" s="51"/>
      <c r="I68" s="51"/>
      <c r="J68" s="51"/>
      <c r="K68" s="51"/>
      <c r="L68" s="51"/>
      <c r="M68" s="51"/>
    </row>
    <row r="69" spans="2:17" x14ac:dyDescent="0.25">
      <c r="D69" s="67" t="s">
        <v>135</v>
      </c>
      <c r="E69" s="25"/>
    </row>
    <row r="70" spans="2:17" x14ac:dyDescent="0.25">
      <c r="D70" s="45" t="s">
        <v>134</v>
      </c>
      <c r="F70" s="68">
        <v>1</v>
      </c>
      <c r="G70" s="1">
        <v>2024</v>
      </c>
      <c r="H70" s="46">
        <f t="shared" ref="H70:L71" si="13">SUMIF($G$13:$G$44,$G70,H$13:H$44)*$F70</f>
        <v>-24454271.52</v>
      </c>
      <c r="I70" s="46">
        <f t="shared" si="13"/>
        <v>11568092.709999999</v>
      </c>
      <c r="J70" s="46">
        <f t="shared" si="13"/>
        <v>-11930946.359999999</v>
      </c>
      <c r="K70" s="46">
        <f t="shared" si="13"/>
        <v>13659412.41</v>
      </c>
      <c r="L70" s="46">
        <f t="shared" si="13"/>
        <v>11157712.76</v>
      </c>
      <c r="M70" s="46">
        <f>SUM(H70:L70)</f>
        <v>0</v>
      </c>
    </row>
    <row r="71" spans="2:17" x14ac:dyDescent="0.25">
      <c r="D71" s="45" t="s">
        <v>133</v>
      </c>
      <c r="F71" s="68">
        <f>1-F70</f>
        <v>0</v>
      </c>
      <c r="G71" s="1">
        <v>2024</v>
      </c>
      <c r="H71" s="46">
        <f t="shared" si="13"/>
        <v>0</v>
      </c>
      <c r="I71" s="46">
        <f t="shared" si="13"/>
        <v>0</v>
      </c>
      <c r="J71" s="46">
        <f t="shared" si="13"/>
        <v>0</v>
      </c>
      <c r="K71" s="46">
        <f t="shared" si="13"/>
        <v>0</v>
      </c>
      <c r="L71" s="46">
        <f t="shared" si="13"/>
        <v>0</v>
      </c>
      <c r="M71" s="46">
        <f>SUM(H71:L71)</f>
        <v>0</v>
      </c>
    </row>
    <row r="72" spans="2:17" ht="15.75" thickBot="1" x14ac:dyDescent="0.3">
      <c r="D72" s="45" t="s">
        <v>132</v>
      </c>
      <c r="F72" s="68"/>
      <c r="G72" s="1"/>
      <c r="H72" s="47">
        <f t="shared" ref="H72:M72" si="14">SUM(H70:H71)</f>
        <v>-24454271.52</v>
      </c>
      <c r="I72" s="47">
        <f t="shared" si="14"/>
        <v>11568092.709999999</v>
      </c>
      <c r="J72" s="47">
        <f t="shared" si="14"/>
        <v>-11930946.359999999</v>
      </c>
      <c r="K72" s="47">
        <f t="shared" si="14"/>
        <v>13659412.41</v>
      </c>
      <c r="L72" s="47">
        <f t="shared" si="14"/>
        <v>11157712.76</v>
      </c>
      <c r="M72" s="47">
        <f t="shared" si="14"/>
        <v>0</v>
      </c>
    </row>
    <row r="73" spans="2:17" ht="15.75" thickTop="1" x14ac:dyDescent="0.25">
      <c r="D73" s="45" t="s">
        <v>131</v>
      </c>
      <c r="H73" s="51">
        <f t="shared" ref="H73:M73" si="15">H72-H42</f>
        <v>0</v>
      </c>
      <c r="I73" s="51">
        <f t="shared" si="15"/>
        <v>0</v>
      </c>
      <c r="J73" s="51">
        <f t="shared" si="15"/>
        <v>0</v>
      </c>
      <c r="K73" s="51">
        <f t="shared" si="15"/>
        <v>0</v>
      </c>
      <c r="L73" s="51">
        <f t="shared" si="15"/>
        <v>0</v>
      </c>
      <c r="M73" s="51">
        <f t="shared" si="15"/>
        <v>0</v>
      </c>
    </row>
    <row r="74" spans="2:17" x14ac:dyDescent="0.25">
      <c r="D74" s="45"/>
      <c r="H74" s="51"/>
      <c r="I74" s="51"/>
      <c r="J74" s="51"/>
      <c r="K74" s="51"/>
      <c r="L74" s="51"/>
      <c r="M74" s="51"/>
    </row>
    <row r="76" spans="2:17" x14ac:dyDescent="0.25">
      <c r="B76" t="s">
        <v>130</v>
      </c>
    </row>
    <row r="77" spans="2:17" ht="15" customHeight="1" x14ac:dyDescent="0.25">
      <c r="B77" s="45" t="s">
        <v>129</v>
      </c>
      <c r="C77" s="45"/>
      <c r="D77" s="45"/>
      <c r="E77" s="45"/>
      <c r="F77" s="45"/>
      <c r="G77" s="45"/>
      <c r="H77" s="45"/>
      <c r="I77" s="45"/>
      <c r="J77" s="45"/>
      <c r="K77" s="45"/>
      <c r="L77" s="45"/>
      <c r="M77" s="45"/>
      <c r="N77" s="45"/>
      <c r="O77" s="45"/>
      <c r="P77" s="45"/>
      <c r="Q77" s="45"/>
    </row>
    <row r="78" spans="2:17" ht="15" customHeight="1" x14ac:dyDescent="0.25">
      <c r="B78" s="45" t="s">
        <v>128</v>
      </c>
      <c r="C78" s="45"/>
      <c r="D78" s="45"/>
      <c r="E78" s="45"/>
      <c r="F78" s="45"/>
      <c r="G78" s="45"/>
      <c r="H78" s="45"/>
      <c r="I78" s="45"/>
      <c r="J78" s="45"/>
      <c r="K78" s="45"/>
      <c r="L78" s="45"/>
      <c r="M78" s="45"/>
      <c r="N78" s="45"/>
      <c r="O78" s="45"/>
      <c r="P78" s="45"/>
      <c r="Q78" s="45"/>
    </row>
    <row r="79" spans="2:17" x14ac:dyDescent="0.25">
      <c r="B79" s="45" t="s">
        <v>127</v>
      </c>
      <c r="C79" s="45"/>
      <c r="D79" s="45"/>
      <c r="E79" s="45"/>
      <c r="F79" s="45"/>
      <c r="G79" s="45"/>
      <c r="H79" s="45"/>
      <c r="I79" s="45"/>
      <c r="J79" s="45"/>
      <c r="K79" s="45"/>
      <c r="L79" s="45"/>
      <c r="M79" s="45"/>
      <c r="N79" s="45"/>
      <c r="O79" s="45"/>
      <c r="P79" s="45"/>
      <c r="Q79" s="45"/>
    </row>
    <row r="80" spans="2:17" x14ac:dyDescent="0.25">
      <c r="B80" s="45" t="s">
        <v>126</v>
      </c>
      <c r="C80" s="45"/>
      <c r="D80" s="45"/>
      <c r="E80" s="45"/>
      <c r="F80" s="45"/>
      <c r="G80" s="45"/>
      <c r="H80" s="45"/>
      <c r="I80" s="45"/>
      <c r="J80" s="45"/>
      <c r="K80" s="45"/>
      <c r="L80" s="45"/>
      <c r="M80" s="45"/>
      <c r="N80" s="45"/>
      <c r="O80" s="45"/>
      <c r="P80" s="45"/>
      <c r="Q80" s="45"/>
    </row>
    <row r="81" spans="2:17" x14ac:dyDescent="0.25">
      <c r="B81" s="45" t="s">
        <v>125</v>
      </c>
      <c r="C81" s="45"/>
      <c r="D81" s="45"/>
      <c r="E81" s="45"/>
      <c r="F81" s="45"/>
      <c r="G81" s="45"/>
      <c r="H81" s="45"/>
      <c r="I81" s="45"/>
      <c r="J81" s="45"/>
      <c r="K81" s="45"/>
      <c r="L81" s="45"/>
      <c r="M81" s="45"/>
      <c r="N81" s="45"/>
      <c r="O81" s="45"/>
      <c r="P81" s="45"/>
      <c r="Q81" s="45"/>
    </row>
    <row r="82" spans="2:17" x14ac:dyDescent="0.25">
      <c r="B82" s="45" t="s">
        <v>124</v>
      </c>
      <c r="C82" s="45"/>
      <c r="D82" s="45"/>
      <c r="E82" s="45"/>
      <c r="F82" s="45"/>
      <c r="G82" s="45"/>
      <c r="H82" s="45"/>
      <c r="I82" s="45"/>
      <c r="J82" s="45"/>
      <c r="K82" s="45"/>
      <c r="L82" s="45"/>
      <c r="M82" s="45"/>
      <c r="N82" s="45"/>
      <c r="O82" s="45"/>
      <c r="P82" s="45"/>
      <c r="Q82" s="45"/>
    </row>
    <row r="83" spans="2:17" x14ac:dyDescent="0.25">
      <c r="B83" s="45" t="s">
        <v>123</v>
      </c>
      <c r="C83" s="45"/>
      <c r="D83" s="45"/>
      <c r="E83" s="45"/>
      <c r="F83" s="45"/>
      <c r="G83" s="45"/>
      <c r="H83" s="45"/>
      <c r="I83" s="45"/>
      <c r="J83" s="45"/>
      <c r="K83" s="45"/>
      <c r="L83" s="45"/>
      <c r="M83" s="45"/>
      <c r="N83" s="45"/>
      <c r="O83" s="45"/>
      <c r="P83" s="45"/>
      <c r="Q83" s="45"/>
    </row>
    <row r="84" spans="2:17" ht="15" customHeight="1" x14ac:dyDescent="0.25">
      <c r="B84" s="45" t="s">
        <v>122</v>
      </c>
      <c r="C84" s="45"/>
      <c r="D84" s="45"/>
      <c r="E84" s="45"/>
      <c r="F84" s="45"/>
      <c r="G84" s="45"/>
      <c r="H84" s="45"/>
      <c r="I84" s="45"/>
      <c r="J84" s="45"/>
      <c r="K84" s="45"/>
      <c r="L84" s="45"/>
      <c r="M84" s="45"/>
      <c r="N84" s="45"/>
      <c r="O84" s="45"/>
      <c r="P84" s="45"/>
      <c r="Q84" s="45"/>
    </row>
    <row r="85" spans="2:17" x14ac:dyDescent="0.25">
      <c r="B85" s="45" t="s">
        <v>121</v>
      </c>
      <c r="C85" s="45"/>
      <c r="D85" s="45"/>
      <c r="E85" s="45"/>
      <c r="F85" s="45"/>
      <c r="G85" s="45"/>
      <c r="H85" s="45"/>
      <c r="I85" s="45"/>
      <c r="J85" s="45"/>
      <c r="K85" s="45"/>
      <c r="L85" s="45"/>
      <c r="M85" s="45"/>
      <c r="N85" s="45"/>
      <c r="O85" s="45"/>
      <c r="P85" s="45"/>
      <c r="Q85" s="45"/>
    </row>
    <row r="86" spans="2:17" ht="15" customHeight="1" x14ac:dyDescent="0.25">
      <c r="B86" s="45" t="s">
        <v>120</v>
      </c>
      <c r="C86" s="45"/>
      <c r="D86" s="45"/>
      <c r="E86" s="45"/>
      <c r="F86" s="45"/>
      <c r="G86" s="45"/>
      <c r="H86" s="45"/>
      <c r="I86" s="45"/>
      <c r="J86" s="45"/>
      <c r="K86" s="45"/>
      <c r="L86" s="45"/>
      <c r="M86" s="45"/>
      <c r="N86" s="45"/>
      <c r="O86" s="45"/>
      <c r="P86" s="45"/>
      <c r="Q86" s="45"/>
    </row>
  </sheetData>
  <pageMargins left="0.7" right="0.7" top="0.75" bottom="0.75" header="0.3" footer="0.3"/>
  <pageSetup scale="3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E5A16-3EF6-4BAD-BBA7-811B91369BCA}">
  <dimension ref="A1:AG68"/>
  <sheetViews>
    <sheetView view="pageBreakPreview" topLeftCell="A2" zoomScale="60" zoomScaleNormal="78" workbookViewId="0">
      <selection activeCell="F10" sqref="F10"/>
    </sheetView>
  </sheetViews>
  <sheetFormatPr defaultRowHeight="15" x14ac:dyDescent="0.25"/>
  <cols>
    <col min="1" max="1" width="46.85546875" customWidth="1"/>
    <col min="2" max="2" width="11.5703125" customWidth="1"/>
    <col min="3" max="22" width="15.140625" customWidth="1"/>
    <col min="23" max="23" width="13.42578125" bestFit="1" customWidth="1"/>
    <col min="24" max="24" width="2.140625" customWidth="1"/>
    <col min="25" max="25" width="13.140625" bestFit="1" customWidth="1"/>
    <col min="26" max="26" width="12.140625" bestFit="1" customWidth="1"/>
    <col min="27" max="27" width="12.85546875" customWidth="1"/>
    <col min="28" max="28" width="1.85546875" customWidth="1"/>
    <col min="29" max="32" width="13.42578125" customWidth="1"/>
    <col min="33" max="33" width="18.140625" customWidth="1"/>
  </cols>
  <sheetData>
    <row r="1" spans="1:33" x14ac:dyDescent="0.25">
      <c r="A1" s="25" t="s">
        <v>36</v>
      </c>
      <c r="B1" s="30">
        <f>'RY2027 Change Log'!A8</f>
        <v>2</v>
      </c>
    </row>
    <row r="3" spans="1:33" x14ac:dyDescent="0.25">
      <c r="A3" s="25" t="s">
        <v>228</v>
      </c>
    </row>
    <row r="6" spans="1:33" x14ac:dyDescent="0.25">
      <c r="B6" s="64" t="s">
        <v>118</v>
      </c>
      <c r="C6" s="29">
        <v>925</v>
      </c>
      <c r="D6" s="30">
        <v>566</v>
      </c>
      <c r="E6" s="30">
        <v>569</v>
      </c>
      <c r="F6" s="30">
        <v>570</v>
      </c>
      <c r="G6" s="30">
        <v>571</v>
      </c>
      <c r="H6" s="30">
        <v>572</v>
      </c>
      <c r="I6" s="30">
        <v>582</v>
      </c>
      <c r="J6" s="30">
        <v>583</v>
      </c>
      <c r="K6" s="30">
        <v>584</v>
      </c>
      <c r="L6" s="30">
        <v>588</v>
      </c>
      <c r="M6" s="30">
        <v>592</v>
      </c>
      <c r="N6" s="30">
        <v>593</v>
      </c>
      <c r="O6" s="30">
        <v>594</v>
      </c>
      <c r="P6" s="30">
        <v>539</v>
      </c>
      <c r="Q6" s="29" t="s">
        <v>137</v>
      </c>
      <c r="R6" s="29">
        <v>903</v>
      </c>
      <c r="S6" s="30">
        <v>912</v>
      </c>
      <c r="T6" s="30">
        <v>920</v>
      </c>
      <c r="U6" s="30">
        <v>930.2</v>
      </c>
      <c r="V6" s="29">
        <v>426.5</v>
      </c>
    </row>
    <row r="7" spans="1:33" x14ac:dyDescent="0.25">
      <c r="B7" s="64" t="s">
        <v>117</v>
      </c>
      <c r="C7" s="29" t="s">
        <v>68</v>
      </c>
      <c r="D7" s="29" t="s">
        <v>68</v>
      </c>
      <c r="E7" s="29" t="s">
        <v>68</v>
      </c>
      <c r="F7" s="29" t="s">
        <v>68</v>
      </c>
      <c r="G7" s="29" t="s">
        <v>68</v>
      </c>
      <c r="H7" s="29" t="s">
        <v>68</v>
      </c>
      <c r="I7" s="29" t="s">
        <v>111</v>
      </c>
      <c r="J7" s="29" t="s">
        <v>111</v>
      </c>
      <c r="K7" s="29" t="s">
        <v>111</v>
      </c>
      <c r="L7" s="29" t="s">
        <v>111</v>
      </c>
      <c r="M7" s="29" t="s">
        <v>111</v>
      </c>
      <c r="N7" s="29" t="s">
        <v>111</v>
      </c>
      <c r="O7" s="29" t="s">
        <v>111</v>
      </c>
      <c r="P7" s="29" t="s">
        <v>111</v>
      </c>
      <c r="Q7" s="29" t="s">
        <v>111</v>
      </c>
      <c r="R7" s="29" t="s">
        <v>111</v>
      </c>
      <c r="S7" s="29" t="s">
        <v>111</v>
      </c>
      <c r="T7" s="29" t="s">
        <v>68</v>
      </c>
      <c r="U7" s="29" t="s">
        <v>68</v>
      </c>
      <c r="V7" s="29" t="s">
        <v>111</v>
      </c>
    </row>
    <row r="8" spans="1:33" ht="47.25" customHeight="1" x14ac:dyDescent="0.25">
      <c r="B8" s="64" t="s">
        <v>116</v>
      </c>
      <c r="C8" s="29" t="s">
        <v>223</v>
      </c>
      <c r="D8" s="29" t="s">
        <v>218</v>
      </c>
      <c r="E8" s="29" t="s">
        <v>227</v>
      </c>
      <c r="F8" s="29" t="s">
        <v>226</v>
      </c>
      <c r="G8" s="29" t="s">
        <v>225</v>
      </c>
      <c r="H8" s="29" t="s">
        <v>224</v>
      </c>
      <c r="I8" s="29" t="s">
        <v>3</v>
      </c>
      <c r="J8" s="29" t="s">
        <v>3</v>
      </c>
      <c r="K8" s="29" t="s">
        <v>3</v>
      </c>
      <c r="L8" s="29" t="s">
        <v>3</v>
      </c>
      <c r="M8" s="29" t="s">
        <v>3</v>
      </c>
      <c r="N8" s="29" t="s">
        <v>3</v>
      </c>
      <c r="O8" s="29" t="s">
        <v>3</v>
      </c>
      <c r="P8" s="29" t="s">
        <v>3</v>
      </c>
      <c r="Q8" s="29" t="s">
        <v>3</v>
      </c>
      <c r="R8" s="29" t="s">
        <v>3</v>
      </c>
      <c r="S8" s="29" t="s">
        <v>3</v>
      </c>
      <c r="T8" s="29" t="s">
        <v>215</v>
      </c>
      <c r="U8" s="29" t="s">
        <v>214</v>
      </c>
      <c r="V8" s="29" t="s">
        <v>3</v>
      </c>
    </row>
    <row r="9" spans="1:33" x14ac:dyDescent="0.25">
      <c r="B9" s="64" t="s">
        <v>112</v>
      </c>
      <c r="C9" s="29" t="s">
        <v>68</v>
      </c>
      <c r="D9" s="29" t="s">
        <v>111</v>
      </c>
      <c r="E9" s="29" t="s">
        <v>111</v>
      </c>
      <c r="F9" s="29" t="s">
        <v>111</v>
      </c>
      <c r="G9" s="29" t="s">
        <v>111</v>
      </c>
      <c r="H9" s="29" t="s">
        <v>111</v>
      </c>
      <c r="I9" s="29" t="s">
        <v>68</v>
      </c>
      <c r="J9" s="29" t="s">
        <v>68</v>
      </c>
      <c r="K9" s="29" t="s">
        <v>68</v>
      </c>
      <c r="L9" s="29" t="s">
        <v>68</v>
      </c>
      <c r="M9" s="29" t="s">
        <v>68</v>
      </c>
      <c r="N9" s="29" t="s">
        <v>68</v>
      </c>
      <c r="O9" s="29" t="s">
        <v>68</v>
      </c>
      <c r="P9" s="29" t="s">
        <v>111</v>
      </c>
      <c r="Q9" s="29" t="s">
        <v>111</v>
      </c>
      <c r="R9" s="29" t="s">
        <v>111</v>
      </c>
      <c r="S9" s="29" t="s">
        <v>111</v>
      </c>
      <c r="T9" s="29" t="s">
        <v>68</v>
      </c>
      <c r="U9" s="29" t="s">
        <v>68</v>
      </c>
      <c r="V9" s="29" t="s">
        <v>111</v>
      </c>
    </row>
    <row r="10" spans="1:33" ht="47.25" customHeight="1" x14ac:dyDescent="0.25">
      <c r="B10" s="64" t="s">
        <v>110</v>
      </c>
      <c r="C10" s="29" t="s">
        <v>223</v>
      </c>
      <c r="D10" s="29" t="s">
        <v>3</v>
      </c>
      <c r="E10" s="29" t="s">
        <v>3</v>
      </c>
      <c r="F10" s="29" t="s">
        <v>3</v>
      </c>
      <c r="G10" s="29" t="s">
        <v>3</v>
      </c>
      <c r="H10" s="29" t="s">
        <v>3</v>
      </c>
      <c r="I10" s="29" t="s">
        <v>222</v>
      </c>
      <c r="J10" s="29" t="s">
        <v>221</v>
      </c>
      <c r="K10" s="29" t="s">
        <v>220</v>
      </c>
      <c r="L10" s="29" t="s">
        <v>219</v>
      </c>
      <c r="M10" s="29" t="s">
        <v>218</v>
      </c>
      <c r="N10" s="29" t="s">
        <v>217</v>
      </c>
      <c r="O10" s="29" t="s">
        <v>216</v>
      </c>
      <c r="P10" s="29" t="s">
        <v>3</v>
      </c>
      <c r="Q10" s="29" t="s">
        <v>3</v>
      </c>
      <c r="R10" s="29" t="s">
        <v>3</v>
      </c>
      <c r="S10" s="29" t="s">
        <v>3</v>
      </c>
      <c r="T10" s="29" t="s">
        <v>215</v>
      </c>
      <c r="U10" s="29" t="s">
        <v>214</v>
      </c>
      <c r="V10" s="29" t="s">
        <v>3</v>
      </c>
    </row>
    <row r="11" spans="1:33" x14ac:dyDescent="0.25">
      <c r="B11" s="64"/>
      <c r="C11" s="29" t="s">
        <v>92</v>
      </c>
      <c r="D11" s="29" t="s">
        <v>92</v>
      </c>
      <c r="E11" s="29" t="s">
        <v>92</v>
      </c>
      <c r="F11" s="29" t="s">
        <v>92</v>
      </c>
      <c r="G11" s="29" t="s">
        <v>92</v>
      </c>
      <c r="H11" s="29" t="s">
        <v>92</v>
      </c>
      <c r="I11" s="29" t="s">
        <v>92</v>
      </c>
      <c r="J11" s="29" t="s">
        <v>92</v>
      </c>
      <c r="K11" s="29" t="s">
        <v>92</v>
      </c>
      <c r="L11" s="29" t="s">
        <v>92</v>
      </c>
      <c r="M11" s="29" t="s">
        <v>92</v>
      </c>
      <c r="N11" s="29" t="s">
        <v>92</v>
      </c>
      <c r="O11" s="29" t="s">
        <v>92</v>
      </c>
      <c r="P11" s="29" t="s">
        <v>92</v>
      </c>
      <c r="Q11" s="29" t="s">
        <v>92</v>
      </c>
      <c r="R11" s="29" t="s">
        <v>92</v>
      </c>
      <c r="S11" s="29" t="s">
        <v>92</v>
      </c>
      <c r="T11" s="29" t="s">
        <v>92</v>
      </c>
      <c r="U11" s="29" t="s">
        <v>213</v>
      </c>
      <c r="V11" s="29" t="s">
        <v>92</v>
      </c>
    </row>
    <row r="12" spans="1:33" x14ac:dyDescent="0.25">
      <c r="B12" s="64"/>
      <c r="C12" s="23" t="s">
        <v>212</v>
      </c>
      <c r="D12" s="103" t="s">
        <v>211</v>
      </c>
      <c r="E12" s="102"/>
      <c r="F12" s="102"/>
      <c r="G12" s="102"/>
      <c r="H12" s="102"/>
      <c r="I12" s="102"/>
      <c r="J12" s="102"/>
      <c r="K12" s="102"/>
      <c r="L12" s="102"/>
      <c r="M12" s="102"/>
      <c r="N12" s="102"/>
      <c r="O12" s="102"/>
      <c r="P12" s="102"/>
      <c r="Q12" s="102"/>
      <c r="R12" s="102"/>
      <c r="S12" s="102"/>
      <c r="T12" s="102"/>
      <c r="U12" s="101"/>
      <c r="V12" s="100"/>
    </row>
    <row r="13" spans="1:33" ht="105" x14ac:dyDescent="0.25">
      <c r="A13" s="23" t="s">
        <v>158</v>
      </c>
      <c r="B13" s="23" t="s">
        <v>156</v>
      </c>
      <c r="C13" s="23" t="s">
        <v>194</v>
      </c>
      <c r="D13" s="23" t="s">
        <v>210</v>
      </c>
      <c r="E13" s="23" t="s">
        <v>209</v>
      </c>
      <c r="F13" s="23" t="s">
        <v>204</v>
      </c>
      <c r="G13" s="23" t="s">
        <v>203</v>
      </c>
      <c r="H13" s="23" t="s">
        <v>202</v>
      </c>
      <c r="I13" s="23" t="s">
        <v>208</v>
      </c>
      <c r="J13" s="23" t="s">
        <v>207</v>
      </c>
      <c r="K13" s="23" t="s">
        <v>206</v>
      </c>
      <c r="L13" s="23" t="s">
        <v>205</v>
      </c>
      <c r="M13" s="23" t="s">
        <v>204</v>
      </c>
      <c r="N13" s="23" t="s">
        <v>203</v>
      </c>
      <c r="O13" s="23" t="s">
        <v>202</v>
      </c>
      <c r="P13" s="23" t="s">
        <v>201</v>
      </c>
      <c r="Q13" s="23" t="s">
        <v>200</v>
      </c>
      <c r="R13" s="23" t="s">
        <v>199</v>
      </c>
      <c r="S13" s="23" t="s">
        <v>198</v>
      </c>
      <c r="T13" s="23" t="s">
        <v>197</v>
      </c>
      <c r="U13" s="23" t="s">
        <v>196</v>
      </c>
      <c r="V13" s="23" t="s">
        <v>195</v>
      </c>
      <c r="W13" s="23" t="s">
        <v>96</v>
      </c>
      <c r="X13" s="29"/>
      <c r="Y13" s="23" t="s">
        <v>194</v>
      </c>
      <c r="Z13" s="23" t="s">
        <v>193</v>
      </c>
      <c r="AA13" s="23" t="s">
        <v>56</v>
      </c>
      <c r="AB13" s="29"/>
      <c r="AC13" s="23" t="s">
        <v>192</v>
      </c>
      <c r="AD13" s="23" t="s">
        <v>95</v>
      </c>
      <c r="AE13" s="23" t="s">
        <v>94</v>
      </c>
      <c r="AF13" s="23" t="s">
        <v>9</v>
      </c>
      <c r="AG13" s="23" t="s">
        <v>191</v>
      </c>
    </row>
    <row r="14" spans="1:33" x14ac:dyDescent="0.25">
      <c r="A14" s="89" t="s">
        <v>189</v>
      </c>
      <c r="B14" s="85">
        <v>2020</v>
      </c>
      <c r="C14" s="76">
        <v>-110985</v>
      </c>
      <c r="D14" s="76">
        <v>0</v>
      </c>
      <c r="E14" s="76">
        <v>0</v>
      </c>
      <c r="F14" s="76">
        <v>0</v>
      </c>
      <c r="G14" s="76">
        <v>0</v>
      </c>
      <c r="H14" s="76">
        <v>0</v>
      </c>
      <c r="I14" s="76">
        <v>0</v>
      </c>
      <c r="J14" s="76">
        <v>0</v>
      </c>
      <c r="K14" s="76">
        <v>0</v>
      </c>
      <c r="L14" s="76">
        <v>0</v>
      </c>
      <c r="M14" s="76">
        <v>0</v>
      </c>
      <c r="N14" s="76">
        <v>0</v>
      </c>
      <c r="O14" s="76">
        <v>0</v>
      </c>
      <c r="P14" s="76">
        <v>0</v>
      </c>
      <c r="Q14" s="76">
        <v>0</v>
      </c>
      <c r="R14" s="76">
        <v>0</v>
      </c>
      <c r="S14" s="76">
        <v>0</v>
      </c>
      <c r="T14" s="76">
        <v>0</v>
      </c>
      <c r="U14" s="76">
        <v>0</v>
      </c>
      <c r="V14" s="76">
        <f>-SUM(C14:G14)</f>
        <v>110985</v>
      </c>
      <c r="W14" s="93">
        <f>SUM(C14:V14)</f>
        <v>0</v>
      </c>
      <c r="X14" s="84"/>
      <c r="Y14" s="76">
        <v>110985</v>
      </c>
      <c r="Z14" s="96">
        <v>0</v>
      </c>
      <c r="AA14" s="96">
        <f>SUM(Y14:Z14)</f>
        <v>110985</v>
      </c>
      <c r="AB14" s="84"/>
      <c r="AC14" s="1" t="s">
        <v>68</v>
      </c>
      <c r="AD14" s="1" t="s">
        <v>111</v>
      </c>
      <c r="AE14" s="1" t="s">
        <v>111</v>
      </c>
      <c r="AF14" s="1" t="s">
        <v>143</v>
      </c>
      <c r="AG14" s="95" t="s">
        <v>190</v>
      </c>
    </row>
    <row r="15" spans="1:33" x14ac:dyDescent="0.25">
      <c r="A15" s="89"/>
      <c r="B15" s="85"/>
      <c r="C15" s="76"/>
      <c r="D15" s="76"/>
      <c r="E15" s="76"/>
      <c r="F15" s="76"/>
      <c r="G15" s="76"/>
      <c r="H15" s="76"/>
      <c r="I15" s="76"/>
      <c r="J15" s="76"/>
      <c r="K15" s="76"/>
      <c r="L15" s="76"/>
      <c r="M15" s="76"/>
      <c r="N15" s="76"/>
      <c r="O15" s="76"/>
      <c r="P15" s="76"/>
      <c r="Q15" s="76"/>
      <c r="R15" s="76"/>
      <c r="S15" s="76"/>
      <c r="T15" s="76"/>
      <c r="U15" s="76"/>
      <c r="V15" s="96"/>
      <c r="W15" s="93"/>
      <c r="X15" s="84"/>
      <c r="Y15" s="76"/>
      <c r="Z15" s="96"/>
      <c r="AA15" s="96"/>
      <c r="AB15" s="84"/>
      <c r="AC15" s="1"/>
      <c r="AD15" s="1"/>
      <c r="AE15" s="1"/>
      <c r="AF15" s="1"/>
      <c r="AG15" s="95"/>
    </row>
    <row r="16" spans="1:33" x14ac:dyDescent="0.25">
      <c r="A16" s="89" t="s">
        <v>189</v>
      </c>
      <c r="B16" s="85">
        <v>2021</v>
      </c>
      <c r="C16" s="76">
        <v>-275000</v>
      </c>
      <c r="D16" s="76">
        <v>0</v>
      </c>
      <c r="E16" s="76">
        <v>0</v>
      </c>
      <c r="F16" s="76">
        <v>0</v>
      </c>
      <c r="G16" s="76">
        <v>0</v>
      </c>
      <c r="H16" s="76">
        <v>0</v>
      </c>
      <c r="I16" s="76">
        <v>0</v>
      </c>
      <c r="J16" s="76">
        <v>0</v>
      </c>
      <c r="K16" s="76">
        <v>0</v>
      </c>
      <c r="L16" s="76">
        <v>0</v>
      </c>
      <c r="M16" s="76">
        <v>0</v>
      </c>
      <c r="N16" s="76">
        <v>0</v>
      </c>
      <c r="O16" s="76">
        <v>0</v>
      </c>
      <c r="P16" s="76">
        <v>0</v>
      </c>
      <c r="Q16" s="76">
        <f>-(87500-1753.1)</f>
        <v>-85746.9</v>
      </c>
      <c r="R16" s="76">
        <v>0</v>
      </c>
      <c r="S16" s="76">
        <v>0</v>
      </c>
      <c r="T16" s="76">
        <v>0</v>
      </c>
      <c r="U16" s="76">
        <v>-1753.1</v>
      </c>
      <c r="V16" s="96">
        <f>-SUM(C16:U16)</f>
        <v>362500</v>
      </c>
      <c r="W16" s="93">
        <f>SUM(C16:V16)</f>
        <v>0</v>
      </c>
      <c r="X16" s="84"/>
      <c r="Y16" s="76">
        <v>275000</v>
      </c>
      <c r="Z16" s="96">
        <v>87500</v>
      </c>
      <c r="AA16" s="96">
        <f>SUM(Y16:Z16)</f>
        <v>362500</v>
      </c>
      <c r="AB16" s="84"/>
      <c r="AC16" s="1" t="s">
        <v>68</v>
      </c>
      <c r="AD16" s="1" t="s">
        <v>68</v>
      </c>
      <c r="AE16" s="1" t="s">
        <v>68</v>
      </c>
      <c r="AF16" s="1" t="s">
        <v>143</v>
      </c>
      <c r="AG16" s="95">
        <v>15250</v>
      </c>
    </row>
    <row r="17" spans="1:33" ht="13.5" customHeight="1" x14ac:dyDescent="0.25">
      <c r="A17" s="89" t="s">
        <v>189</v>
      </c>
      <c r="B17" s="85">
        <v>2021</v>
      </c>
      <c r="C17" s="76">
        <v>-87500</v>
      </c>
      <c r="D17" s="76">
        <v>0</v>
      </c>
      <c r="E17" s="76">
        <v>0</v>
      </c>
      <c r="F17" s="76">
        <v>0</v>
      </c>
      <c r="G17" s="76">
        <v>0</v>
      </c>
      <c r="H17" s="76">
        <v>0</v>
      </c>
      <c r="I17" s="76">
        <v>0</v>
      </c>
      <c r="J17" s="76">
        <v>0</v>
      </c>
      <c r="K17" s="76">
        <v>0</v>
      </c>
      <c r="L17" s="76">
        <v>0</v>
      </c>
      <c r="M17" s="76">
        <v>0</v>
      </c>
      <c r="N17" s="76">
        <v>0</v>
      </c>
      <c r="O17" s="76">
        <v>0</v>
      </c>
      <c r="P17" s="76">
        <v>0</v>
      </c>
      <c r="Q17" s="76">
        <v>0</v>
      </c>
      <c r="R17" s="76">
        <v>0</v>
      </c>
      <c r="S17" s="76">
        <v>0</v>
      </c>
      <c r="T17" s="76">
        <v>0</v>
      </c>
      <c r="U17" s="76">
        <v>0</v>
      </c>
      <c r="V17" s="96">
        <f>-SUM(C17:U17)</f>
        <v>87500</v>
      </c>
      <c r="W17" s="93">
        <f>SUM(C17:V17)</f>
        <v>0</v>
      </c>
      <c r="X17" s="84"/>
      <c r="Y17" s="76">
        <v>87500</v>
      </c>
      <c r="Z17" s="96">
        <v>0</v>
      </c>
      <c r="AA17" s="96">
        <f>SUM(Y17:Z17)</f>
        <v>87500</v>
      </c>
      <c r="AB17" s="84"/>
      <c r="AC17" s="1" t="s">
        <v>68</v>
      </c>
      <c r="AD17" s="1" t="s">
        <v>111</v>
      </c>
      <c r="AE17" s="1" t="s">
        <v>111</v>
      </c>
      <c r="AF17" s="1" t="s">
        <v>143</v>
      </c>
      <c r="AG17" s="95" t="s">
        <v>190</v>
      </c>
    </row>
    <row r="18" spans="1:33" ht="13.5" customHeight="1" x14ac:dyDescent="0.25">
      <c r="A18" s="89"/>
      <c r="B18" s="85"/>
      <c r="C18" s="97">
        <f t="shared" ref="C18:W18" si="0">SUM(C16:C17)</f>
        <v>-362500</v>
      </c>
      <c r="D18" s="97">
        <f t="shared" si="0"/>
        <v>0</v>
      </c>
      <c r="E18" s="97">
        <f t="shared" si="0"/>
        <v>0</v>
      </c>
      <c r="F18" s="97">
        <f t="shared" si="0"/>
        <v>0</v>
      </c>
      <c r="G18" s="97">
        <f t="shared" si="0"/>
        <v>0</v>
      </c>
      <c r="H18" s="97">
        <f t="shared" si="0"/>
        <v>0</v>
      </c>
      <c r="I18" s="97">
        <f t="shared" si="0"/>
        <v>0</v>
      </c>
      <c r="J18" s="97">
        <f t="shared" si="0"/>
        <v>0</v>
      </c>
      <c r="K18" s="97">
        <f t="shared" si="0"/>
        <v>0</v>
      </c>
      <c r="L18" s="97">
        <f t="shared" si="0"/>
        <v>0</v>
      </c>
      <c r="M18" s="97">
        <f t="shared" si="0"/>
        <v>0</v>
      </c>
      <c r="N18" s="97">
        <f t="shared" si="0"/>
        <v>0</v>
      </c>
      <c r="O18" s="97">
        <f t="shared" si="0"/>
        <v>0</v>
      </c>
      <c r="P18" s="97">
        <f t="shared" si="0"/>
        <v>0</v>
      </c>
      <c r="Q18" s="97">
        <f t="shared" si="0"/>
        <v>-85746.9</v>
      </c>
      <c r="R18" s="97">
        <f t="shared" si="0"/>
        <v>0</v>
      </c>
      <c r="S18" s="97">
        <f t="shared" si="0"/>
        <v>0</v>
      </c>
      <c r="T18" s="97">
        <f t="shared" si="0"/>
        <v>0</v>
      </c>
      <c r="U18" s="97">
        <f t="shared" si="0"/>
        <v>-1753.1</v>
      </c>
      <c r="V18" s="97">
        <f t="shared" si="0"/>
        <v>450000</v>
      </c>
      <c r="W18" s="97">
        <f t="shared" si="0"/>
        <v>0</v>
      </c>
      <c r="X18" s="84"/>
      <c r="Y18" s="97">
        <f>SUM(Y16:Y17)</f>
        <v>362500</v>
      </c>
      <c r="Z18" s="97">
        <f>SUM(Z16:Z17)</f>
        <v>87500</v>
      </c>
      <c r="AA18" s="97">
        <f>SUM(AA16:AA17)</f>
        <v>450000</v>
      </c>
      <c r="AB18" s="84"/>
      <c r="AC18" s="1"/>
      <c r="AD18" s="1"/>
      <c r="AE18" s="1"/>
      <c r="AF18" s="1"/>
      <c r="AG18" s="95"/>
    </row>
    <row r="19" spans="1:33" ht="13.5" customHeight="1" x14ac:dyDescent="0.25">
      <c r="A19" s="89"/>
      <c r="B19" s="85"/>
      <c r="C19" s="76"/>
      <c r="D19" s="76"/>
      <c r="E19" s="76"/>
      <c r="F19" s="76"/>
      <c r="G19" s="76"/>
      <c r="H19" s="76"/>
      <c r="I19" s="76"/>
      <c r="J19" s="76"/>
      <c r="K19" s="76"/>
      <c r="L19" s="76"/>
      <c r="M19" s="76"/>
      <c r="N19" s="76"/>
      <c r="O19" s="76"/>
      <c r="P19" s="76"/>
      <c r="Q19" s="76"/>
      <c r="R19" s="76"/>
      <c r="S19" s="76"/>
      <c r="T19" s="76"/>
      <c r="U19" s="76"/>
      <c r="V19" s="96"/>
      <c r="W19" s="93"/>
      <c r="X19" s="84"/>
      <c r="Y19" s="76"/>
      <c r="Z19" s="96"/>
      <c r="AA19" s="96"/>
      <c r="AB19" s="84"/>
      <c r="AC19" s="1"/>
      <c r="AD19" s="1"/>
      <c r="AE19" s="1"/>
      <c r="AF19" s="1"/>
      <c r="AG19" s="95"/>
    </row>
    <row r="20" spans="1:33" x14ac:dyDescent="0.25">
      <c r="A20" s="89" t="s">
        <v>189</v>
      </c>
      <c r="B20" s="85">
        <v>2022</v>
      </c>
      <c r="C20" s="76">
        <v>-110632</v>
      </c>
      <c r="D20" s="76">
        <v>0</v>
      </c>
      <c r="E20" s="76">
        <v>0</v>
      </c>
      <c r="F20" s="76">
        <v>0</v>
      </c>
      <c r="G20" s="76">
        <v>0</v>
      </c>
      <c r="H20" s="76">
        <v>0</v>
      </c>
      <c r="I20" s="76">
        <v>0</v>
      </c>
      <c r="J20" s="76">
        <v>0</v>
      </c>
      <c r="K20" s="76">
        <v>0</v>
      </c>
      <c r="L20" s="76">
        <v>0</v>
      </c>
      <c r="M20" s="76">
        <v>0</v>
      </c>
      <c r="N20" s="76">
        <v>0</v>
      </c>
      <c r="O20" s="76">
        <v>0</v>
      </c>
      <c r="P20" s="76">
        <v>0</v>
      </c>
      <c r="Q20" s="76">
        <v>0</v>
      </c>
      <c r="R20" s="76">
        <v>0</v>
      </c>
      <c r="S20" s="76">
        <v>0</v>
      </c>
      <c r="T20" s="76">
        <v>0</v>
      </c>
      <c r="U20" s="76">
        <v>0</v>
      </c>
      <c r="V20" s="96">
        <f>-SUM(C20:U20)</f>
        <v>110632</v>
      </c>
      <c r="W20" s="93">
        <f>SUM(C20:V20)</f>
        <v>0</v>
      </c>
      <c r="X20" s="84"/>
      <c r="Y20" s="76">
        <v>110632</v>
      </c>
      <c r="Z20" s="96">
        <v>0</v>
      </c>
      <c r="AA20" s="96">
        <f>SUM(Y20:Z20)</f>
        <v>110632</v>
      </c>
      <c r="AB20" s="84"/>
      <c r="AC20" s="1" t="s">
        <v>68</v>
      </c>
      <c r="AD20" s="1" t="s">
        <v>111</v>
      </c>
      <c r="AE20" s="1" t="s">
        <v>111</v>
      </c>
      <c r="AF20" s="1" t="s">
        <v>143</v>
      </c>
      <c r="AG20" s="95" t="s">
        <v>190</v>
      </c>
    </row>
    <row r="21" spans="1:33" x14ac:dyDescent="0.25">
      <c r="A21" s="89" t="s">
        <v>189</v>
      </c>
      <c r="B21" s="85">
        <v>2022</v>
      </c>
      <c r="C21" s="76">
        <v>-75875</v>
      </c>
      <c r="D21" s="76">
        <v>0</v>
      </c>
      <c r="E21" s="76">
        <v>0</v>
      </c>
      <c r="F21" s="76">
        <v>0</v>
      </c>
      <c r="G21" s="76">
        <v>0</v>
      </c>
      <c r="H21" s="76">
        <v>0</v>
      </c>
      <c r="I21" s="76">
        <v>0</v>
      </c>
      <c r="J21" s="76">
        <v>0</v>
      </c>
      <c r="K21" s="76">
        <v>0</v>
      </c>
      <c r="L21" s="76">
        <v>0</v>
      </c>
      <c r="M21" s="76">
        <v>0</v>
      </c>
      <c r="N21" s="76">
        <v>0</v>
      </c>
      <c r="O21" s="76">
        <v>0</v>
      </c>
      <c r="P21" s="76">
        <v>0</v>
      </c>
      <c r="Q21" s="76">
        <v>0</v>
      </c>
      <c r="R21" s="76">
        <v>0</v>
      </c>
      <c r="S21" s="76">
        <v>0</v>
      </c>
      <c r="T21" s="76">
        <v>0</v>
      </c>
      <c r="U21" s="76">
        <v>0</v>
      </c>
      <c r="V21" s="96">
        <f>-SUM(C21:U21)</f>
        <v>75875</v>
      </c>
      <c r="W21" s="93">
        <f>SUM(C21:V21)</f>
        <v>0</v>
      </c>
      <c r="X21" s="84"/>
      <c r="Y21" s="76">
        <v>75875</v>
      </c>
      <c r="Z21" s="96">
        <v>0</v>
      </c>
      <c r="AA21" s="96">
        <f>SUM(Y21:Z21)</f>
        <v>75875</v>
      </c>
      <c r="AB21" s="84"/>
      <c r="AC21" s="1" t="s">
        <v>68</v>
      </c>
      <c r="AD21" s="1" t="s">
        <v>68</v>
      </c>
      <c r="AE21" s="1" t="s">
        <v>68</v>
      </c>
      <c r="AF21" s="1" t="s">
        <v>143</v>
      </c>
      <c r="AG21" s="95">
        <v>15935</v>
      </c>
    </row>
    <row r="22" spans="1:33" x14ac:dyDescent="0.25">
      <c r="A22" s="89"/>
      <c r="B22" s="85"/>
      <c r="C22" s="97">
        <f t="shared" ref="C22:W22" si="1">SUM(C20:C21)</f>
        <v>-186507</v>
      </c>
      <c r="D22" s="97">
        <f t="shared" si="1"/>
        <v>0</v>
      </c>
      <c r="E22" s="97">
        <f t="shared" si="1"/>
        <v>0</v>
      </c>
      <c r="F22" s="97">
        <f t="shared" si="1"/>
        <v>0</v>
      </c>
      <c r="G22" s="97">
        <f t="shared" si="1"/>
        <v>0</v>
      </c>
      <c r="H22" s="97">
        <f t="shared" si="1"/>
        <v>0</v>
      </c>
      <c r="I22" s="97">
        <f t="shared" si="1"/>
        <v>0</v>
      </c>
      <c r="J22" s="97">
        <f t="shared" si="1"/>
        <v>0</v>
      </c>
      <c r="K22" s="97">
        <f t="shared" si="1"/>
        <v>0</v>
      </c>
      <c r="L22" s="97">
        <f t="shared" si="1"/>
        <v>0</v>
      </c>
      <c r="M22" s="97">
        <f t="shared" si="1"/>
        <v>0</v>
      </c>
      <c r="N22" s="97">
        <f t="shared" si="1"/>
        <v>0</v>
      </c>
      <c r="O22" s="97">
        <f t="shared" si="1"/>
        <v>0</v>
      </c>
      <c r="P22" s="97">
        <f t="shared" si="1"/>
        <v>0</v>
      </c>
      <c r="Q22" s="97">
        <f t="shared" si="1"/>
        <v>0</v>
      </c>
      <c r="R22" s="97">
        <f t="shared" si="1"/>
        <v>0</v>
      </c>
      <c r="S22" s="97">
        <f t="shared" si="1"/>
        <v>0</v>
      </c>
      <c r="T22" s="97">
        <f t="shared" si="1"/>
        <v>0</v>
      </c>
      <c r="U22" s="97">
        <f t="shared" si="1"/>
        <v>0</v>
      </c>
      <c r="V22" s="97">
        <f t="shared" si="1"/>
        <v>186507</v>
      </c>
      <c r="W22" s="97">
        <f t="shared" si="1"/>
        <v>0</v>
      </c>
      <c r="X22" s="84"/>
      <c r="Y22" s="97">
        <f>SUM(Y20:Y21)</f>
        <v>186507</v>
      </c>
      <c r="Z22" s="97">
        <f>SUM(Z20:Z21)</f>
        <v>0</v>
      </c>
      <c r="AA22" s="97">
        <f>SUM(AA20:AA21)</f>
        <v>186507</v>
      </c>
      <c r="AB22" s="84"/>
      <c r="AC22" s="1"/>
      <c r="AD22" s="1"/>
      <c r="AE22" s="1"/>
      <c r="AF22" s="1"/>
      <c r="AG22" s="95"/>
    </row>
    <row r="23" spans="1:33" x14ac:dyDescent="0.25">
      <c r="A23" s="89"/>
      <c r="B23" s="85"/>
      <c r="C23" s="76"/>
      <c r="D23" s="76"/>
      <c r="E23" s="76"/>
      <c r="F23" s="76"/>
      <c r="G23" s="76"/>
      <c r="H23" s="76"/>
      <c r="I23" s="76"/>
      <c r="J23" s="76"/>
      <c r="K23" s="76"/>
      <c r="L23" s="76"/>
      <c r="M23" s="76"/>
      <c r="N23" s="76"/>
      <c r="O23" s="76"/>
      <c r="P23" s="76"/>
      <c r="Q23" s="76"/>
      <c r="R23" s="76"/>
      <c r="S23" s="76"/>
      <c r="T23" s="76"/>
      <c r="U23" s="76"/>
      <c r="V23" s="96"/>
      <c r="W23" s="93"/>
      <c r="X23" s="84"/>
      <c r="Y23" s="76"/>
      <c r="Z23" s="96"/>
      <c r="AA23" s="96"/>
      <c r="AB23" s="84"/>
      <c r="AC23" s="1"/>
      <c r="AD23" s="1"/>
      <c r="AE23" s="1"/>
      <c r="AF23" s="1"/>
      <c r="AG23" s="95"/>
    </row>
    <row r="24" spans="1:33" x14ac:dyDescent="0.25">
      <c r="A24" s="89" t="s">
        <v>189</v>
      </c>
      <c r="B24" s="85">
        <v>2023</v>
      </c>
      <c r="C24" s="76">
        <v>-15000</v>
      </c>
      <c r="D24" s="76">
        <v>0</v>
      </c>
      <c r="E24" s="76">
        <v>0</v>
      </c>
      <c r="F24" s="76">
        <v>0</v>
      </c>
      <c r="G24" s="76">
        <v>0</v>
      </c>
      <c r="H24" s="76">
        <v>0</v>
      </c>
      <c r="I24" s="76">
        <v>0</v>
      </c>
      <c r="J24" s="76">
        <v>0</v>
      </c>
      <c r="K24" s="76">
        <v>0</v>
      </c>
      <c r="L24" s="76">
        <v>0</v>
      </c>
      <c r="M24" s="76">
        <v>0</v>
      </c>
      <c r="N24" s="76">
        <v>0</v>
      </c>
      <c r="O24" s="76">
        <v>0</v>
      </c>
      <c r="P24" s="76">
        <v>0</v>
      </c>
      <c r="Q24" s="76">
        <v>0</v>
      </c>
      <c r="R24" s="76">
        <v>0</v>
      </c>
      <c r="S24" s="76">
        <v>0</v>
      </c>
      <c r="T24" s="76">
        <v>0</v>
      </c>
      <c r="U24" s="76">
        <v>0</v>
      </c>
      <c r="V24" s="96">
        <f>-SUM(C24:U24)</f>
        <v>15000</v>
      </c>
      <c r="W24" s="93">
        <f>SUM(C24:V24)</f>
        <v>0</v>
      </c>
      <c r="X24" s="84"/>
      <c r="Y24" s="76">
        <v>15000</v>
      </c>
      <c r="Z24" s="96">
        <v>0</v>
      </c>
      <c r="AA24" s="96">
        <f>SUM(Y24:Z24)</f>
        <v>15000</v>
      </c>
      <c r="AB24" s="84"/>
      <c r="AC24" s="1" t="s">
        <v>68</v>
      </c>
      <c r="AD24" s="1" t="s">
        <v>111</v>
      </c>
      <c r="AE24" s="1" t="s">
        <v>111</v>
      </c>
      <c r="AF24" s="1" t="s">
        <v>143</v>
      </c>
      <c r="AG24" s="95" t="s">
        <v>190</v>
      </c>
    </row>
    <row r="25" spans="1:33" x14ac:dyDescent="0.25">
      <c r="A25" s="89" t="s">
        <v>189</v>
      </c>
      <c r="B25" s="85">
        <v>2023</v>
      </c>
      <c r="C25" s="76">
        <v>-109640</v>
      </c>
      <c r="D25" s="76">
        <v>-1011.41</v>
      </c>
      <c r="E25" s="76">
        <v>-19.48</v>
      </c>
      <c r="F25" s="76">
        <v>-5408.02</v>
      </c>
      <c r="G25" s="76">
        <f>-402.11-34.87</f>
        <v>-436.98</v>
      </c>
      <c r="H25" s="76">
        <v>0</v>
      </c>
      <c r="I25" s="76">
        <v>-1152.5899999999999</v>
      </c>
      <c r="J25" s="76">
        <v>-29.8</v>
      </c>
      <c r="K25" s="76">
        <v>-681.21</v>
      </c>
      <c r="L25" s="76">
        <v>-10824.76</v>
      </c>
      <c r="M25" s="76">
        <v>-17798.900000000001</v>
      </c>
      <c r="N25" s="76">
        <v>-188.03</v>
      </c>
      <c r="O25" s="76">
        <v>-502.94</v>
      </c>
      <c r="P25" s="76">
        <v>0</v>
      </c>
      <c r="Q25" s="76">
        <v>0</v>
      </c>
      <c r="R25" s="76">
        <v>-24.58</v>
      </c>
      <c r="S25" s="76">
        <v>0</v>
      </c>
      <c r="T25" s="76">
        <v>-213.91</v>
      </c>
      <c r="U25" s="76">
        <v>-12067.39</v>
      </c>
      <c r="V25" s="96">
        <f>-SUM(C25:U25)</f>
        <v>160000</v>
      </c>
      <c r="W25" s="93">
        <f>SUM(C25:V25)</f>
        <v>0</v>
      </c>
      <c r="X25" s="84"/>
      <c r="Y25" s="76">
        <v>109640</v>
      </c>
      <c r="Z25" s="96">
        <v>50360</v>
      </c>
      <c r="AA25" s="96">
        <f>SUM(Y25:Z25)</f>
        <v>160000</v>
      </c>
      <c r="AB25" s="84"/>
      <c r="AC25" s="1" t="s">
        <v>68</v>
      </c>
      <c r="AD25" s="1" t="s">
        <v>68</v>
      </c>
      <c r="AE25" s="1" t="s">
        <v>68</v>
      </c>
      <c r="AF25" s="1" t="s">
        <v>143</v>
      </c>
      <c r="AG25" s="95">
        <v>14294</v>
      </c>
    </row>
    <row r="26" spans="1:33" x14ac:dyDescent="0.25">
      <c r="A26" s="89" t="s">
        <v>189</v>
      </c>
      <c r="B26" s="85">
        <v>2023</v>
      </c>
      <c r="C26" s="76">
        <v>-15675</v>
      </c>
      <c r="D26" s="76">
        <v>0</v>
      </c>
      <c r="E26" s="76">
        <v>0</v>
      </c>
      <c r="F26" s="76">
        <v>0</v>
      </c>
      <c r="G26" s="76">
        <v>0</v>
      </c>
      <c r="H26" s="76">
        <v>0</v>
      </c>
      <c r="I26" s="76">
        <v>0</v>
      </c>
      <c r="J26" s="76">
        <v>0</v>
      </c>
      <c r="K26" s="76">
        <v>0</v>
      </c>
      <c r="L26" s="76">
        <v>-9100.89</v>
      </c>
      <c r="M26" s="76">
        <v>0</v>
      </c>
      <c r="N26" s="76">
        <v>0</v>
      </c>
      <c r="O26" s="76">
        <v>0</v>
      </c>
      <c r="P26" s="76">
        <v>0</v>
      </c>
      <c r="Q26" s="76">
        <v>-1923.48</v>
      </c>
      <c r="R26" s="76">
        <v>0</v>
      </c>
      <c r="S26" s="76">
        <v>0</v>
      </c>
      <c r="T26" s="76">
        <v>0</v>
      </c>
      <c r="U26" s="76">
        <v>-20800.63</v>
      </c>
      <c r="V26" s="96">
        <f>-SUM(C26:U26)</f>
        <v>47500</v>
      </c>
      <c r="W26" s="93">
        <f>SUM(C26:V26)</f>
        <v>0</v>
      </c>
      <c r="X26" s="84"/>
      <c r="Y26" s="76">
        <v>15675</v>
      </c>
      <c r="Z26" s="96">
        <v>31825</v>
      </c>
      <c r="AA26" s="96">
        <f>SUM(Y26:Z26)</f>
        <v>47500</v>
      </c>
      <c r="AB26" s="84"/>
      <c r="AC26" s="1" t="s">
        <v>68</v>
      </c>
      <c r="AD26" s="1" t="s">
        <v>68</v>
      </c>
      <c r="AE26" s="1" t="s">
        <v>68</v>
      </c>
      <c r="AF26" s="1" t="s">
        <v>143</v>
      </c>
      <c r="AG26" s="95">
        <v>12030</v>
      </c>
    </row>
    <row r="27" spans="1:33" x14ac:dyDescent="0.25">
      <c r="A27" s="89" t="s">
        <v>189</v>
      </c>
      <c r="B27" s="85">
        <v>2023</v>
      </c>
      <c r="C27" s="76">
        <v>-70000</v>
      </c>
      <c r="D27" s="76">
        <v>-660.06522682023001</v>
      </c>
      <c r="E27" s="76">
        <v>-70.9004520034226</v>
      </c>
      <c r="F27" s="76">
        <v>-2648.8925601626702</v>
      </c>
      <c r="G27" s="76">
        <f>-130.671503010722-61.3973489196089</f>
        <v>-192.06885193033091</v>
      </c>
      <c r="H27" s="76">
        <v>-25.351836512259901</v>
      </c>
      <c r="I27" s="76">
        <v>-1401.57115720762</v>
      </c>
      <c r="J27" s="76">
        <v>0</v>
      </c>
      <c r="K27" s="76">
        <v>-93.9693344651958</v>
      </c>
      <c r="L27" s="76">
        <v>-4489.5211948809701</v>
      </c>
      <c r="M27" s="76">
        <v>-5394.9119275297098</v>
      </c>
      <c r="N27" s="76">
        <f>-61.9742244054846-16.26</f>
        <v>-78.234224405484596</v>
      </c>
      <c r="O27" s="76">
        <v>-338.40191068525297</v>
      </c>
      <c r="P27" s="76">
        <v>0</v>
      </c>
      <c r="Q27" s="76">
        <v>0</v>
      </c>
      <c r="R27" s="76">
        <v>0</v>
      </c>
      <c r="S27" s="76">
        <v>0</v>
      </c>
      <c r="T27" s="76">
        <v>-3.0470072206093102</v>
      </c>
      <c r="U27" s="76">
        <v>-4603.0674740264103</v>
      </c>
      <c r="V27" s="96">
        <f>-SUM(C27:U27)</f>
        <v>90000.003157850166</v>
      </c>
      <c r="W27" s="93">
        <f>SUM(C27:V27)</f>
        <v>0</v>
      </c>
      <c r="X27" s="84"/>
      <c r="Y27" s="76">
        <v>70000</v>
      </c>
      <c r="Z27" s="96">
        <v>20000</v>
      </c>
      <c r="AA27" s="96">
        <f>SUM(Y27:Z27)</f>
        <v>90000</v>
      </c>
      <c r="AB27" s="84"/>
      <c r="AC27" s="1" t="s">
        <v>68</v>
      </c>
      <c r="AD27" s="1" t="s">
        <v>68</v>
      </c>
      <c r="AE27" s="1" t="s">
        <v>68</v>
      </c>
      <c r="AF27" s="1" t="s">
        <v>143</v>
      </c>
      <c r="AG27" s="95">
        <v>14294</v>
      </c>
    </row>
    <row r="28" spans="1:33" x14ac:dyDescent="0.25">
      <c r="A28" s="89"/>
      <c r="B28" s="85"/>
      <c r="C28" s="97">
        <f t="shared" ref="C28:W28" si="2">SUM(C24:C27)</f>
        <v>-210315</v>
      </c>
      <c r="D28" s="98">
        <f t="shared" si="2"/>
        <v>-1671.4752268202301</v>
      </c>
      <c r="E28" s="98">
        <f t="shared" si="2"/>
        <v>-90.380452003422604</v>
      </c>
      <c r="F28" s="98">
        <f t="shared" si="2"/>
        <v>-8056.9125601626711</v>
      </c>
      <c r="G28" s="98">
        <f t="shared" si="2"/>
        <v>-629.0488519303309</v>
      </c>
      <c r="H28" s="98">
        <f t="shared" si="2"/>
        <v>-25.351836512259901</v>
      </c>
      <c r="I28" s="99">
        <f t="shared" si="2"/>
        <v>-2554.1611572076199</v>
      </c>
      <c r="J28" s="99">
        <f t="shared" si="2"/>
        <v>-29.8</v>
      </c>
      <c r="K28" s="99">
        <f t="shared" si="2"/>
        <v>-775.17933446519578</v>
      </c>
      <c r="L28" s="99">
        <f t="shared" si="2"/>
        <v>-24415.171194880972</v>
      </c>
      <c r="M28" s="99">
        <f t="shared" si="2"/>
        <v>-23193.81192752971</v>
      </c>
      <c r="N28" s="99">
        <f t="shared" si="2"/>
        <v>-266.26422440548458</v>
      </c>
      <c r="O28" s="99">
        <f t="shared" si="2"/>
        <v>-841.34191068525297</v>
      </c>
      <c r="P28" s="97">
        <f t="shared" si="2"/>
        <v>0</v>
      </c>
      <c r="Q28" s="97">
        <f t="shared" si="2"/>
        <v>-1923.48</v>
      </c>
      <c r="R28" s="97">
        <f t="shared" si="2"/>
        <v>-24.58</v>
      </c>
      <c r="S28" s="97">
        <f t="shared" si="2"/>
        <v>0</v>
      </c>
      <c r="T28" s="98">
        <f t="shared" si="2"/>
        <v>-216.95700722060931</v>
      </c>
      <c r="U28" s="97">
        <f t="shared" si="2"/>
        <v>-37471.087474026412</v>
      </c>
      <c r="V28" s="97">
        <f t="shared" si="2"/>
        <v>312500.00315785018</v>
      </c>
      <c r="W28" s="97">
        <f t="shared" si="2"/>
        <v>0</v>
      </c>
      <c r="X28" s="84"/>
      <c r="Y28" s="97">
        <f>SUM(Y24:Y27)</f>
        <v>210315</v>
      </c>
      <c r="Z28" s="97">
        <f>SUM(Z24:Z27)</f>
        <v>102185</v>
      </c>
      <c r="AA28" s="97">
        <f>SUM(AA24:AA27)</f>
        <v>312500</v>
      </c>
      <c r="AB28" s="84"/>
      <c r="AC28" s="1"/>
      <c r="AD28" s="1"/>
      <c r="AE28" s="1"/>
      <c r="AF28" s="1"/>
      <c r="AG28" s="95"/>
    </row>
    <row r="29" spans="1:33" x14ac:dyDescent="0.25">
      <c r="A29" s="89"/>
      <c r="B29" s="85"/>
      <c r="C29" s="76"/>
      <c r="D29" s="76"/>
      <c r="E29" s="76"/>
      <c r="F29" s="76"/>
      <c r="G29" s="76"/>
      <c r="H29" s="76"/>
      <c r="I29" s="76"/>
      <c r="J29" s="76"/>
      <c r="K29" s="76"/>
      <c r="L29" s="76"/>
      <c r="M29" s="76"/>
      <c r="N29" s="76"/>
      <c r="O29" s="76"/>
      <c r="P29" s="76"/>
      <c r="Q29" s="76"/>
      <c r="R29" s="76"/>
      <c r="S29" s="76"/>
      <c r="T29" s="76"/>
      <c r="U29" s="76"/>
      <c r="V29" s="96"/>
      <c r="W29" s="93"/>
      <c r="X29" s="84"/>
      <c r="Y29" s="76"/>
      <c r="Z29" s="96"/>
      <c r="AA29" s="96"/>
      <c r="AB29" s="84"/>
      <c r="AC29" s="1"/>
      <c r="AD29" s="1"/>
      <c r="AE29" s="1"/>
      <c r="AF29" s="1"/>
      <c r="AG29" s="95"/>
    </row>
    <row r="30" spans="1:33" x14ac:dyDescent="0.25">
      <c r="A30" s="89" t="s">
        <v>189</v>
      </c>
      <c r="B30" s="85">
        <v>2024</v>
      </c>
      <c r="C30" s="76">
        <v>-18756</v>
      </c>
      <c r="D30" s="76">
        <v>-222.49</v>
      </c>
      <c r="E30" s="76">
        <v>0</v>
      </c>
      <c r="F30" s="76">
        <v>0</v>
      </c>
      <c r="G30" s="76">
        <v>0</v>
      </c>
      <c r="H30" s="76">
        <v>0</v>
      </c>
      <c r="I30" s="76">
        <v>0</v>
      </c>
      <c r="J30" s="76">
        <v>0</v>
      </c>
      <c r="K30" s="76">
        <v>0</v>
      </c>
      <c r="L30" s="76">
        <v>-443.82</v>
      </c>
      <c r="M30" s="76">
        <v>0</v>
      </c>
      <c r="N30" s="76">
        <v>-54.13</v>
      </c>
      <c r="O30" s="76">
        <v>0</v>
      </c>
      <c r="P30" s="76">
        <v>-10.28</v>
      </c>
      <c r="Q30" s="76">
        <f>-88.11-214.37</f>
        <v>-302.48</v>
      </c>
      <c r="R30" s="76">
        <v>0</v>
      </c>
      <c r="S30" s="76">
        <v>-6.28</v>
      </c>
      <c r="T30" s="76">
        <v>-204.49</v>
      </c>
      <c r="U30" s="76">
        <v>0</v>
      </c>
      <c r="V30" s="96">
        <f>-SUM(C30:U30)</f>
        <v>19999.97</v>
      </c>
      <c r="W30" s="93">
        <f>SUM(C30:V30)</f>
        <v>0</v>
      </c>
      <c r="X30" s="84"/>
      <c r="Y30" s="76">
        <v>18756</v>
      </c>
      <c r="Z30" s="96">
        <v>1244</v>
      </c>
      <c r="AA30" s="96">
        <f>SUM(Y30:Z30)</f>
        <v>20000</v>
      </c>
      <c r="AB30" s="84"/>
      <c r="AC30" s="1" t="s">
        <v>68</v>
      </c>
      <c r="AD30" s="1" t="s">
        <v>68</v>
      </c>
      <c r="AE30" s="1" t="s">
        <v>68</v>
      </c>
      <c r="AF30" s="1" t="s">
        <v>143</v>
      </c>
      <c r="AG30" s="95">
        <v>11227</v>
      </c>
    </row>
    <row r="31" spans="1:33" x14ac:dyDescent="0.25">
      <c r="A31" s="89" t="s">
        <v>189</v>
      </c>
      <c r="B31" s="85">
        <v>2024</v>
      </c>
      <c r="C31" s="76">
        <v>-12500</v>
      </c>
      <c r="D31" s="76">
        <v>-511.64</v>
      </c>
      <c r="E31" s="76">
        <v>0</v>
      </c>
      <c r="F31" s="76">
        <v>0</v>
      </c>
      <c r="G31" s="76">
        <v>0</v>
      </c>
      <c r="H31" s="76">
        <v>0</v>
      </c>
      <c r="I31" s="76">
        <v>0</v>
      </c>
      <c r="J31" s="76">
        <v>0</v>
      </c>
      <c r="K31" s="76">
        <v>0</v>
      </c>
      <c r="L31" s="76">
        <v>-1924.1</v>
      </c>
      <c r="M31" s="76">
        <v>0</v>
      </c>
      <c r="N31" s="76">
        <v>0</v>
      </c>
      <c r="O31" s="76">
        <v>0</v>
      </c>
      <c r="P31" s="76">
        <v>0</v>
      </c>
      <c r="Q31" s="76">
        <f>-15.31-16.97</f>
        <v>-32.28</v>
      </c>
      <c r="R31" s="76">
        <v>-60</v>
      </c>
      <c r="S31" s="76">
        <v>0</v>
      </c>
      <c r="T31" s="76">
        <v>-2332.84</v>
      </c>
      <c r="U31" s="76">
        <v>-7639.14</v>
      </c>
      <c r="V31" s="96">
        <f>-SUM(C31:U31)</f>
        <v>25000</v>
      </c>
      <c r="W31" s="93">
        <f>SUM(C31:V31)</f>
        <v>0</v>
      </c>
      <c r="X31" s="84"/>
      <c r="Y31" s="76">
        <v>12500</v>
      </c>
      <c r="Z31" s="96">
        <v>12500</v>
      </c>
      <c r="AA31" s="96">
        <f>SUM(Y31:Z31)</f>
        <v>25000</v>
      </c>
      <c r="AB31" s="84"/>
      <c r="AC31" s="1" t="s">
        <v>68</v>
      </c>
      <c r="AD31" s="1" t="s">
        <v>68</v>
      </c>
      <c r="AE31" s="1" t="s">
        <v>68</v>
      </c>
      <c r="AF31" s="1" t="s">
        <v>143</v>
      </c>
      <c r="AG31" s="95">
        <v>15797</v>
      </c>
    </row>
    <row r="32" spans="1:33" x14ac:dyDescent="0.25">
      <c r="A32" s="89" t="s">
        <v>189</v>
      </c>
      <c r="B32" s="85">
        <v>2024</v>
      </c>
      <c r="C32" s="76">
        <v>-95859</v>
      </c>
      <c r="D32" s="76">
        <v>0</v>
      </c>
      <c r="E32" s="76">
        <v>0</v>
      </c>
      <c r="F32" s="76">
        <v>0</v>
      </c>
      <c r="G32" s="76">
        <v>-15.82</v>
      </c>
      <c r="H32" s="76">
        <v>0</v>
      </c>
      <c r="I32" s="76">
        <v>0</v>
      </c>
      <c r="J32" s="76">
        <v>0</v>
      </c>
      <c r="K32" s="76">
        <v>0</v>
      </c>
      <c r="L32" s="76">
        <v>-2725.66</v>
      </c>
      <c r="M32" s="76">
        <v>0</v>
      </c>
      <c r="N32" s="76">
        <f>-686.42-13.57</f>
        <v>-699.99</v>
      </c>
      <c r="O32" s="76">
        <f>-259.4</f>
        <v>-259.39999999999998</v>
      </c>
      <c r="P32" s="76">
        <v>0</v>
      </c>
      <c r="Q32" s="76">
        <v>0</v>
      </c>
      <c r="R32" s="76">
        <v>-29.08</v>
      </c>
      <c r="S32" s="76">
        <v>0</v>
      </c>
      <c r="T32" s="76">
        <v>0</v>
      </c>
      <c r="U32" s="76">
        <v>-5410.71000000001</v>
      </c>
      <c r="V32" s="96">
        <f>-SUM(C32:U32)</f>
        <v>104999.66000000002</v>
      </c>
      <c r="W32" s="93">
        <f>SUM(C32:V32)</f>
        <v>0</v>
      </c>
      <c r="X32" s="84"/>
      <c r="Y32" s="76">
        <v>95859</v>
      </c>
      <c r="Z32" s="96">
        <v>9141</v>
      </c>
      <c r="AA32" s="96">
        <f>SUM(Y32:Z32)</f>
        <v>105000</v>
      </c>
      <c r="AB32" s="84"/>
      <c r="AC32" s="1" t="s">
        <v>68</v>
      </c>
      <c r="AD32" s="1" t="s">
        <v>68</v>
      </c>
      <c r="AE32" s="1" t="s">
        <v>68</v>
      </c>
      <c r="AF32" s="1" t="s">
        <v>143</v>
      </c>
      <c r="AG32" s="95">
        <v>12163</v>
      </c>
    </row>
    <row r="33" spans="1:33" x14ac:dyDescent="0.25">
      <c r="A33" s="89" t="s">
        <v>189</v>
      </c>
      <c r="B33" s="85">
        <v>2024</v>
      </c>
      <c r="C33" s="76">
        <v>-56752</v>
      </c>
      <c r="D33" s="76">
        <v>0</v>
      </c>
      <c r="E33" s="76">
        <v>0</v>
      </c>
      <c r="F33" s="76">
        <v>0</v>
      </c>
      <c r="G33" s="76">
        <v>0</v>
      </c>
      <c r="H33" s="76">
        <v>0</v>
      </c>
      <c r="I33" s="76">
        <v>0</v>
      </c>
      <c r="J33" s="76">
        <v>0</v>
      </c>
      <c r="K33" s="76">
        <v>0</v>
      </c>
      <c r="L33" s="76">
        <v>-7369.4385514638898</v>
      </c>
      <c r="M33" s="76">
        <v>0</v>
      </c>
      <c r="N33" s="76">
        <v>-403.04551607618703</v>
      </c>
      <c r="O33" s="76">
        <v>-5.3166766151350702</v>
      </c>
      <c r="P33" s="76">
        <v>0</v>
      </c>
      <c r="Q33" s="76">
        <v>-0.60301700137029801</v>
      </c>
      <c r="R33" s="76">
        <v>0</v>
      </c>
      <c r="S33" s="76">
        <v>0</v>
      </c>
      <c r="T33" s="76">
        <v>-8.2811266066043192</v>
      </c>
      <c r="U33" s="76">
        <v>-20461.3151122368</v>
      </c>
      <c r="V33" s="96">
        <f>-SUM(C33:U33)</f>
        <v>84999.999999999985</v>
      </c>
      <c r="W33" s="93">
        <f>SUM(C33:V33)</f>
        <v>0</v>
      </c>
      <c r="X33" s="84"/>
      <c r="Y33" s="76">
        <v>56752</v>
      </c>
      <c r="Z33" s="96">
        <v>28248</v>
      </c>
      <c r="AA33" s="96">
        <f>SUM(Y33:Z33)</f>
        <v>85000</v>
      </c>
      <c r="AB33" s="84"/>
      <c r="AC33" s="1" t="s">
        <v>68</v>
      </c>
      <c r="AD33" s="1" t="s">
        <v>68</v>
      </c>
      <c r="AE33" s="1" t="s">
        <v>68</v>
      </c>
      <c r="AF33" s="1" t="s">
        <v>143</v>
      </c>
      <c r="AG33" s="95">
        <v>14331</v>
      </c>
    </row>
    <row r="34" spans="1:33" x14ac:dyDescent="0.25">
      <c r="A34" s="1"/>
      <c r="B34" s="95"/>
      <c r="C34" s="97">
        <f t="shared" ref="C34:W34" si="3">SUM(C30:C33)</f>
        <v>-183867</v>
      </c>
      <c r="D34" s="98">
        <f t="shared" si="3"/>
        <v>-734.13</v>
      </c>
      <c r="E34" s="98">
        <f t="shared" si="3"/>
        <v>0</v>
      </c>
      <c r="F34" s="98">
        <f t="shared" si="3"/>
        <v>0</v>
      </c>
      <c r="G34" s="98">
        <f t="shared" si="3"/>
        <v>-15.82</v>
      </c>
      <c r="H34" s="98">
        <f t="shared" si="3"/>
        <v>0</v>
      </c>
      <c r="I34" s="99">
        <f t="shared" si="3"/>
        <v>0</v>
      </c>
      <c r="J34" s="99">
        <f t="shared" si="3"/>
        <v>0</v>
      </c>
      <c r="K34" s="99">
        <f t="shared" si="3"/>
        <v>0</v>
      </c>
      <c r="L34" s="99">
        <f t="shared" si="3"/>
        <v>-12463.018551463891</v>
      </c>
      <c r="M34" s="99">
        <f t="shared" si="3"/>
        <v>0</v>
      </c>
      <c r="N34" s="99">
        <f t="shared" si="3"/>
        <v>-1157.165516076187</v>
      </c>
      <c r="O34" s="99">
        <f t="shared" si="3"/>
        <v>-264.71667661513504</v>
      </c>
      <c r="P34" s="97">
        <f t="shared" si="3"/>
        <v>-10.28</v>
      </c>
      <c r="Q34" s="97">
        <f t="shared" si="3"/>
        <v>-335.36301700137028</v>
      </c>
      <c r="R34" s="97">
        <f t="shared" si="3"/>
        <v>-89.08</v>
      </c>
      <c r="S34" s="97">
        <f t="shared" si="3"/>
        <v>-6.28</v>
      </c>
      <c r="T34" s="98">
        <f t="shared" si="3"/>
        <v>-2545.6111266066041</v>
      </c>
      <c r="U34" s="97">
        <f t="shared" si="3"/>
        <v>-33511.165112236806</v>
      </c>
      <c r="V34" s="97">
        <f t="shared" si="3"/>
        <v>234999.63</v>
      </c>
      <c r="W34" s="97">
        <f t="shared" si="3"/>
        <v>0</v>
      </c>
      <c r="X34" s="84"/>
      <c r="Y34" s="97">
        <f>SUM(Y30:Y33)</f>
        <v>183867</v>
      </c>
      <c r="Z34" s="97">
        <f>SUM(Z30:Z33)</f>
        <v>51133</v>
      </c>
      <c r="AA34" s="97">
        <f>SUM(AA30:AA33)</f>
        <v>235000</v>
      </c>
      <c r="AB34" s="84"/>
      <c r="AC34" s="46"/>
      <c r="AD34" s="1"/>
      <c r="AE34" s="1"/>
      <c r="AF34" s="1"/>
      <c r="AG34" s="1"/>
    </row>
    <row r="35" spans="1:33" x14ac:dyDescent="0.25">
      <c r="A35" s="1"/>
      <c r="B35" s="95"/>
      <c r="C35" s="76"/>
      <c r="D35" s="76"/>
      <c r="E35" s="76"/>
      <c r="F35" s="76"/>
      <c r="G35" s="76"/>
      <c r="H35" s="76"/>
      <c r="I35" s="76"/>
      <c r="J35" s="76"/>
      <c r="K35" s="76"/>
      <c r="L35" s="76"/>
      <c r="M35" s="76"/>
      <c r="N35" s="76"/>
      <c r="O35" s="76"/>
      <c r="P35" s="76"/>
      <c r="Q35" s="76"/>
      <c r="R35" s="76"/>
      <c r="S35" s="76"/>
      <c r="T35" s="76"/>
      <c r="U35" s="76"/>
      <c r="V35" s="96"/>
      <c r="W35" s="93"/>
      <c r="X35" s="84"/>
      <c r="Y35" s="27"/>
      <c r="Z35" s="95"/>
      <c r="AA35" s="84"/>
      <c r="AB35" s="84"/>
      <c r="AC35" s="46"/>
      <c r="AD35" s="1"/>
      <c r="AE35" s="1"/>
      <c r="AF35" s="1"/>
      <c r="AG35" s="1"/>
    </row>
    <row r="36" spans="1:33" x14ac:dyDescent="0.25">
      <c r="A36" s="1"/>
      <c r="B36" s="95"/>
      <c r="C36" s="76"/>
      <c r="D36" s="76"/>
      <c r="E36" s="76"/>
      <c r="F36" s="76"/>
      <c r="G36" s="76"/>
      <c r="H36" s="76"/>
      <c r="I36" s="76"/>
      <c r="J36" s="76"/>
      <c r="K36" s="76"/>
      <c r="L36" s="76"/>
      <c r="M36" s="76"/>
      <c r="N36" s="76"/>
      <c r="O36" s="76"/>
      <c r="P36" s="76"/>
      <c r="Q36" s="76"/>
      <c r="R36" s="76"/>
      <c r="S36" s="76"/>
      <c r="T36" s="76"/>
      <c r="U36" s="76"/>
      <c r="V36" s="76"/>
      <c r="W36" s="93"/>
      <c r="X36" s="84"/>
      <c r="Y36" s="27"/>
      <c r="Z36" s="95"/>
      <c r="AA36" s="84"/>
      <c r="AB36" s="84"/>
      <c r="AC36" s="46"/>
      <c r="AD36" s="1"/>
      <c r="AE36" s="1"/>
      <c r="AF36" s="1"/>
      <c r="AG36" s="1"/>
    </row>
    <row r="37" spans="1:33" ht="15.75" thickBot="1" x14ac:dyDescent="0.3">
      <c r="B37" s="1"/>
      <c r="C37" s="94">
        <f t="shared" ref="C37:W37" si="4">C14+C18+C22+C28+C34</f>
        <v>-1054174</v>
      </c>
      <c r="D37" s="94">
        <f t="shared" si="4"/>
        <v>-2405.6052268202302</v>
      </c>
      <c r="E37" s="94">
        <f t="shared" si="4"/>
        <v>-90.380452003422604</v>
      </c>
      <c r="F37" s="94">
        <f t="shared" si="4"/>
        <v>-8056.9125601626711</v>
      </c>
      <c r="G37" s="94">
        <f t="shared" si="4"/>
        <v>-644.86885193033095</v>
      </c>
      <c r="H37" s="94">
        <f t="shared" si="4"/>
        <v>-25.351836512259901</v>
      </c>
      <c r="I37" s="94">
        <f t="shared" si="4"/>
        <v>-2554.1611572076199</v>
      </c>
      <c r="J37" s="94">
        <f t="shared" si="4"/>
        <v>-29.8</v>
      </c>
      <c r="K37" s="94">
        <f t="shared" si="4"/>
        <v>-775.17933446519578</v>
      </c>
      <c r="L37" s="94">
        <f t="shared" si="4"/>
        <v>-36878.189746344862</v>
      </c>
      <c r="M37" s="94">
        <f t="shared" si="4"/>
        <v>-23193.81192752971</v>
      </c>
      <c r="N37" s="94">
        <f t="shared" si="4"/>
        <v>-1423.4297404816716</v>
      </c>
      <c r="O37" s="94">
        <f t="shared" si="4"/>
        <v>-1106.0585873003879</v>
      </c>
      <c r="P37" s="94">
        <f t="shared" si="4"/>
        <v>-10.28</v>
      </c>
      <c r="Q37" s="94">
        <f t="shared" si="4"/>
        <v>-88005.743017001354</v>
      </c>
      <c r="R37" s="94">
        <f t="shared" si="4"/>
        <v>-113.66</v>
      </c>
      <c r="S37" s="94">
        <f t="shared" si="4"/>
        <v>-6.28</v>
      </c>
      <c r="T37" s="94">
        <f t="shared" si="4"/>
        <v>-2762.5681338272134</v>
      </c>
      <c r="U37" s="94">
        <f t="shared" si="4"/>
        <v>-72735.352586263209</v>
      </c>
      <c r="V37" s="94">
        <f t="shared" si="4"/>
        <v>1294991.6331578502</v>
      </c>
      <c r="W37" s="94">
        <f t="shared" si="4"/>
        <v>0</v>
      </c>
      <c r="X37" s="46"/>
      <c r="Y37" s="94">
        <f>Y14+Y18+Y22+Y28+Y34</f>
        <v>1054174</v>
      </c>
      <c r="Z37" s="94">
        <f>Z14+Z18+Z22+Z28+Z34</f>
        <v>240818</v>
      </c>
      <c r="AA37" s="94">
        <f>AA14+AA18+AA22+AA28+AA34</f>
        <v>1294992</v>
      </c>
      <c r="AB37" s="46"/>
      <c r="AC37" s="46"/>
    </row>
    <row r="38" spans="1:33" ht="15.75" thickTop="1" x14ac:dyDescent="0.25">
      <c r="B38" s="1"/>
      <c r="C38" s="93"/>
      <c r="D38" s="93"/>
      <c r="E38" s="93"/>
      <c r="F38" s="93"/>
      <c r="G38" s="93"/>
      <c r="H38" s="93"/>
      <c r="I38" s="93"/>
      <c r="J38" s="93"/>
      <c r="K38" s="93"/>
      <c r="L38" s="93"/>
      <c r="M38" s="93"/>
      <c r="N38" s="93"/>
      <c r="O38" s="93"/>
      <c r="P38" s="93"/>
      <c r="Q38" s="93"/>
      <c r="R38" s="93"/>
      <c r="S38" s="93"/>
      <c r="T38" s="93"/>
      <c r="U38" s="93"/>
      <c r="V38" s="93"/>
      <c r="W38" s="93"/>
    </row>
    <row r="39" spans="1:33" x14ac:dyDescent="0.25">
      <c r="A39" s="86"/>
      <c r="B39" s="85"/>
      <c r="C39" s="27"/>
      <c r="D39" s="27"/>
      <c r="E39" s="27"/>
      <c r="F39" s="27"/>
      <c r="G39" s="27"/>
      <c r="H39" s="27"/>
      <c r="I39" s="27"/>
      <c r="J39" s="27"/>
      <c r="K39" s="27"/>
      <c r="L39" s="27"/>
      <c r="M39" s="27"/>
      <c r="N39" s="27"/>
      <c r="O39" s="27"/>
      <c r="P39" s="27"/>
      <c r="Q39" s="27"/>
      <c r="R39" s="27"/>
      <c r="S39" s="27"/>
      <c r="T39" s="27"/>
      <c r="U39" s="27"/>
      <c r="V39" s="27"/>
      <c r="W39" s="84"/>
      <c r="X39" s="84"/>
      <c r="Y39" s="84"/>
      <c r="Z39" s="27"/>
      <c r="AA39" s="84"/>
      <c r="AB39" s="84"/>
      <c r="AC39" s="46"/>
      <c r="AD39" s="1"/>
      <c r="AE39" s="1"/>
      <c r="AF39" s="45"/>
      <c r="AG39" s="83"/>
    </row>
    <row r="40" spans="1:33" x14ac:dyDescent="0.25">
      <c r="A40" s="25" t="s">
        <v>188</v>
      </c>
      <c r="B40" s="85"/>
      <c r="C40" s="27"/>
      <c r="D40" s="27"/>
      <c r="E40" s="27"/>
      <c r="F40" s="27"/>
      <c r="G40" s="27"/>
      <c r="H40" s="27"/>
      <c r="I40" s="27"/>
      <c r="J40" s="27"/>
      <c r="K40" s="27"/>
      <c r="L40" s="27"/>
      <c r="M40" s="27"/>
      <c r="N40" s="27"/>
      <c r="O40" s="27"/>
      <c r="P40" s="27"/>
      <c r="Q40" s="27"/>
      <c r="R40" s="27"/>
      <c r="S40" s="27"/>
      <c r="T40" s="27"/>
      <c r="U40" s="27"/>
      <c r="V40" s="27"/>
      <c r="W40" s="84"/>
      <c r="X40" s="84"/>
      <c r="Y40" s="84"/>
      <c r="Z40" s="27"/>
      <c r="AA40" s="84"/>
      <c r="AB40" s="84"/>
      <c r="AC40" s="46"/>
      <c r="AD40" s="1"/>
      <c r="AE40" s="1"/>
      <c r="AF40" s="45"/>
      <c r="AG40" s="83"/>
    </row>
    <row r="41" spans="1:33" x14ac:dyDescent="0.25">
      <c r="A41" s="92" t="s">
        <v>187</v>
      </c>
      <c r="C41" s="27"/>
      <c r="D41" s="27"/>
      <c r="E41" s="27"/>
      <c r="F41" s="27"/>
      <c r="G41" s="27"/>
      <c r="H41" s="27"/>
      <c r="I41" s="27"/>
      <c r="J41" s="27"/>
      <c r="K41" s="27"/>
      <c r="L41" s="27"/>
      <c r="M41" s="27"/>
      <c r="N41" s="27"/>
      <c r="O41" s="27"/>
      <c r="P41" s="27"/>
      <c r="Q41" s="27"/>
      <c r="R41" s="27"/>
      <c r="S41" s="27"/>
      <c r="T41" s="27"/>
      <c r="U41" s="27"/>
      <c r="V41" s="27"/>
      <c r="W41" s="84"/>
      <c r="X41" s="84"/>
      <c r="Y41" s="84"/>
      <c r="Z41" s="27"/>
      <c r="AA41" s="84"/>
      <c r="AB41" s="84"/>
      <c r="AC41" s="46"/>
      <c r="AD41" s="1"/>
      <c r="AE41" s="1"/>
      <c r="AF41" s="45"/>
      <c r="AG41" s="83"/>
    </row>
    <row r="42" spans="1:33" x14ac:dyDescent="0.25">
      <c r="L42" s="27"/>
      <c r="M42" s="27"/>
      <c r="P42" s="27"/>
      <c r="Q42" s="27"/>
      <c r="R42" s="27"/>
      <c r="S42" s="27"/>
      <c r="T42" s="27"/>
      <c r="U42" s="27"/>
      <c r="V42" s="27"/>
      <c r="W42" s="84"/>
      <c r="X42" s="84"/>
      <c r="Y42" s="84"/>
      <c r="Z42" s="27"/>
      <c r="AA42" s="84"/>
      <c r="AB42" s="84"/>
      <c r="AC42" s="46"/>
      <c r="AD42" s="1"/>
      <c r="AE42" s="1"/>
      <c r="AF42" s="45"/>
      <c r="AG42" s="83"/>
    </row>
    <row r="43" spans="1:33" ht="69.75" customHeight="1" x14ac:dyDescent="0.25">
      <c r="F43" s="91" t="s">
        <v>186</v>
      </c>
      <c r="I43" s="91" t="s">
        <v>185</v>
      </c>
      <c r="J43" s="27"/>
      <c r="K43" s="27"/>
      <c r="L43" s="27"/>
      <c r="M43" s="27"/>
      <c r="N43" s="27"/>
      <c r="O43" s="27"/>
      <c r="P43" s="27"/>
      <c r="Q43" s="84"/>
      <c r="R43" s="84"/>
      <c r="S43" s="84"/>
      <c r="T43" s="27"/>
      <c r="U43" s="84"/>
      <c r="V43" s="84"/>
      <c r="W43" s="46"/>
      <c r="X43" s="1"/>
      <c r="Y43" s="1"/>
      <c r="Z43" s="45"/>
      <c r="AA43" s="83"/>
    </row>
    <row r="44" spans="1:33" ht="45" x14ac:dyDescent="0.25">
      <c r="E44" s="91"/>
      <c r="F44" s="29" t="s">
        <v>184</v>
      </c>
      <c r="I44" s="29" t="s">
        <v>183</v>
      </c>
      <c r="J44" s="27"/>
      <c r="K44" s="27"/>
      <c r="L44" s="27"/>
      <c r="M44" s="27"/>
      <c r="N44" s="27"/>
      <c r="O44" s="27"/>
      <c r="P44" s="27"/>
      <c r="Q44" s="84"/>
      <c r="R44" s="84"/>
      <c r="S44" s="84"/>
      <c r="T44" s="27"/>
      <c r="U44" s="84"/>
      <c r="V44" s="84"/>
      <c r="W44" s="46"/>
      <c r="X44" s="1"/>
      <c r="Y44" s="1"/>
      <c r="Z44" s="45"/>
      <c r="AA44" s="83"/>
    </row>
    <row r="45" spans="1:33" ht="30" x14ac:dyDescent="0.25">
      <c r="A45" s="29"/>
      <c r="C45" s="29" t="s">
        <v>182</v>
      </c>
      <c r="D45" s="29" t="s">
        <v>181</v>
      </c>
      <c r="E45" s="29" t="s">
        <v>180</v>
      </c>
      <c r="F45" s="29" t="s">
        <v>179</v>
      </c>
      <c r="G45" s="29" t="s">
        <v>178</v>
      </c>
      <c r="H45" s="29" t="s">
        <v>177</v>
      </c>
      <c r="I45" s="90" t="s">
        <v>56</v>
      </c>
      <c r="K45" s="27"/>
      <c r="L45" s="27"/>
      <c r="M45" s="27"/>
      <c r="N45" s="27"/>
      <c r="O45" s="27"/>
      <c r="P45" s="27"/>
      <c r="Q45" s="84"/>
      <c r="R45" s="84"/>
      <c r="S45" s="84"/>
      <c r="T45" s="27"/>
      <c r="U45" s="84"/>
      <c r="V45" s="84"/>
      <c r="W45" s="46"/>
      <c r="X45" s="1"/>
      <c r="Y45" s="1"/>
      <c r="Z45" s="45"/>
      <c r="AA45" s="83"/>
    </row>
    <row r="46" spans="1:33" x14ac:dyDescent="0.25">
      <c r="A46" s="1"/>
      <c r="B46" s="85"/>
      <c r="C46" s="1">
        <v>2020</v>
      </c>
      <c r="D46" s="27">
        <v>0</v>
      </c>
      <c r="E46" s="27">
        <v>0</v>
      </c>
      <c r="F46" s="27">
        <f>D46+E46</f>
        <v>0</v>
      </c>
      <c r="G46">
        <v>0</v>
      </c>
      <c r="H46" s="27">
        <v>0</v>
      </c>
      <c r="I46" s="27">
        <f>F46+G46+H46</f>
        <v>0</v>
      </c>
      <c r="J46" s="27"/>
      <c r="K46" s="27"/>
      <c r="L46" s="27"/>
      <c r="M46" s="27"/>
      <c r="N46" s="27"/>
      <c r="O46" s="27"/>
      <c r="P46" s="27"/>
      <c r="Q46" s="84"/>
      <c r="R46" s="84"/>
      <c r="S46" s="84"/>
      <c r="T46" s="27"/>
      <c r="U46" s="84"/>
      <c r="V46" s="84"/>
      <c r="W46" s="46"/>
      <c r="X46" s="1"/>
      <c r="Y46" s="1"/>
      <c r="Z46" s="45"/>
      <c r="AA46" s="83"/>
    </row>
    <row r="47" spans="1:33" x14ac:dyDescent="0.25">
      <c r="A47" s="1"/>
      <c r="B47" s="85"/>
      <c r="C47" s="1">
        <v>2021</v>
      </c>
      <c r="D47" s="27">
        <f>SUM(D18:P18)</f>
        <v>0</v>
      </c>
      <c r="E47" s="27">
        <f>U18*J47</f>
        <v>-1232.6129231302311</v>
      </c>
      <c r="F47" s="88">
        <f>D47+E47</f>
        <v>-1232.6129231302311</v>
      </c>
      <c r="G47" s="27">
        <f>Q18</f>
        <v>-85746.9</v>
      </c>
      <c r="H47" s="27">
        <f>U18-E47</f>
        <v>-520.48707686976877</v>
      </c>
      <c r="I47" s="88">
        <f>F47+G47+H47</f>
        <v>-87500</v>
      </c>
      <c r="J47" s="87">
        <v>0.70310474196008854</v>
      </c>
      <c r="K47" s="27"/>
      <c r="L47" s="27"/>
      <c r="M47" s="27"/>
      <c r="N47" s="27"/>
      <c r="O47" s="27"/>
      <c r="P47" s="27"/>
      <c r="Q47" s="84"/>
      <c r="R47" s="84"/>
      <c r="S47" s="84"/>
      <c r="T47" s="27"/>
      <c r="U47" s="84"/>
      <c r="V47" s="84"/>
      <c r="W47" s="46"/>
      <c r="X47" s="1"/>
      <c r="Y47" s="1"/>
      <c r="Z47" s="45"/>
      <c r="AA47" s="83"/>
    </row>
    <row r="48" spans="1:33" x14ac:dyDescent="0.25">
      <c r="A48" s="1"/>
      <c r="B48" s="85"/>
      <c r="C48" s="1">
        <v>2022</v>
      </c>
      <c r="D48" s="27">
        <v>0</v>
      </c>
      <c r="E48" s="27">
        <v>0</v>
      </c>
      <c r="F48" s="27">
        <f>D48+E48</f>
        <v>0</v>
      </c>
      <c r="G48">
        <v>0</v>
      </c>
      <c r="H48" s="27">
        <v>0</v>
      </c>
      <c r="I48" s="27">
        <f>F48+G48+H48</f>
        <v>0</v>
      </c>
      <c r="J48" s="27"/>
      <c r="K48" s="27"/>
      <c r="L48" s="27"/>
      <c r="M48" s="27"/>
      <c r="N48" s="27"/>
      <c r="O48" s="27"/>
      <c r="P48" s="27"/>
      <c r="Q48" s="84"/>
      <c r="R48" s="84"/>
      <c r="S48" s="84"/>
      <c r="T48" s="27"/>
      <c r="U48" s="84"/>
      <c r="V48" s="84"/>
      <c r="W48" s="46"/>
      <c r="X48" s="1"/>
      <c r="Y48" s="1"/>
      <c r="Z48" s="45"/>
      <c r="AA48" s="83"/>
    </row>
    <row r="49" spans="1:33" x14ac:dyDescent="0.25">
      <c r="A49" s="89"/>
      <c r="B49" s="85"/>
      <c r="C49" s="89">
        <v>2023</v>
      </c>
      <c r="D49" s="27">
        <f>SUM(D28:P28)</f>
        <v>-62548.898676603145</v>
      </c>
      <c r="E49" s="27">
        <f>(T28+U28)*J49</f>
        <v>-28687.519035564888</v>
      </c>
      <c r="F49" s="88">
        <f>D49+E49</f>
        <v>-91236.41771216804</v>
      </c>
      <c r="G49" s="27">
        <f>Q28</f>
        <v>-1923.48</v>
      </c>
      <c r="H49" s="27">
        <f>(T28+U28)-E49</f>
        <v>-9000.5254456821349</v>
      </c>
      <c r="I49" s="88">
        <f>F49+G49+H49</f>
        <v>-102160.42315785016</v>
      </c>
      <c r="J49" s="87">
        <v>0.76118353792113957</v>
      </c>
      <c r="K49" s="27"/>
      <c r="L49" s="27"/>
      <c r="M49" s="27"/>
      <c r="N49" s="27"/>
      <c r="O49" s="27"/>
      <c r="P49" s="27"/>
      <c r="Q49" s="84"/>
      <c r="R49" s="84"/>
      <c r="S49" s="84"/>
      <c r="T49" s="27"/>
      <c r="U49" s="84"/>
      <c r="V49" s="84"/>
      <c r="W49" s="46"/>
      <c r="X49" s="1"/>
      <c r="Y49" s="1"/>
      <c r="Z49" s="45"/>
      <c r="AA49" s="83"/>
    </row>
    <row r="50" spans="1:33" x14ac:dyDescent="0.25">
      <c r="A50" s="89"/>
      <c r="B50" s="85"/>
      <c r="C50" s="89">
        <v>2024</v>
      </c>
      <c r="D50" s="27">
        <f>SUM(D34:P34)</f>
        <v>-14645.130744155214</v>
      </c>
      <c r="E50" s="27">
        <f>(T34+U34)*J50</f>
        <v>-27157.788968277429</v>
      </c>
      <c r="F50" s="88">
        <f>D50+E50</f>
        <v>-41802.919712432646</v>
      </c>
      <c r="G50" s="27">
        <f>Q34</f>
        <v>-335.36301700137028</v>
      </c>
      <c r="H50" s="27">
        <f>(T34+U34)-E50</f>
        <v>-8898.9872705659836</v>
      </c>
      <c r="I50" s="88">
        <f>F50+G50+H50</f>
        <v>-51037.270000000004</v>
      </c>
      <c r="J50" s="87">
        <v>0.75319514946044341</v>
      </c>
      <c r="K50" s="27"/>
      <c r="L50" s="27"/>
      <c r="M50" s="27"/>
      <c r="N50" s="27"/>
      <c r="O50" s="27"/>
      <c r="P50" s="27"/>
      <c r="Q50" s="84"/>
      <c r="R50" s="84"/>
      <c r="S50" s="84"/>
      <c r="T50" s="27"/>
      <c r="U50" s="84"/>
      <c r="V50" s="84"/>
      <c r="W50" s="46"/>
      <c r="X50" s="1"/>
      <c r="Y50" s="1"/>
      <c r="Z50" s="45"/>
      <c r="AA50" s="83"/>
    </row>
    <row r="51" spans="1:33" x14ac:dyDescent="0.25">
      <c r="B51" s="85"/>
      <c r="C51" s="27"/>
      <c r="D51" s="27"/>
      <c r="E51" s="27"/>
      <c r="F51" s="27"/>
      <c r="G51" s="27"/>
      <c r="H51" s="27"/>
      <c r="I51" s="27"/>
      <c r="J51" s="27"/>
      <c r="K51" s="27"/>
      <c r="L51" s="27"/>
      <c r="M51" s="27"/>
      <c r="N51" s="27"/>
      <c r="O51" s="27"/>
      <c r="P51" s="27"/>
      <c r="Q51" s="27"/>
      <c r="R51" s="27"/>
      <c r="S51" s="27"/>
      <c r="T51" s="27"/>
      <c r="U51" s="27"/>
      <c r="V51" s="27"/>
      <c r="W51" s="84"/>
      <c r="X51" s="84"/>
      <c r="Y51" s="84"/>
      <c r="Z51" s="27"/>
      <c r="AA51" s="84"/>
      <c r="AB51" s="84"/>
      <c r="AC51" s="46"/>
      <c r="AD51" s="1"/>
      <c r="AE51" s="1"/>
      <c r="AF51" s="45"/>
      <c r="AG51" s="83"/>
    </row>
    <row r="52" spans="1:33" x14ac:dyDescent="0.25">
      <c r="B52" s="85"/>
      <c r="C52" s="27"/>
      <c r="D52" s="27"/>
      <c r="E52" s="27"/>
      <c r="F52" s="27"/>
      <c r="G52" s="27"/>
      <c r="H52" s="27"/>
      <c r="I52" s="27"/>
      <c r="J52" s="27"/>
      <c r="K52" s="27"/>
      <c r="L52" s="27"/>
      <c r="M52" s="27"/>
      <c r="N52" s="27"/>
      <c r="O52" s="27"/>
      <c r="P52" s="27"/>
      <c r="Q52" s="27"/>
      <c r="R52" s="27"/>
      <c r="S52" s="27"/>
      <c r="T52" s="27"/>
      <c r="U52" s="27"/>
      <c r="V52" s="27"/>
      <c r="W52" s="84"/>
      <c r="X52" s="84"/>
      <c r="Y52" s="84"/>
      <c r="Z52" s="27"/>
      <c r="AA52" s="84"/>
      <c r="AB52" s="84"/>
      <c r="AC52" s="46"/>
      <c r="AD52" s="1"/>
      <c r="AE52" s="1"/>
      <c r="AF52" s="45"/>
      <c r="AG52" s="83"/>
    </row>
    <row r="53" spans="1:33" x14ac:dyDescent="0.25">
      <c r="A53" s="86"/>
      <c r="B53" s="85"/>
      <c r="C53" s="27"/>
      <c r="D53" s="27"/>
      <c r="E53" s="27"/>
      <c r="F53" s="27"/>
      <c r="G53" s="27"/>
      <c r="H53" s="27"/>
      <c r="I53" s="27"/>
      <c r="J53" s="27"/>
      <c r="K53" s="27"/>
      <c r="L53" s="27"/>
      <c r="M53" s="27"/>
      <c r="N53" s="27"/>
      <c r="O53" s="27"/>
      <c r="P53" s="27"/>
      <c r="Q53" s="27"/>
      <c r="R53" s="27"/>
      <c r="S53" s="27"/>
      <c r="T53" s="27"/>
      <c r="U53" s="27"/>
      <c r="V53" s="27"/>
      <c r="W53" s="84"/>
      <c r="X53" s="84"/>
      <c r="Y53" s="84"/>
      <c r="Z53" s="27"/>
      <c r="AA53" s="84"/>
      <c r="AB53" s="84"/>
      <c r="AC53" s="46"/>
      <c r="AD53" s="1"/>
      <c r="AE53" s="1"/>
      <c r="AF53" s="45"/>
      <c r="AG53" s="83"/>
    </row>
    <row r="54" spans="1:33" x14ac:dyDescent="0.25">
      <c r="A54" t="s">
        <v>130</v>
      </c>
    </row>
    <row r="55" spans="1:33" x14ac:dyDescent="0.25">
      <c r="A55" t="s">
        <v>129</v>
      </c>
    </row>
    <row r="56" spans="1:33" x14ac:dyDescent="0.25">
      <c r="A56" t="s">
        <v>128</v>
      </c>
    </row>
    <row r="57" spans="1:33" x14ac:dyDescent="0.25">
      <c r="A57" t="s">
        <v>127</v>
      </c>
    </row>
    <row r="58" spans="1:33" x14ac:dyDescent="0.25">
      <c r="A58" t="s">
        <v>176</v>
      </c>
    </row>
    <row r="59" spans="1:33" x14ac:dyDescent="0.25">
      <c r="A59" t="s">
        <v>175</v>
      </c>
    </row>
    <row r="60" spans="1:33" x14ac:dyDescent="0.25">
      <c r="A60" t="s">
        <v>174</v>
      </c>
    </row>
    <row r="61" spans="1:33" x14ac:dyDescent="0.25">
      <c r="A61" t="s">
        <v>173</v>
      </c>
    </row>
    <row r="62" spans="1:33" x14ac:dyDescent="0.25">
      <c r="A62" t="s">
        <v>172</v>
      </c>
    </row>
    <row r="63" spans="1:33" x14ac:dyDescent="0.25">
      <c r="A63" t="s">
        <v>123</v>
      </c>
    </row>
    <row r="64" spans="1:33" x14ac:dyDescent="0.25">
      <c r="A64" t="s">
        <v>171</v>
      </c>
      <c r="C64" s="46"/>
    </row>
    <row r="65" spans="1:1" x14ac:dyDescent="0.25">
      <c r="A65" t="s">
        <v>121</v>
      </c>
    </row>
    <row r="66" spans="1:1" x14ac:dyDescent="0.25">
      <c r="A66" t="s">
        <v>170</v>
      </c>
    </row>
    <row r="67" spans="1:1" x14ac:dyDescent="0.25">
      <c r="A67" t="s">
        <v>169</v>
      </c>
    </row>
    <row r="68" spans="1:1" x14ac:dyDescent="0.25">
      <c r="A68" t="s">
        <v>168</v>
      </c>
    </row>
  </sheetData>
  <pageMargins left="0.7" right="0.7" top="0.75" bottom="0.75" header="0.3" footer="0.3"/>
  <pageSetup scale="18" orientation="portrait" r:id="rId1"/>
</worksheet>
</file>

<file path=docMetadata/LabelInfo.xml><?xml version="1.0" encoding="utf-8"?>
<clbl:labelList xmlns:clbl="http://schemas.microsoft.com/office/2020/mipLabelMetadata">
  <clbl:label id="{746d2a3f-4d51-44da-b226-f025675a294d}"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RY2027 Change Log</vt:lpstr>
      <vt:lpstr>1. A&amp;G</vt:lpstr>
      <vt:lpstr>2. FERC Audit (EOC) =&gt;</vt:lpstr>
      <vt:lpstr>2.1 O&amp;M (EOC)_1-9-26_Submittal</vt:lpstr>
      <vt:lpstr>2.2 A&amp;G (EOC)</vt:lpstr>
      <vt:lpstr>2.3 Discrimination Stlmt (EOC)</vt:lpstr>
      <vt:lpstr>'2.1 O&amp;M (EOC)_1-9-26_Submittal'!Print_Area</vt:lpstr>
      <vt:lpstr>'2.3 Discrimination Stlmt (EOC)'!Print_Area</vt:lpstr>
    </vt:vector>
  </TitlesOfParts>
  <Company>Pacific Gas and Electric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Change Log_TO21 RY2027_Draft_External</dc:title>
  <dc:creator>Pacific Gas and Electric Company</dc:creator>
  <cp:keywords>to, tariff, rate, 2027</cp:keywords>
  <dcterms:created xsi:type="dcterms:W3CDTF">2026-06-11T17:04:18Z</dcterms:created>
  <dcterms:modified xsi:type="dcterms:W3CDTF">2026-06-11T18:52:15Z</dcterms:modified>
</cp:coreProperties>
</file>