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customProperty8.bin" ContentType="application/vnd.openxmlformats-officedocument.spreadsheetml.customProperty"/>
  <Override PartName="/xl/customProperty9.bin" ContentType="application/vnd.openxmlformats-officedocument.spreadsheetml.customProperty"/>
  <Override PartName="/xl/customProperty10.bin" ContentType="application/vnd.openxmlformats-officedocument.spreadsheetml.customProperty"/>
  <Override PartName="/xl/customProperty11.bin" ContentType="application/vnd.openxmlformats-officedocument.spreadsheetml.customProperty"/>
  <Override PartName="/xl/customProperty12.bin" ContentType="application/vnd.openxmlformats-officedocument.spreadsheetml.customProperty"/>
  <Override PartName="/xl/customProperty13.bin" ContentType="application/vnd.openxmlformats-officedocument.spreadsheetml.customProperty"/>
  <Override PartName="/xl/customProperty14.bin" ContentType="application/vnd.openxmlformats-officedocument.spreadsheetml.customProperty"/>
  <Override PartName="/xl/customProperty15.bin" ContentType="application/vnd.openxmlformats-officedocument.spreadsheetml.customProperty"/>
  <Override PartName="/xl/customProperty16.bin" ContentType="application/vnd.openxmlformats-officedocument.spreadsheetml.customProperty"/>
  <Override PartName="/xl/customProperty17.bin" ContentType="application/vnd.openxmlformats-officedocument.spreadsheetml.customProperty"/>
  <Override PartName="/xl/customProperty18.bin" ContentType="application/vnd.openxmlformats-officedocument.spreadsheetml.customProperty"/>
  <Override PartName="/xl/customProperty19.bin" ContentType="application/vnd.openxmlformats-officedocument.spreadsheetml.customProperty"/>
  <Override PartName="/xl/customProperty20.bin" ContentType="application/vnd.openxmlformats-officedocument.spreadsheetml.customProperty"/>
  <Override PartName="/xl/customProperty21.bin" ContentType="application/vnd.openxmlformats-officedocument.spreadsheetml.customProperty"/>
  <Override PartName="/xl/customProperty22.bin" ContentType="application/vnd.openxmlformats-officedocument.spreadsheetml.customProperty"/>
  <Override PartName="/xl/customProperty23.bin" ContentType="application/vnd.openxmlformats-officedocument.spreadsheetml.customProperty"/>
  <Override PartName="/xl/customProperty24.bin" ContentType="application/vnd.openxmlformats-officedocument.spreadsheetml.customProperty"/>
  <Override PartName="/xl/customProperty25.bin" ContentType="application/vnd.openxmlformats-officedocument.spreadsheetml.customProperty"/>
  <Override PartName="/xl/customProperty26.bin" ContentType="application/vnd.openxmlformats-officedocument.spreadsheetml.customProperty"/>
  <Override PartName="/xl/customProperty27.bin" ContentType="application/vnd.openxmlformats-officedocument.spreadsheetml.customProperty"/>
  <Override PartName="/xl/customProperty28.bin" ContentType="application/vnd.openxmlformats-officedocument.spreadsheetml.customProperty"/>
  <Override PartName="/xl/customProperty29.bin" ContentType="application/vnd.openxmlformats-officedocument.spreadsheetml.customProperty"/>
  <Override PartName="/xl/customProperty30.bin" ContentType="application/vnd.openxmlformats-officedocument.spreadsheetml.customProperty"/>
  <Override PartName="/xl/customProperty31.bin" ContentType="application/vnd.openxmlformats-officedocument.spreadsheetml.customProperty"/>
  <Override PartName="/xl/customProperty32.bin" ContentType="application/vnd.openxmlformats-officedocument.spreadsheetml.customProperty"/>
  <Override PartName="/xl/customProperty33.bin" ContentType="application/vnd.openxmlformats-officedocument.spreadsheetml.customProperty"/>
  <Override PartName="/xl/customProperty34.bin" ContentType="application/vnd.openxmlformats-officedocument.spreadsheetml.customProperty"/>
  <Override PartName="/xl/customProperty35.bin" ContentType="application/vnd.openxmlformats-officedocument.spreadsheetml.customProperty"/>
  <Override PartName="/xl/customProperty36.bin" ContentType="application/vnd.openxmlformats-officedocument.spreadsheetml.customProperty"/>
  <Override PartName="/xl/customProperty37.bin" ContentType="application/vnd.openxmlformats-officedocument.spreadsheetml.customProperty"/>
  <Override PartName="/xl/customProperty38.bin" ContentType="application/vnd.openxmlformats-officedocument.spreadsheetml.customProperty"/>
  <Override PartName="/xl/customProperty39.bin" ContentType="application/vnd.openxmlformats-officedocument.spreadsheetml.customProperty"/>
  <Override PartName="/xl/customProperty40.bin" ContentType="application/vnd.openxmlformats-officedocument.spreadsheetml.customProperty"/>
  <Override PartName="/xl/customProperty41.bin" ContentType="application/vnd.openxmlformats-officedocument.spreadsheetml.customProperty"/>
  <Override PartName="/xl/customProperty42.bin" ContentType="application/vnd.openxmlformats-officedocument.spreadsheetml.customProperty"/>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thumbnail" Target="docProps/thumbnail.emf"/><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extended-properties" Target="docProps/app.xml"/><Relationship Id="rId4" Type="http://schemas.openxmlformats.org/package/2006/relationships/metadata/core-properties" Target="docProps/core.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https://pge-my.sharepoint.com/personal/b6r6_pge_com/Documents/Desktop/"/>
    </mc:Choice>
  </mc:AlternateContent>
  <xr:revisionPtr revIDLastSave="0" documentId="8_{ADDCA0CE-11F8-458B-92F0-236E78198231}" xr6:coauthVersionLast="47" xr6:coauthVersionMax="47" xr10:uidLastSave="{00000000-0000-0000-0000-000000000000}"/>
  <bookViews>
    <workbookView xWindow="49110" yWindow="-16215" windowWidth="29040" windowHeight="15720" activeTab="1" xr2:uid="{333BC31C-808B-47CC-9F8E-2B973B3CAB90}"/>
  </bookViews>
  <sheets>
    <sheet name="Sheet1" sheetId="1" r:id="rId1"/>
    <sheet name="Cover Page" sheetId="2" r:id="rId2"/>
    <sheet name="ToC" sheetId="3" r:id="rId3"/>
    <sheet name="Formatting and References" sheetId="4" r:id="rId4"/>
    <sheet name="1-BaseTRR" sheetId="5" r:id="rId5"/>
    <sheet name="2-ITRR" sheetId="6" r:id="rId6"/>
    <sheet name="3-True-upTRR" sheetId="7" r:id="rId7"/>
    <sheet name="4-ATA" sheetId="8" r:id="rId8"/>
    <sheet name="5-CostofCap-1" sheetId="9" r:id="rId9"/>
    <sheet name="5-CostofCap-2" sheetId="10" r:id="rId10"/>
    <sheet name="5-CostofCap-3" sheetId="11" r:id="rId11"/>
    <sheet name="5-CostofCap-4" sheetId="12" r:id="rId12"/>
    <sheet name="6-PlantJurisdiction" sheetId="13" r:id="rId13"/>
    <sheet name="7-PlantInService" sheetId="14" r:id="rId14"/>
    <sheet name="8-AbandonedProject" sheetId="15" r:id="rId15"/>
    <sheet name="9-PlantAdditions" sheetId="16" r:id="rId16"/>
    <sheet name="10-AccDep" sheetId="17" r:id="rId17"/>
    <sheet name="11-Depreciation" sheetId="18" r:id="rId18"/>
    <sheet name="12-DepRates" sheetId="19" r:id="rId19"/>
    <sheet name="13-WorkCap" sheetId="20" r:id="rId20"/>
    <sheet name="14-ADIT" sheetId="21" r:id="rId21"/>
    <sheet name="15-NUC" sheetId="22" r:id="rId22"/>
    <sheet name="16-UnfundedReserves" sheetId="23" r:id="rId23"/>
    <sheet name="17-RegAssets-1" sheetId="24" r:id="rId24"/>
    <sheet name="17-RegAssets-2" sheetId="25" r:id="rId25"/>
    <sheet name="17-RegAssets-3" sheetId="26" r:id="rId26"/>
    <sheet name="18-OandM" sheetId="27" r:id="rId27"/>
    <sheet name="19-AandG" sheetId="28" r:id="rId28"/>
    <sheet name="20-RevenueCredits" sheetId="29" r:id="rId29"/>
    <sheet name="21-NPandS" sheetId="30" r:id="rId30"/>
    <sheet name="22-TaxRates" sheetId="31" r:id="rId31"/>
    <sheet name="23-RetailSGTax" sheetId="32" r:id="rId32"/>
    <sheet name="24-Allocators" sheetId="33" r:id="rId33"/>
    <sheet name="25-RFandUFactors" sheetId="34" r:id="rId34"/>
    <sheet name="26-WholesaleTRRs" sheetId="35" r:id="rId35"/>
    <sheet name="27-WholesaleRates" sheetId="36" r:id="rId36"/>
    <sheet name="28-GrossLoad" sheetId="37" r:id="rId37"/>
    <sheet name="29-RetailRates-1" sheetId="38" r:id="rId38"/>
    <sheet name="29-RetailRates-2" sheetId="39" r:id="rId39"/>
    <sheet name="30-WFSelfInsurance" sheetId="40" r:id="rId40"/>
    <sheet name="31-COO" sheetId="41" r:id="rId41"/>
    <sheet name="32-CWIPIncentive" sheetId="42" r:id="rId42"/>
  </sheets>
  <externalReferences>
    <externalReference r:id="rId43"/>
  </externalReferences>
  <definedNames>
    <definedName name="\a" localSheetId="25">#REF!</definedName>
    <definedName name="\a" localSheetId="8">#REF!</definedName>
    <definedName name="\a" localSheetId="10">#REF!</definedName>
    <definedName name="\a" localSheetId="3">#REF!</definedName>
    <definedName name="\b" localSheetId="25">#REF!</definedName>
    <definedName name="\b" localSheetId="8">#REF!</definedName>
    <definedName name="\x" localSheetId="25">#REF!</definedName>
    <definedName name="\x" localSheetId="8">#REF!</definedName>
    <definedName name="___huh2" localSheetId="25" hidden="1">{#N/A,#N/A,FALSE,"Dist Rev at PR ";#N/A,#N/A,FALSE,"Spec";#N/A,#N/A,FALSE,"Res";#N/A,#N/A,FALSE,"Small L&amp;P";#N/A,#N/A,FALSE,"Medium L&amp;P";#N/A,#N/A,FALSE,"E-19";#N/A,#N/A,FALSE,"E-20";#N/A,#N/A,FALSE,"Strtlts &amp; Standby";#N/A,#N/A,FALSE,"A-RTP";#N/A,#N/A,FALSE,"2003mixeduse"}</definedName>
    <definedName name="___huh2" localSheetId="8" hidden="1">{#N/A,#N/A,FALSE,"Dist Rev at PR ";#N/A,#N/A,FALSE,"Spec";#N/A,#N/A,FALSE,"Res";#N/A,#N/A,FALSE,"Small L&amp;P";#N/A,#N/A,FALSE,"Medium L&amp;P";#N/A,#N/A,FALSE,"E-19";#N/A,#N/A,FALSE,"E-20";#N/A,#N/A,FALSE,"Strtlts &amp; Standby";#N/A,#N/A,FALSE,"A-RTP";#N/A,#N/A,FALSE,"2003mixeduse"}</definedName>
    <definedName name="___huh2" localSheetId="10" hidden="1">{#N/A,#N/A,FALSE,"Dist Rev at PR ";#N/A,#N/A,FALSE,"Spec";#N/A,#N/A,FALSE,"Res";#N/A,#N/A,FALSE,"Small L&amp;P";#N/A,#N/A,FALSE,"Medium L&amp;P";#N/A,#N/A,FALSE,"E-19";#N/A,#N/A,FALSE,"E-20";#N/A,#N/A,FALSE,"Strtlts &amp; Standby";#N/A,#N/A,FALSE,"A-RTP";#N/A,#N/A,FALSE,"2003mixeduse"}</definedName>
    <definedName name="___huh2" localSheetId="14" hidden="1">{#N/A,#N/A,FALSE,"Dist Rev at PR ";#N/A,#N/A,FALSE,"Spec";#N/A,#N/A,FALSE,"Res";#N/A,#N/A,FALSE,"Small L&amp;P";#N/A,#N/A,FALSE,"Medium L&amp;P";#N/A,#N/A,FALSE,"E-19";#N/A,#N/A,FALSE,"E-20";#N/A,#N/A,FALSE,"Strtlts &amp; Standby";#N/A,#N/A,FALSE,"A-RTP";#N/A,#N/A,FALSE,"2003mixeduse"}</definedName>
    <definedName name="___huh2" localSheetId="3" hidden="1">{#N/A,#N/A,FALSE,"Dist Rev at PR ";#N/A,#N/A,FALSE,"Spec";#N/A,#N/A,FALSE,"Res";#N/A,#N/A,FALSE,"Small L&amp;P";#N/A,#N/A,FALSE,"Medium L&amp;P";#N/A,#N/A,FALSE,"E-19";#N/A,#N/A,FALSE,"E-20";#N/A,#N/A,FALSE,"Strtlts &amp; Standby";#N/A,#N/A,FALSE,"A-RTP";#N/A,#N/A,FALSE,"2003mixeduse"}</definedName>
    <definedName name="__123Graph_A" localSheetId="9" hidden="1">#REF!</definedName>
    <definedName name="__123Graph_AGRAPH" localSheetId="9" hidden="1">#REF!</definedName>
    <definedName name="__123Graph_AGRS" localSheetId="9" hidden="1">#REF!</definedName>
    <definedName name="__123Graph_B" localSheetId="9" hidden="1">#REF!</definedName>
    <definedName name="__123Graph_BGRAPH" localSheetId="9" hidden="1">#REF!</definedName>
    <definedName name="__123Graph_BGRS" localSheetId="9" hidden="1">#REF!</definedName>
    <definedName name="__123Graph_C" localSheetId="9" hidden="1">#REF!</definedName>
    <definedName name="__123Graph_CGRAPH" localSheetId="9" hidden="1">#REF!</definedName>
    <definedName name="__123Graph_CGRS" localSheetId="9" hidden="1">#REF!</definedName>
    <definedName name="__123Graph_DGRAPH" localSheetId="9" hidden="1">#REF!</definedName>
    <definedName name="__123Graph_DGRS" localSheetId="9" hidden="1">#REF!</definedName>
    <definedName name="__123Graph_LBL_A" localSheetId="9" hidden="1">#REF!</definedName>
    <definedName name="__123Graph_LBL_EGRAPH" localSheetId="9" hidden="1">#REF!</definedName>
    <definedName name="__123Graph_LBL_EGRS" localSheetId="9" hidden="1">#REF!</definedName>
    <definedName name="__123Graph_X" localSheetId="9" hidden="1">#REF!</definedName>
    <definedName name="__foo1" localSheetId="25" hidden="1">{"Spreadsheet9-16","9",FALSE,"Scenarios 9-16";"Spreadsheet9-16","10",FALSE,"Scenarios 9-16";"Spreadsheet9-16","11",FALSE,"Scenarios 9-16";"Spreadsheet9-16","12",FALSE,"Scenarios 9-16";"Spreadsheet9-16","13",FALSE,"Scenarios 9-16";"Spreadsheet9-16","14",FALSE,"Scenarios 9-16";"Spreadsheet9-16","15",FALSE,"Scenarios 9-16";"Spreadsheet9-16","16",FALSE,"Scenarios 9-16"}</definedName>
    <definedName name="__foo1" localSheetId="8" hidden="1">{"Spreadsheet9-16","9",FALSE,"Scenarios 9-16";"Spreadsheet9-16","10",FALSE,"Scenarios 9-16";"Spreadsheet9-16","11",FALSE,"Scenarios 9-16";"Spreadsheet9-16","12",FALSE,"Scenarios 9-16";"Spreadsheet9-16","13",FALSE,"Scenarios 9-16";"Spreadsheet9-16","14",FALSE,"Scenarios 9-16";"Spreadsheet9-16","15",FALSE,"Scenarios 9-16";"Spreadsheet9-16","16",FALSE,"Scenarios 9-16"}</definedName>
    <definedName name="__foo1" localSheetId="10" hidden="1">{"Spreadsheet9-16","9",FALSE,"Scenarios 9-16";"Spreadsheet9-16","10",FALSE,"Scenarios 9-16";"Spreadsheet9-16","11",FALSE,"Scenarios 9-16";"Spreadsheet9-16","12",FALSE,"Scenarios 9-16";"Spreadsheet9-16","13",FALSE,"Scenarios 9-16";"Spreadsheet9-16","14",FALSE,"Scenarios 9-16";"Spreadsheet9-16","15",FALSE,"Scenarios 9-16";"Spreadsheet9-16","16",FALSE,"Scenarios 9-16"}</definedName>
    <definedName name="__foo1" localSheetId="3" hidden="1">{"Spreadsheet9-16","9",FALSE,"Scenarios 9-16";"Spreadsheet9-16","10",FALSE,"Scenarios 9-16";"Spreadsheet9-16","11",FALSE,"Scenarios 9-16";"Spreadsheet9-16","12",FALSE,"Scenarios 9-16";"Spreadsheet9-16","13",FALSE,"Scenarios 9-16";"Spreadsheet9-16","14",FALSE,"Scenarios 9-16";"Spreadsheet9-16","15",FALSE,"Scenarios 9-16";"Spreadsheet9-16","16",FALSE,"Scenarios 9-16"}</definedName>
    <definedName name="__foo2" localSheetId="25" hidden="1">{#N/A,#N/A,FALSE,"Assumptions";#N/A,#N/A,FALSE,"RRQ inputs and toggles";#N/A,#N/A,FALSE,"Revenue Allocation Results";#N/A,#N/A,FALSE,"Table2";#N/A,#N/A,FALSE,"Distribution Revenue Allocation";#N/A,#N/A,FALSE,"FERC Rev @ PR";#N/A,#N/A,FALSE,"Public Purpose Program Allocate";#N/A,#N/A,FALSE,"CTC";#N/A,#N/A,FALSE,"UCS";#N/A,#N/A,FALSE,"Nuclear Decommissioning";#N/A,#N/A,FALSE,"FTA";#N/A,#N/A,FALSE,"RRB";#N/A,#N/A,FALSE,"Nonallocated Revenues";#N/A,#N/A,FALSE,"MC Revenues-01 sales, 96 MC's"}</definedName>
    <definedName name="__foo2" localSheetId="8" hidden="1">{#N/A,#N/A,FALSE,"Assumptions";#N/A,#N/A,FALSE,"RRQ inputs and toggles";#N/A,#N/A,FALSE,"Revenue Allocation Results";#N/A,#N/A,FALSE,"Table2";#N/A,#N/A,FALSE,"Distribution Revenue Allocation";#N/A,#N/A,FALSE,"FERC Rev @ PR";#N/A,#N/A,FALSE,"Public Purpose Program Allocate";#N/A,#N/A,FALSE,"CTC";#N/A,#N/A,FALSE,"UCS";#N/A,#N/A,FALSE,"Nuclear Decommissioning";#N/A,#N/A,FALSE,"FTA";#N/A,#N/A,FALSE,"RRB";#N/A,#N/A,FALSE,"Nonallocated Revenues";#N/A,#N/A,FALSE,"MC Revenues-01 sales, 96 MC's"}</definedName>
    <definedName name="__foo2" localSheetId="10" hidden="1">{#N/A,#N/A,FALSE,"Assumptions";#N/A,#N/A,FALSE,"RRQ inputs and toggles";#N/A,#N/A,FALSE,"Revenue Allocation Results";#N/A,#N/A,FALSE,"Table2";#N/A,#N/A,FALSE,"Distribution Revenue Allocation";#N/A,#N/A,FALSE,"FERC Rev @ PR";#N/A,#N/A,FALSE,"Public Purpose Program Allocate";#N/A,#N/A,FALSE,"CTC";#N/A,#N/A,FALSE,"UCS";#N/A,#N/A,FALSE,"Nuclear Decommissioning";#N/A,#N/A,FALSE,"FTA";#N/A,#N/A,FALSE,"RRB";#N/A,#N/A,FALSE,"Nonallocated Revenues";#N/A,#N/A,FALSE,"MC Revenues-01 sales, 96 MC's"}</definedName>
    <definedName name="__foo2" localSheetId="3" hidden="1">{#N/A,#N/A,FALSE,"Assumptions";#N/A,#N/A,FALSE,"RRQ inputs and toggles";#N/A,#N/A,FALSE,"Revenue Allocation Results";#N/A,#N/A,FALSE,"Table2";#N/A,#N/A,FALSE,"Distribution Revenue Allocation";#N/A,#N/A,FALSE,"FERC Rev @ PR";#N/A,#N/A,FALSE,"Public Purpose Program Allocate";#N/A,#N/A,FALSE,"CTC";#N/A,#N/A,FALSE,"UCS";#N/A,#N/A,FALSE,"Nuclear Decommissioning";#N/A,#N/A,FALSE,"FTA";#N/A,#N/A,FALSE,"RRB";#N/A,#N/A,FALSE,"Nonallocated Revenues";#N/A,#N/A,FALSE,"MC Revenues-01 sales, 96 MC's"}</definedName>
    <definedName name="__foo3" localSheetId="25" hidden="1">{#N/A,#N/A,FALSE,"Res - Unadj";#N/A,#N/A,FALSE,"Small L&amp;P";#N/A,#N/A,FALSE,"Medium L&amp;P";#N/A,#N/A,FALSE,"E-19";#N/A,#N/A,FALSE,"E-20";#N/A,#N/A,FALSE,"A-RTP";#N/A,#N/A,FALSE,"Strtlts &amp; Standby";#N/A,#N/A,FALSE,"AG";#N/A,#N/A,FALSE,"2001mixeduse"}</definedName>
    <definedName name="__foo3" localSheetId="8" hidden="1">{#N/A,#N/A,FALSE,"Res - Unadj";#N/A,#N/A,FALSE,"Small L&amp;P";#N/A,#N/A,FALSE,"Medium L&amp;P";#N/A,#N/A,FALSE,"E-19";#N/A,#N/A,FALSE,"E-20";#N/A,#N/A,FALSE,"A-RTP";#N/A,#N/A,FALSE,"Strtlts &amp; Standby";#N/A,#N/A,FALSE,"AG";#N/A,#N/A,FALSE,"2001mixeduse"}</definedName>
    <definedName name="__foo3" localSheetId="10" hidden="1">{#N/A,#N/A,FALSE,"Res - Unadj";#N/A,#N/A,FALSE,"Small L&amp;P";#N/A,#N/A,FALSE,"Medium L&amp;P";#N/A,#N/A,FALSE,"E-19";#N/A,#N/A,FALSE,"E-20";#N/A,#N/A,FALSE,"A-RTP";#N/A,#N/A,FALSE,"Strtlts &amp; Standby";#N/A,#N/A,FALSE,"AG";#N/A,#N/A,FALSE,"2001mixeduse"}</definedName>
    <definedName name="__foo3" localSheetId="3" hidden="1">{#N/A,#N/A,FALSE,"Res - Unadj";#N/A,#N/A,FALSE,"Small L&amp;P";#N/A,#N/A,FALSE,"Medium L&amp;P";#N/A,#N/A,FALSE,"E-19";#N/A,#N/A,FALSE,"E-20";#N/A,#N/A,FALSE,"A-RTP";#N/A,#N/A,FALSE,"Strtlts &amp; Standby";#N/A,#N/A,FALSE,"AG";#N/A,#N/A,FALSE,"2001mixeduse"}</definedName>
    <definedName name="__foo4" localSheetId="25" hidden="1">{"Summary","1",FALSE,"Summary"}</definedName>
    <definedName name="__foo4" localSheetId="8" hidden="1">{"Summary","1",FALSE,"Summary"}</definedName>
    <definedName name="__foo4" localSheetId="10" hidden="1">{"Summary","1",FALSE,"Summary"}</definedName>
    <definedName name="__foo4" localSheetId="3" hidden="1">{"Summary","1",FALSE,"Summary"}</definedName>
    <definedName name="__FPMExcelClient_CellBasedFunctionStatus" localSheetId="27">"2_1_2_2_2_2"</definedName>
    <definedName name="_bdm.DA90C587C9374C5A8F37C549C9BCDD3D.edm" localSheetId="16" hidden="1">#REF!</definedName>
    <definedName name="_bdm.DA90C587C9374C5A8F37C549C9BCDD3D.edm" localSheetId="17" hidden="1">#REF!</definedName>
    <definedName name="_bdm.DA90C587C9374C5A8F37C549C9BCDD3D.edm" localSheetId="18" hidden="1">#REF!</definedName>
    <definedName name="_bdm.DA90C587C9374C5A8F37C549C9BCDD3D.edm" localSheetId="19" hidden="1">#REF!</definedName>
    <definedName name="_bdm.DA90C587C9374C5A8F37C549C9BCDD3D.edm" localSheetId="20" hidden="1">#REF!</definedName>
    <definedName name="_bdm.DA90C587C9374C5A8F37C549C9BCDD3D.edm" localSheetId="21" hidden="1">#REF!</definedName>
    <definedName name="_bdm.DA90C587C9374C5A8F37C549C9BCDD3D.edm" localSheetId="22" hidden="1">#REF!</definedName>
    <definedName name="_bdm.DA90C587C9374C5A8F37C549C9BCDD3D.edm" localSheetId="23" hidden="1">#REF!</definedName>
    <definedName name="_bdm.DA90C587C9374C5A8F37C549C9BCDD3D.edm" localSheetId="26" hidden="1">#REF!</definedName>
    <definedName name="_bdm.DA90C587C9374C5A8F37C549C9BCDD3D.edm" localSheetId="28" hidden="1">#REF!</definedName>
    <definedName name="_bdm.DA90C587C9374C5A8F37C549C9BCDD3D.edm" localSheetId="29" hidden="1">#REF!</definedName>
    <definedName name="_bdm.DA90C587C9374C5A8F37C549C9BCDD3D.edm" localSheetId="30" hidden="1">#REF!</definedName>
    <definedName name="_bdm.DA90C587C9374C5A8F37C549C9BCDD3D.edm" localSheetId="31" hidden="1">#REF!</definedName>
    <definedName name="_bdm.DA90C587C9374C5A8F37C549C9BCDD3D.edm" localSheetId="32" hidden="1">#REF!</definedName>
    <definedName name="_bdm.DA90C587C9374C5A8F37C549C9BCDD3D.edm" localSheetId="33" hidden="1">#REF!</definedName>
    <definedName name="_bdm.DA90C587C9374C5A8F37C549C9BCDD3D.edm" localSheetId="34" hidden="1">#REF!</definedName>
    <definedName name="_bdm.DA90C587C9374C5A8F37C549C9BCDD3D.edm" localSheetId="35" hidden="1">#REF!</definedName>
    <definedName name="_bdm.DA90C587C9374C5A8F37C549C9BCDD3D.edm" localSheetId="36" hidden="1">#REF!</definedName>
    <definedName name="_bdm.DA90C587C9374C5A8F37C549C9BCDD3D.edm" localSheetId="6" hidden="1">#REF!</definedName>
    <definedName name="_bdm.DA90C587C9374C5A8F37C549C9BCDD3D.edm" localSheetId="8" hidden="1">#REF!</definedName>
    <definedName name="_bdm.DA90C587C9374C5A8F37C549C9BCDD3D.edm" localSheetId="9" hidden="1">#REF!</definedName>
    <definedName name="_bdm.DA90C587C9374C5A8F37C549C9BCDD3D.edm" localSheetId="12" hidden="1">#REF!</definedName>
    <definedName name="_bdm.DA90C587C9374C5A8F37C549C9BCDD3D.edm" localSheetId="13" hidden="1">#REF!</definedName>
    <definedName name="_bdm.DA90C587C9374C5A8F37C549C9BCDD3D.edm" localSheetId="14" hidden="1">#REF!</definedName>
    <definedName name="_bdm.DA90C587C9374C5A8F37C549C9BCDD3D.edm" localSheetId="15" hidden="1">#REF!</definedName>
    <definedName name="_Fill" localSheetId="8" hidden="1">#REF!</definedName>
    <definedName name="_foo1" localSheetId="25" hidden="1">{"Spreadsheet9-16","9",FALSE,"Scenarios 9-16";"Spreadsheet9-16","10",FALSE,"Scenarios 9-16";"Spreadsheet9-16","11",FALSE,"Scenarios 9-16";"Spreadsheet9-16","12",FALSE,"Scenarios 9-16";"Spreadsheet9-16","13",FALSE,"Scenarios 9-16";"Spreadsheet9-16","14",FALSE,"Scenarios 9-16";"Spreadsheet9-16","15",FALSE,"Scenarios 9-16";"Spreadsheet9-16","16",FALSE,"Scenarios 9-16"}</definedName>
    <definedName name="_foo1" localSheetId="8" hidden="1">{"Spreadsheet9-16","9",FALSE,"Scenarios 9-16";"Spreadsheet9-16","10",FALSE,"Scenarios 9-16";"Spreadsheet9-16","11",FALSE,"Scenarios 9-16";"Spreadsheet9-16","12",FALSE,"Scenarios 9-16";"Spreadsheet9-16","13",FALSE,"Scenarios 9-16";"Spreadsheet9-16","14",FALSE,"Scenarios 9-16";"Spreadsheet9-16","15",FALSE,"Scenarios 9-16";"Spreadsheet9-16","16",FALSE,"Scenarios 9-16"}</definedName>
    <definedName name="_foo1" localSheetId="10" hidden="1">{"Spreadsheet9-16","9",FALSE,"Scenarios 9-16";"Spreadsheet9-16","10",FALSE,"Scenarios 9-16";"Spreadsheet9-16","11",FALSE,"Scenarios 9-16";"Spreadsheet9-16","12",FALSE,"Scenarios 9-16";"Spreadsheet9-16","13",FALSE,"Scenarios 9-16";"Spreadsheet9-16","14",FALSE,"Scenarios 9-16";"Spreadsheet9-16","15",FALSE,"Scenarios 9-16";"Spreadsheet9-16","16",FALSE,"Scenarios 9-16"}</definedName>
    <definedName name="_foo1" localSheetId="3" hidden="1">{"Spreadsheet9-16","9",FALSE,"Scenarios 9-16";"Spreadsheet9-16","10",FALSE,"Scenarios 9-16";"Spreadsheet9-16","11",FALSE,"Scenarios 9-16";"Spreadsheet9-16","12",FALSE,"Scenarios 9-16";"Spreadsheet9-16","13",FALSE,"Scenarios 9-16";"Spreadsheet9-16","14",FALSE,"Scenarios 9-16";"Spreadsheet9-16","15",FALSE,"Scenarios 9-16";"Spreadsheet9-16","16",FALSE,"Scenarios 9-16"}</definedName>
    <definedName name="_foo2" localSheetId="25" hidden="1">{#N/A,#N/A,FALSE,"Assumptions";#N/A,#N/A,FALSE,"RRQ inputs and toggles";#N/A,#N/A,FALSE,"Revenue Allocation Results";#N/A,#N/A,FALSE,"Table2";#N/A,#N/A,FALSE,"Distribution Revenue Allocation";#N/A,#N/A,FALSE,"FERC Rev @ PR";#N/A,#N/A,FALSE,"Public Purpose Program Allocate";#N/A,#N/A,FALSE,"CTC";#N/A,#N/A,FALSE,"UCS";#N/A,#N/A,FALSE,"Nuclear Decommissioning";#N/A,#N/A,FALSE,"FTA";#N/A,#N/A,FALSE,"RRB";#N/A,#N/A,FALSE,"Nonallocated Revenues";#N/A,#N/A,FALSE,"MC Revenues-01 sales, 96 MC's"}</definedName>
    <definedName name="_foo2" localSheetId="8" hidden="1">{#N/A,#N/A,FALSE,"Assumptions";#N/A,#N/A,FALSE,"RRQ inputs and toggles";#N/A,#N/A,FALSE,"Revenue Allocation Results";#N/A,#N/A,FALSE,"Table2";#N/A,#N/A,FALSE,"Distribution Revenue Allocation";#N/A,#N/A,FALSE,"FERC Rev @ PR";#N/A,#N/A,FALSE,"Public Purpose Program Allocate";#N/A,#N/A,FALSE,"CTC";#N/A,#N/A,FALSE,"UCS";#N/A,#N/A,FALSE,"Nuclear Decommissioning";#N/A,#N/A,FALSE,"FTA";#N/A,#N/A,FALSE,"RRB";#N/A,#N/A,FALSE,"Nonallocated Revenues";#N/A,#N/A,FALSE,"MC Revenues-01 sales, 96 MC's"}</definedName>
    <definedName name="_foo2" localSheetId="10" hidden="1">{#N/A,#N/A,FALSE,"Assumptions";#N/A,#N/A,FALSE,"RRQ inputs and toggles";#N/A,#N/A,FALSE,"Revenue Allocation Results";#N/A,#N/A,FALSE,"Table2";#N/A,#N/A,FALSE,"Distribution Revenue Allocation";#N/A,#N/A,FALSE,"FERC Rev @ PR";#N/A,#N/A,FALSE,"Public Purpose Program Allocate";#N/A,#N/A,FALSE,"CTC";#N/A,#N/A,FALSE,"UCS";#N/A,#N/A,FALSE,"Nuclear Decommissioning";#N/A,#N/A,FALSE,"FTA";#N/A,#N/A,FALSE,"RRB";#N/A,#N/A,FALSE,"Nonallocated Revenues";#N/A,#N/A,FALSE,"MC Revenues-01 sales, 96 MC's"}</definedName>
    <definedName name="_foo2" localSheetId="3" hidden="1">{#N/A,#N/A,FALSE,"Assumptions";#N/A,#N/A,FALSE,"RRQ inputs and toggles";#N/A,#N/A,FALSE,"Revenue Allocation Results";#N/A,#N/A,FALSE,"Table2";#N/A,#N/A,FALSE,"Distribution Revenue Allocation";#N/A,#N/A,FALSE,"FERC Rev @ PR";#N/A,#N/A,FALSE,"Public Purpose Program Allocate";#N/A,#N/A,FALSE,"CTC";#N/A,#N/A,FALSE,"UCS";#N/A,#N/A,FALSE,"Nuclear Decommissioning";#N/A,#N/A,FALSE,"FTA";#N/A,#N/A,FALSE,"RRB";#N/A,#N/A,FALSE,"Nonallocated Revenues";#N/A,#N/A,FALSE,"MC Revenues-01 sales, 96 MC's"}</definedName>
    <definedName name="_foo3" localSheetId="25" hidden="1">{#N/A,#N/A,FALSE,"Res - Unadj";#N/A,#N/A,FALSE,"Small L&amp;P";#N/A,#N/A,FALSE,"Medium L&amp;P";#N/A,#N/A,FALSE,"E-19";#N/A,#N/A,FALSE,"E-20";#N/A,#N/A,FALSE,"A-RTP";#N/A,#N/A,FALSE,"Strtlts &amp; Standby";#N/A,#N/A,FALSE,"AG";#N/A,#N/A,FALSE,"2001mixeduse"}</definedName>
    <definedName name="_foo3" localSheetId="8" hidden="1">{#N/A,#N/A,FALSE,"Res - Unadj";#N/A,#N/A,FALSE,"Small L&amp;P";#N/A,#N/A,FALSE,"Medium L&amp;P";#N/A,#N/A,FALSE,"E-19";#N/A,#N/A,FALSE,"E-20";#N/A,#N/A,FALSE,"A-RTP";#N/A,#N/A,FALSE,"Strtlts &amp; Standby";#N/A,#N/A,FALSE,"AG";#N/A,#N/A,FALSE,"2001mixeduse"}</definedName>
    <definedName name="_foo3" localSheetId="10" hidden="1">{#N/A,#N/A,FALSE,"Res - Unadj";#N/A,#N/A,FALSE,"Small L&amp;P";#N/A,#N/A,FALSE,"Medium L&amp;P";#N/A,#N/A,FALSE,"E-19";#N/A,#N/A,FALSE,"E-20";#N/A,#N/A,FALSE,"A-RTP";#N/A,#N/A,FALSE,"Strtlts &amp; Standby";#N/A,#N/A,FALSE,"AG";#N/A,#N/A,FALSE,"2001mixeduse"}</definedName>
    <definedName name="_foo3" localSheetId="3" hidden="1">{#N/A,#N/A,FALSE,"Res - Unadj";#N/A,#N/A,FALSE,"Small L&amp;P";#N/A,#N/A,FALSE,"Medium L&amp;P";#N/A,#N/A,FALSE,"E-19";#N/A,#N/A,FALSE,"E-20";#N/A,#N/A,FALSE,"A-RTP";#N/A,#N/A,FALSE,"Strtlts &amp; Standby";#N/A,#N/A,FALSE,"AG";#N/A,#N/A,FALSE,"2001mixeduse"}</definedName>
    <definedName name="_foo4" localSheetId="25" hidden="1">{"Summary","1",FALSE,"Summary"}</definedName>
    <definedName name="_foo4" localSheetId="8" hidden="1">{"Summary","1",FALSE,"Summary"}</definedName>
    <definedName name="_foo4" localSheetId="10" hidden="1">{"Summary","1",FALSE,"Summary"}</definedName>
    <definedName name="_foo4" localSheetId="3" hidden="1">{"Summary","1",FALSE,"Summary"}</definedName>
    <definedName name="_huh2" localSheetId="25" hidden="1">{#N/A,#N/A,FALSE,"Dist Rev at PR ";#N/A,#N/A,FALSE,"Spec";#N/A,#N/A,FALSE,"Res";#N/A,#N/A,FALSE,"Small L&amp;P";#N/A,#N/A,FALSE,"Medium L&amp;P";#N/A,#N/A,FALSE,"E-19";#N/A,#N/A,FALSE,"E-20";#N/A,#N/A,FALSE,"Strtlts &amp; Standby";#N/A,#N/A,FALSE,"A-RTP";#N/A,#N/A,FALSE,"2003mixeduse"}</definedName>
    <definedName name="_huh2" localSheetId="8" hidden="1">{#N/A,#N/A,FALSE,"Dist Rev at PR ";#N/A,#N/A,FALSE,"Spec";#N/A,#N/A,FALSE,"Res";#N/A,#N/A,FALSE,"Small L&amp;P";#N/A,#N/A,FALSE,"Medium L&amp;P";#N/A,#N/A,FALSE,"E-19";#N/A,#N/A,FALSE,"E-20";#N/A,#N/A,FALSE,"Strtlts &amp; Standby";#N/A,#N/A,FALSE,"A-RTP";#N/A,#N/A,FALSE,"2003mixeduse"}</definedName>
    <definedName name="_huh2" localSheetId="10" hidden="1">{#N/A,#N/A,FALSE,"Dist Rev at PR ";#N/A,#N/A,FALSE,"Spec";#N/A,#N/A,FALSE,"Res";#N/A,#N/A,FALSE,"Small L&amp;P";#N/A,#N/A,FALSE,"Medium L&amp;P";#N/A,#N/A,FALSE,"E-19";#N/A,#N/A,FALSE,"E-20";#N/A,#N/A,FALSE,"Strtlts &amp; Standby";#N/A,#N/A,FALSE,"A-RTP";#N/A,#N/A,FALSE,"2003mixeduse"}</definedName>
    <definedName name="_huh2" localSheetId="14" hidden="1">{#N/A,#N/A,FALSE,"Dist Rev at PR ";#N/A,#N/A,FALSE,"Spec";#N/A,#N/A,FALSE,"Res";#N/A,#N/A,FALSE,"Small L&amp;P";#N/A,#N/A,FALSE,"Medium L&amp;P";#N/A,#N/A,FALSE,"E-19";#N/A,#N/A,FALSE,"E-20";#N/A,#N/A,FALSE,"Strtlts &amp; Standby";#N/A,#N/A,FALSE,"A-RTP";#N/A,#N/A,FALSE,"2003mixeduse"}</definedName>
    <definedName name="_huh2" localSheetId="3" hidden="1">{#N/A,#N/A,FALSE,"Dist Rev at PR ";#N/A,#N/A,FALSE,"Spec";#N/A,#N/A,FALSE,"Res";#N/A,#N/A,FALSE,"Small L&amp;P";#N/A,#N/A,FALSE,"Medium L&amp;P";#N/A,#N/A,FALSE,"E-19";#N/A,#N/A,FALSE,"E-20";#N/A,#N/A,FALSE,"Strtlts &amp; Standby";#N/A,#N/A,FALSE,"A-RTP";#N/A,#N/A,FALSE,"2003mixeduse"}</definedName>
    <definedName name="_Key1" localSheetId="16" hidden="1">#REF!</definedName>
    <definedName name="_Key1" localSheetId="17" hidden="1">#REF!</definedName>
    <definedName name="_Key1" localSheetId="18" hidden="1">#REF!</definedName>
    <definedName name="_Key1" localSheetId="19" hidden="1">#REF!</definedName>
    <definedName name="_Key1" localSheetId="20" hidden="1">#REF!</definedName>
    <definedName name="_Key1" localSheetId="21" hidden="1">#REF!</definedName>
    <definedName name="_Key1" localSheetId="22" hidden="1">#REF!</definedName>
    <definedName name="_Key1" localSheetId="23" hidden="1">#REF!</definedName>
    <definedName name="_Key1" localSheetId="24" hidden="1">#REF!</definedName>
    <definedName name="_Key1" localSheetId="26" hidden="1">#REF!</definedName>
    <definedName name="_Key1" localSheetId="28" hidden="1">#REF!</definedName>
    <definedName name="_Key1" localSheetId="29" hidden="1">#REF!</definedName>
    <definedName name="_Key1" localSheetId="30" hidden="1">#REF!</definedName>
    <definedName name="_Key1" localSheetId="31" hidden="1">#REF!</definedName>
    <definedName name="_Key1" localSheetId="32" hidden="1">#REF!</definedName>
    <definedName name="_Key1" localSheetId="33" hidden="1">#REF!</definedName>
    <definedName name="_Key1" localSheetId="34" hidden="1">#REF!</definedName>
    <definedName name="_Key1" localSheetId="35" hidden="1">#REF!</definedName>
    <definedName name="_Key1" localSheetId="36" hidden="1">#REF!</definedName>
    <definedName name="_Key1" localSheetId="6" hidden="1">#REF!</definedName>
    <definedName name="_Key1" localSheetId="8" hidden="1">#REF!</definedName>
    <definedName name="_Key1" localSheetId="9" hidden="1">#REF!</definedName>
    <definedName name="_Key1" localSheetId="12" hidden="1">#REF!</definedName>
    <definedName name="_Key1" localSheetId="13" hidden="1">#REF!</definedName>
    <definedName name="_Key1" localSheetId="14" hidden="1">#REF!</definedName>
    <definedName name="_Key1" localSheetId="15" hidden="1">#REF!</definedName>
    <definedName name="_Key2" localSheetId="16" hidden="1">#REF!</definedName>
    <definedName name="_Key2" localSheetId="17" hidden="1">#REF!</definedName>
    <definedName name="_Key2" localSheetId="18" hidden="1">#REF!</definedName>
    <definedName name="_Key2" localSheetId="19" hidden="1">#REF!</definedName>
    <definedName name="_Key2" localSheetId="20" hidden="1">#REF!</definedName>
    <definedName name="_Key2" localSheetId="21" hidden="1">#REF!</definedName>
    <definedName name="_Key2" localSheetId="22" hidden="1">#REF!</definedName>
    <definedName name="_Key2" localSheetId="23" hidden="1">#REF!</definedName>
    <definedName name="_Key2" localSheetId="24" hidden="1">#REF!</definedName>
    <definedName name="_Key2" localSheetId="26" hidden="1">#REF!</definedName>
    <definedName name="_Key2" localSheetId="28" hidden="1">#REF!</definedName>
    <definedName name="_Key2" localSheetId="29" hidden="1">#REF!</definedName>
    <definedName name="_Key2" localSheetId="30" hidden="1">#REF!</definedName>
    <definedName name="_Key2" localSheetId="31" hidden="1">#REF!</definedName>
    <definedName name="_Key2" localSheetId="32" hidden="1">#REF!</definedName>
    <definedName name="_Key2" localSheetId="33" hidden="1">#REF!</definedName>
    <definedName name="_Key2" localSheetId="34" hidden="1">#REF!</definedName>
    <definedName name="_Key2" localSheetId="35" hidden="1">#REF!</definedName>
    <definedName name="_Key2" localSheetId="36" hidden="1">#REF!</definedName>
    <definedName name="_Key2" localSheetId="6" hidden="1">#REF!</definedName>
    <definedName name="_Key2" localSheetId="8" hidden="1">#REF!</definedName>
    <definedName name="_Key2" localSheetId="9" hidden="1">#REF!</definedName>
    <definedName name="_Key2" localSheetId="12" hidden="1">#REF!</definedName>
    <definedName name="_Key2" localSheetId="13" hidden="1">#REF!</definedName>
    <definedName name="_Key2" localSheetId="14" hidden="1">#REF!</definedName>
    <definedName name="_Key2" localSheetId="15" hidden="1">#REF!</definedName>
    <definedName name="_L2" localSheetId="25" hidden="1">{"PI_Data",#N/A,TRUE,"P&amp;I Data"}</definedName>
    <definedName name="_L2" localSheetId="8" hidden="1">{"PI_Data",#N/A,TRUE,"P&amp;I Data"}</definedName>
    <definedName name="_L2" localSheetId="10" hidden="1">{"PI_Data",#N/A,TRUE,"P&amp;I Data"}</definedName>
    <definedName name="_L2" localSheetId="3" hidden="1">{"PI_Data",#N/A,TRUE,"P&amp;I Data"}</definedName>
    <definedName name="_m2" localSheetId="25" hidden="1">{"PI_Data",#N/A,TRUE,"P&amp;I Data"}</definedName>
    <definedName name="_m2" localSheetId="8" hidden="1">{"PI_Data",#N/A,TRUE,"P&amp;I Data"}</definedName>
    <definedName name="_m2" localSheetId="10" hidden="1">{"PI_Data",#N/A,TRUE,"P&amp;I Data"}</definedName>
    <definedName name="_m2" localSheetId="3" hidden="1">{"PI_Data",#N/A,TRUE,"P&amp;I Data"}</definedName>
    <definedName name="_p2" localSheetId="25" hidden="1">{"PI_Data",#N/A,TRUE,"P&amp;I Data"}</definedName>
    <definedName name="_p2" localSheetId="8" hidden="1">{"PI_Data",#N/A,TRUE,"P&amp;I Data"}</definedName>
    <definedName name="_p2" localSheetId="10" hidden="1">{"PI_Data",#N/A,TRUE,"P&amp;I Data"}</definedName>
    <definedName name="_p2" localSheetId="3" hidden="1">{"PI_Data",#N/A,TRUE,"P&amp;I Data"}</definedName>
    <definedName name="_Sort" localSheetId="16" hidden="1">#REF!</definedName>
    <definedName name="_Sort" localSheetId="17" hidden="1">#REF!</definedName>
    <definedName name="_Sort" localSheetId="18" hidden="1">#REF!</definedName>
    <definedName name="_Sort" localSheetId="19" hidden="1">#REF!</definedName>
    <definedName name="_Sort" localSheetId="20" hidden="1">#REF!</definedName>
    <definedName name="_Sort" localSheetId="21" hidden="1">#REF!</definedName>
    <definedName name="_Sort" localSheetId="22" hidden="1">#REF!</definedName>
    <definedName name="_Sort" localSheetId="23" hidden="1">#REF!</definedName>
    <definedName name="_Sort" localSheetId="24" hidden="1">#REF!</definedName>
    <definedName name="_Sort" localSheetId="26" hidden="1">#REF!</definedName>
    <definedName name="_Sort" localSheetId="28" hidden="1">#REF!</definedName>
    <definedName name="_Sort" localSheetId="29" hidden="1">#REF!</definedName>
    <definedName name="_Sort" localSheetId="30" hidden="1">#REF!</definedName>
    <definedName name="_Sort" localSheetId="31" hidden="1">#REF!</definedName>
    <definedName name="_Sort" localSheetId="32" hidden="1">#REF!</definedName>
    <definedName name="_Sort" localSheetId="33" hidden="1">#REF!</definedName>
    <definedName name="_Sort" localSheetId="34" hidden="1">#REF!</definedName>
    <definedName name="_Sort" localSheetId="35" hidden="1">#REF!</definedName>
    <definedName name="_Sort" localSheetId="36" hidden="1">#REF!</definedName>
    <definedName name="_Sort" localSheetId="6" hidden="1">#REF!</definedName>
    <definedName name="_Sort" localSheetId="8" hidden="1">#REF!</definedName>
    <definedName name="_Sort" localSheetId="9" hidden="1">#REF!</definedName>
    <definedName name="_Sort" localSheetId="12" hidden="1">#REF!</definedName>
    <definedName name="_Sort" localSheetId="13" hidden="1">#REF!</definedName>
    <definedName name="_Sort" localSheetId="14" hidden="1">#REF!</definedName>
    <definedName name="_Sort" localSheetId="15" hidden="1">#REF!</definedName>
    <definedName name="_t2" localSheetId="25" hidden="1">{"PI_Data",#N/A,TRUE,"P&amp;I Data"}</definedName>
    <definedName name="_t2" localSheetId="8" hidden="1">{"PI_Data",#N/A,TRUE,"P&amp;I Data"}</definedName>
    <definedName name="_t2" localSheetId="10" hidden="1">{"PI_Data",#N/A,TRUE,"P&amp;I Data"}</definedName>
    <definedName name="_t2" localSheetId="3" hidden="1">{"PI_Data",#N/A,TRUE,"P&amp;I Data"}</definedName>
    <definedName name="a" localSheetId="25" hidden="1">{#N/A,#N/A,FALSE,"CTC Summary - EOY";#N/A,#N/A,FALSE,"CTC Summary - Wtavg"}</definedName>
    <definedName name="a" localSheetId="8" hidden="1">{#N/A,#N/A,FALSE,"CTC Summary - EOY";#N/A,#N/A,FALSE,"CTC Summary - Wtavg"}</definedName>
    <definedName name="a" localSheetId="10" hidden="1">{#N/A,#N/A,FALSE,"CTC Summary - EOY";#N/A,#N/A,FALSE,"CTC Summary - Wtavg"}</definedName>
    <definedName name="a" localSheetId="3" hidden="1">{#N/A,#N/A,FALSE,"CTC Summary - EOY";#N/A,#N/A,FALSE,"CTC Summary - Wtavg"}</definedName>
    <definedName name="ACCELERATED2" localSheetId="25" hidden="1">{#N/A,#N/A,FALSE,"CTC Summary - EOY";#N/A,#N/A,FALSE,"CTC Summary - Wtavg"}</definedName>
    <definedName name="ACCELERATED2" localSheetId="8" hidden="1">{#N/A,#N/A,FALSE,"CTC Summary - EOY";#N/A,#N/A,FALSE,"CTC Summary - Wtavg"}</definedName>
    <definedName name="ACCELERATED2" localSheetId="10" hidden="1">{#N/A,#N/A,FALSE,"CTC Summary - EOY";#N/A,#N/A,FALSE,"CTC Summary - Wtavg"}</definedName>
    <definedName name="ACCELERATED2" localSheetId="3" hidden="1">{#N/A,#N/A,FALSE,"CTC Summary - EOY";#N/A,#N/A,FALSE,"CTC Summary - Wtavg"}</definedName>
    <definedName name="ACCELLERATED1X" localSheetId="25" hidden="1">{#N/A,#N/A,FALSE,"CTC Summary - EOY";#N/A,#N/A,FALSE,"CTC Summary - Wtavg"}</definedName>
    <definedName name="ACCELLERATED1X" localSheetId="8" hidden="1">{#N/A,#N/A,FALSE,"CTC Summary - EOY";#N/A,#N/A,FALSE,"CTC Summary - Wtavg"}</definedName>
    <definedName name="ACCELLERATED1X" localSheetId="10" hidden="1">{#N/A,#N/A,FALSE,"CTC Summary - EOY";#N/A,#N/A,FALSE,"CTC Summary - Wtavg"}</definedName>
    <definedName name="ACCELLERATED1X" localSheetId="3" hidden="1">{#N/A,#N/A,FALSE,"CTC Summary - EOY";#N/A,#N/A,FALSE,"CTC Summary - Wtavg"}</definedName>
    <definedName name="again" localSheetId="25" hidden="1">{#N/A,#N/A,FALSE,"ND Rev at Pres Rates";#N/A,#N/A,FALSE,"Res - Unadj sales";#N/A,#N/A,FALSE,"Small L&amp;P";#N/A,#N/A,FALSE,"Medium L&amp;P";#N/A,#N/A,FALSE,"E-19";#N/A,#N/A,FALSE,"E-20";#N/A,#N/A,FALSE,"Strtlts &amp; Standby";#N/A,#N/A,FALSE,"AG";#N/A,#N/A,FALSE,"A-RTP";#N/A,#N/A,FALSE,"Spec"}</definedName>
    <definedName name="again" localSheetId="8" hidden="1">{#N/A,#N/A,FALSE,"ND Rev at Pres Rates";#N/A,#N/A,FALSE,"Res - Unadj sales";#N/A,#N/A,FALSE,"Small L&amp;P";#N/A,#N/A,FALSE,"Medium L&amp;P";#N/A,#N/A,FALSE,"E-19";#N/A,#N/A,FALSE,"E-20";#N/A,#N/A,FALSE,"Strtlts &amp; Standby";#N/A,#N/A,FALSE,"AG";#N/A,#N/A,FALSE,"A-RTP";#N/A,#N/A,FALSE,"Spec"}</definedName>
    <definedName name="again" localSheetId="10" hidden="1">{#N/A,#N/A,FALSE,"ND Rev at Pres Rates";#N/A,#N/A,FALSE,"Res - Unadj sales";#N/A,#N/A,FALSE,"Small L&amp;P";#N/A,#N/A,FALSE,"Medium L&amp;P";#N/A,#N/A,FALSE,"E-19";#N/A,#N/A,FALSE,"E-20";#N/A,#N/A,FALSE,"Strtlts &amp; Standby";#N/A,#N/A,FALSE,"AG";#N/A,#N/A,FALSE,"A-RTP";#N/A,#N/A,FALSE,"Spec"}</definedName>
    <definedName name="again" localSheetId="14" hidden="1">{#N/A,#N/A,FALSE,"ND Rev at Pres Rates";#N/A,#N/A,FALSE,"Res - Unadj sales";#N/A,#N/A,FALSE,"Small L&amp;P";#N/A,#N/A,FALSE,"Medium L&amp;P";#N/A,#N/A,FALSE,"E-19";#N/A,#N/A,FALSE,"E-20";#N/A,#N/A,FALSE,"Strtlts &amp; Standby";#N/A,#N/A,FALSE,"AG";#N/A,#N/A,FALSE,"A-RTP";#N/A,#N/A,FALSE,"Spec"}</definedName>
    <definedName name="again" localSheetId="3" hidden="1">{#N/A,#N/A,FALSE,"ND Rev at Pres Rates";#N/A,#N/A,FALSE,"Res - Unadj sales";#N/A,#N/A,FALSE,"Small L&amp;P";#N/A,#N/A,FALSE,"Medium L&amp;P";#N/A,#N/A,FALSE,"E-19";#N/A,#N/A,FALSE,"E-20";#N/A,#N/A,FALSE,"Strtlts &amp; Standby";#N/A,#N/A,FALSE,"AG";#N/A,#N/A,FALSE,"A-RTP";#N/A,#N/A,FALSE,"Spec"}</definedName>
    <definedName name="April" localSheetId="25" hidden="1">{#N/A,#N/A,FALSE,"CTC Summary - EOY";#N/A,#N/A,FALSE,"CTC Summary - Wtavg"}</definedName>
    <definedName name="April" localSheetId="8" hidden="1">{#N/A,#N/A,FALSE,"CTC Summary - EOY";#N/A,#N/A,FALSE,"CTC Summary - Wtavg"}</definedName>
    <definedName name="April" localSheetId="10" hidden="1">{#N/A,#N/A,FALSE,"CTC Summary - EOY";#N/A,#N/A,FALSE,"CTC Summary - Wtavg"}</definedName>
    <definedName name="April" localSheetId="3" hidden="1">{#N/A,#N/A,FALSE,"CTC Summary - EOY";#N/A,#N/A,FALSE,"CTC Summary - Wtavg"}</definedName>
    <definedName name="August" localSheetId="25" hidden="1">{#N/A,#N/A,FALSE,"CTC Summary - EOY";#N/A,#N/A,FALSE,"CTC Summary - Wtavg"}</definedName>
    <definedName name="August" localSheetId="8" hidden="1">{#N/A,#N/A,FALSE,"CTC Summary - EOY";#N/A,#N/A,FALSE,"CTC Summary - Wtavg"}</definedName>
    <definedName name="August" localSheetId="10" hidden="1">{#N/A,#N/A,FALSE,"CTC Summary - EOY";#N/A,#N/A,FALSE,"CTC Summary - Wtavg"}</definedName>
    <definedName name="August" localSheetId="3" hidden="1">{#N/A,#N/A,FALSE,"CTC Summary - EOY";#N/A,#N/A,FALSE,"CTC Summary - Wtavg"}</definedName>
    <definedName name="b" localSheetId="25" hidden="1">{#N/A,#N/A,FALSE,"CTC Summary - EOY";#N/A,#N/A,FALSE,"CTC Summary - Wtavg"}</definedName>
    <definedName name="b" localSheetId="8" hidden="1">{#N/A,#N/A,FALSE,"CTC Summary - EOY";#N/A,#N/A,FALSE,"CTC Summary - Wtavg"}</definedName>
    <definedName name="b" localSheetId="10" hidden="1">{#N/A,#N/A,FALSE,"CTC Summary - EOY";#N/A,#N/A,FALSE,"CTC Summary - Wtavg"}</definedName>
    <definedName name="b" localSheetId="3" hidden="1">{#N/A,#N/A,FALSE,"CTC Summary - EOY";#N/A,#N/A,FALSE,"CTC Summary - Wtavg"}</definedName>
    <definedName name="copy" localSheetId="25" hidden="1">{#N/A,#N/A,FALSE,"Dist Rev at PR ";#N/A,#N/A,FALSE,"Spec";#N/A,#N/A,FALSE,"Res";#N/A,#N/A,FALSE,"Small L&amp;P";#N/A,#N/A,FALSE,"Medium L&amp;P";#N/A,#N/A,FALSE,"E-19";#N/A,#N/A,FALSE,"E-20";#N/A,#N/A,FALSE,"Strtlts &amp; Standby";#N/A,#N/A,FALSE,"A-RTP";#N/A,#N/A,FALSE,"2003mixeduse"}</definedName>
    <definedName name="copy" localSheetId="8" hidden="1">{#N/A,#N/A,FALSE,"Dist Rev at PR ";#N/A,#N/A,FALSE,"Spec";#N/A,#N/A,FALSE,"Res";#N/A,#N/A,FALSE,"Small L&amp;P";#N/A,#N/A,FALSE,"Medium L&amp;P";#N/A,#N/A,FALSE,"E-19";#N/A,#N/A,FALSE,"E-20";#N/A,#N/A,FALSE,"Strtlts &amp; Standby";#N/A,#N/A,FALSE,"A-RTP";#N/A,#N/A,FALSE,"2003mixeduse"}</definedName>
    <definedName name="copy" localSheetId="10" hidden="1">{#N/A,#N/A,FALSE,"Dist Rev at PR ";#N/A,#N/A,FALSE,"Spec";#N/A,#N/A,FALSE,"Res";#N/A,#N/A,FALSE,"Small L&amp;P";#N/A,#N/A,FALSE,"Medium L&amp;P";#N/A,#N/A,FALSE,"E-19";#N/A,#N/A,FALSE,"E-20";#N/A,#N/A,FALSE,"Strtlts &amp; Standby";#N/A,#N/A,FALSE,"A-RTP";#N/A,#N/A,FALSE,"2003mixeduse"}</definedName>
    <definedName name="copy" localSheetId="14" hidden="1">{#N/A,#N/A,FALSE,"Dist Rev at PR ";#N/A,#N/A,FALSE,"Spec";#N/A,#N/A,FALSE,"Res";#N/A,#N/A,FALSE,"Small L&amp;P";#N/A,#N/A,FALSE,"Medium L&amp;P";#N/A,#N/A,FALSE,"E-19";#N/A,#N/A,FALSE,"E-20";#N/A,#N/A,FALSE,"Strtlts &amp; Standby";#N/A,#N/A,FALSE,"A-RTP";#N/A,#N/A,FALSE,"2003mixeduse"}</definedName>
    <definedName name="copy" localSheetId="3" hidden="1">{#N/A,#N/A,FALSE,"Dist Rev at PR ";#N/A,#N/A,FALSE,"Spec";#N/A,#N/A,FALSE,"Res";#N/A,#N/A,FALSE,"Small L&amp;P";#N/A,#N/A,FALSE,"Medium L&amp;P";#N/A,#N/A,FALSE,"E-19";#N/A,#N/A,FALSE,"E-20";#N/A,#N/A,FALSE,"Strtlts &amp; Standby";#N/A,#N/A,FALSE,"A-RTP";#N/A,#N/A,FALSE,"2003mixeduse"}</definedName>
    <definedName name="copyprint" localSheetId="25" hidden="1">{#N/A,#N/A,FALSE,"Workpaper Tables 4-1 &amp; 4-2";#N/A,#N/A,FALSE,"Revenue Allocation Results";#N/A,#N/A,FALSE,"FERC Rev @ PR";#N/A,#N/A,FALSE,"Distribution Revenue Allocation";#N/A,#N/A,FALSE,"Nonallocated Revenues ";#N/A,#N/A,FALSE,"2000mixuse";#N/A,#N/A,FALSE,"MC Revenues- 00 sales, 96 MC's"}</definedName>
    <definedName name="copyprint" localSheetId="8" hidden="1">{#N/A,#N/A,FALSE,"Workpaper Tables 4-1 &amp; 4-2";#N/A,#N/A,FALSE,"Revenue Allocation Results";#N/A,#N/A,FALSE,"FERC Rev @ PR";#N/A,#N/A,FALSE,"Distribution Revenue Allocation";#N/A,#N/A,FALSE,"Nonallocated Revenues ";#N/A,#N/A,FALSE,"2000mixuse";#N/A,#N/A,FALSE,"MC Revenues- 00 sales, 96 MC's"}</definedName>
    <definedName name="copyprint" localSheetId="10" hidden="1">{#N/A,#N/A,FALSE,"Workpaper Tables 4-1 &amp; 4-2";#N/A,#N/A,FALSE,"Revenue Allocation Results";#N/A,#N/A,FALSE,"FERC Rev @ PR";#N/A,#N/A,FALSE,"Distribution Revenue Allocation";#N/A,#N/A,FALSE,"Nonallocated Revenues ";#N/A,#N/A,FALSE,"2000mixuse";#N/A,#N/A,FALSE,"MC Revenues- 00 sales, 96 MC's"}</definedName>
    <definedName name="copyprint" localSheetId="14" hidden="1">{#N/A,#N/A,FALSE,"Workpaper Tables 4-1 &amp; 4-2";#N/A,#N/A,FALSE,"Revenue Allocation Results";#N/A,#N/A,FALSE,"FERC Rev @ PR";#N/A,#N/A,FALSE,"Distribution Revenue Allocation";#N/A,#N/A,FALSE,"Nonallocated Revenues ";#N/A,#N/A,FALSE,"2000mixuse";#N/A,#N/A,FALSE,"MC Revenues- 00 sales, 96 MC's"}</definedName>
    <definedName name="copyprint" localSheetId="3" hidden="1">{#N/A,#N/A,FALSE,"Workpaper Tables 4-1 &amp; 4-2";#N/A,#N/A,FALSE,"Revenue Allocation Results";#N/A,#N/A,FALSE,"FERC Rev @ PR";#N/A,#N/A,FALSE,"Distribution Revenue Allocation";#N/A,#N/A,FALSE,"Nonallocated Revenues ";#N/A,#N/A,FALSE,"2000mixuse";#N/A,#N/A,FALSE,"MC Revenues- 00 sales, 96 MC's"}</definedName>
    <definedName name="copyrap" localSheetId="25"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copyrap" localSheetId="8"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copyrap" localSheetId="10"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copyrap" localSheetId="14"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copyrap" localSheetId="3"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copyrevalloc" localSheetId="25" hidden="1">{#N/A,#N/A,FALSE,"RRQ inputs ";#N/A,#N/A,FALSE,"FERC Rev @ PR";#N/A,#N/A,FALSE,"Distribution Revenue Allocation";#N/A,#N/A,FALSE,"Nonallocated Revenues";#N/A,#N/A,FALSE,"MC Revenues-03 sales, 96 MC's";#N/A,#N/A,FALSE,"FTA"}</definedName>
    <definedName name="copyrevalloc" localSheetId="8" hidden="1">{#N/A,#N/A,FALSE,"RRQ inputs ";#N/A,#N/A,FALSE,"FERC Rev @ PR";#N/A,#N/A,FALSE,"Distribution Revenue Allocation";#N/A,#N/A,FALSE,"Nonallocated Revenues";#N/A,#N/A,FALSE,"MC Revenues-03 sales, 96 MC's";#N/A,#N/A,FALSE,"FTA"}</definedName>
    <definedName name="copyrevalloc" localSheetId="10" hidden="1">{#N/A,#N/A,FALSE,"RRQ inputs ";#N/A,#N/A,FALSE,"FERC Rev @ PR";#N/A,#N/A,FALSE,"Distribution Revenue Allocation";#N/A,#N/A,FALSE,"Nonallocated Revenues";#N/A,#N/A,FALSE,"MC Revenues-03 sales, 96 MC's";#N/A,#N/A,FALSE,"FTA"}</definedName>
    <definedName name="copyrevalloc" localSheetId="14" hidden="1">{#N/A,#N/A,FALSE,"RRQ inputs ";#N/A,#N/A,FALSE,"FERC Rev @ PR";#N/A,#N/A,FALSE,"Distribution Revenue Allocation";#N/A,#N/A,FALSE,"Nonallocated Revenues";#N/A,#N/A,FALSE,"MC Revenues-03 sales, 96 MC's";#N/A,#N/A,FALSE,"FTA"}</definedName>
    <definedName name="copyrevalloc" localSheetId="3" hidden="1">{#N/A,#N/A,FALSE,"RRQ inputs ";#N/A,#N/A,FALSE,"FERC Rev @ PR";#N/A,#N/A,FALSE,"Distribution Revenue Allocation";#N/A,#N/A,FALSE,"Nonallocated Revenues";#N/A,#N/A,FALSE,"MC Revenues-03 sales, 96 MC's";#N/A,#N/A,FALSE,"FTA"}</definedName>
    <definedName name="copyschudel" localSheetId="25" hidden="1">{#N/A,#N/A,FALSE,"ND Rev at Pres Rates";#N/A,#N/A,FALSE,"Res - Unadj";#N/A,#N/A,FALSE,"Small L&amp;P";#N/A,#N/A,FALSE,"Medium L&amp;P";#N/A,#N/A,FALSE,"E-19";#N/A,#N/A,FALSE,"E-20";#N/A,#N/A,FALSE,"A-RTP";#N/A,#N/A,FALSE,"Strtlts &amp; Standby";#N/A,#N/A,FALSE,"AG";#N/A,#N/A,FALSE,"2001mixeduse"}</definedName>
    <definedName name="copyschudel" localSheetId="8" hidden="1">{#N/A,#N/A,FALSE,"ND Rev at Pres Rates";#N/A,#N/A,FALSE,"Res - Unadj";#N/A,#N/A,FALSE,"Small L&amp;P";#N/A,#N/A,FALSE,"Medium L&amp;P";#N/A,#N/A,FALSE,"E-19";#N/A,#N/A,FALSE,"E-20";#N/A,#N/A,FALSE,"A-RTP";#N/A,#N/A,FALSE,"Strtlts &amp; Standby";#N/A,#N/A,FALSE,"AG";#N/A,#N/A,FALSE,"2001mixeduse"}</definedName>
    <definedName name="copyschudel" localSheetId="10" hidden="1">{#N/A,#N/A,FALSE,"ND Rev at Pres Rates";#N/A,#N/A,FALSE,"Res - Unadj";#N/A,#N/A,FALSE,"Small L&amp;P";#N/A,#N/A,FALSE,"Medium L&amp;P";#N/A,#N/A,FALSE,"E-19";#N/A,#N/A,FALSE,"E-20";#N/A,#N/A,FALSE,"A-RTP";#N/A,#N/A,FALSE,"Strtlts &amp; Standby";#N/A,#N/A,FALSE,"AG";#N/A,#N/A,FALSE,"2001mixeduse"}</definedName>
    <definedName name="copyschudel" localSheetId="14" hidden="1">{#N/A,#N/A,FALSE,"ND Rev at Pres Rates";#N/A,#N/A,FALSE,"Res - Unadj";#N/A,#N/A,FALSE,"Small L&amp;P";#N/A,#N/A,FALSE,"Medium L&amp;P";#N/A,#N/A,FALSE,"E-19";#N/A,#N/A,FALSE,"E-20";#N/A,#N/A,FALSE,"A-RTP";#N/A,#N/A,FALSE,"Strtlts &amp; Standby";#N/A,#N/A,FALSE,"AG";#N/A,#N/A,FALSE,"2001mixeduse"}</definedName>
    <definedName name="copyschudel" localSheetId="3" hidden="1">{#N/A,#N/A,FALSE,"ND Rev at Pres Rates";#N/A,#N/A,FALSE,"Res - Unadj";#N/A,#N/A,FALSE,"Small L&amp;P";#N/A,#N/A,FALSE,"Medium L&amp;P";#N/A,#N/A,FALSE,"E-19";#N/A,#N/A,FALSE,"E-20";#N/A,#N/A,FALSE,"A-RTP";#N/A,#N/A,FALSE,"Strtlts &amp; Standby";#N/A,#N/A,FALSE,"AG";#N/A,#N/A,FALSE,"2001mixeduse"}</definedName>
    <definedName name="CTIT" localSheetId="25" hidden="1">{"PI_Data",#N/A,TRUE,"P&amp;I Data"}</definedName>
    <definedName name="CTIT" localSheetId="8" hidden="1">{"PI_Data",#N/A,TRUE,"P&amp;I Data"}</definedName>
    <definedName name="CTIT" localSheetId="10" hidden="1">{"PI_Data",#N/A,TRUE,"P&amp;I Data"}</definedName>
    <definedName name="CTIT" localSheetId="3" hidden="1">{"PI_Data",#N/A,TRUE,"P&amp;I Data"}</definedName>
    <definedName name="d" localSheetId="25" hidden="1">{#N/A,#N/A,FALSE,"CTC Summary - EOY";#N/A,#N/A,FALSE,"CTC Summary - Wtavg"}</definedName>
    <definedName name="d" localSheetId="8" hidden="1">{#N/A,#N/A,FALSE,"CTC Summary - EOY";#N/A,#N/A,FALSE,"CTC Summary - Wtavg"}</definedName>
    <definedName name="d" localSheetId="10" hidden="1">{#N/A,#N/A,FALSE,"CTC Summary - EOY";#N/A,#N/A,FALSE,"CTC Summary - Wtavg"}</definedName>
    <definedName name="d" localSheetId="3" hidden="1">{#N/A,#N/A,FALSE,"CTC Summary - EOY";#N/A,#N/A,FALSE,"CTC Summary - Wtavg"}</definedName>
    <definedName name="DeleteMe" localSheetId="25" hidden="1">{#N/A,#N/A,FALSE,"Dist Rev at PR ";#N/A,#N/A,FALSE,"Spec";#N/A,#N/A,FALSE,"Res";#N/A,#N/A,FALSE,"Small L&amp;P";#N/A,#N/A,FALSE,"Medium L&amp;P";#N/A,#N/A,FALSE,"E-19";#N/A,#N/A,FALSE,"E-20";#N/A,#N/A,FALSE,"Strtlts &amp; Standby";#N/A,#N/A,FALSE,"A-RTP";#N/A,#N/A,FALSE,"2003mixeduse"}</definedName>
    <definedName name="DeleteMe" localSheetId="8" hidden="1">{#N/A,#N/A,FALSE,"Dist Rev at PR ";#N/A,#N/A,FALSE,"Spec";#N/A,#N/A,FALSE,"Res";#N/A,#N/A,FALSE,"Small L&amp;P";#N/A,#N/A,FALSE,"Medium L&amp;P";#N/A,#N/A,FALSE,"E-19";#N/A,#N/A,FALSE,"E-20";#N/A,#N/A,FALSE,"Strtlts &amp; Standby";#N/A,#N/A,FALSE,"A-RTP";#N/A,#N/A,FALSE,"2003mixeduse"}</definedName>
    <definedName name="DeleteMe" localSheetId="10" hidden="1">{#N/A,#N/A,FALSE,"Dist Rev at PR ";#N/A,#N/A,FALSE,"Spec";#N/A,#N/A,FALSE,"Res";#N/A,#N/A,FALSE,"Small L&amp;P";#N/A,#N/A,FALSE,"Medium L&amp;P";#N/A,#N/A,FALSE,"E-19";#N/A,#N/A,FALSE,"E-20";#N/A,#N/A,FALSE,"Strtlts &amp; Standby";#N/A,#N/A,FALSE,"A-RTP";#N/A,#N/A,FALSE,"2003mixeduse"}</definedName>
    <definedName name="DeleteMe" localSheetId="3" hidden="1">{#N/A,#N/A,FALSE,"Dist Rev at PR ";#N/A,#N/A,FALSE,"Spec";#N/A,#N/A,FALSE,"Res";#N/A,#N/A,FALSE,"Small L&amp;P";#N/A,#N/A,FALSE,"Medium L&amp;P";#N/A,#N/A,FALSE,"E-19";#N/A,#N/A,FALSE,"E-20";#N/A,#N/A,FALSE,"Strtlts &amp; Standby";#N/A,#N/A,FALSE,"A-RTP";#N/A,#N/A,FALSE,"2003mixeduse"}</definedName>
    <definedName name="e" localSheetId="25" hidden="1">{#N/A,#N/A,FALSE,"CTC Summary - EOY";#N/A,#N/A,FALSE,"CTC Summary - Wtavg"}</definedName>
    <definedName name="e" localSheetId="8" hidden="1">{#N/A,#N/A,FALSE,"CTC Summary - EOY";#N/A,#N/A,FALSE,"CTC Summary - Wtavg"}</definedName>
    <definedName name="e" localSheetId="10" hidden="1">{#N/A,#N/A,FALSE,"CTC Summary - EOY";#N/A,#N/A,FALSE,"CTC Summary - Wtavg"}</definedName>
    <definedName name="e" localSheetId="3" hidden="1">{#N/A,#N/A,FALSE,"CTC Summary - EOY";#N/A,#N/A,FALSE,"CTC Summary - Wtavg"}</definedName>
    <definedName name="ee" localSheetId="16" hidden="1">{"PI_Data",#N/A,TRUE,"P&amp;I Data"}</definedName>
    <definedName name="ee" localSheetId="17" hidden="1">{"PI_Data",#N/A,TRUE,"P&amp;I Data"}</definedName>
    <definedName name="ee" localSheetId="18" hidden="1">{"PI_Data",#N/A,TRUE,"P&amp;I Data"}</definedName>
    <definedName name="ee" localSheetId="19" hidden="1">{"PI_Data",#N/A,TRUE,"P&amp;I Data"}</definedName>
    <definedName name="ee" localSheetId="20" hidden="1">{"PI_Data",#N/A,TRUE,"P&amp;I Data"}</definedName>
    <definedName name="ee" localSheetId="21" hidden="1">{"PI_Data",#N/A,TRUE,"P&amp;I Data"}</definedName>
    <definedName name="ee" localSheetId="22" hidden="1">{"PI_Data",#N/A,TRUE,"P&amp;I Data"}</definedName>
    <definedName name="ee" localSheetId="23" hidden="1">{"PI_Data",#N/A,TRUE,"P&amp;I Data"}</definedName>
    <definedName name="ee" localSheetId="24" hidden="1">{"PI_Data",#N/A,TRUE,"P&amp;I Data"}</definedName>
    <definedName name="ee" localSheetId="25" hidden="1">{"PI_Data",#N/A,TRUE,"P&amp;I Data"}</definedName>
    <definedName name="ee" localSheetId="26" hidden="1">{"PI_Data",#N/A,TRUE,"P&amp;I Data"}</definedName>
    <definedName name="ee" localSheetId="28" hidden="1">{"PI_Data",#N/A,TRUE,"P&amp;I Data"}</definedName>
    <definedName name="ee" localSheetId="29" hidden="1">{"PI_Data",#N/A,TRUE,"P&amp;I Data"}</definedName>
    <definedName name="ee" localSheetId="30" hidden="1">{"PI_Data",#N/A,TRUE,"P&amp;I Data"}</definedName>
    <definedName name="ee" localSheetId="31" hidden="1">{"PI_Data",#N/A,TRUE,"P&amp;I Data"}</definedName>
    <definedName name="ee" localSheetId="32" hidden="1">{"PI_Data",#N/A,TRUE,"P&amp;I Data"}</definedName>
    <definedName name="ee" localSheetId="33" hidden="1">{"PI_Data",#N/A,TRUE,"P&amp;I Data"}</definedName>
    <definedName name="ee" localSheetId="34" hidden="1">{"PI_Data",#N/A,TRUE,"P&amp;I Data"}</definedName>
    <definedName name="ee" localSheetId="35" hidden="1">{"PI_Data",#N/A,TRUE,"P&amp;I Data"}</definedName>
    <definedName name="ee" localSheetId="36" hidden="1">{"PI_Data",#N/A,TRUE,"P&amp;I Data"}</definedName>
    <definedName name="ee" localSheetId="8" hidden="1">{"PI_Data",#N/A,TRUE,"P&amp;I Data"}</definedName>
    <definedName name="ee" localSheetId="9" hidden="1">{"PI_Data",#N/A,TRUE,"P&amp;I Data"}</definedName>
    <definedName name="ee" localSheetId="10" hidden="1">{"PI_Data",#N/A,TRUE,"P&amp;I Data"}</definedName>
    <definedName name="ee" localSheetId="12" hidden="1">{"PI_Data",#N/A,TRUE,"P&amp;I Data"}</definedName>
    <definedName name="ee" localSheetId="13" hidden="1">{"PI_Data",#N/A,TRUE,"P&amp;I Data"}</definedName>
    <definedName name="ee" localSheetId="14" hidden="1">{"PI_Data",#N/A,TRUE,"P&amp;I Data"}</definedName>
    <definedName name="ee" localSheetId="15" hidden="1">{"PI_Data",#N/A,TRUE,"P&amp;I Data"}</definedName>
    <definedName name="ee" localSheetId="3" hidden="1">{"PI_Data",#N/A,TRUE,"P&amp;I Data"}</definedName>
    <definedName name="ef" localSheetId="16" hidden="1">{"PI_Data",#N/A,TRUE,"P&amp;I Data"}</definedName>
    <definedName name="ef" localSheetId="17" hidden="1">{"PI_Data",#N/A,TRUE,"P&amp;I Data"}</definedName>
    <definedName name="ef" localSheetId="18" hidden="1">{"PI_Data",#N/A,TRUE,"P&amp;I Data"}</definedName>
    <definedName name="ef" localSheetId="19" hidden="1">{"PI_Data",#N/A,TRUE,"P&amp;I Data"}</definedName>
    <definedName name="ef" localSheetId="20" hidden="1">{"PI_Data",#N/A,TRUE,"P&amp;I Data"}</definedName>
    <definedName name="ef" localSheetId="21" hidden="1">{"PI_Data",#N/A,TRUE,"P&amp;I Data"}</definedName>
    <definedName name="ef" localSheetId="22" hidden="1">{"PI_Data",#N/A,TRUE,"P&amp;I Data"}</definedName>
    <definedName name="ef" localSheetId="23" hidden="1">{"PI_Data",#N/A,TRUE,"P&amp;I Data"}</definedName>
    <definedName name="ef" localSheetId="25" hidden="1">{"PI_Data",#N/A,TRUE,"P&amp;I Data"}</definedName>
    <definedName name="ef" localSheetId="26" hidden="1">{"PI_Data",#N/A,TRUE,"P&amp;I Data"}</definedName>
    <definedName name="ef" localSheetId="28" hidden="1">{"PI_Data",#N/A,TRUE,"P&amp;I Data"}</definedName>
    <definedName name="ef" localSheetId="29" hidden="1">{"PI_Data",#N/A,TRUE,"P&amp;I Data"}</definedName>
    <definedName name="ef" localSheetId="30" hidden="1">{"PI_Data",#N/A,TRUE,"P&amp;I Data"}</definedName>
    <definedName name="ef" localSheetId="31" hidden="1">{"PI_Data",#N/A,TRUE,"P&amp;I Data"}</definedName>
    <definedName name="ef" localSheetId="32" hidden="1">{"PI_Data",#N/A,TRUE,"P&amp;I Data"}</definedName>
    <definedName name="ef" localSheetId="33" hidden="1">{"PI_Data",#N/A,TRUE,"P&amp;I Data"}</definedName>
    <definedName name="ef" localSheetId="34" hidden="1">{"PI_Data",#N/A,TRUE,"P&amp;I Data"}</definedName>
    <definedName name="ef" localSheetId="35" hidden="1">{"PI_Data",#N/A,TRUE,"P&amp;I Data"}</definedName>
    <definedName name="ef" localSheetId="36" hidden="1">{"PI_Data",#N/A,TRUE,"P&amp;I Data"}</definedName>
    <definedName name="ef" localSheetId="8" hidden="1">{"PI_Data",#N/A,TRUE,"P&amp;I Data"}</definedName>
    <definedName name="ef" localSheetId="9" hidden="1">{"PI_Data",#N/A,TRUE,"P&amp;I Data"}</definedName>
    <definedName name="ef" localSheetId="10" hidden="1">{"PI_Data",#N/A,TRUE,"P&amp;I Data"}</definedName>
    <definedName name="ef" localSheetId="12" hidden="1">{"PI_Data",#N/A,TRUE,"P&amp;I Data"}</definedName>
    <definedName name="ef" localSheetId="13" hidden="1">{"PI_Data",#N/A,TRUE,"P&amp;I Data"}</definedName>
    <definedName name="ef" localSheetId="14" hidden="1">{"PI_Data",#N/A,TRUE,"P&amp;I Data"}</definedName>
    <definedName name="ef" localSheetId="15" hidden="1">{"PI_Data",#N/A,TRUE,"P&amp;I Data"}</definedName>
    <definedName name="ef" localSheetId="3" hidden="1">{"PI_Data",#N/A,TRUE,"P&amp;I Data"}</definedName>
    <definedName name="EV__LASTREFTIME__" localSheetId="24" hidden="1">"(GMT-08:00)5/8/2012 1:36:12 PM"</definedName>
    <definedName name="FERC" localSheetId="25" hidden="1">{#N/A,#N/A,FALSE,"CTC Summary - EOY";#N/A,#N/A,FALSE,"CTC Summary - Wtavg"}</definedName>
    <definedName name="FERC" localSheetId="8" hidden="1">{#N/A,#N/A,FALSE,"CTC Summary - EOY";#N/A,#N/A,FALSE,"CTC Summary - Wtavg"}</definedName>
    <definedName name="FERC" localSheetId="10" hidden="1">{#N/A,#N/A,FALSE,"CTC Summary - EOY";#N/A,#N/A,FALSE,"CTC Summary - Wtavg"}</definedName>
    <definedName name="FERC" localSheetId="3" hidden="1">{#N/A,#N/A,FALSE,"CTC Summary - EOY";#N/A,#N/A,FALSE,"CTC Summary - Wtavg"}</definedName>
    <definedName name="foo" localSheetId="25" hidden="1">{"spreadsheet1-8","1",FALSE,"Scenarios 1-8";"spreadsheet1-8","2",FALSE,"Scenarios 1-8";"spreadsheet1-8","3",FALSE,"Scenarios 1-8";"spreadsheet1-8","4",FALSE,"Scenarios 1-8";"spreadsheet1-8","5",FALSE,"Scenarios 1-8";"spreadsheet1-8","6",FALSE,"Scenarios 1-8";"spreadsheet1-8","7",FALSE,"Scenarios 1-8";"spreadsheet1-8","8",FALSE,"Scenarios 1-8"}</definedName>
    <definedName name="foo" localSheetId="8" hidden="1">{"spreadsheet1-8","1",FALSE,"Scenarios 1-8";"spreadsheet1-8","2",FALSE,"Scenarios 1-8";"spreadsheet1-8","3",FALSE,"Scenarios 1-8";"spreadsheet1-8","4",FALSE,"Scenarios 1-8";"spreadsheet1-8","5",FALSE,"Scenarios 1-8";"spreadsheet1-8","6",FALSE,"Scenarios 1-8";"spreadsheet1-8","7",FALSE,"Scenarios 1-8";"spreadsheet1-8","8",FALSE,"Scenarios 1-8"}</definedName>
    <definedName name="foo" localSheetId="10" hidden="1">{"spreadsheet1-8","1",FALSE,"Scenarios 1-8";"spreadsheet1-8","2",FALSE,"Scenarios 1-8";"spreadsheet1-8","3",FALSE,"Scenarios 1-8";"spreadsheet1-8","4",FALSE,"Scenarios 1-8";"spreadsheet1-8","5",FALSE,"Scenarios 1-8";"spreadsheet1-8","6",FALSE,"Scenarios 1-8";"spreadsheet1-8","7",FALSE,"Scenarios 1-8";"spreadsheet1-8","8",FALSE,"Scenarios 1-8"}</definedName>
    <definedName name="foo" localSheetId="3" hidden="1">{"spreadsheet1-8","1",FALSE,"Scenarios 1-8";"spreadsheet1-8","2",FALSE,"Scenarios 1-8";"spreadsheet1-8","3",FALSE,"Scenarios 1-8";"spreadsheet1-8","4",FALSE,"Scenarios 1-8";"spreadsheet1-8","5",FALSE,"Scenarios 1-8";"spreadsheet1-8","6",FALSE,"Scenarios 1-8";"spreadsheet1-8","7",FALSE,"Scenarios 1-8";"spreadsheet1-8","8",FALSE,"Scenarios 1-8"}</definedName>
    <definedName name="gggg" localSheetId="25" hidden="1">{#N/A,#N/A,TRUE,"Title Page";#N/A,#N/A,TRUE,"Table of Contents";#N/A,#N/A,TRUE,"Guidelines 1";#N/A,#N/A,TRUE,"Guidelines 2";#N/A,#N/A,TRUE,"SAP Help";#N/A,#N/A,TRUE,"PCC Activity Types (GSM)";#N/A,#N/A,TRUE,"PCC Activity Types (non-GSM)";#N/A,#N/A,TRUE,"Bus Areas, MWC's, &amp; Plan Orders";#N/A,#N/A,TRUE,"Receiver Cost Centers";#N/A,#N/A,TRUE,"Responsible Cost Centers";#N/A,#N/A,TRUE,"FERC Regulatory Accounts";#N/A,#N/A,TRUE,"Counties"}</definedName>
    <definedName name="gggg" localSheetId="8" hidden="1">{#N/A,#N/A,TRUE,"Title Page";#N/A,#N/A,TRUE,"Table of Contents";#N/A,#N/A,TRUE,"Guidelines 1";#N/A,#N/A,TRUE,"Guidelines 2";#N/A,#N/A,TRUE,"SAP Help";#N/A,#N/A,TRUE,"PCC Activity Types (GSM)";#N/A,#N/A,TRUE,"PCC Activity Types (non-GSM)";#N/A,#N/A,TRUE,"Bus Areas, MWC's, &amp; Plan Orders";#N/A,#N/A,TRUE,"Receiver Cost Centers";#N/A,#N/A,TRUE,"Responsible Cost Centers";#N/A,#N/A,TRUE,"FERC Regulatory Accounts";#N/A,#N/A,TRUE,"Counties"}</definedName>
    <definedName name="gggg" localSheetId="10" hidden="1">{#N/A,#N/A,TRUE,"Title Page";#N/A,#N/A,TRUE,"Table of Contents";#N/A,#N/A,TRUE,"Guidelines 1";#N/A,#N/A,TRUE,"Guidelines 2";#N/A,#N/A,TRUE,"SAP Help";#N/A,#N/A,TRUE,"PCC Activity Types (GSM)";#N/A,#N/A,TRUE,"PCC Activity Types (non-GSM)";#N/A,#N/A,TRUE,"Bus Areas, MWC's, &amp; Plan Orders";#N/A,#N/A,TRUE,"Receiver Cost Centers";#N/A,#N/A,TRUE,"Responsible Cost Centers";#N/A,#N/A,TRUE,"FERC Regulatory Accounts";#N/A,#N/A,TRUE,"Counties"}</definedName>
    <definedName name="gggg" localSheetId="3" hidden="1">{#N/A,#N/A,TRUE,"Title Page";#N/A,#N/A,TRUE,"Table of Contents";#N/A,#N/A,TRUE,"Guidelines 1";#N/A,#N/A,TRUE,"Guidelines 2";#N/A,#N/A,TRUE,"SAP Help";#N/A,#N/A,TRUE,"PCC Activity Types (GSM)";#N/A,#N/A,TRUE,"PCC Activity Types (non-GSM)";#N/A,#N/A,TRUE,"Bus Areas, MWC's, &amp; Plan Orders";#N/A,#N/A,TRUE,"Receiver Cost Centers";#N/A,#N/A,TRUE,"Responsible Cost Centers";#N/A,#N/A,TRUE,"FERC Regulatory Accounts";#N/A,#N/A,TRUE,"Counties"}</definedName>
    <definedName name="ggggb" localSheetId="25" hidden="1">{#N/A,#N/A,TRUE,"Title Page";#N/A,#N/A,TRUE,"Table of Contents";#N/A,#N/A,TRUE,"Guidelines 1";#N/A,#N/A,TRUE,"Guidelines 2";#N/A,#N/A,TRUE,"SAP Help";#N/A,#N/A,TRUE,"PCC Activity Types (GSM)";#N/A,#N/A,TRUE,"PCC Activity Types (non-GSM)";#N/A,#N/A,TRUE,"Bus Areas, MWC's, &amp; Plan Orders";#N/A,#N/A,TRUE,"Receiver Cost Centers";#N/A,#N/A,TRUE,"Responsible Cost Centers";#N/A,#N/A,TRUE,"FERC Regulatory Accounts";#N/A,#N/A,TRUE,"Counties"}</definedName>
    <definedName name="ggggb" localSheetId="8" hidden="1">{#N/A,#N/A,TRUE,"Title Page";#N/A,#N/A,TRUE,"Table of Contents";#N/A,#N/A,TRUE,"Guidelines 1";#N/A,#N/A,TRUE,"Guidelines 2";#N/A,#N/A,TRUE,"SAP Help";#N/A,#N/A,TRUE,"PCC Activity Types (GSM)";#N/A,#N/A,TRUE,"PCC Activity Types (non-GSM)";#N/A,#N/A,TRUE,"Bus Areas, MWC's, &amp; Plan Orders";#N/A,#N/A,TRUE,"Receiver Cost Centers";#N/A,#N/A,TRUE,"Responsible Cost Centers";#N/A,#N/A,TRUE,"FERC Regulatory Accounts";#N/A,#N/A,TRUE,"Counties"}</definedName>
    <definedName name="ggggb" localSheetId="10" hidden="1">{#N/A,#N/A,TRUE,"Title Page";#N/A,#N/A,TRUE,"Table of Contents";#N/A,#N/A,TRUE,"Guidelines 1";#N/A,#N/A,TRUE,"Guidelines 2";#N/A,#N/A,TRUE,"SAP Help";#N/A,#N/A,TRUE,"PCC Activity Types (GSM)";#N/A,#N/A,TRUE,"PCC Activity Types (non-GSM)";#N/A,#N/A,TRUE,"Bus Areas, MWC's, &amp; Plan Orders";#N/A,#N/A,TRUE,"Receiver Cost Centers";#N/A,#N/A,TRUE,"Responsible Cost Centers";#N/A,#N/A,TRUE,"FERC Regulatory Accounts";#N/A,#N/A,TRUE,"Counties"}</definedName>
    <definedName name="ggggb" localSheetId="3" hidden="1">{#N/A,#N/A,TRUE,"Title Page";#N/A,#N/A,TRUE,"Table of Contents";#N/A,#N/A,TRUE,"Guidelines 1";#N/A,#N/A,TRUE,"Guidelines 2";#N/A,#N/A,TRUE,"SAP Help";#N/A,#N/A,TRUE,"PCC Activity Types (GSM)";#N/A,#N/A,TRUE,"PCC Activity Types (non-GSM)";#N/A,#N/A,TRUE,"Bus Areas, MWC's, &amp; Plan Orders";#N/A,#N/A,TRUE,"Receiver Cost Centers";#N/A,#N/A,TRUE,"Responsible Cost Centers";#N/A,#N/A,TRUE,"FERC Regulatory Accounts";#N/A,#N/A,TRUE,"Counties"}</definedName>
    <definedName name="huh" localSheetId="25" hidden="1">{#N/A,#N/A,FALSE,"Dist Rev at PR ";#N/A,#N/A,FALSE,"Spec";#N/A,#N/A,FALSE,"Res";#N/A,#N/A,FALSE,"Small L&amp;P";#N/A,#N/A,FALSE,"Medium L&amp;P";#N/A,#N/A,FALSE,"E-19";#N/A,#N/A,FALSE,"E-20";#N/A,#N/A,FALSE,"Strtlts &amp; Standby";#N/A,#N/A,FALSE,"A-RTP";#N/A,#N/A,FALSE,"2003mixeduse"}</definedName>
    <definedName name="huh" localSheetId="8" hidden="1">{#N/A,#N/A,FALSE,"Dist Rev at PR ";#N/A,#N/A,FALSE,"Spec";#N/A,#N/A,FALSE,"Res";#N/A,#N/A,FALSE,"Small L&amp;P";#N/A,#N/A,FALSE,"Medium L&amp;P";#N/A,#N/A,FALSE,"E-19";#N/A,#N/A,FALSE,"E-20";#N/A,#N/A,FALSE,"Strtlts &amp; Standby";#N/A,#N/A,FALSE,"A-RTP";#N/A,#N/A,FALSE,"2003mixeduse"}</definedName>
    <definedName name="huh" localSheetId="10" hidden="1">{#N/A,#N/A,FALSE,"Dist Rev at PR ";#N/A,#N/A,FALSE,"Spec";#N/A,#N/A,FALSE,"Res";#N/A,#N/A,FALSE,"Small L&amp;P";#N/A,#N/A,FALSE,"Medium L&amp;P";#N/A,#N/A,FALSE,"E-19";#N/A,#N/A,FALSE,"E-20";#N/A,#N/A,FALSE,"Strtlts &amp; Standby";#N/A,#N/A,FALSE,"A-RTP";#N/A,#N/A,FALSE,"2003mixeduse"}</definedName>
    <definedName name="huh" localSheetId="14" hidden="1">{#N/A,#N/A,FALSE,"Dist Rev at PR ";#N/A,#N/A,FALSE,"Spec";#N/A,#N/A,FALSE,"Res";#N/A,#N/A,FALSE,"Small L&amp;P";#N/A,#N/A,FALSE,"Medium L&amp;P";#N/A,#N/A,FALSE,"E-19";#N/A,#N/A,FALSE,"E-20";#N/A,#N/A,FALSE,"Strtlts &amp; Standby";#N/A,#N/A,FALSE,"A-RTP";#N/A,#N/A,FALSE,"2003mixeduse"}</definedName>
    <definedName name="huh" localSheetId="3" hidden="1">{#N/A,#N/A,FALSE,"Dist Rev at PR ";#N/A,#N/A,FALSE,"Spec";#N/A,#N/A,FALSE,"Res";#N/A,#N/A,FALSE,"Small L&amp;P";#N/A,#N/A,FALSE,"Medium L&amp;P";#N/A,#N/A,FALSE,"E-19";#N/A,#N/A,FALSE,"E-20";#N/A,#N/A,FALSE,"Strtlts &amp; Standby";#N/A,#N/A,FALSE,"A-RTP";#N/A,#N/A,FALSE,"2003mixeduse"}</definedName>
    <definedName name="huhnd" localSheetId="25" hidden="1">{#N/A,#N/A,FALSE,"ND Rev at Pres Rates";#N/A,#N/A,FALSE,"Res - Unadj sales";#N/A,#N/A,FALSE,"Small L&amp;P";#N/A,#N/A,FALSE,"Medium L&amp;P";#N/A,#N/A,FALSE,"E-19";#N/A,#N/A,FALSE,"E-20";#N/A,#N/A,FALSE,"Strtlts &amp; Standby";#N/A,#N/A,FALSE,"AG";#N/A,#N/A,FALSE,"A-RTP";#N/A,#N/A,FALSE,"Spec"}</definedName>
    <definedName name="huhnd" localSheetId="8" hidden="1">{#N/A,#N/A,FALSE,"ND Rev at Pres Rates";#N/A,#N/A,FALSE,"Res - Unadj sales";#N/A,#N/A,FALSE,"Small L&amp;P";#N/A,#N/A,FALSE,"Medium L&amp;P";#N/A,#N/A,FALSE,"E-19";#N/A,#N/A,FALSE,"E-20";#N/A,#N/A,FALSE,"Strtlts &amp; Standby";#N/A,#N/A,FALSE,"AG";#N/A,#N/A,FALSE,"A-RTP";#N/A,#N/A,FALSE,"Spec"}</definedName>
    <definedName name="huhnd" localSheetId="10" hidden="1">{#N/A,#N/A,FALSE,"ND Rev at Pres Rates";#N/A,#N/A,FALSE,"Res - Unadj sales";#N/A,#N/A,FALSE,"Small L&amp;P";#N/A,#N/A,FALSE,"Medium L&amp;P";#N/A,#N/A,FALSE,"E-19";#N/A,#N/A,FALSE,"E-20";#N/A,#N/A,FALSE,"Strtlts &amp; Standby";#N/A,#N/A,FALSE,"AG";#N/A,#N/A,FALSE,"A-RTP";#N/A,#N/A,FALSE,"Spec"}</definedName>
    <definedName name="huhnd" localSheetId="14" hidden="1">{#N/A,#N/A,FALSE,"ND Rev at Pres Rates";#N/A,#N/A,FALSE,"Res - Unadj sales";#N/A,#N/A,FALSE,"Small L&amp;P";#N/A,#N/A,FALSE,"Medium L&amp;P";#N/A,#N/A,FALSE,"E-19";#N/A,#N/A,FALSE,"E-20";#N/A,#N/A,FALSE,"Strtlts &amp; Standby";#N/A,#N/A,FALSE,"AG";#N/A,#N/A,FALSE,"A-RTP";#N/A,#N/A,FALSE,"Spec"}</definedName>
    <definedName name="huhnd" localSheetId="3" hidden="1">{#N/A,#N/A,FALSE,"ND Rev at Pres Rates";#N/A,#N/A,FALSE,"Res - Unadj sales";#N/A,#N/A,FALSE,"Small L&amp;P";#N/A,#N/A,FALSE,"Medium L&amp;P";#N/A,#N/A,FALSE,"E-19";#N/A,#N/A,FALSE,"E-20";#N/A,#N/A,FALSE,"Strtlts &amp; Standby";#N/A,#N/A,FALSE,"AG";#N/A,#N/A,FALSE,"A-RTP";#N/A,#N/A,FALSE,"Spec"}</definedName>
    <definedName name="huhnd2" localSheetId="25" hidden="1">{#N/A,#N/A,FALSE,"ND Rev at Pres Rates";#N/A,#N/A,FALSE,"Res - Unadj sales";#N/A,#N/A,FALSE,"Small L&amp;P";#N/A,#N/A,FALSE,"Medium L&amp;P";#N/A,#N/A,FALSE,"E-19";#N/A,#N/A,FALSE,"E-20";#N/A,#N/A,FALSE,"Strtlts &amp; Standby";#N/A,#N/A,FALSE,"AG";#N/A,#N/A,FALSE,"A-RTP";#N/A,#N/A,FALSE,"Spec"}</definedName>
    <definedName name="huhnd2" localSheetId="8" hidden="1">{#N/A,#N/A,FALSE,"ND Rev at Pres Rates";#N/A,#N/A,FALSE,"Res - Unadj sales";#N/A,#N/A,FALSE,"Small L&amp;P";#N/A,#N/A,FALSE,"Medium L&amp;P";#N/A,#N/A,FALSE,"E-19";#N/A,#N/A,FALSE,"E-20";#N/A,#N/A,FALSE,"Strtlts &amp; Standby";#N/A,#N/A,FALSE,"AG";#N/A,#N/A,FALSE,"A-RTP";#N/A,#N/A,FALSE,"Spec"}</definedName>
    <definedName name="huhnd2" localSheetId="10" hidden="1">{#N/A,#N/A,FALSE,"ND Rev at Pres Rates";#N/A,#N/A,FALSE,"Res - Unadj sales";#N/A,#N/A,FALSE,"Small L&amp;P";#N/A,#N/A,FALSE,"Medium L&amp;P";#N/A,#N/A,FALSE,"E-19";#N/A,#N/A,FALSE,"E-20";#N/A,#N/A,FALSE,"Strtlts &amp; Standby";#N/A,#N/A,FALSE,"AG";#N/A,#N/A,FALSE,"A-RTP";#N/A,#N/A,FALSE,"Spec"}</definedName>
    <definedName name="huhnd2" localSheetId="14" hidden="1">{#N/A,#N/A,FALSE,"ND Rev at Pres Rates";#N/A,#N/A,FALSE,"Res - Unadj sales";#N/A,#N/A,FALSE,"Small L&amp;P";#N/A,#N/A,FALSE,"Medium L&amp;P";#N/A,#N/A,FALSE,"E-19";#N/A,#N/A,FALSE,"E-20";#N/A,#N/A,FALSE,"Strtlts &amp; Standby";#N/A,#N/A,FALSE,"AG";#N/A,#N/A,FALSE,"A-RTP";#N/A,#N/A,FALSE,"Spec"}</definedName>
    <definedName name="huhnd2" localSheetId="3" hidden="1">{#N/A,#N/A,FALSE,"ND Rev at Pres Rates";#N/A,#N/A,FALSE,"Res - Unadj sales";#N/A,#N/A,FALSE,"Small L&amp;P";#N/A,#N/A,FALSE,"Medium L&amp;P";#N/A,#N/A,FALSE,"E-19";#N/A,#N/A,FALSE,"E-20";#N/A,#N/A,FALSE,"Strtlts &amp; Standby";#N/A,#N/A,FALSE,"AG";#N/A,#N/A,FALSE,"A-RTP";#N/A,#N/A,FALSE,"Spec"}</definedName>
    <definedName name="huhprint" localSheetId="25" hidden="1">{#N/A,#N/A,FALSE,"Workpaper Tables 4-1 &amp; 4-2";#N/A,#N/A,FALSE,"Revenue Allocation Results";#N/A,#N/A,FALSE,"FERC Rev @ PR";#N/A,#N/A,FALSE,"Distribution Revenue Allocation";#N/A,#N/A,FALSE,"Nonallocated Revenues ";#N/A,#N/A,FALSE,"2000mixuse";#N/A,#N/A,FALSE,"MC Revenues- 00 sales, 96 MC's"}</definedName>
    <definedName name="huhprint" localSheetId="8" hidden="1">{#N/A,#N/A,FALSE,"Workpaper Tables 4-1 &amp; 4-2";#N/A,#N/A,FALSE,"Revenue Allocation Results";#N/A,#N/A,FALSE,"FERC Rev @ PR";#N/A,#N/A,FALSE,"Distribution Revenue Allocation";#N/A,#N/A,FALSE,"Nonallocated Revenues ";#N/A,#N/A,FALSE,"2000mixuse";#N/A,#N/A,FALSE,"MC Revenues- 00 sales, 96 MC's"}</definedName>
    <definedName name="huhprint" localSheetId="10" hidden="1">{#N/A,#N/A,FALSE,"Workpaper Tables 4-1 &amp; 4-2";#N/A,#N/A,FALSE,"Revenue Allocation Results";#N/A,#N/A,FALSE,"FERC Rev @ PR";#N/A,#N/A,FALSE,"Distribution Revenue Allocation";#N/A,#N/A,FALSE,"Nonallocated Revenues ";#N/A,#N/A,FALSE,"2000mixuse";#N/A,#N/A,FALSE,"MC Revenues- 00 sales, 96 MC's"}</definedName>
    <definedName name="huhprint" localSheetId="14" hidden="1">{#N/A,#N/A,FALSE,"Workpaper Tables 4-1 &amp; 4-2";#N/A,#N/A,FALSE,"Revenue Allocation Results";#N/A,#N/A,FALSE,"FERC Rev @ PR";#N/A,#N/A,FALSE,"Distribution Revenue Allocation";#N/A,#N/A,FALSE,"Nonallocated Revenues ";#N/A,#N/A,FALSE,"2000mixuse";#N/A,#N/A,FALSE,"MC Revenues- 00 sales, 96 MC's"}</definedName>
    <definedName name="huhprint" localSheetId="3" hidden="1">{#N/A,#N/A,FALSE,"Workpaper Tables 4-1 &amp; 4-2";#N/A,#N/A,FALSE,"Revenue Allocation Results";#N/A,#N/A,FALSE,"FERC Rev @ PR";#N/A,#N/A,FALSE,"Distribution Revenue Allocation";#N/A,#N/A,FALSE,"Nonallocated Revenues ";#N/A,#N/A,FALSE,"2000mixuse";#N/A,#N/A,FALSE,"MC Revenues- 00 sales, 96 MC's"}</definedName>
    <definedName name="huhrap" localSheetId="25"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huhrap" localSheetId="8"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huhrap" localSheetId="10"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huhrap" localSheetId="14"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huhrap" localSheetId="3"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huhrevalloc" localSheetId="25" hidden="1">{#N/A,#N/A,FALSE,"RRQ inputs ";#N/A,#N/A,FALSE,"FERC Rev @ PR";#N/A,#N/A,FALSE,"Distribution Revenue Allocation";#N/A,#N/A,FALSE,"Nonallocated Revenues";#N/A,#N/A,FALSE,"MC Revenues-03 sales, 96 MC's";#N/A,#N/A,FALSE,"FTA"}</definedName>
    <definedName name="huhrevalloc" localSheetId="8" hidden="1">{#N/A,#N/A,FALSE,"RRQ inputs ";#N/A,#N/A,FALSE,"FERC Rev @ PR";#N/A,#N/A,FALSE,"Distribution Revenue Allocation";#N/A,#N/A,FALSE,"Nonallocated Revenues";#N/A,#N/A,FALSE,"MC Revenues-03 sales, 96 MC's";#N/A,#N/A,FALSE,"FTA"}</definedName>
    <definedName name="huhrevalloc" localSheetId="10" hidden="1">{#N/A,#N/A,FALSE,"RRQ inputs ";#N/A,#N/A,FALSE,"FERC Rev @ PR";#N/A,#N/A,FALSE,"Distribution Revenue Allocation";#N/A,#N/A,FALSE,"Nonallocated Revenues";#N/A,#N/A,FALSE,"MC Revenues-03 sales, 96 MC's";#N/A,#N/A,FALSE,"FTA"}</definedName>
    <definedName name="huhrevalloc" localSheetId="14" hidden="1">{#N/A,#N/A,FALSE,"RRQ inputs ";#N/A,#N/A,FALSE,"FERC Rev @ PR";#N/A,#N/A,FALSE,"Distribution Revenue Allocation";#N/A,#N/A,FALSE,"Nonallocated Revenues";#N/A,#N/A,FALSE,"MC Revenues-03 sales, 96 MC's";#N/A,#N/A,FALSE,"FTA"}</definedName>
    <definedName name="huhrevalloc" localSheetId="3" hidden="1">{#N/A,#N/A,FALSE,"RRQ inputs ";#N/A,#N/A,FALSE,"FERC Rev @ PR";#N/A,#N/A,FALSE,"Distribution Revenue Allocation";#N/A,#N/A,FALSE,"Nonallocated Revenues";#N/A,#N/A,FALSE,"MC Revenues-03 sales, 96 MC's";#N/A,#N/A,FALSE,"FTA"}</definedName>
    <definedName name="huhschudel" localSheetId="25" hidden="1">{#N/A,#N/A,FALSE,"ND Rev at Pres Rates";#N/A,#N/A,FALSE,"Res - Unadj";#N/A,#N/A,FALSE,"Small L&amp;P";#N/A,#N/A,FALSE,"Medium L&amp;P";#N/A,#N/A,FALSE,"E-19";#N/A,#N/A,FALSE,"E-20";#N/A,#N/A,FALSE,"A-RTP";#N/A,#N/A,FALSE,"Strtlts &amp; Standby";#N/A,#N/A,FALSE,"AG";#N/A,#N/A,FALSE,"2001mixeduse"}</definedName>
    <definedName name="huhschudel" localSheetId="8" hidden="1">{#N/A,#N/A,FALSE,"ND Rev at Pres Rates";#N/A,#N/A,FALSE,"Res - Unadj";#N/A,#N/A,FALSE,"Small L&amp;P";#N/A,#N/A,FALSE,"Medium L&amp;P";#N/A,#N/A,FALSE,"E-19";#N/A,#N/A,FALSE,"E-20";#N/A,#N/A,FALSE,"A-RTP";#N/A,#N/A,FALSE,"Strtlts &amp; Standby";#N/A,#N/A,FALSE,"AG";#N/A,#N/A,FALSE,"2001mixeduse"}</definedName>
    <definedName name="huhschudel" localSheetId="10" hidden="1">{#N/A,#N/A,FALSE,"ND Rev at Pres Rates";#N/A,#N/A,FALSE,"Res - Unadj";#N/A,#N/A,FALSE,"Small L&amp;P";#N/A,#N/A,FALSE,"Medium L&amp;P";#N/A,#N/A,FALSE,"E-19";#N/A,#N/A,FALSE,"E-20";#N/A,#N/A,FALSE,"A-RTP";#N/A,#N/A,FALSE,"Strtlts &amp; Standby";#N/A,#N/A,FALSE,"AG";#N/A,#N/A,FALSE,"2001mixeduse"}</definedName>
    <definedName name="huhschudel" localSheetId="14" hidden="1">{#N/A,#N/A,FALSE,"ND Rev at Pres Rates";#N/A,#N/A,FALSE,"Res - Unadj";#N/A,#N/A,FALSE,"Small L&amp;P";#N/A,#N/A,FALSE,"Medium L&amp;P";#N/A,#N/A,FALSE,"E-19";#N/A,#N/A,FALSE,"E-20";#N/A,#N/A,FALSE,"A-RTP";#N/A,#N/A,FALSE,"Strtlts &amp; Standby";#N/A,#N/A,FALSE,"AG";#N/A,#N/A,FALSE,"2001mixeduse"}</definedName>
    <definedName name="huhschudel" localSheetId="3" hidden="1">{#N/A,#N/A,FALSE,"ND Rev at Pres Rates";#N/A,#N/A,FALSE,"Res - Unadj";#N/A,#N/A,FALSE,"Small L&amp;P";#N/A,#N/A,FALSE,"Medium L&amp;P";#N/A,#N/A,FALSE,"E-19";#N/A,#N/A,FALSE,"E-20";#N/A,#N/A,FALSE,"A-RTP";#N/A,#N/A,FALSE,"Strtlts &amp; Standby";#N/A,#N/A,FALSE,"AG";#N/A,#N/A,FALSE,"2001mixeduse"}</definedName>
    <definedName name="July" localSheetId="25" hidden="1">{#N/A,#N/A,FALSE,"CTC Summary - EOY";#N/A,#N/A,FALSE,"CTC Summary - Wtavg"}</definedName>
    <definedName name="July" localSheetId="8" hidden="1">{#N/A,#N/A,FALSE,"CTC Summary - EOY";#N/A,#N/A,FALSE,"CTC Summary - Wtavg"}</definedName>
    <definedName name="July" localSheetId="10" hidden="1">{#N/A,#N/A,FALSE,"CTC Summary - EOY";#N/A,#N/A,FALSE,"CTC Summary - Wtavg"}</definedName>
    <definedName name="July" localSheetId="3" hidden="1">{#N/A,#N/A,FALSE,"CTC Summary - EOY";#N/A,#N/A,FALSE,"CTC Summary - Wtavg"}</definedName>
    <definedName name="June" localSheetId="25" hidden="1">{#N/A,#N/A,FALSE,"CTC Summary - EOY";#N/A,#N/A,FALSE,"CTC Summary - Wtavg"}</definedName>
    <definedName name="June" localSheetId="8" hidden="1">{#N/A,#N/A,FALSE,"CTC Summary - EOY";#N/A,#N/A,FALSE,"CTC Summary - Wtavg"}</definedName>
    <definedName name="June" localSheetId="10" hidden="1">{#N/A,#N/A,FALSE,"CTC Summary - EOY";#N/A,#N/A,FALSE,"CTC Summary - Wtavg"}</definedName>
    <definedName name="June" localSheetId="3" hidden="1">{#N/A,#N/A,FALSE,"CTC Summary - EOY";#N/A,#N/A,FALSE,"CTC Summary - Wtavg"}</definedName>
    <definedName name="L" localSheetId="16" hidden="1">{"PI_Data",#N/A,TRUE,"P&amp;I Data"}</definedName>
    <definedName name="L" localSheetId="17" hidden="1">{"PI_Data",#N/A,TRUE,"P&amp;I Data"}</definedName>
    <definedName name="L" localSheetId="18" hidden="1">{"PI_Data",#N/A,TRUE,"P&amp;I Data"}</definedName>
    <definedName name="L" localSheetId="19" hidden="1">{"PI_Data",#N/A,TRUE,"P&amp;I Data"}</definedName>
    <definedName name="L" localSheetId="20" hidden="1">{"PI_Data",#N/A,TRUE,"P&amp;I Data"}</definedName>
    <definedName name="L" localSheetId="21" hidden="1">{"PI_Data",#N/A,TRUE,"P&amp;I Data"}</definedName>
    <definedName name="L" localSheetId="22" hidden="1">{"PI_Data",#N/A,TRUE,"P&amp;I Data"}</definedName>
    <definedName name="L" localSheetId="23" hidden="1">{"PI_Data",#N/A,TRUE,"P&amp;I Data"}</definedName>
    <definedName name="L" localSheetId="25" hidden="1">{"PI_Data",#N/A,TRUE,"P&amp;I Data"}</definedName>
    <definedName name="L" localSheetId="26" hidden="1">{"PI_Data",#N/A,TRUE,"P&amp;I Data"}</definedName>
    <definedName name="L" localSheetId="28" hidden="1">{"PI_Data",#N/A,TRUE,"P&amp;I Data"}</definedName>
    <definedName name="L" localSheetId="29" hidden="1">{"PI_Data",#N/A,TRUE,"P&amp;I Data"}</definedName>
    <definedName name="L" localSheetId="30" hidden="1">{"PI_Data",#N/A,TRUE,"P&amp;I Data"}</definedName>
    <definedName name="L" localSheetId="31" hidden="1">{"PI_Data",#N/A,TRUE,"P&amp;I Data"}</definedName>
    <definedName name="L" localSheetId="32" hidden="1">{"PI_Data",#N/A,TRUE,"P&amp;I Data"}</definedName>
    <definedName name="L" localSheetId="33" hidden="1">{"PI_Data",#N/A,TRUE,"P&amp;I Data"}</definedName>
    <definedName name="L" localSheetId="34" hidden="1">{"PI_Data",#N/A,TRUE,"P&amp;I Data"}</definedName>
    <definedName name="L" localSheetId="35" hidden="1">{"PI_Data",#N/A,TRUE,"P&amp;I Data"}</definedName>
    <definedName name="L" localSheetId="36" hidden="1">{"PI_Data",#N/A,TRUE,"P&amp;I Data"}</definedName>
    <definedName name="L" localSheetId="8" hidden="1">{"PI_Data",#N/A,TRUE,"P&amp;I Data"}</definedName>
    <definedName name="L" localSheetId="9" hidden="1">{"PI_Data",#N/A,TRUE,"P&amp;I Data"}</definedName>
    <definedName name="L" localSheetId="10" hidden="1">{"PI_Data",#N/A,TRUE,"P&amp;I Data"}</definedName>
    <definedName name="L" localSheetId="12" hidden="1">{"PI_Data",#N/A,TRUE,"P&amp;I Data"}</definedName>
    <definedName name="L" localSheetId="13" hidden="1">{"PI_Data",#N/A,TRUE,"P&amp;I Data"}</definedName>
    <definedName name="L" localSheetId="14" hidden="1">{"PI_Data",#N/A,TRUE,"P&amp;I Data"}</definedName>
    <definedName name="L" localSheetId="15" hidden="1">{"PI_Data",#N/A,TRUE,"P&amp;I Data"}</definedName>
    <definedName name="L" localSheetId="3" hidden="1">{"PI_Data",#N/A,TRUE,"P&amp;I Data"}</definedName>
    <definedName name="L2X" localSheetId="25" hidden="1">{"PI_Data",#N/A,TRUE,"P&amp;I Data"}</definedName>
    <definedName name="L2X" localSheetId="8" hidden="1">{"PI_Data",#N/A,TRUE,"P&amp;I Data"}</definedName>
    <definedName name="L2X" localSheetId="10" hidden="1">{"PI_Data",#N/A,TRUE,"P&amp;I Data"}</definedName>
    <definedName name="L2X" localSheetId="3" hidden="1">{"PI_Data",#N/A,TRUE,"P&amp;I Data"}</definedName>
    <definedName name="LL" localSheetId="25" hidden="1">{"PI_Data",#N/A,TRUE,"P&amp;I Data"}</definedName>
    <definedName name="LL" localSheetId="8" hidden="1">{"PI_Data",#N/A,TRUE,"P&amp;I Data"}</definedName>
    <definedName name="LL" localSheetId="10" hidden="1">{"PI_Data",#N/A,TRUE,"P&amp;I Data"}</definedName>
    <definedName name="LL" localSheetId="3" hidden="1">{"PI_Data",#N/A,TRUE,"P&amp;I Data"}</definedName>
    <definedName name="m" localSheetId="16" hidden="1">{"PI_Data",#N/A,TRUE,"P&amp;I Data"}</definedName>
    <definedName name="m" localSheetId="17" hidden="1">{"PI_Data",#N/A,TRUE,"P&amp;I Data"}</definedName>
    <definedName name="m" localSheetId="18" hidden="1">{"PI_Data",#N/A,TRUE,"P&amp;I Data"}</definedName>
    <definedName name="m" localSheetId="19" hidden="1">{"PI_Data",#N/A,TRUE,"P&amp;I Data"}</definedName>
    <definedName name="m" localSheetId="20" hidden="1">{"PI_Data",#N/A,TRUE,"P&amp;I Data"}</definedName>
    <definedName name="m" localSheetId="21" hidden="1">{"PI_Data",#N/A,TRUE,"P&amp;I Data"}</definedName>
    <definedName name="m" localSheetId="22" hidden="1">{"PI_Data",#N/A,TRUE,"P&amp;I Data"}</definedName>
    <definedName name="m" localSheetId="23" hidden="1">{"PI_Data",#N/A,TRUE,"P&amp;I Data"}</definedName>
    <definedName name="m" localSheetId="25" hidden="1">{"PI_Data",#N/A,TRUE,"P&amp;I Data"}</definedName>
    <definedName name="m" localSheetId="26" hidden="1">{"PI_Data",#N/A,TRUE,"P&amp;I Data"}</definedName>
    <definedName name="m" localSheetId="28" hidden="1">{"PI_Data",#N/A,TRUE,"P&amp;I Data"}</definedName>
    <definedName name="m" localSheetId="29" hidden="1">{"PI_Data",#N/A,TRUE,"P&amp;I Data"}</definedName>
    <definedName name="m" localSheetId="30" hidden="1">{"PI_Data",#N/A,TRUE,"P&amp;I Data"}</definedName>
    <definedName name="m" localSheetId="31" hidden="1">{"PI_Data",#N/A,TRUE,"P&amp;I Data"}</definedName>
    <definedName name="m" localSheetId="32" hidden="1">{"PI_Data",#N/A,TRUE,"P&amp;I Data"}</definedName>
    <definedName name="m" localSheetId="33" hidden="1">{"PI_Data",#N/A,TRUE,"P&amp;I Data"}</definedName>
    <definedName name="m" localSheetId="34" hidden="1">{"PI_Data",#N/A,TRUE,"P&amp;I Data"}</definedName>
    <definedName name="m" localSheetId="35" hidden="1">{"PI_Data",#N/A,TRUE,"P&amp;I Data"}</definedName>
    <definedName name="m" localSheetId="36" hidden="1">{"PI_Data",#N/A,TRUE,"P&amp;I Data"}</definedName>
    <definedName name="m" localSheetId="8" hidden="1">{"PI_Data",#N/A,TRUE,"P&amp;I Data"}</definedName>
    <definedName name="m" localSheetId="9" hidden="1">{"PI_Data",#N/A,TRUE,"P&amp;I Data"}</definedName>
    <definedName name="m" localSheetId="10" hidden="1">{"PI_Data",#N/A,TRUE,"P&amp;I Data"}</definedName>
    <definedName name="m" localSheetId="12" hidden="1">{"PI_Data",#N/A,TRUE,"P&amp;I Data"}</definedName>
    <definedName name="m" localSheetId="13" hidden="1">{"PI_Data",#N/A,TRUE,"P&amp;I Data"}</definedName>
    <definedName name="m" localSheetId="14" hidden="1">{"PI_Data",#N/A,TRUE,"P&amp;I Data"}</definedName>
    <definedName name="m" localSheetId="15" hidden="1">{"PI_Data",#N/A,TRUE,"P&amp;I Data"}</definedName>
    <definedName name="m" localSheetId="3" hidden="1">{"PI_Data",#N/A,TRUE,"P&amp;I Data"}</definedName>
    <definedName name="M2X" localSheetId="25" hidden="1">{"PI_Data",#N/A,TRUE,"P&amp;I Data"}</definedName>
    <definedName name="M2X" localSheetId="8" hidden="1">{"PI_Data",#N/A,TRUE,"P&amp;I Data"}</definedName>
    <definedName name="M2X" localSheetId="10" hidden="1">{"PI_Data",#N/A,TRUE,"P&amp;I Data"}</definedName>
    <definedName name="M2X" localSheetId="3" hidden="1">{"PI_Data",#N/A,TRUE,"P&amp;I Data"}</definedName>
    <definedName name="May" localSheetId="25" hidden="1">{#N/A,#N/A,FALSE,"CTC Summary - EOY";#N/A,#N/A,FALSE,"CTC Summary - Wtavg"}</definedName>
    <definedName name="May" localSheetId="8" hidden="1">{#N/A,#N/A,FALSE,"CTC Summary - EOY";#N/A,#N/A,FALSE,"CTC Summary - Wtavg"}</definedName>
    <definedName name="May" localSheetId="10" hidden="1">{#N/A,#N/A,FALSE,"CTC Summary - EOY";#N/A,#N/A,FALSE,"CTC Summary - Wtavg"}</definedName>
    <definedName name="May" localSheetId="3" hidden="1">{#N/A,#N/A,FALSE,"CTC Summary - EOY";#N/A,#N/A,FALSE,"CTC Summary - Wtavg"}</definedName>
    <definedName name="MM" localSheetId="25" hidden="1">{"PI_Data",#N/A,TRUE,"P&amp;I Data"}</definedName>
    <definedName name="MM" localSheetId="8" hidden="1">{"PI_Data",#N/A,TRUE,"P&amp;I Data"}</definedName>
    <definedName name="MM" localSheetId="10" hidden="1">{"PI_Data",#N/A,TRUE,"P&amp;I Data"}</definedName>
    <definedName name="MM" localSheetId="3" hidden="1">{"PI_Data",#N/A,TRUE,"P&amp;I Data"}</definedName>
    <definedName name="n" localSheetId="25" hidden="1">{#N/A,#N/A,FALSE,"CTC Summary - EOY";#N/A,#N/A,FALSE,"CTC Summary - Wtavg"}</definedName>
    <definedName name="n" localSheetId="8" hidden="1">{#N/A,#N/A,FALSE,"CTC Summary - EOY";#N/A,#N/A,FALSE,"CTC Summary - Wtavg"}</definedName>
    <definedName name="n" localSheetId="10" hidden="1">{#N/A,#N/A,FALSE,"CTC Summary - EOY";#N/A,#N/A,FALSE,"CTC Summary - Wtavg"}</definedName>
    <definedName name="n" localSheetId="3" hidden="1">{#N/A,#N/A,FALSE,"CTC Summary - EOY";#N/A,#N/A,FALSE,"CTC Summary - Wtavg"}</definedName>
    <definedName name="New" localSheetId="25" hidden="1">{#N/A,#N/A,FALSE,"CTC Summary - EOY";#N/A,#N/A,FALSE,"CTC Summary - Wtavg"}</definedName>
    <definedName name="New" localSheetId="8" hidden="1">{#N/A,#N/A,FALSE,"CTC Summary - EOY";#N/A,#N/A,FALSE,"CTC Summary - Wtavg"}</definedName>
    <definedName name="New" localSheetId="10" hidden="1">{#N/A,#N/A,FALSE,"CTC Summary - EOY";#N/A,#N/A,FALSE,"CTC Summary - Wtavg"}</definedName>
    <definedName name="New" localSheetId="3" hidden="1">{#N/A,#N/A,FALSE,"CTC Summary - EOY";#N/A,#N/A,FALSE,"CTC Summary - Wtavg"}</definedName>
    <definedName name="p" localSheetId="16" hidden="1">{"PI_Data",#N/A,TRUE,"P&amp;I Data"}</definedName>
    <definedName name="p" localSheetId="17" hidden="1">{"PI_Data",#N/A,TRUE,"P&amp;I Data"}</definedName>
    <definedName name="p" localSheetId="18" hidden="1">{"PI_Data",#N/A,TRUE,"P&amp;I Data"}</definedName>
    <definedName name="p" localSheetId="19" hidden="1">{"PI_Data",#N/A,TRUE,"P&amp;I Data"}</definedName>
    <definedName name="p" localSheetId="20" hidden="1">{"PI_Data",#N/A,TRUE,"P&amp;I Data"}</definedName>
    <definedName name="p" localSheetId="21" hidden="1">{"PI_Data",#N/A,TRUE,"P&amp;I Data"}</definedName>
    <definedName name="p" localSheetId="22" hidden="1">{"PI_Data",#N/A,TRUE,"P&amp;I Data"}</definedName>
    <definedName name="p" localSheetId="23" hidden="1">{"PI_Data",#N/A,TRUE,"P&amp;I Data"}</definedName>
    <definedName name="p" localSheetId="24" hidden="1">{"PI_Data",#N/A,TRUE,"P&amp;I Data"}</definedName>
    <definedName name="p" localSheetId="25" hidden="1">{"PI_Data",#N/A,TRUE,"P&amp;I Data"}</definedName>
    <definedName name="p" localSheetId="26" hidden="1">{"PI_Data",#N/A,TRUE,"P&amp;I Data"}</definedName>
    <definedName name="p" localSheetId="28" hidden="1">{"PI_Data",#N/A,TRUE,"P&amp;I Data"}</definedName>
    <definedName name="p" localSheetId="29" hidden="1">{"PI_Data",#N/A,TRUE,"P&amp;I Data"}</definedName>
    <definedName name="p" localSheetId="30" hidden="1">{"PI_Data",#N/A,TRUE,"P&amp;I Data"}</definedName>
    <definedName name="p" localSheetId="31" hidden="1">{"PI_Data",#N/A,TRUE,"P&amp;I Data"}</definedName>
    <definedName name="p" localSheetId="32" hidden="1">{"PI_Data",#N/A,TRUE,"P&amp;I Data"}</definedName>
    <definedName name="p" localSheetId="33" hidden="1">{"PI_Data",#N/A,TRUE,"P&amp;I Data"}</definedName>
    <definedName name="p" localSheetId="34" hidden="1">{"PI_Data",#N/A,TRUE,"P&amp;I Data"}</definedName>
    <definedName name="p" localSheetId="35" hidden="1">{"PI_Data",#N/A,TRUE,"P&amp;I Data"}</definedName>
    <definedName name="p" localSheetId="36" hidden="1">{"PI_Data",#N/A,TRUE,"P&amp;I Data"}</definedName>
    <definedName name="p" localSheetId="8" hidden="1">{"PI_Data",#N/A,TRUE,"P&amp;I Data"}</definedName>
    <definedName name="p" localSheetId="9" hidden="1">{"PI_Data",#N/A,TRUE,"P&amp;I Data"}</definedName>
    <definedName name="p" localSheetId="10" hidden="1">{"PI_Data",#N/A,TRUE,"P&amp;I Data"}</definedName>
    <definedName name="p" localSheetId="12" hidden="1">{"PI_Data",#N/A,TRUE,"P&amp;I Data"}</definedName>
    <definedName name="p" localSheetId="13" hidden="1">{"PI_Data",#N/A,TRUE,"P&amp;I Data"}</definedName>
    <definedName name="p" localSheetId="14" hidden="1">{"PI_Data",#N/A,TRUE,"P&amp;I Data"}</definedName>
    <definedName name="p" localSheetId="15" hidden="1">{"PI_Data",#N/A,TRUE,"P&amp;I Data"}</definedName>
    <definedName name="p" localSheetId="3" hidden="1">{"PI_Data",#N/A,TRUE,"P&amp;I Data"}</definedName>
    <definedName name="P2X" localSheetId="25" hidden="1">{"PI_Data",#N/A,TRUE,"P&amp;I Data"}</definedName>
    <definedName name="P2X" localSheetId="8" hidden="1">{"PI_Data",#N/A,TRUE,"P&amp;I Data"}</definedName>
    <definedName name="P2X" localSheetId="10" hidden="1">{"PI_Data",#N/A,TRUE,"P&amp;I Data"}</definedName>
    <definedName name="P2X" localSheetId="3" hidden="1">{"PI_Data",#N/A,TRUE,"P&amp;I Data"}</definedName>
    <definedName name="PIX" localSheetId="25" hidden="1">{"PI_Data",#N/A,TRUE,"P&amp;I Data"}</definedName>
    <definedName name="PIX" localSheetId="8" hidden="1">{"PI_Data",#N/A,TRUE,"P&amp;I Data"}</definedName>
    <definedName name="PIX" localSheetId="10" hidden="1">{"PI_Data",#N/A,TRUE,"P&amp;I Data"}</definedName>
    <definedName name="PIX" localSheetId="3" hidden="1">{"PI_Data",#N/A,TRUE,"P&amp;I Data"}</definedName>
    <definedName name="PP" localSheetId="25" hidden="1">{"PI_Data",#N/A,TRUE,"P&amp;I Data"}</definedName>
    <definedName name="PP" localSheetId="8" hidden="1">{"PI_Data",#N/A,TRUE,"P&amp;I Data"}</definedName>
    <definedName name="PP" localSheetId="10" hidden="1">{"PI_Data",#N/A,TRUE,"P&amp;I Data"}</definedName>
    <definedName name="PP" localSheetId="3" hidden="1">{"PI_Data",#N/A,TRUE,"P&amp;I Data"}</definedName>
    <definedName name="ppppppppppppppppppppppppppppppp" localSheetId="25" hidden="1">{"PI_Data",#N/A,TRUE,"P&amp;I Data"}</definedName>
    <definedName name="ppppppppppppppppppppppppppppppp" localSheetId="8" hidden="1">{"PI_Data",#N/A,TRUE,"P&amp;I Data"}</definedName>
    <definedName name="ppppppppppppppppppppppppppppppp" localSheetId="10" hidden="1">{"PI_Data",#N/A,TRUE,"P&amp;I Data"}</definedName>
    <definedName name="ppppppppppppppppppppppppppppppp" localSheetId="3" hidden="1">{"PI_Data",#N/A,TRUE,"P&amp;I Data"}</definedName>
    <definedName name="_xlnm.Print_Area" localSheetId="16">'10-AccDep'!$A$1:$AE$98</definedName>
    <definedName name="_xlnm.Print_Area" localSheetId="19">'13-WorkCap'!$A$1:$J$72</definedName>
    <definedName name="_xlnm.Print_Area" localSheetId="20">'14-ADIT'!$A$1:$N$190</definedName>
    <definedName name="_xlnm.Print_Area" localSheetId="21">'15-NUC'!$A$1:$G$22</definedName>
    <definedName name="_xlnm.Print_Area" localSheetId="23">'17-RegAssets-1'!$A$1:$K$75</definedName>
    <definedName name="_xlnm.Print_Area" localSheetId="26">'18-OandM'!$A$1:$Q$46</definedName>
    <definedName name="_xlnm.Print_Area" localSheetId="4">'1-BaseTRR'!$A$1:$I$204</definedName>
    <definedName name="_xlnm.Print_Area" localSheetId="28">'20-RevenueCredits'!$A$1:$K$109</definedName>
    <definedName name="_xlnm.Print_Area" localSheetId="29">'21-NPandS'!$A$1:$G$45</definedName>
    <definedName name="_xlnm.Print_Area" localSheetId="30">'22-TaxRates'!$A$1:$F$21</definedName>
    <definedName name="_xlnm.Print_Area" localSheetId="31">'23-RetailSGTax'!$A$1:$K$70</definedName>
    <definedName name="_xlnm.Print_Area" localSheetId="32">'24-Allocators'!$A$1:$F$67</definedName>
    <definedName name="_xlnm.Print_Area" localSheetId="33">'25-RFandUFactors'!$A$1:$G$25</definedName>
    <definedName name="_xlnm.Print_Area" localSheetId="36">'28-GrossLoad'!$A$1:$F$18</definedName>
    <definedName name="_xlnm.Print_Area" localSheetId="38">'29-RetailRates-2'!$A$1:$N$65</definedName>
    <definedName name="_xlnm.Print_Area" localSheetId="5">'2-ITRR'!$A$1:$G$38</definedName>
    <definedName name="_xlnm.Print_Area" localSheetId="39">'30-WFSelfInsurance'!$A$1:$M$49</definedName>
    <definedName name="_xlnm.Print_Area" localSheetId="40">'31-COO'!$A$1:$E$48</definedName>
    <definedName name="_xlnm.Print_Area" localSheetId="6">'3-True-upTRR'!$A$1:$I$124</definedName>
    <definedName name="_xlnm.Print_Area" localSheetId="7">'4-ATA'!$A$1:$L$156</definedName>
    <definedName name="_xlnm.Print_Area" localSheetId="8">'5-CostofCap-1'!$A$1:$G$27</definedName>
    <definedName name="_xlnm.Print_Area" localSheetId="9">'5-CostofCap-2'!$A$1:$H$29</definedName>
    <definedName name="_xlnm.Print_Area" localSheetId="10">'5-CostofCap-3'!$A$1:$K$48</definedName>
    <definedName name="_xlnm.Print_Area" localSheetId="11">'5-CostofCap-4'!$A$1:$R$99</definedName>
    <definedName name="_xlnm.Print_Area" localSheetId="12">'6-PlantJurisdiction'!$A$1:$J$32</definedName>
    <definedName name="_xlnm.Print_Area" localSheetId="13">'7-PlantInService'!$A$1:$AE$98</definedName>
    <definedName name="_xlnm.Print_Area" localSheetId="14">'8-AbandonedProject'!$A$1:$Q$23</definedName>
    <definedName name="_xlnm.Print_Area" localSheetId="1">'Cover Page'!$A$1:$F$23</definedName>
    <definedName name="_xlnm.Print_Area" localSheetId="2">ToC!$A$1:$B$46</definedName>
    <definedName name="Print_Area_MI" localSheetId="25">#REF!</definedName>
    <definedName name="Print_Area_MI" localSheetId="8">#REF!</definedName>
    <definedName name="Print_Area_MI" localSheetId="10">#REF!</definedName>
    <definedName name="Print_Area_MI" localSheetId="3">#REF!</definedName>
    <definedName name="_xlnm.Print_Titles" localSheetId="16">'10-AccDep'!$2:$3</definedName>
    <definedName name="_xlnm.Print_Titles" localSheetId="17">'11-Depreciation'!$2:$3</definedName>
    <definedName name="_xlnm.Print_Titles" localSheetId="19">'13-WorkCap'!$2:$3</definedName>
    <definedName name="_xlnm.Print_Titles" localSheetId="20">'14-ADIT'!$2:$3</definedName>
    <definedName name="_xlnm.Print_Titles" localSheetId="4">'1-BaseTRR'!$2:$4</definedName>
    <definedName name="_xlnm.Print_Titles" localSheetId="6">'3-True-upTRR'!$2:$3</definedName>
    <definedName name="_xlnm.Print_Titles" localSheetId="7">'4-ATA'!$2:$4</definedName>
    <definedName name="_xlnm.Print_Titles" localSheetId="13">'7-PlantInService'!$2:$3</definedName>
    <definedName name="_xlnm.Print_Titles" localSheetId="15">'9-PlantAdditions'!$2:$6</definedName>
    <definedName name="q" localSheetId="25" hidden="1">#REF!</definedName>
    <definedName name="q" localSheetId="8" hidden="1">#REF!</definedName>
    <definedName name="q" localSheetId="10" hidden="1">#REF!</definedName>
    <definedName name="q" localSheetId="3" hidden="1">#REF!</definedName>
    <definedName name="qwer" localSheetId="16" hidden="1">{"PI_Data",#N/A,TRUE,"P&amp;I Data"}</definedName>
    <definedName name="qwer" localSheetId="17" hidden="1">{"PI_Data",#N/A,TRUE,"P&amp;I Data"}</definedName>
    <definedName name="qwer" localSheetId="18" hidden="1">{"PI_Data",#N/A,TRUE,"P&amp;I Data"}</definedName>
    <definedName name="qwer" localSheetId="19" hidden="1">{"PI_Data",#N/A,TRUE,"P&amp;I Data"}</definedName>
    <definedName name="qwer" localSheetId="20" hidden="1">{"PI_Data",#N/A,TRUE,"P&amp;I Data"}</definedName>
    <definedName name="qwer" localSheetId="21" hidden="1">{"PI_Data",#N/A,TRUE,"P&amp;I Data"}</definedName>
    <definedName name="qwer" localSheetId="22" hidden="1">{"PI_Data",#N/A,TRUE,"P&amp;I Data"}</definedName>
    <definedName name="qwer" localSheetId="23" hidden="1">{"PI_Data",#N/A,TRUE,"P&amp;I Data"}</definedName>
    <definedName name="qwer" localSheetId="24" hidden="1">{"PI_Data",#N/A,TRUE,"P&amp;I Data"}</definedName>
    <definedName name="qwer" localSheetId="25" hidden="1">{"PI_Data",#N/A,TRUE,"P&amp;I Data"}</definedName>
    <definedName name="qwer" localSheetId="26" hidden="1">{"PI_Data",#N/A,TRUE,"P&amp;I Data"}</definedName>
    <definedName name="qwer" localSheetId="28" hidden="1">{"PI_Data",#N/A,TRUE,"P&amp;I Data"}</definedName>
    <definedName name="qwer" localSheetId="29" hidden="1">{"PI_Data",#N/A,TRUE,"P&amp;I Data"}</definedName>
    <definedName name="qwer" localSheetId="30" hidden="1">{"PI_Data",#N/A,TRUE,"P&amp;I Data"}</definedName>
    <definedName name="qwer" localSheetId="31" hidden="1">{"PI_Data",#N/A,TRUE,"P&amp;I Data"}</definedName>
    <definedName name="qwer" localSheetId="32" hidden="1">{"PI_Data",#N/A,TRUE,"P&amp;I Data"}</definedName>
    <definedName name="qwer" localSheetId="33" hidden="1">{"PI_Data",#N/A,TRUE,"P&amp;I Data"}</definedName>
    <definedName name="qwer" localSheetId="34" hidden="1">{"PI_Data",#N/A,TRUE,"P&amp;I Data"}</definedName>
    <definedName name="qwer" localSheetId="35" hidden="1">{"PI_Data",#N/A,TRUE,"P&amp;I Data"}</definedName>
    <definedName name="qwer" localSheetId="36" hidden="1">{"PI_Data",#N/A,TRUE,"P&amp;I Data"}</definedName>
    <definedName name="qwer" localSheetId="8" hidden="1">{"PI_Data",#N/A,TRUE,"P&amp;I Data"}</definedName>
    <definedName name="qwer" localSheetId="9" hidden="1">{"PI_Data",#N/A,TRUE,"P&amp;I Data"}</definedName>
    <definedName name="qwer" localSheetId="10" hidden="1">{"PI_Data",#N/A,TRUE,"P&amp;I Data"}</definedName>
    <definedName name="qwer" localSheetId="12" hidden="1">{"PI_Data",#N/A,TRUE,"P&amp;I Data"}</definedName>
    <definedName name="qwer" localSheetId="13" hidden="1">{"PI_Data",#N/A,TRUE,"P&amp;I Data"}</definedName>
    <definedName name="qwer" localSheetId="14" hidden="1">{"PI_Data",#N/A,TRUE,"P&amp;I Data"}</definedName>
    <definedName name="qwer" localSheetId="15" hidden="1">{"PI_Data",#N/A,TRUE,"P&amp;I Data"}</definedName>
    <definedName name="qwer" localSheetId="3" hidden="1">{"PI_Data",#N/A,TRUE,"P&amp;I Data"}</definedName>
    <definedName name="QWER1" localSheetId="25" hidden="1">{"PI_Data",#N/A,TRUE,"P&amp;I Data"}</definedName>
    <definedName name="QWER1" localSheetId="8" hidden="1">{"PI_Data",#N/A,TRUE,"P&amp;I Data"}</definedName>
    <definedName name="QWER1" localSheetId="10" hidden="1">{"PI_Data",#N/A,TRUE,"P&amp;I Data"}</definedName>
    <definedName name="QWER1" localSheetId="3" hidden="1">{"PI_Data",#N/A,TRUE,"P&amp;I Data"}</definedName>
    <definedName name="qwer2" localSheetId="25" hidden="1">{"PI_Data",#N/A,TRUE,"P&amp;I Data"}</definedName>
    <definedName name="qwer2" localSheetId="8" hidden="1">{"PI_Data",#N/A,TRUE,"P&amp;I Data"}</definedName>
    <definedName name="qwer2" localSheetId="10" hidden="1">{"PI_Data",#N/A,TRUE,"P&amp;I Data"}</definedName>
    <definedName name="qwer2" localSheetId="3" hidden="1">{"PI_Data",#N/A,TRUE,"P&amp;I Data"}</definedName>
    <definedName name="QWERX" localSheetId="25" hidden="1">{"PI_Data",#N/A,TRUE,"P&amp;I Data"}</definedName>
    <definedName name="QWERX" localSheetId="8" hidden="1">{"PI_Data",#N/A,TRUE,"P&amp;I Data"}</definedName>
    <definedName name="QWERX" localSheetId="10" hidden="1">{"PI_Data",#N/A,TRUE,"P&amp;I Data"}</definedName>
    <definedName name="QWERX" localSheetId="3" hidden="1">{"PI_Data",#N/A,TRUE,"P&amp;I Data"}</definedName>
    <definedName name="SAPBEXrevision" localSheetId="24" hidden="1">23</definedName>
    <definedName name="SAPBEXwbID" localSheetId="24" hidden="1">"4HQ4VKTSPDVV7Z9R01RIJVVW7"</definedName>
    <definedName name="SAPBEXwbID2" localSheetId="24" hidden="1">"43PJT8J5QINLSBNFYJLE3ZU45"</definedName>
    <definedName name="sds" localSheetId="25" hidden="1">{"Summary","1",FALSE,"Summary"}</definedName>
    <definedName name="sds" localSheetId="8" hidden="1">{"Summary","1",FALSE,"Summary"}</definedName>
    <definedName name="sds" localSheetId="10" hidden="1">{"Summary","1",FALSE,"Summary"}</definedName>
    <definedName name="sds" localSheetId="3" hidden="1">{"Summary","1",FALSE,"Summary"}</definedName>
    <definedName name="sdsb" localSheetId="25" hidden="1">{"Summary","1",FALSE,"Summary"}</definedName>
    <definedName name="sdsb" localSheetId="8" hidden="1">{"Summary","1",FALSE,"Summary"}</definedName>
    <definedName name="sdsb" localSheetId="10" hidden="1">{"Summary","1",FALSE,"Summary"}</definedName>
    <definedName name="sdsb" localSheetId="3" hidden="1">{"Summary","1",FALSE,"Summary"}</definedName>
    <definedName name="solver_opt" localSheetId="16" hidden="1">#REF!</definedName>
    <definedName name="solver_opt" localSheetId="17" hidden="1">#REF!</definedName>
    <definedName name="solver_opt" localSheetId="18" hidden="1">#REF!</definedName>
    <definedName name="solver_opt" localSheetId="19" hidden="1">#REF!</definedName>
    <definedName name="solver_opt" localSheetId="20" hidden="1">#REF!</definedName>
    <definedName name="solver_opt" localSheetId="21" hidden="1">#REF!</definedName>
    <definedName name="solver_opt" localSheetId="22" hidden="1">#REF!</definedName>
    <definedName name="solver_opt" localSheetId="23" hidden="1">#REF!</definedName>
    <definedName name="solver_opt" localSheetId="26" hidden="1">#REF!</definedName>
    <definedName name="solver_opt" localSheetId="28" hidden="1">#REF!</definedName>
    <definedName name="solver_opt" localSheetId="29" hidden="1">#REF!</definedName>
    <definedName name="solver_opt" localSheetId="30" hidden="1">#REF!</definedName>
    <definedName name="solver_opt" localSheetId="31" hidden="1">#REF!</definedName>
    <definedName name="solver_opt" localSheetId="32" hidden="1">#REF!</definedName>
    <definedName name="solver_opt" localSheetId="33" hidden="1">#REF!</definedName>
    <definedName name="solver_opt" localSheetId="34" hidden="1">#REF!</definedName>
    <definedName name="solver_opt" localSheetId="35" hidden="1">#REF!</definedName>
    <definedName name="solver_opt" localSheetId="36" hidden="1">#REF!</definedName>
    <definedName name="solver_opt" localSheetId="6" hidden="1">#REF!</definedName>
    <definedName name="solver_opt" localSheetId="8" hidden="1">#REF!</definedName>
    <definedName name="solver_opt" localSheetId="9" hidden="1">#REF!</definedName>
    <definedName name="solver_opt" localSheetId="12" hidden="1">#REF!</definedName>
    <definedName name="solver_opt" localSheetId="13" hidden="1">#REF!</definedName>
    <definedName name="solver_opt" localSheetId="14" hidden="1">#REF!</definedName>
    <definedName name="solver_opt" localSheetId="15" hidden="1">#REF!</definedName>
    <definedName name="ssd" localSheetId="25" hidden="1">{"spreadsheet1-8","1",FALSE,"Scenarios 1-8";"spreadsheet1-8","2",FALSE,"Scenarios 1-8";"spreadsheet1-8","3",FALSE,"Scenarios 1-8";"spreadsheet1-8","4",FALSE,"Scenarios 1-8";"spreadsheet1-8","5",FALSE,"Scenarios 1-8";"spreadsheet1-8","6",FALSE,"Scenarios 1-8";"spreadsheet1-8","7",FALSE,"Scenarios 1-8";"spreadsheet1-8","8",FALSE,"Scenarios 1-8"}</definedName>
    <definedName name="ssd" localSheetId="8" hidden="1">{"spreadsheet1-8","1",FALSE,"Scenarios 1-8";"spreadsheet1-8","2",FALSE,"Scenarios 1-8";"spreadsheet1-8","3",FALSE,"Scenarios 1-8";"spreadsheet1-8","4",FALSE,"Scenarios 1-8";"spreadsheet1-8","5",FALSE,"Scenarios 1-8";"spreadsheet1-8","6",FALSE,"Scenarios 1-8";"spreadsheet1-8","7",FALSE,"Scenarios 1-8";"spreadsheet1-8","8",FALSE,"Scenarios 1-8"}</definedName>
    <definedName name="ssd" localSheetId="10" hidden="1">{"spreadsheet1-8","1",FALSE,"Scenarios 1-8";"spreadsheet1-8","2",FALSE,"Scenarios 1-8";"spreadsheet1-8","3",FALSE,"Scenarios 1-8";"spreadsheet1-8","4",FALSE,"Scenarios 1-8";"spreadsheet1-8","5",FALSE,"Scenarios 1-8";"spreadsheet1-8","6",FALSE,"Scenarios 1-8";"spreadsheet1-8","7",FALSE,"Scenarios 1-8";"spreadsheet1-8","8",FALSE,"Scenarios 1-8"}</definedName>
    <definedName name="ssd" localSheetId="3" hidden="1">{"spreadsheet1-8","1",FALSE,"Scenarios 1-8";"spreadsheet1-8","2",FALSE,"Scenarios 1-8";"spreadsheet1-8","3",FALSE,"Scenarios 1-8";"spreadsheet1-8","4",FALSE,"Scenarios 1-8";"spreadsheet1-8","5",FALSE,"Scenarios 1-8";"spreadsheet1-8","6",FALSE,"Scenarios 1-8";"spreadsheet1-8","7",FALSE,"Scenarios 1-8";"spreadsheet1-8","8",FALSE,"Scenarios 1-8"}</definedName>
    <definedName name="ssdb" localSheetId="25" hidden="1">{"spreadsheet1-8","1",FALSE,"Scenarios 1-8";"spreadsheet1-8","2",FALSE,"Scenarios 1-8";"spreadsheet1-8","3",FALSE,"Scenarios 1-8";"spreadsheet1-8","4",FALSE,"Scenarios 1-8";"spreadsheet1-8","5",FALSE,"Scenarios 1-8";"spreadsheet1-8","6",FALSE,"Scenarios 1-8";"spreadsheet1-8","7",FALSE,"Scenarios 1-8";"spreadsheet1-8","8",FALSE,"Scenarios 1-8"}</definedName>
    <definedName name="ssdb" localSheetId="8" hidden="1">{"spreadsheet1-8","1",FALSE,"Scenarios 1-8";"spreadsheet1-8","2",FALSE,"Scenarios 1-8";"spreadsheet1-8","3",FALSE,"Scenarios 1-8";"spreadsheet1-8","4",FALSE,"Scenarios 1-8";"spreadsheet1-8","5",FALSE,"Scenarios 1-8";"spreadsheet1-8","6",FALSE,"Scenarios 1-8";"spreadsheet1-8","7",FALSE,"Scenarios 1-8";"spreadsheet1-8","8",FALSE,"Scenarios 1-8"}</definedName>
    <definedName name="ssdb" localSheetId="10" hidden="1">{"spreadsheet1-8","1",FALSE,"Scenarios 1-8";"spreadsheet1-8","2",FALSE,"Scenarios 1-8";"spreadsheet1-8","3",FALSE,"Scenarios 1-8";"spreadsheet1-8","4",FALSE,"Scenarios 1-8";"spreadsheet1-8","5",FALSE,"Scenarios 1-8";"spreadsheet1-8","6",FALSE,"Scenarios 1-8";"spreadsheet1-8","7",FALSE,"Scenarios 1-8";"spreadsheet1-8","8",FALSE,"Scenarios 1-8"}</definedName>
    <definedName name="ssdb" localSheetId="3" hidden="1">{"spreadsheet1-8","1",FALSE,"Scenarios 1-8";"spreadsheet1-8","2",FALSE,"Scenarios 1-8";"spreadsheet1-8","3",FALSE,"Scenarios 1-8";"spreadsheet1-8","4",FALSE,"Scenarios 1-8";"spreadsheet1-8","5",FALSE,"Scenarios 1-8";"spreadsheet1-8","6",FALSE,"Scenarios 1-8";"spreadsheet1-8","7",FALSE,"Scenarios 1-8";"spreadsheet1-8","8",FALSE,"Scenarios 1-8"}</definedName>
    <definedName name="Step2" localSheetId="25" hidden="1">{#N/A,#N/A,FALSE,"CTC Summary - EOY";#N/A,#N/A,FALSE,"CTC Summary - Wtavg"}</definedName>
    <definedName name="Step2" localSheetId="8" hidden="1">{#N/A,#N/A,FALSE,"CTC Summary - EOY";#N/A,#N/A,FALSE,"CTC Summary - Wtavg"}</definedName>
    <definedName name="Step2" localSheetId="10" hidden="1">{#N/A,#N/A,FALSE,"CTC Summary - EOY";#N/A,#N/A,FALSE,"CTC Summary - Wtavg"}</definedName>
    <definedName name="Step2" localSheetId="3" hidden="1">{#N/A,#N/A,FALSE,"CTC Summary - EOY";#N/A,#N/A,FALSE,"CTC Summary - Wtavg"}</definedName>
    <definedName name="T" localSheetId="16" hidden="1">{"PI_Data",#N/A,TRUE,"P&amp;I Data"}</definedName>
    <definedName name="T" localSheetId="17" hidden="1">{"PI_Data",#N/A,TRUE,"P&amp;I Data"}</definedName>
    <definedName name="T" localSheetId="18" hidden="1">{"PI_Data",#N/A,TRUE,"P&amp;I Data"}</definedName>
    <definedName name="T" localSheetId="19" hidden="1">{"PI_Data",#N/A,TRUE,"P&amp;I Data"}</definedName>
    <definedName name="T" localSheetId="20" hidden="1">{"PI_Data",#N/A,TRUE,"P&amp;I Data"}</definedName>
    <definedName name="T" localSheetId="21" hidden="1">{"PI_Data",#N/A,TRUE,"P&amp;I Data"}</definedName>
    <definedName name="T" localSheetId="22" hidden="1">{"PI_Data",#N/A,TRUE,"P&amp;I Data"}</definedName>
    <definedName name="T" localSheetId="23" hidden="1">{"PI_Data",#N/A,TRUE,"P&amp;I Data"}</definedName>
    <definedName name="T" localSheetId="24" hidden="1">{"PI_Data",#N/A,TRUE,"P&amp;I Data"}</definedName>
    <definedName name="T" localSheetId="25" hidden="1">{"PI_Data",#N/A,TRUE,"P&amp;I Data"}</definedName>
    <definedName name="T" localSheetId="26" hidden="1">{"PI_Data",#N/A,TRUE,"P&amp;I Data"}</definedName>
    <definedName name="T" localSheetId="28" hidden="1">{"PI_Data",#N/A,TRUE,"P&amp;I Data"}</definedName>
    <definedName name="T" localSheetId="29" hidden="1">{"PI_Data",#N/A,TRUE,"P&amp;I Data"}</definedName>
    <definedName name="T" localSheetId="30" hidden="1">{"PI_Data",#N/A,TRUE,"P&amp;I Data"}</definedName>
    <definedName name="T" localSheetId="31" hidden="1">{"PI_Data",#N/A,TRUE,"P&amp;I Data"}</definedName>
    <definedName name="T" localSheetId="32" hidden="1">{"PI_Data",#N/A,TRUE,"P&amp;I Data"}</definedName>
    <definedName name="T" localSheetId="33" hidden="1">{"PI_Data",#N/A,TRUE,"P&amp;I Data"}</definedName>
    <definedName name="T" localSheetId="34" hidden="1">{"PI_Data",#N/A,TRUE,"P&amp;I Data"}</definedName>
    <definedName name="T" localSheetId="35" hidden="1">{"PI_Data",#N/A,TRUE,"P&amp;I Data"}</definedName>
    <definedName name="T" localSheetId="36" hidden="1">{"PI_Data",#N/A,TRUE,"P&amp;I Data"}</definedName>
    <definedName name="T" localSheetId="8" hidden="1">{"PI_Data",#N/A,TRUE,"P&amp;I Data"}</definedName>
    <definedName name="T" localSheetId="9" hidden="1">{"PI_Data",#N/A,TRUE,"P&amp;I Data"}</definedName>
    <definedName name="T" localSheetId="10" hidden="1">{"PI_Data",#N/A,TRUE,"P&amp;I Data"}</definedName>
    <definedName name="T" localSheetId="12" hidden="1">{"PI_Data",#N/A,TRUE,"P&amp;I Data"}</definedName>
    <definedName name="T" localSheetId="13" hidden="1">{"PI_Data",#N/A,TRUE,"P&amp;I Data"}</definedName>
    <definedName name="T" localSheetId="14" hidden="1">{"PI_Data",#N/A,TRUE,"P&amp;I Data"}</definedName>
    <definedName name="T" localSheetId="15" hidden="1">{"PI_Data",#N/A,TRUE,"P&amp;I Data"}</definedName>
    <definedName name="T" localSheetId="3" hidden="1">{"PI_Data",#N/A,TRUE,"P&amp;I Data"}</definedName>
    <definedName name="T2X" localSheetId="25" hidden="1">{"PI_Data",#N/A,TRUE,"P&amp;I Data"}</definedName>
    <definedName name="T2X" localSheetId="8" hidden="1">{"PI_Data",#N/A,TRUE,"P&amp;I Data"}</definedName>
    <definedName name="T2X" localSheetId="10" hidden="1">{"PI_Data",#N/A,TRUE,"P&amp;I Data"}</definedName>
    <definedName name="T2X" localSheetId="3" hidden="1">{"PI_Data",#N/A,TRUE,"P&amp;I Data"}</definedName>
    <definedName name="test" localSheetId="16" hidden="1">{"PI_Data",#N/A,TRUE,"P&amp;I Data"}</definedName>
    <definedName name="test" localSheetId="17" hidden="1">{"PI_Data",#N/A,TRUE,"P&amp;I Data"}</definedName>
    <definedName name="test" localSheetId="18" hidden="1">{"PI_Data",#N/A,TRUE,"P&amp;I Data"}</definedName>
    <definedName name="test" localSheetId="19" hidden="1">{"PI_Data",#N/A,TRUE,"P&amp;I Data"}</definedName>
    <definedName name="test" localSheetId="20" hidden="1">{"PI_Data",#N/A,TRUE,"P&amp;I Data"}</definedName>
    <definedName name="test" localSheetId="21" hidden="1">{"PI_Data",#N/A,TRUE,"P&amp;I Data"}</definedName>
    <definedName name="test" localSheetId="22" hidden="1">{"PI_Data",#N/A,TRUE,"P&amp;I Data"}</definedName>
    <definedName name="test" localSheetId="23" hidden="1">{"PI_Data",#N/A,TRUE,"P&amp;I Data"}</definedName>
    <definedName name="test" localSheetId="25" hidden="1">{"PI_Data",#N/A,TRUE,"P&amp;I Data"}</definedName>
    <definedName name="test" localSheetId="26" hidden="1">{"PI_Data",#N/A,TRUE,"P&amp;I Data"}</definedName>
    <definedName name="test" localSheetId="28" hidden="1">{"PI_Data",#N/A,TRUE,"P&amp;I Data"}</definedName>
    <definedName name="test" localSheetId="29" hidden="1">{"PI_Data",#N/A,TRUE,"P&amp;I Data"}</definedName>
    <definedName name="test" localSheetId="30" hidden="1">{"PI_Data",#N/A,TRUE,"P&amp;I Data"}</definedName>
    <definedName name="test" localSheetId="31" hidden="1">{"PI_Data",#N/A,TRUE,"P&amp;I Data"}</definedName>
    <definedName name="test" localSheetId="32" hidden="1">{"PI_Data",#N/A,TRUE,"P&amp;I Data"}</definedName>
    <definedName name="test" localSheetId="33" hidden="1">{"PI_Data",#N/A,TRUE,"P&amp;I Data"}</definedName>
    <definedName name="test" localSheetId="34" hidden="1">{"PI_Data",#N/A,TRUE,"P&amp;I Data"}</definedName>
    <definedName name="test" localSheetId="35" hidden="1">{"PI_Data",#N/A,TRUE,"P&amp;I Data"}</definedName>
    <definedName name="test" localSheetId="36" hidden="1">{"PI_Data",#N/A,TRUE,"P&amp;I Data"}</definedName>
    <definedName name="test" localSheetId="8" hidden="1">{"PI_Data",#N/A,TRUE,"P&amp;I Data"}</definedName>
    <definedName name="test" localSheetId="9" hidden="1">{"PI_Data",#N/A,TRUE,"P&amp;I Data"}</definedName>
    <definedName name="test" localSheetId="10" hidden="1">{"PI_Data",#N/A,TRUE,"P&amp;I Data"}</definedName>
    <definedName name="test" localSheetId="12" hidden="1">{"PI_Data",#N/A,TRUE,"P&amp;I Data"}</definedName>
    <definedName name="test" localSheetId="13" hidden="1">{"PI_Data",#N/A,TRUE,"P&amp;I Data"}</definedName>
    <definedName name="test" localSheetId="14" hidden="1">{"PI_Data",#N/A,TRUE,"P&amp;I Data"}</definedName>
    <definedName name="test" localSheetId="15" hidden="1">{"PI_Data",#N/A,TRUE,"P&amp;I Data"}</definedName>
    <definedName name="test" localSheetId="3" hidden="1">{"PI_Data",#N/A,TRUE,"P&amp;I Data"}</definedName>
    <definedName name="TT" localSheetId="25" hidden="1">{"PI_Data",#N/A,TRUE,"P&amp;I Data"}</definedName>
    <definedName name="TT" localSheetId="8" hidden="1">{"PI_Data",#N/A,TRUE,"P&amp;I Data"}</definedName>
    <definedName name="TT" localSheetId="10" hidden="1">{"PI_Data",#N/A,TRUE,"P&amp;I Data"}</definedName>
    <definedName name="TT" localSheetId="3" hidden="1">{"PI_Data",#N/A,TRUE,"P&amp;I Data"}</definedName>
    <definedName name="ttttttttttttttttttttttaaaaaaaaaaaa" localSheetId="25" hidden="1">{"PI_Data",#N/A,TRUE,"P&amp;I Data"}</definedName>
    <definedName name="ttttttttttttttttttttttaaaaaaaaaaaa" localSheetId="8" hidden="1">{"PI_Data",#N/A,TRUE,"P&amp;I Data"}</definedName>
    <definedName name="ttttttttttttttttttttttaaaaaaaaaaaa" localSheetId="10" hidden="1">{"PI_Data",#N/A,TRUE,"P&amp;I Data"}</definedName>
    <definedName name="ttttttttttttttttttttttaaaaaaaaaaaa" localSheetId="3" hidden="1">{"PI_Data",#N/A,TRUE,"P&amp;I Data"}</definedName>
    <definedName name="UCC_500" localSheetId="25" hidden="1">#REF!</definedName>
    <definedName name="UCC_510" localSheetId="25" hidden="1">#REF!</definedName>
    <definedName name="UCC_800" localSheetId="25" hidden="1">#REF!</definedName>
    <definedName name="UCC_801" localSheetId="25" hidden="1">#REF!</definedName>
    <definedName name="UCC_802" localSheetId="25" hidden="1">#REF!</definedName>
    <definedName name="wrn.Accelerated." localSheetId="16" hidden="1">{#N/A,#N/A,FALSE,"CTC Summary - EOY";#N/A,#N/A,FALSE,"CTC Summary - Wtavg"}</definedName>
    <definedName name="wrn.Accelerated." localSheetId="17" hidden="1">{#N/A,#N/A,FALSE,"CTC Summary - EOY";#N/A,#N/A,FALSE,"CTC Summary - Wtavg"}</definedName>
    <definedName name="wrn.Accelerated." localSheetId="18" hidden="1">{#N/A,#N/A,FALSE,"CTC Summary - EOY";#N/A,#N/A,FALSE,"CTC Summary - Wtavg"}</definedName>
    <definedName name="wrn.Accelerated." localSheetId="19" hidden="1">{#N/A,#N/A,FALSE,"CTC Summary - EOY";#N/A,#N/A,FALSE,"CTC Summary - Wtavg"}</definedName>
    <definedName name="wrn.Accelerated." localSheetId="20" hidden="1">{#N/A,#N/A,FALSE,"CTC Summary - EOY";#N/A,#N/A,FALSE,"CTC Summary - Wtavg"}</definedName>
    <definedName name="wrn.Accelerated." localSheetId="21" hidden="1">{#N/A,#N/A,FALSE,"CTC Summary - EOY";#N/A,#N/A,FALSE,"CTC Summary - Wtavg"}</definedName>
    <definedName name="wrn.Accelerated." localSheetId="22" hidden="1">{#N/A,#N/A,FALSE,"CTC Summary - EOY";#N/A,#N/A,FALSE,"CTC Summary - Wtavg"}</definedName>
    <definedName name="wrn.Accelerated." localSheetId="23" hidden="1">{#N/A,#N/A,FALSE,"CTC Summary - EOY";#N/A,#N/A,FALSE,"CTC Summary - Wtavg"}</definedName>
    <definedName name="wrn.Accelerated." localSheetId="24" hidden="1">{#N/A,#N/A,FALSE,"CTC Summary - EOY";#N/A,#N/A,FALSE,"CTC Summary - Wtavg"}</definedName>
    <definedName name="wrn.Accelerated." localSheetId="25" hidden="1">{#N/A,#N/A,FALSE,"CTC Summary - EOY";#N/A,#N/A,FALSE,"CTC Summary - Wtavg"}</definedName>
    <definedName name="wrn.Accelerated." localSheetId="26" hidden="1">{#N/A,#N/A,FALSE,"CTC Summary - EOY";#N/A,#N/A,FALSE,"CTC Summary - Wtavg"}</definedName>
    <definedName name="wrn.Accelerated." localSheetId="28" hidden="1">{#N/A,#N/A,FALSE,"CTC Summary - EOY";#N/A,#N/A,FALSE,"CTC Summary - Wtavg"}</definedName>
    <definedName name="wrn.Accelerated." localSheetId="29" hidden="1">{#N/A,#N/A,FALSE,"CTC Summary - EOY";#N/A,#N/A,FALSE,"CTC Summary - Wtavg"}</definedName>
    <definedName name="wrn.Accelerated." localSheetId="30" hidden="1">{#N/A,#N/A,FALSE,"CTC Summary - EOY";#N/A,#N/A,FALSE,"CTC Summary - Wtavg"}</definedName>
    <definedName name="wrn.Accelerated." localSheetId="31" hidden="1">{#N/A,#N/A,FALSE,"CTC Summary - EOY";#N/A,#N/A,FALSE,"CTC Summary - Wtavg"}</definedName>
    <definedName name="wrn.Accelerated." localSheetId="32" hidden="1">{#N/A,#N/A,FALSE,"CTC Summary - EOY";#N/A,#N/A,FALSE,"CTC Summary - Wtavg"}</definedName>
    <definedName name="wrn.Accelerated." localSheetId="33" hidden="1">{#N/A,#N/A,FALSE,"CTC Summary - EOY";#N/A,#N/A,FALSE,"CTC Summary - Wtavg"}</definedName>
    <definedName name="wrn.Accelerated." localSheetId="34" hidden="1">{#N/A,#N/A,FALSE,"CTC Summary - EOY";#N/A,#N/A,FALSE,"CTC Summary - Wtavg"}</definedName>
    <definedName name="wrn.Accelerated." localSheetId="35" hidden="1">{#N/A,#N/A,FALSE,"CTC Summary - EOY";#N/A,#N/A,FALSE,"CTC Summary - Wtavg"}</definedName>
    <definedName name="wrn.Accelerated." localSheetId="36" hidden="1">{#N/A,#N/A,FALSE,"CTC Summary - EOY";#N/A,#N/A,FALSE,"CTC Summary - Wtavg"}</definedName>
    <definedName name="wrn.Accelerated." localSheetId="8" hidden="1">{#N/A,#N/A,FALSE,"CTC Summary - EOY";#N/A,#N/A,FALSE,"CTC Summary - Wtavg"}</definedName>
    <definedName name="wrn.Accelerated." localSheetId="9" hidden="1">{#N/A,#N/A,FALSE,"CTC Summary - EOY";#N/A,#N/A,FALSE,"CTC Summary - Wtavg"}</definedName>
    <definedName name="wrn.Accelerated." localSheetId="10" hidden="1">{#N/A,#N/A,FALSE,"CTC Summary - EOY";#N/A,#N/A,FALSE,"CTC Summary - Wtavg"}</definedName>
    <definedName name="wrn.Accelerated." localSheetId="12" hidden="1">{#N/A,#N/A,FALSE,"CTC Summary - EOY";#N/A,#N/A,FALSE,"CTC Summary - Wtavg"}</definedName>
    <definedName name="wrn.Accelerated." localSheetId="13" hidden="1">{#N/A,#N/A,FALSE,"CTC Summary - EOY";#N/A,#N/A,FALSE,"CTC Summary - Wtavg"}</definedName>
    <definedName name="wrn.Accelerated." localSheetId="14" hidden="1">{#N/A,#N/A,FALSE,"CTC Summary - EOY";#N/A,#N/A,FALSE,"CTC Summary - Wtavg"}</definedName>
    <definedName name="wrn.Accelerated." localSheetId="15" hidden="1">{#N/A,#N/A,FALSE,"CTC Summary - EOY";#N/A,#N/A,FALSE,"CTC Summary - Wtavg"}</definedName>
    <definedName name="wrn.Accelerated." localSheetId="3" hidden="1">{#N/A,#N/A,FALSE,"CTC Summary - EOY";#N/A,#N/A,FALSE,"CTC Summary - Wtavg"}</definedName>
    <definedName name="wrn.accellerated1" localSheetId="16" hidden="1">{#N/A,#N/A,FALSE,"CTC Summary - EOY";#N/A,#N/A,FALSE,"CTC Summary - Wtavg"}</definedName>
    <definedName name="wrn.accellerated1" localSheetId="17" hidden="1">{#N/A,#N/A,FALSE,"CTC Summary - EOY";#N/A,#N/A,FALSE,"CTC Summary - Wtavg"}</definedName>
    <definedName name="wrn.accellerated1" localSheetId="18" hidden="1">{#N/A,#N/A,FALSE,"CTC Summary - EOY";#N/A,#N/A,FALSE,"CTC Summary - Wtavg"}</definedName>
    <definedName name="wrn.accellerated1" localSheetId="19" hidden="1">{#N/A,#N/A,FALSE,"CTC Summary - EOY";#N/A,#N/A,FALSE,"CTC Summary - Wtavg"}</definedName>
    <definedName name="wrn.accellerated1" localSheetId="20" hidden="1">{#N/A,#N/A,FALSE,"CTC Summary - EOY";#N/A,#N/A,FALSE,"CTC Summary - Wtavg"}</definedName>
    <definedName name="wrn.accellerated1" localSheetId="21" hidden="1">{#N/A,#N/A,FALSE,"CTC Summary - EOY";#N/A,#N/A,FALSE,"CTC Summary - Wtavg"}</definedName>
    <definedName name="wrn.accellerated1" localSheetId="22" hidden="1">{#N/A,#N/A,FALSE,"CTC Summary - EOY";#N/A,#N/A,FALSE,"CTC Summary - Wtavg"}</definedName>
    <definedName name="wrn.accellerated1" localSheetId="23" hidden="1">{#N/A,#N/A,FALSE,"CTC Summary - EOY";#N/A,#N/A,FALSE,"CTC Summary - Wtavg"}</definedName>
    <definedName name="wrn.accellerated1" localSheetId="24" hidden="1">{#N/A,#N/A,FALSE,"CTC Summary - EOY";#N/A,#N/A,FALSE,"CTC Summary - Wtavg"}</definedName>
    <definedName name="wrn.accellerated1" localSheetId="25" hidden="1">{#N/A,#N/A,FALSE,"CTC Summary - EOY";#N/A,#N/A,FALSE,"CTC Summary - Wtavg"}</definedName>
    <definedName name="wrn.accellerated1" localSheetId="26" hidden="1">{#N/A,#N/A,FALSE,"CTC Summary - EOY";#N/A,#N/A,FALSE,"CTC Summary - Wtavg"}</definedName>
    <definedName name="wrn.accellerated1" localSheetId="28" hidden="1">{#N/A,#N/A,FALSE,"CTC Summary - EOY";#N/A,#N/A,FALSE,"CTC Summary - Wtavg"}</definedName>
    <definedName name="wrn.accellerated1" localSheetId="29" hidden="1">{#N/A,#N/A,FALSE,"CTC Summary - EOY";#N/A,#N/A,FALSE,"CTC Summary - Wtavg"}</definedName>
    <definedName name="wrn.accellerated1" localSheetId="30" hidden="1">{#N/A,#N/A,FALSE,"CTC Summary - EOY";#N/A,#N/A,FALSE,"CTC Summary - Wtavg"}</definedName>
    <definedName name="wrn.accellerated1" localSheetId="31" hidden="1">{#N/A,#N/A,FALSE,"CTC Summary - EOY";#N/A,#N/A,FALSE,"CTC Summary - Wtavg"}</definedName>
    <definedName name="wrn.accellerated1" localSheetId="32" hidden="1">{#N/A,#N/A,FALSE,"CTC Summary - EOY";#N/A,#N/A,FALSE,"CTC Summary - Wtavg"}</definedName>
    <definedName name="wrn.accellerated1" localSheetId="33" hidden="1">{#N/A,#N/A,FALSE,"CTC Summary - EOY";#N/A,#N/A,FALSE,"CTC Summary - Wtavg"}</definedName>
    <definedName name="wrn.accellerated1" localSheetId="34" hidden="1">{#N/A,#N/A,FALSE,"CTC Summary - EOY";#N/A,#N/A,FALSE,"CTC Summary - Wtavg"}</definedName>
    <definedName name="wrn.accellerated1" localSheetId="35" hidden="1">{#N/A,#N/A,FALSE,"CTC Summary - EOY";#N/A,#N/A,FALSE,"CTC Summary - Wtavg"}</definedName>
    <definedName name="wrn.accellerated1" localSheetId="36" hidden="1">{#N/A,#N/A,FALSE,"CTC Summary - EOY";#N/A,#N/A,FALSE,"CTC Summary - Wtavg"}</definedName>
    <definedName name="wrn.accellerated1" localSheetId="8" hidden="1">{#N/A,#N/A,FALSE,"CTC Summary - EOY";#N/A,#N/A,FALSE,"CTC Summary - Wtavg"}</definedName>
    <definedName name="wrn.accellerated1" localSheetId="9" hidden="1">{#N/A,#N/A,FALSE,"CTC Summary - EOY";#N/A,#N/A,FALSE,"CTC Summary - Wtavg"}</definedName>
    <definedName name="wrn.accellerated1" localSheetId="10" hidden="1">{#N/A,#N/A,FALSE,"CTC Summary - EOY";#N/A,#N/A,FALSE,"CTC Summary - Wtavg"}</definedName>
    <definedName name="wrn.accellerated1" localSheetId="12" hidden="1">{#N/A,#N/A,FALSE,"CTC Summary - EOY";#N/A,#N/A,FALSE,"CTC Summary - Wtavg"}</definedName>
    <definedName name="wrn.accellerated1" localSheetId="13" hidden="1">{#N/A,#N/A,FALSE,"CTC Summary - EOY";#N/A,#N/A,FALSE,"CTC Summary - Wtavg"}</definedName>
    <definedName name="wrn.accellerated1" localSheetId="14" hidden="1">{#N/A,#N/A,FALSE,"CTC Summary - EOY";#N/A,#N/A,FALSE,"CTC Summary - Wtavg"}</definedName>
    <definedName name="wrn.accellerated1" localSheetId="15" hidden="1">{#N/A,#N/A,FALSE,"CTC Summary - EOY";#N/A,#N/A,FALSE,"CTC Summary - Wtavg"}</definedName>
    <definedName name="wrn.accellerated1" localSheetId="3" hidden="1">{#N/A,#N/A,FALSE,"CTC Summary - EOY";#N/A,#N/A,FALSE,"CTC Summary - Wtavg"}</definedName>
    <definedName name="wrn.AG." localSheetId="25" hidden="1">{#N/A,#N/A,FALSE,"AG-1";#N/A,#N/A,FALSE,"AG-R";#N/A,#N/A,FALSE,"AG-V";#N/A,#N/A,FALSE,"AG-4";#N/A,#N/A,FALSE,"AG-5";#N/A,#N/A,FALSE,"AG-6";#N/A,#N/A,FALSE,"AG-7"}</definedName>
    <definedName name="wrn.AG." localSheetId="8" hidden="1">{#N/A,#N/A,FALSE,"AG-1";#N/A,#N/A,FALSE,"AG-R";#N/A,#N/A,FALSE,"AG-V";#N/A,#N/A,FALSE,"AG-4";#N/A,#N/A,FALSE,"AG-5";#N/A,#N/A,FALSE,"AG-6";#N/A,#N/A,FALSE,"AG-7"}</definedName>
    <definedName name="wrn.AG." localSheetId="10" hidden="1">{#N/A,#N/A,FALSE,"AG-1";#N/A,#N/A,FALSE,"AG-R";#N/A,#N/A,FALSE,"AG-V";#N/A,#N/A,FALSE,"AG-4";#N/A,#N/A,FALSE,"AG-5";#N/A,#N/A,FALSE,"AG-6";#N/A,#N/A,FALSE,"AG-7"}</definedName>
    <definedName name="wrn.AG." localSheetId="14" hidden="1">{#N/A,#N/A,FALSE,"AG-1";#N/A,#N/A,FALSE,"AG-R";#N/A,#N/A,FALSE,"AG-V";#N/A,#N/A,FALSE,"AG-4";#N/A,#N/A,FALSE,"AG-5";#N/A,#N/A,FALSE,"AG-6";#N/A,#N/A,FALSE,"AG-7"}</definedName>
    <definedName name="wrn.AG." localSheetId="3" hidden="1">{#N/A,#N/A,FALSE,"AG-1";#N/A,#N/A,FALSE,"AG-R";#N/A,#N/A,FALSE,"AG-V";#N/A,#N/A,FALSE,"AG-4";#N/A,#N/A,FALSE,"AG-5";#N/A,#N/A,FALSE,"AG-6";#N/A,#N/A,FALSE,"AG-7"}</definedName>
    <definedName name="wrn.AGa." localSheetId="25" hidden="1">{#N/A,#N/A,FALSE,"UN-AGRA";#N/A,#N/A,FALSE,"UN-AG1A";#N/A,#N/A,FALSE,"UN-AGVA";#N/A,#N/A,FALSE,"UN-AG4A ";#N/A,#N/A,FALSE,"UN-AG5A";#N/A,#N/A,FALSE,"UN-AG6A";#N/A,#N/A,FALSE,"Dist Calcs";#N/A,#N/A,FALSE,"7A-Avg.";#N/A,#N/A,FALSE,"7A Tier1-avg";#N/A,#N/A,FALSE,"7A Tier2-avg";#N/A,#N/A,FALSE,"Ag-7A Dist Calc"}</definedName>
    <definedName name="wrn.AGa." localSheetId="8" hidden="1">{#N/A,#N/A,FALSE,"UN-AGRA";#N/A,#N/A,FALSE,"UN-AG1A";#N/A,#N/A,FALSE,"UN-AGVA";#N/A,#N/A,FALSE,"UN-AG4A ";#N/A,#N/A,FALSE,"UN-AG5A";#N/A,#N/A,FALSE,"UN-AG6A";#N/A,#N/A,FALSE,"Dist Calcs";#N/A,#N/A,FALSE,"7A-Avg.";#N/A,#N/A,FALSE,"7A Tier1-avg";#N/A,#N/A,FALSE,"7A Tier2-avg";#N/A,#N/A,FALSE,"Ag-7A Dist Calc"}</definedName>
    <definedName name="wrn.AGa." localSheetId="10" hidden="1">{#N/A,#N/A,FALSE,"UN-AGRA";#N/A,#N/A,FALSE,"UN-AG1A";#N/A,#N/A,FALSE,"UN-AGVA";#N/A,#N/A,FALSE,"UN-AG4A ";#N/A,#N/A,FALSE,"UN-AG5A";#N/A,#N/A,FALSE,"UN-AG6A";#N/A,#N/A,FALSE,"Dist Calcs";#N/A,#N/A,FALSE,"7A-Avg.";#N/A,#N/A,FALSE,"7A Tier1-avg";#N/A,#N/A,FALSE,"7A Tier2-avg";#N/A,#N/A,FALSE,"Ag-7A Dist Calc"}</definedName>
    <definedName name="wrn.AGa." localSheetId="14" hidden="1">{#N/A,#N/A,FALSE,"UN-AGRA";#N/A,#N/A,FALSE,"UN-AG1A";#N/A,#N/A,FALSE,"UN-AGVA";#N/A,#N/A,FALSE,"UN-AG4A ";#N/A,#N/A,FALSE,"UN-AG5A";#N/A,#N/A,FALSE,"UN-AG6A";#N/A,#N/A,FALSE,"Dist Calcs";#N/A,#N/A,FALSE,"7A-Avg.";#N/A,#N/A,FALSE,"7A Tier1-avg";#N/A,#N/A,FALSE,"7A Tier2-avg";#N/A,#N/A,FALSE,"Ag-7A Dist Calc"}</definedName>
    <definedName name="wrn.AGa." localSheetId="3" hidden="1">{#N/A,#N/A,FALSE,"UN-AGRA";#N/A,#N/A,FALSE,"UN-AG1A";#N/A,#N/A,FALSE,"UN-AGVA";#N/A,#N/A,FALSE,"UN-AG4A ";#N/A,#N/A,FALSE,"UN-AG5A";#N/A,#N/A,FALSE,"UN-AG6A";#N/A,#N/A,FALSE,"Dist Calcs";#N/A,#N/A,FALSE,"7A-Avg.";#N/A,#N/A,FALSE,"7A Tier1-avg";#N/A,#N/A,FALSE,"7A Tier2-avg";#N/A,#N/A,FALSE,"Ag-7A Dist Calc"}</definedName>
    <definedName name="wrn.Agb." localSheetId="25" hidden="1">{#N/A,#N/A,FALSE,"UN-AG1B";#N/A,#N/A,FALSE,"UN-AGRB  ";#N/A,#N/A,FALSE,"UN-AGVB ";#N/A,#N/A,FALSE,"UN-AG4B";#N/A,#N/A,FALSE,"UN-AG4C";#N/A,#N/A,FALSE,"UN-AG5B";#N/A,#N/A,FALSE,"UN-AG5C ";#N/A,#N/A,FALSE,"UN-AG6B";#N/A,#N/A,FALSE,"Dist Cals";#N/A,#N/A,FALSE,"7B-Avg.";#N/A,#N/A,FALSE,"7B Tier1-avg";#N/A,#N/A,FALSE,"7B Tier2-avg";#N/A,#N/A,FALSE,"Ag-7B Dist Calc";#N/A,#N/A,FALSE,"AG RL Calc"}</definedName>
    <definedName name="wrn.Agb." localSheetId="8" hidden="1">{#N/A,#N/A,FALSE,"UN-AG1B";#N/A,#N/A,FALSE,"UN-AGRB  ";#N/A,#N/A,FALSE,"UN-AGVB ";#N/A,#N/A,FALSE,"UN-AG4B";#N/A,#N/A,FALSE,"UN-AG4C";#N/A,#N/A,FALSE,"UN-AG5B";#N/A,#N/A,FALSE,"UN-AG5C ";#N/A,#N/A,FALSE,"UN-AG6B";#N/A,#N/A,FALSE,"Dist Cals";#N/A,#N/A,FALSE,"7B-Avg.";#N/A,#N/A,FALSE,"7B Tier1-avg";#N/A,#N/A,FALSE,"7B Tier2-avg";#N/A,#N/A,FALSE,"Ag-7B Dist Calc";#N/A,#N/A,FALSE,"AG RL Calc"}</definedName>
    <definedName name="wrn.Agb." localSheetId="10" hidden="1">{#N/A,#N/A,FALSE,"UN-AG1B";#N/A,#N/A,FALSE,"UN-AGRB  ";#N/A,#N/A,FALSE,"UN-AGVB ";#N/A,#N/A,FALSE,"UN-AG4B";#N/A,#N/A,FALSE,"UN-AG4C";#N/A,#N/A,FALSE,"UN-AG5B";#N/A,#N/A,FALSE,"UN-AG5C ";#N/A,#N/A,FALSE,"UN-AG6B";#N/A,#N/A,FALSE,"Dist Cals";#N/A,#N/A,FALSE,"7B-Avg.";#N/A,#N/A,FALSE,"7B Tier1-avg";#N/A,#N/A,FALSE,"7B Tier2-avg";#N/A,#N/A,FALSE,"Ag-7B Dist Calc";#N/A,#N/A,FALSE,"AG RL Calc"}</definedName>
    <definedName name="wrn.Agb." localSheetId="14" hidden="1">{#N/A,#N/A,FALSE,"UN-AG1B";#N/A,#N/A,FALSE,"UN-AGRB  ";#N/A,#N/A,FALSE,"UN-AGVB ";#N/A,#N/A,FALSE,"UN-AG4B";#N/A,#N/A,FALSE,"UN-AG4C";#N/A,#N/A,FALSE,"UN-AG5B";#N/A,#N/A,FALSE,"UN-AG5C ";#N/A,#N/A,FALSE,"UN-AG6B";#N/A,#N/A,FALSE,"Dist Cals";#N/A,#N/A,FALSE,"7B-Avg.";#N/A,#N/A,FALSE,"7B Tier1-avg";#N/A,#N/A,FALSE,"7B Tier2-avg";#N/A,#N/A,FALSE,"Ag-7B Dist Calc";#N/A,#N/A,FALSE,"AG RL Calc"}</definedName>
    <definedName name="wrn.Agb." localSheetId="3" hidden="1">{#N/A,#N/A,FALSE,"UN-AG1B";#N/A,#N/A,FALSE,"UN-AGRB  ";#N/A,#N/A,FALSE,"UN-AGVB ";#N/A,#N/A,FALSE,"UN-AG4B";#N/A,#N/A,FALSE,"UN-AG4C";#N/A,#N/A,FALSE,"UN-AG5B";#N/A,#N/A,FALSE,"UN-AG5C ";#N/A,#N/A,FALSE,"UN-AG6B";#N/A,#N/A,FALSE,"Dist Cals";#N/A,#N/A,FALSE,"7B-Avg.";#N/A,#N/A,FALSE,"7B Tier1-avg";#N/A,#N/A,FALSE,"7B Tier2-avg";#N/A,#N/A,FALSE,"Ag-7B Dist Calc";#N/A,#N/A,FALSE,"AG RL Calc"}</definedName>
    <definedName name="wrn.All._.Sheets._.Engrs._.PMs." localSheetId="25" hidden="1">{#N/A,#N/A,TRUE,"Title Page";#N/A,#N/A,TRUE,"Table of Contents";#N/A,#N/A,TRUE,"Guidelines 1";#N/A,#N/A,TRUE,"Guidelines 2";#N/A,#N/A,TRUE,"SAP Help";#N/A,#N/A,TRUE,"PCC Activity Types (GSM)";#N/A,#N/A,TRUE,"PCC Activity Types (non-GSM)";#N/A,#N/A,TRUE,"Bus Areas, MWC's, &amp; Plan Orders";#N/A,#N/A,TRUE,"Receiver Cost Centers";#N/A,#N/A,TRUE,"Responsible Cost Centers";#N/A,#N/A,TRUE,"FERC Regulatory Accounts";#N/A,#N/A,TRUE,"Counties";#N/A,#N/A,TRUE,"Cost Elements";#N/A,#N/A,TRUE,"Asset Classifications";#N/A,#N/A,TRUE,"GSM Common";#N/A,#N/A,TRUE,"Burney";#N/A,#N/A,TRUE,"Central Coast";#N/A,#N/A,TRUE,"De Anza";#N/A,#N/A,TRUE,"Diablo";#N/A,#N/A,TRUE,"East Bay";#N/A,#N/A,TRUE,"Fresno";#N/A,#N/A,TRUE,"Hinkley";#N/A,#N/A,TRUE,"Kern";#N/A,#N/A,TRUE,"Kettleman";#N/A,#N/A,TRUE,"Los Medanos";#N/A,#N/A,TRUE,"McDonald Island";#N/A,#N/A,TRUE,"Meridian-Orland";#N/A,#N/A,TRUE,"Milpitas-Hollister";#N/A,#N/A,TRUE,"Mission";#N/A,#N/A,TRUE,"North Bay";#N/A,#N/A,TRUE,"North Coast";#N/A,#N/A,TRUE,"North Valley";#N/A,#N/A,TRUE,"Peninsula";#N/A,#N/A,TRUE,"Rio Vista";#N/A,#N/A,TRUE,"Sacramento";#N/A,#N/A,TRUE,"San Francisco";#N/A,#N/A,TRUE,"San Jose";#N/A,#N/A,TRUE,"Sierra";#N/A,#N/A,TRUE,"Stockton";#N/A,#N/A,TRUE,"Topock";#N/A,#N/A,TRUE,"Tracy";#N/A,#N/A,TRUE,"Willows";#N/A,#N/A,TRUE,"Yosemite";#N/A,#N/A,TRUE,"Non-GSM"}</definedName>
    <definedName name="wrn.All._.Sheets._.Engrs._.PMs." localSheetId="8" hidden="1">{#N/A,#N/A,TRUE,"Title Page";#N/A,#N/A,TRUE,"Table of Contents";#N/A,#N/A,TRUE,"Guidelines 1";#N/A,#N/A,TRUE,"Guidelines 2";#N/A,#N/A,TRUE,"SAP Help";#N/A,#N/A,TRUE,"PCC Activity Types (GSM)";#N/A,#N/A,TRUE,"PCC Activity Types (non-GSM)";#N/A,#N/A,TRUE,"Bus Areas, MWC's, &amp; Plan Orders";#N/A,#N/A,TRUE,"Receiver Cost Centers";#N/A,#N/A,TRUE,"Responsible Cost Centers";#N/A,#N/A,TRUE,"FERC Regulatory Accounts";#N/A,#N/A,TRUE,"Counties";#N/A,#N/A,TRUE,"Cost Elements";#N/A,#N/A,TRUE,"Asset Classifications";#N/A,#N/A,TRUE,"GSM Common";#N/A,#N/A,TRUE,"Burney";#N/A,#N/A,TRUE,"Central Coast";#N/A,#N/A,TRUE,"De Anza";#N/A,#N/A,TRUE,"Diablo";#N/A,#N/A,TRUE,"East Bay";#N/A,#N/A,TRUE,"Fresno";#N/A,#N/A,TRUE,"Hinkley";#N/A,#N/A,TRUE,"Kern";#N/A,#N/A,TRUE,"Kettleman";#N/A,#N/A,TRUE,"Los Medanos";#N/A,#N/A,TRUE,"McDonald Island";#N/A,#N/A,TRUE,"Meridian-Orland";#N/A,#N/A,TRUE,"Milpitas-Hollister";#N/A,#N/A,TRUE,"Mission";#N/A,#N/A,TRUE,"North Bay";#N/A,#N/A,TRUE,"North Coast";#N/A,#N/A,TRUE,"North Valley";#N/A,#N/A,TRUE,"Peninsula";#N/A,#N/A,TRUE,"Rio Vista";#N/A,#N/A,TRUE,"Sacramento";#N/A,#N/A,TRUE,"San Francisco";#N/A,#N/A,TRUE,"San Jose";#N/A,#N/A,TRUE,"Sierra";#N/A,#N/A,TRUE,"Stockton";#N/A,#N/A,TRUE,"Topock";#N/A,#N/A,TRUE,"Tracy";#N/A,#N/A,TRUE,"Willows";#N/A,#N/A,TRUE,"Yosemite";#N/A,#N/A,TRUE,"Non-GSM"}</definedName>
    <definedName name="wrn.All._.Sheets._.Engrs._.PMs." localSheetId="10" hidden="1">{#N/A,#N/A,TRUE,"Title Page";#N/A,#N/A,TRUE,"Table of Contents";#N/A,#N/A,TRUE,"Guidelines 1";#N/A,#N/A,TRUE,"Guidelines 2";#N/A,#N/A,TRUE,"SAP Help";#N/A,#N/A,TRUE,"PCC Activity Types (GSM)";#N/A,#N/A,TRUE,"PCC Activity Types (non-GSM)";#N/A,#N/A,TRUE,"Bus Areas, MWC's, &amp; Plan Orders";#N/A,#N/A,TRUE,"Receiver Cost Centers";#N/A,#N/A,TRUE,"Responsible Cost Centers";#N/A,#N/A,TRUE,"FERC Regulatory Accounts";#N/A,#N/A,TRUE,"Counties";#N/A,#N/A,TRUE,"Cost Elements";#N/A,#N/A,TRUE,"Asset Classifications";#N/A,#N/A,TRUE,"GSM Common";#N/A,#N/A,TRUE,"Burney";#N/A,#N/A,TRUE,"Central Coast";#N/A,#N/A,TRUE,"De Anza";#N/A,#N/A,TRUE,"Diablo";#N/A,#N/A,TRUE,"East Bay";#N/A,#N/A,TRUE,"Fresno";#N/A,#N/A,TRUE,"Hinkley";#N/A,#N/A,TRUE,"Kern";#N/A,#N/A,TRUE,"Kettleman";#N/A,#N/A,TRUE,"Los Medanos";#N/A,#N/A,TRUE,"McDonald Island";#N/A,#N/A,TRUE,"Meridian-Orland";#N/A,#N/A,TRUE,"Milpitas-Hollister";#N/A,#N/A,TRUE,"Mission";#N/A,#N/A,TRUE,"North Bay";#N/A,#N/A,TRUE,"North Coast";#N/A,#N/A,TRUE,"North Valley";#N/A,#N/A,TRUE,"Peninsula";#N/A,#N/A,TRUE,"Rio Vista";#N/A,#N/A,TRUE,"Sacramento";#N/A,#N/A,TRUE,"San Francisco";#N/A,#N/A,TRUE,"San Jose";#N/A,#N/A,TRUE,"Sierra";#N/A,#N/A,TRUE,"Stockton";#N/A,#N/A,TRUE,"Topock";#N/A,#N/A,TRUE,"Tracy";#N/A,#N/A,TRUE,"Willows";#N/A,#N/A,TRUE,"Yosemite";#N/A,#N/A,TRUE,"Non-GSM"}</definedName>
    <definedName name="wrn.All._.Sheets._.Engrs._.PMs." localSheetId="3" hidden="1">{#N/A,#N/A,TRUE,"Title Page";#N/A,#N/A,TRUE,"Table of Contents";#N/A,#N/A,TRUE,"Guidelines 1";#N/A,#N/A,TRUE,"Guidelines 2";#N/A,#N/A,TRUE,"SAP Help";#N/A,#N/A,TRUE,"PCC Activity Types (GSM)";#N/A,#N/A,TRUE,"PCC Activity Types (non-GSM)";#N/A,#N/A,TRUE,"Bus Areas, MWC's, &amp; Plan Orders";#N/A,#N/A,TRUE,"Receiver Cost Centers";#N/A,#N/A,TRUE,"Responsible Cost Centers";#N/A,#N/A,TRUE,"FERC Regulatory Accounts";#N/A,#N/A,TRUE,"Counties";#N/A,#N/A,TRUE,"Cost Elements";#N/A,#N/A,TRUE,"Asset Classifications";#N/A,#N/A,TRUE,"GSM Common";#N/A,#N/A,TRUE,"Burney";#N/A,#N/A,TRUE,"Central Coast";#N/A,#N/A,TRUE,"De Anza";#N/A,#N/A,TRUE,"Diablo";#N/A,#N/A,TRUE,"East Bay";#N/A,#N/A,TRUE,"Fresno";#N/A,#N/A,TRUE,"Hinkley";#N/A,#N/A,TRUE,"Kern";#N/A,#N/A,TRUE,"Kettleman";#N/A,#N/A,TRUE,"Los Medanos";#N/A,#N/A,TRUE,"McDonald Island";#N/A,#N/A,TRUE,"Meridian-Orland";#N/A,#N/A,TRUE,"Milpitas-Hollister";#N/A,#N/A,TRUE,"Mission";#N/A,#N/A,TRUE,"North Bay";#N/A,#N/A,TRUE,"North Coast";#N/A,#N/A,TRUE,"North Valley";#N/A,#N/A,TRUE,"Peninsula";#N/A,#N/A,TRUE,"Rio Vista";#N/A,#N/A,TRUE,"Sacramento";#N/A,#N/A,TRUE,"San Francisco";#N/A,#N/A,TRUE,"San Jose";#N/A,#N/A,TRUE,"Sierra";#N/A,#N/A,TRUE,"Stockton";#N/A,#N/A,TRUE,"Topock";#N/A,#N/A,TRUE,"Tracy";#N/A,#N/A,TRUE,"Willows";#N/A,#N/A,TRUE,"Yosemite";#N/A,#N/A,TRUE,"Non-GSM"}</definedName>
    <definedName name="wrn.comind." localSheetId="25" hidden="1">{#N/A,#N/A,FALSE,"A-1, A-6, A-10, A-15";#N/A,#N/A,FALSE,"E-19 Firm";#N/A,#N/A,FALSE,"E-19 Nonfirm";#N/A,#N/A,FALSE,"E-20 Firm ";#N/A,#N/A,FALSE,"E-20 Nonfirm ";#N/A,#N/A,FALSE,"E-25";#N/A,#N/A,FALSE,"E-36, E-37";#N/A,#N/A,FALSE,"LS-1,-2,-3, TC-1, OL-1";#N/A,#N/A,FALSE,"Standby"}</definedName>
    <definedName name="wrn.comind." localSheetId="8" hidden="1">{#N/A,#N/A,FALSE,"A-1, A-6, A-10, A-15";#N/A,#N/A,FALSE,"E-19 Firm";#N/A,#N/A,FALSE,"E-19 Nonfirm";#N/A,#N/A,FALSE,"E-20 Firm ";#N/A,#N/A,FALSE,"E-20 Nonfirm ";#N/A,#N/A,FALSE,"E-25";#N/A,#N/A,FALSE,"E-36, E-37";#N/A,#N/A,FALSE,"LS-1,-2,-3, TC-1, OL-1";#N/A,#N/A,FALSE,"Standby"}</definedName>
    <definedName name="wrn.comind." localSheetId="10" hidden="1">{#N/A,#N/A,FALSE,"A-1, A-6, A-10, A-15";#N/A,#N/A,FALSE,"E-19 Firm";#N/A,#N/A,FALSE,"E-19 Nonfirm";#N/A,#N/A,FALSE,"E-20 Firm ";#N/A,#N/A,FALSE,"E-20 Nonfirm ";#N/A,#N/A,FALSE,"E-25";#N/A,#N/A,FALSE,"E-36, E-37";#N/A,#N/A,FALSE,"LS-1,-2,-3, TC-1, OL-1";#N/A,#N/A,FALSE,"Standby"}</definedName>
    <definedName name="wrn.comind." localSheetId="14" hidden="1">{#N/A,#N/A,FALSE,"A-1, A-6, A-10, A-15";#N/A,#N/A,FALSE,"E-19 Firm";#N/A,#N/A,FALSE,"E-19 Nonfirm";#N/A,#N/A,FALSE,"E-20 Firm ";#N/A,#N/A,FALSE,"E-20 Nonfirm ";#N/A,#N/A,FALSE,"E-25";#N/A,#N/A,FALSE,"E-36, E-37";#N/A,#N/A,FALSE,"LS-1,-2,-3, TC-1, OL-1";#N/A,#N/A,FALSE,"Standby"}</definedName>
    <definedName name="wrn.comind." localSheetId="3" hidden="1">{#N/A,#N/A,FALSE,"A-1, A-6, A-10, A-15";#N/A,#N/A,FALSE,"E-19 Firm";#N/A,#N/A,FALSE,"E-19 Nonfirm";#N/A,#N/A,FALSE,"E-20 Firm ";#N/A,#N/A,FALSE,"E-20 Nonfirm ";#N/A,#N/A,FALSE,"E-25";#N/A,#N/A,FALSE,"E-36, E-37";#N/A,#N/A,FALSE,"LS-1,-2,-3, TC-1, OL-1";#N/A,#N/A,FALSE,"Standby"}</definedName>
    <definedName name="wrn.Distr." localSheetId="24" hidden="1">{#N/A,#N/A,FALSE,"Dist Rev at PR ";#N/A,#N/A,FALSE,"Spec";#N/A,#N/A,FALSE,"Res";#N/A,#N/A,FALSE,"Small L&amp;P";#N/A,#N/A,FALSE,"Medium L&amp;P";#N/A,#N/A,FALSE,"E-19";#N/A,#N/A,FALSE,"E-20";#N/A,#N/A,FALSE,"Strtlts &amp; Standby";#N/A,#N/A,FALSE,"A-RTP";#N/A,#N/A,FALSE,"2003mixeduse"}</definedName>
    <definedName name="wrn.Distr." localSheetId="25" hidden="1">{#N/A,#N/A,FALSE,"Dist Rev at PR ";#N/A,#N/A,FALSE,"Spec";#N/A,#N/A,FALSE,"Res";#N/A,#N/A,FALSE,"Small L&amp;P";#N/A,#N/A,FALSE,"Medium L&amp;P";#N/A,#N/A,FALSE,"E-19";#N/A,#N/A,FALSE,"E-20";#N/A,#N/A,FALSE,"Strtlts &amp; Standby";#N/A,#N/A,FALSE,"A-RTP";#N/A,#N/A,FALSE,"2003mixeduse"}</definedName>
    <definedName name="wrn.Distr." localSheetId="8" hidden="1">{#N/A,#N/A,FALSE,"Dist Rev at PR ";#N/A,#N/A,FALSE,"Spec";#N/A,#N/A,FALSE,"Res";#N/A,#N/A,FALSE,"Small L&amp;P";#N/A,#N/A,FALSE,"Medium L&amp;P";#N/A,#N/A,FALSE,"E-19";#N/A,#N/A,FALSE,"E-20";#N/A,#N/A,FALSE,"Strtlts &amp; Standby";#N/A,#N/A,FALSE,"A-RTP";#N/A,#N/A,FALSE,"2003mixeduse"}</definedName>
    <definedName name="wrn.Distr." localSheetId="10" hidden="1">{#N/A,#N/A,FALSE,"Dist Rev at PR ";#N/A,#N/A,FALSE,"Spec";#N/A,#N/A,FALSE,"Res";#N/A,#N/A,FALSE,"Small L&amp;P";#N/A,#N/A,FALSE,"Medium L&amp;P";#N/A,#N/A,FALSE,"E-19";#N/A,#N/A,FALSE,"E-20";#N/A,#N/A,FALSE,"Strtlts &amp; Standby";#N/A,#N/A,FALSE,"A-RTP";#N/A,#N/A,FALSE,"2003mixeduse"}</definedName>
    <definedName name="wrn.Distr." localSheetId="14" hidden="1">{#N/A,#N/A,FALSE,"Dist Rev at PR ";#N/A,#N/A,FALSE,"Spec";#N/A,#N/A,FALSE,"Res";#N/A,#N/A,FALSE,"Small L&amp;P";#N/A,#N/A,FALSE,"Medium L&amp;P";#N/A,#N/A,FALSE,"E-19";#N/A,#N/A,FALSE,"E-20";#N/A,#N/A,FALSE,"Strtlts &amp; Standby";#N/A,#N/A,FALSE,"A-RTP";#N/A,#N/A,FALSE,"2003mixeduse"}</definedName>
    <definedName name="wrn.Distr." localSheetId="3" hidden="1">{#N/A,#N/A,FALSE,"Dist Rev at PR ";#N/A,#N/A,FALSE,"Spec";#N/A,#N/A,FALSE,"Res";#N/A,#N/A,FALSE,"Small L&amp;P";#N/A,#N/A,FALSE,"Medium L&amp;P";#N/A,#N/A,FALSE,"E-19";#N/A,#N/A,FALSE,"E-20";#N/A,#N/A,FALSE,"Strtlts &amp; Standby";#N/A,#N/A,FALSE,"A-RTP";#N/A,#N/A,FALSE,"2003mixeduse"}</definedName>
    <definedName name="wrn.Div._.Estimators." localSheetId="25" hidden="1">{#N/A,#N/A,TRUE,"Title Page";#N/A,#N/A,TRUE,"Table of Contents";#N/A,#N/A,TRUE,"Guidelines 1";#N/A,#N/A,TRUE,"Guidelines 2";#N/A,#N/A,TRUE,"SAP Help";#N/A,#N/A,TRUE,"PCC Activity Types (GSM)";#N/A,#N/A,TRUE,"PCC Activity Types (non-GSM)";#N/A,#N/A,TRUE,"Bus Areas, MWC's, &amp; Plan Orders";#N/A,#N/A,TRUE,"Receiver Cost Centers";#N/A,#N/A,TRUE,"Responsible Cost Centers";#N/A,#N/A,TRUE,"FERC Regulatory Accounts";#N/A,#N/A,TRUE,"Counties"}</definedName>
    <definedName name="wrn.Div._.Estimators." localSheetId="8" hidden="1">{#N/A,#N/A,TRUE,"Title Page";#N/A,#N/A,TRUE,"Table of Contents";#N/A,#N/A,TRUE,"Guidelines 1";#N/A,#N/A,TRUE,"Guidelines 2";#N/A,#N/A,TRUE,"SAP Help";#N/A,#N/A,TRUE,"PCC Activity Types (GSM)";#N/A,#N/A,TRUE,"PCC Activity Types (non-GSM)";#N/A,#N/A,TRUE,"Bus Areas, MWC's, &amp; Plan Orders";#N/A,#N/A,TRUE,"Receiver Cost Centers";#N/A,#N/A,TRUE,"Responsible Cost Centers";#N/A,#N/A,TRUE,"FERC Regulatory Accounts";#N/A,#N/A,TRUE,"Counties"}</definedName>
    <definedName name="wrn.Div._.Estimators." localSheetId="10" hidden="1">{#N/A,#N/A,TRUE,"Title Page";#N/A,#N/A,TRUE,"Table of Contents";#N/A,#N/A,TRUE,"Guidelines 1";#N/A,#N/A,TRUE,"Guidelines 2";#N/A,#N/A,TRUE,"SAP Help";#N/A,#N/A,TRUE,"PCC Activity Types (GSM)";#N/A,#N/A,TRUE,"PCC Activity Types (non-GSM)";#N/A,#N/A,TRUE,"Bus Areas, MWC's, &amp; Plan Orders";#N/A,#N/A,TRUE,"Receiver Cost Centers";#N/A,#N/A,TRUE,"Responsible Cost Centers";#N/A,#N/A,TRUE,"FERC Regulatory Accounts";#N/A,#N/A,TRUE,"Counties"}</definedName>
    <definedName name="wrn.Div._.Estimators." localSheetId="3" hidden="1">{#N/A,#N/A,TRUE,"Title Page";#N/A,#N/A,TRUE,"Table of Contents";#N/A,#N/A,TRUE,"Guidelines 1";#N/A,#N/A,TRUE,"Guidelines 2";#N/A,#N/A,TRUE,"SAP Help";#N/A,#N/A,TRUE,"PCC Activity Types (GSM)";#N/A,#N/A,TRUE,"PCC Activity Types (non-GSM)";#N/A,#N/A,TRUE,"Bus Areas, MWC's, &amp; Plan Orders";#N/A,#N/A,TRUE,"Receiver Cost Centers";#N/A,#N/A,TRUE,"Responsible Cost Centers";#N/A,#N/A,TRUE,"FERC Regulatory Accounts";#N/A,#N/A,TRUE,"Counties"}</definedName>
    <definedName name="wrn.Div._.TandR._.Supersiorsnew." localSheetId="25" hidden="1">{#N/A,#N/A,TRUE,"Title Page";#N/A,#N/A,TRUE,"Table of Contents";#N/A,#N/A,TRUE,"Guidelines 1";#N/A,#N/A,TRUE,"Guidelines 2";#N/A,#N/A,TRUE,"Central Coast";#N/A,#N/A,TRUE,"De Anza";#N/A,#N/A,TRUE,"Diablo";#N/A,#N/A,TRUE,"East Bay";#N/A,#N/A,TRUE,"Fresno";#N/A,#N/A,TRUE,"Kern";#N/A,#N/A,TRUE,"Mission";#N/A,#N/A,TRUE,"North Bay";#N/A,#N/A,TRUE,"North Coast";#N/A,#N/A,TRUE,"North Valley";#N/A,#N/A,TRUE,"Peninsula";#N/A,#N/A,TRUE,"Sacramento";#N/A,#N/A,TRUE,"San Francisco";#N/A,#N/A,TRUE,"San Jose";#N/A,#N/A,TRUE,"Sierra";#N/A,#N/A,TRUE,"Stockton";#N/A,#N/A,TRUE,"Yosemite"}</definedName>
    <definedName name="wrn.Div._.TandR._.Supersiorsnew." localSheetId="8" hidden="1">{#N/A,#N/A,TRUE,"Title Page";#N/A,#N/A,TRUE,"Table of Contents";#N/A,#N/A,TRUE,"Guidelines 1";#N/A,#N/A,TRUE,"Guidelines 2";#N/A,#N/A,TRUE,"Central Coast";#N/A,#N/A,TRUE,"De Anza";#N/A,#N/A,TRUE,"Diablo";#N/A,#N/A,TRUE,"East Bay";#N/A,#N/A,TRUE,"Fresno";#N/A,#N/A,TRUE,"Kern";#N/A,#N/A,TRUE,"Mission";#N/A,#N/A,TRUE,"North Bay";#N/A,#N/A,TRUE,"North Coast";#N/A,#N/A,TRUE,"North Valley";#N/A,#N/A,TRUE,"Peninsula";#N/A,#N/A,TRUE,"Sacramento";#N/A,#N/A,TRUE,"San Francisco";#N/A,#N/A,TRUE,"San Jose";#N/A,#N/A,TRUE,"Sierra";#N/A,#N/A,TRUE,"Stockton";#N/A,#N/A,TRUE,"Yosemite"}</definedName>
    <definedName name="wrn.Div._.TandR._.Supersiorsnew." localSheetId="10" hidden="1">{#N/A,#N/A,TRUE,"Title Page";#N/A,#N/A,TRUE,"Table of Contents";#N/A,#N/A,TRUE,"Guidelines 1";#N/A,#N/A,TRUE,"Guidelines 2";#N/A,#N/A,TRUE,"Central Coast";#N/A,#N/A,TRUE,"De Anza";#N/A,#N/A,TRUE,"Diablo";#N/A,#N/A,TRUE,"East Bay";#N/A,#N/A,TRUE,"Fresno";#N/A,#N/A,TRUE,"Kern";#N/A,#N/A,TRUE,"Mission";#N/A,#N/A,TRUE,"North Bay";#N/A,#N/A,TRUE,"North Coast";#N/A,#N/A,TRUE,"North Valley";#N/A,#N/A,TRUE,"Peninsula";#N/A,#N/A,TRUE,"Sacramento";#N/A,#N/A,TRUE,"San Francisco";#N/A,#N/A,TRUE,"San Jose";#N/A,#N/A,TRUE,"Sierra";#N/A,#N/A,TRUE,"Stockton";#N/A,#N/A,TRUE,"Yosemite"}</definedName>
    <definedName name="wrn.Div._.TandR._.Supersiorsnew." localSheetId="3" hidden="1">{#N/A,#N/A,TRUE,"Title Page";#N/A,#N/A,TRUE,"Table of Contents";#N/A,#N/A,TRUE,"Guidelines 1";#N/A,#N/A,TRUE,"Guidelines 2";#N/A,#N/A,TRUE,"Central Coast";#N/A,#N/A,TRUE,"De Anza";#N/A,#N/A,TRUE,"Diablo";#N/A,#N/A,TRUE,"East Bay";#N/A,#N/A,TRUE,"Fresno";#N/A,#N/A,TRUE,"Kern";#N/A,#N/A,TRUE,"Mission";#N/A,#N/A,TRUE,"North Bay";#N/A,#N/A,TRUE,"North Coast";#N/A,#N/A,TRUE,"North Valley";#N/A,#N/A,TRUE,"Peninsula";#N/A,#N/A,TRUE,"Sacramento";#N/A,#N/A,TRUE,"San Francisco";#N/A,#N/A,TRUE,"San Jose";#N/A,#N/A,TRUE,"Sierra";#N/A,#N/A,TRUE,"Stockton";#N/A,#N/A,TRUE,"Yosemite"}</definedName>
    <definedName name="wrn.Div._.TandR._.Supervisors." localSheetId="25" hidden="1">{#N/A,#N/A,TRUE,"Title Page";#N/A,#N/A,TRUE,"Table of Contents";#N/A,#N/A,TRUE,"Guidelines 1";#N/A,#N/A,TRUE,"Guidelines 2";#N/A,#N/A,TRUE,"Central Coast";#N/A,#N/A,TRUE,"De Anza";#N/A,#N/A,TRUE,"Diablo";#N/A,#N/A,TRUE,"East Bay";#N/A,#N/A,TRUE,"Fresno";#N/A,#N/A,TRUE,"Kern";#N/A,#N/A,TRUE,"Mission";#N/A,#N/A,TRUE,"North Bay";#N/A,#N/A,TRUE,"North Coast";#N/A,#N/A,TRUE,"North Valley";#N/A,#N/A,TRUE,"Peninsula";#N/A,#N/A,TRUE,"Sacramento";#N/A,#N/A,TRUE,"San Francisco";#N/A,#N/A,TRUE,"San Jose";#N/A,#N/A,TRUE,"Sierra";#N/A,#N/A,TRUE,"Stockton";#N/A,#N/A,TRUE,"Yosemite"}</definedName>
    <definedName name="wrn.Div._.TandR._.Supervisors." localSheetId="8" hidden="1">{#N/A,#N/A,TRUE,"Title Page";#N/A,#N/A,TRUE,"Table of Contents";#N/A,#N/A,TRUE,"Guidelines 1";#N/A,#N/A,TRUE,"Guidelines 2";#N/A,#N/A,TRUE,"Central Coast";#N/A,#N/A,TRUE,"De Anza";#N/A,#N/A,TRUE,"Diablo";#N/A,#N/A,TRUE,"East Bay";#N/A,#N/A,TRUE,"Fresno";#N/A,#N/A,TRUE,"Kern";#N/A,#N/A,TRUE,"Mission";#N/A,#N/A,TRUE,"North Bay";#N/A,#N/A,TRUE,"North Coast";#N/A,#N/A,TRUE,"North Valley";#N/A,#N/A,TRUE,"Peninsula";#N/A,#N/A,TRUE,"Sacramento";#N/A,#N/A,TRUE,"San Francisco";#N/A,#N/A,TRUE,"San Jose";#N/A,#N/A,TRUE,"Sierra";#N/A,#N/A,TRUE,"Stockton";#N/A,#N/A,TRUE,"Yosemite"}</definedName>
    <definedName name="wrn.Div._.TandR._.Supervisors." localSheetId="10" hidden="1">{#N/A,#N/A,TRUE,"Title Page";#N/A,#N/A,TRUE,"Table of Contents";#N/A,#N/A,TRUE,"Guidelines 1";#N/A,#N/A,TRUE,"Guidelines 2";#N/A,#N/A,TRUE,"Central Coast";#N/A,#N/A,TRUE,"De Anza";#N/A,#N/A,TRUE,"Diablo";#N/A,#N/A,TRUE,"East Bay";#N/A,#N/A,TRUE,"Fresno";#N/A,#N/A,TRUE,"Kern";#N/A,#N/A,TRUE,"Mission";#N/A,#N/A,TRUE,"North Bay";#N/A,#N/A,TRUE,"North Coast";#N/A,#N/A,TRUE,"North Valley";#N/A,#N/A,TRUE,"Peninsula";#N/A,#N/A,TRUE,"Sacramento";#N/A,#N/A,TRUE,"San Francisco";#N/A,#N/A,TRUE,"San Jose";#N/A,#N/A,TRUE,"Sierra";#N/A,#N/A,TRUE,"Stockton";#N/A,#N/A,TRUE,"Yosemite"}</definedName>
    <definedName name="wrn.Div._.TandR._.Supervisors." localSheetId="3" hidden="1">{#N/A,#N/A,TRUE,"Title Page";#N/A,#N/A,TRUE,"Table of Contents";#N/A,#N/A,TRUE,"Guidelines 1";#N/A,#N/A,TRUE,"Guidelines 2";#N/A,#N/A,TRUE,"Central Coast";#N/A,#N/A,TRUE,"De Anza";#N/A,#N/A,TRUE,"Diablo";#N/A,#N/A,TRUE,"East Bay";#N/A,#N/A,TRUE,"Fresno";#N/A,#N/A,TRUE,"Kern";#N/A,#N/A,TRUE,"Mission";#N/A,#N/A,TRUE,"North Bay";#N/A,#N/A,TRUE,"North Coast";#N/A,#N/A,TRUE,"North Valley";#N/A,#N/A,TRUE,"Peninsula";#N/A,#N/A,TRUE,"Sacramento";#N/A,#N/A,TRUE,"San Francisco";#N/A,#N/A,TRUE,"San Jose";#N/A,#N/A,TRUE,"Sierra";#N/A,#N/A,TRUE,"Stockton";#N/A,#N/A,TRUE,"Yosemite"}</definedName>
    <definedName name="wrn.GS._.Estimators." localSheetId="25" hidden="1">{#N/A,#N/A,TRUE,"Guidelines 1";#N/A,#N/A,TRUE,"Table of Contents";#N/A,#N/A,TRUE,"Title Page";#N/A,#N/A,TRUE,"Guidelines 2";#N/A,#N/A,TRUE,"SAP Help";#N/A,#N/A,TRUE,"PCC Activity Types (GSM)";#N/A,#N/A,TRUE,"PCC Activity Types (non-GSM)";#N/A,#N/A,TRUE,"Bus Areas, MWC's, &amp; Plan Orders";#N/A,#N/A,TRUE,"Receiver Cost Centers";#N/A,#N/A,TRUE,"Responsible Cost Centers";#N/A,#N/A,TRUE,"FERC Regulatory Accounts";#N/A,#N/A,TRUE,"Counties";#N/A,#N/A,TRUE,"Cost Elements";#N/A,#N/A,TRUE,"Asset Classifications"}</definedName>
    <definedName name="wrn.GS._.Estimators." localSheetId="8" hidden="1">{#N/A,#N/A,TRUE,"Guidelines 1";#N/A,#N/A,TRUE,"Table of Contents";#N/A,#N/A,TRUE,"Title Page";#N/A,#N/A,TRUE,"Guidelines 2";#N/A,#N/A,TRUE,"SAP Help";#N/A,#N/A,TRUE,"PCC Activity Types (GSM)";#N/A,#N/A,TRUE,"PCC Activity Types (non-GSM)";#N/A,#N/A,TRUE,"Bus Areas, MWC's, &amp; Plan Orders";#N/A,#N/A,TRUE,"Receiver Cost Centers";#N/A,#N/A,TRUE,"Responsible Cost Centers";#N/A,#N/A,TRUE,"FERC Regulatory Accounts";#N/A,#N/A,TRUE,"Counties";#N/A,#N/A,TRUE,"Cost Elements";#N/A,#N/A,TRUE,"Asset Classifications"}</definedName>
    <definedName name="wrn.GS._.Estimators." localSheetId="10" hidden="1">{#N/A,#N/A,TRUE,"Guidelines 1";#N/A,#N/A,TRUE,"Table of Contents";#N/A,#N/A,TRUE,"Title Page";#N/A,#N/A,TRUE,"Guidelines 2";#N/A,#N/A,TRUE,"SAP Help";#N/A,#N/A,TRUE,"PCC Activity Types (GSM)";#N/A,#N/A,TRUE,"PCC Activity Types (non-GSM)";#N/A,#N/A,TRUE,"Bus Areas, MWC's, &amp; Plan Orders";#N/A,#N/A,TRUE,"Receiver Cost Centers";#N/A,#N/A,TRUE,"Responsible Cost Centers";#N/A,#N/A,TRUE,"FERC Regulatory Accounts";#N/A,#N/A,TRUE,"Counties";#N/A,#N/A,TRUE,"Cost Elements";#N/A,#N/A,TRUE,"Asset Classifications"}</definedName>
    <definedName name="wrn.GS._.Estimators." localSheetId="3" hidden="1">{#N/A,#N/A,TRUE,"Guidelines 1";#N/A,#N/A,TRUE,"Table of Contents";#N/A,#N/A,TRUE,"Title Page";#N/A,#N/A,TRUE,"Guidelines 2";#N/A,#N/A,TRUE,"SAP Help";#N/A,#N/A,TRUE,"PCC Activity Types (GSM)";#N/A,#N/A,TRUE,"PCC Activity Types (non-GSM)";#N/A,#N/A,TRUE,"Bus Areas, MWC's, &amp; Plan Orders";#N/A,#N/A,TRUE,"Receiver Cost Centers";#N/A,#N/A,TRUE,"Responsible Cost Centers";#N/A,#N/A,TRUE,"FERC Regulatory Accounts";#N/A,#N/A,TRUE,"Counties";#N/A,#N/A,TRUE,"Cost Elements";#N/A,#N/A,TRUE,"Asset Classifications"}</definedName>
    <definedName name="wrn.GS._.Foremen." localSheetId="25" hidden="1">{#N/A,#N/A,TRUE,"Title Page";#N/A,#N/A,TRUE,"Table of Contents";#N/A,#N/A,TRUE,"Guidelines 1";#N/A,#N/A,TRUE,"Guidelines 2";#N/A,#N/A,TRUE,"SAP Help";#N/A,#N/A,TRUE,"PCC Activity Types (GSM)";#N/A,#N/A,TRUE,"PCC Activity Types (non-GSM)";#N/A,#N/A,TRUE,"Cost Elements";#N/A,#N/A,TRUE,"GSM Common";#N/A,#N/A,TRUE,"Burney";#N/A,#N/A,TRUE,"Hinkley";#N/A,#N/A,TRUE,"Kettleman";#N/A,#N/A,TRUE,"Los Medanos";#N/A,#N/A,TRUE,"McDonald Island";#N/A,#N/A,TRUE,"Meridian-Orland";#N/A,#N/A,TRUE,"Milpitas-Hollister";#N/A,#N/A,TRUE,"Rio Vista";#N/A,#N/A,TRUE,"Topock";#N/A,#N/A,TRUE,"Tracy";#N/A,#N/A,TRUE,"Willows";#N/A,#N/A,TRUE,"Non-GSM"}</definedName>
    <definedName name="wrn.GS._.Foremen." localSheetId="8" hidden="1">{#N/A,#N/A,TRUE,"Title Page";#N/A,#N/A,TRUE,"Table of Contents";#N/A,#N/A,TRUE,"Guidelines 1";#N/A,#N/A,TRUE,"Guidelines 2";#N/A,#N/A,TRUE,"SAP Help";#N/A,#N/A,TRUE,"PCC Activity Types (GSM)";#N/A,#N/A,TRUE,"PCC Activity Types (non-GSM)";#N/A,#N/A,TRUE,"Cost Elements";#N/A,#N/A,TRUE,"GSM Common";#N/A,#N/A,TRUE,"Burney";#N/A,#N/A,TRUE,"Hinkley";#N/A,#N/A,TRUE,"Kettleman";#N/A,#N/A,TRUE,"Los Medanos";#N/A,#N/A,TRUE,"McDonald Island";#N/A,#N/A,TRUE,"Meridian-Orland";#N/A,#N/A,TRUE,"Milpitas-Hollister";#N/A,#N/A,TRUE,"Rio Vista";#N/A,#N/A,TRUE,"Topock";#N/A,#N/A,TRUE,"Tracy";#N/A,#N/A,TRUE,"Willows";#N/A,#N/A,TRUE,"Non-GSM"}</definedName>
    <definedName name="wrn.GS._.Foremen." localSheetId="10" hidden="1">{#N/A,#N/A,TRUE,"Title Page";#N/A,#N/A,TRUE,"Table of Contents";#N/A,#N/A,TRUE,"Guidelines 1";#N/A,#N/A,TRUE,"Guidelines 2";#N/A,#N/A,TRUE,"SAP Help";#N/A,#N/A,TRUE,"PCC Activity Types (GSM)";#N/A,#N/A,TRUE,"PCC Activity Types (non-GSM)";#N/A,#N/A,TRUE,"Cost Elements";#N/A,#N/A,TRUE,"GSM Common";#N/A,#N/A,TRUE,"Burney";#N/A,#N/A,TRUE,"Hinkley";#N/A,#N/A,TRUE,"Kettleman";#N/A,#N/A,TRUE,"Los Medanos";#N/A,#N/A,TRUE,"McDonald Island";#N/A,#N/A,TRUE,"Meridian-Orland";#N/A,#N/A,TRUE,"Milpitas-Hollister";#N/A,#N/A,TRUE,"Rio Vista";#N/A,#N/A,TRUE,"Topock";#N/A,#N/A,TRUE,"Tracy";#N/A,#N/A,TRUE,"Willows";#N/A,#N/A,TRUE,"Non-GSM"}</definedName>
    <definedName name="wrn.GS._.Foremen." localSheetId="3" hidden="1">{#N/A,#N/A,TRUE,"Title Page";#N/A,#N/A,TRUE,"Table of Contents";#N/A,#N/A,TRUE,"Guidelines 1";#N/A,#N/A,TRUE,"Guidelines 2";#N/A,#N/A,TRUE,"SAP Help";#N/A,#N/A,TRUE,"PCC Activity Types (GSM)";#N/A,#N/A,TRUE,"PCC Activity Types (non-GSM)";#N/A,#N/A,TRUE,"Cost Elements";#N/A,#N/A,TRUE,"GSM Common";#N/A,#N/A,TRUE,"Burney";#N/A,#N/A,TRUE,"Hinkley";#N/A,#N/A,TRUE,"Kettleman";#N/A,#N/A,TRUE,"Los Medanos";#N/A,#N/A,TRUE,"McDonald Island";#N/A,#N/A,TRUE,"Meridian-Orland";#N/A,#N/A,TRUE,"Milpitas-Hollister";#N/A,#N/A,TRUE,"Rio Vista";#N/A,#N/A,TRUE,"Topock";#N/A,#N/A,TRUE,"Tracy";#N/A,#N/A,TRUE,"Willows";#N/A,#N/A,TRUE,"Non-GSM"}</definedName>
    <definedName name="wrn.JE9DOLLARS." localSheetId="25" hidden="1">{"JE9DOLLARS",#N/A,FALSE,"JE9"}</definedName>
    <definedName name="wrn.JE9DOLLARS." localSheetId="8" hidden="1">{"JE9DOLLARS",#N/A,FALSE,"JE9"}</definedName>
    <definedName name="wrn.JE9DOLLARS." localSheetId="10" hidden="1">{"JE9DOLLARS",#N/A,FALSE,"JE9"}</definedName>
    <definedName name="wrn.JE9DOLLARS." localSheetId="3" hidden="1">{"JE9DOLLARS",#N/A,FALSE,"JE9"}</definedName>
    <definedName name="wrn.JE9DTHS." localSheetId="25" hidden="1">{"JE9DTHS",#N/A,FALSE,"JE9"}</definedName>
    <definedName name="wrn.JE9DTHS." localSheetId="8" hidden="1">{"JE9DTHS",#N/A,FALSE,"JE9"}</definedName>
    <definedName name="wrn.JE9DTHS." localSheetId="10" hidden="1">{"JE9DTHS",#N/A,FALSE,"JE9"}</definedName>
    <definedName name="wrn.JE9DTHS." localSheetId="3" hidden="1">{"JE9DTHS",#N/A,FALSE,"JE9"}</definedName>
    <definedName name="wrn.JE9MCF." localSheetId="25" hidden="1">{"JE9MCF",#N/A,FALSE,"JE9"}</definedName>
    <definedName name="wrn.JE9MCF." localSheetId="8" hidden="1">{"JE9MCF",#N/A,FALSE,"JE9"}</definedName>
    <definedName name="wrn.JE9MCF." localSheetId="10" hidden="1">{"JE9MCF",#N/A,FALSE,"JE9"}</definedName>
    <definedName name="wrn.JE9MCF." localSheetId="3" hidden="1">{"JE9MCF",#N/A,FALSE,"JE9"}</definedName>
    <definedName name="wrn.ND." localSheetId="24" hidden="1">{#N/A,#N/A,FALSE,"ND Rev at Pres Rates";#N/A,#N/A,FALSE,"Res - Unadj sales";#N/A,#N/A,FALSE,"Small L&amp;P";#N/A,#N/A,FALSE,"Medium L&amp;P";#N/A,#N/A,FALSE,"E-19";#N/A,#N/A,FALSE,"E-20";#N/A,#N/A,FALSE,"Strtlts &amp; Standby";#N/A,#N/A,FALSE,"AG";#N/A,#N/A,FALSE,"A-RTP";#N/A,#N/A,FALSE,"Spec"}</definedName>
    <definedName name="wrn.ND." localSheetId="25" hidden="1">{#N/A,#N/A,FALSE,"ND Rev at Pres Rates";#N/A,#N/A,FALSE,"Res - Unadj sales";#N/A,#N/A,FALSE,"Small L&amp;P";#N/A,#N/A,FALSE,"Medium L&amp;P";#N/A,#N/A,FALSE,"E-19";#N/A,#N/A,FALSE,"E-20";#N/A,#N/A,FALSE,"Strtlts &amp; Standby";#N/A,#N/A,FALSE,"AG";#N/A,#N/A,FALSE,"A-RTP";#N/A,#N/A,FALSE,"Spec"}</definedName>
    <definedName name="wrn.ND." localSheetId="8" hidden="1">{#N/A,#N/A,FALSE,"ND Rev at Pres Rates";#N/A,#N/A,FALSE,"Res - Unadj sales";#N/A,#N/A,FALSE,"Small L&amp;P";#N/A,#N/A,FALSE,"Medium L&amp;P";#N/A,#N/A,FALSE,"E-19";#N/A,#N/A,FALSE,"E-20";#N/A,#N/A,FALSE,"Strtlts &amp; Standby";#N/A,#N/A,FALSE,"AG";#N/A,#N/A,FALSE,"A-RTP";#N/A,#N/A,FALSE,"Spec"}</definedName>
    <definedName name="wrn.ND." localSheetId="10" hidden="1">{#N/A,#N/A,FALSE,"ND Rev at Pres Rates";#N/A,#N/A,FALSE,"Res - Unadj sales";#N/A,#N/A,FALSE,"Small L&amp;P";#N/A,#N/A,FALSE,"Medium L&amp;P";#N/A,#N/A,FALSE,"E-19";#N/A,#N/A,FALSE,"E-20";#N/A,#N/A,FALSE,"Strtlts &amp; Standby";#N/A,#N/A,FALSE,"AG";#N/A,#N/A,FALSE,"A-RTP";#N/A,#N/A,FALSE,"Spec"}</definedName>
    <definedName name="wrn.ND." localSheetId="14" hidden="1">{#N/A,#N/A,FALSE,"ND Rev at Pres Rates";#N/A,#N/A,FALSE,"Res - Unadj sales";#N/A,#N/A,FALSE,"Small L&amp;P";#N/A,#N/A,FALSE,"Medium L&amp;P";#N/A,#N/A,FALSE,"E-19";#N/A,#N/A,FALSE,"E-20";#N/A,#N/A,FALSE,"Strtlts &amp; Standby";#N/A,#N/A,FALSE,"AG";#N/A,#N/A,FALSE,"A-RTP";#N/A,#N/A,FALSE,"Spec"}</definedName>
    <definedName name="wrn.ND." localSheetId="3" hidden="1">{#N/A,#N/A,FALSE,"ND Rev at Pres Rates";#N/A,#N/A,FALSE,"Res - Unadj sales";#N/A,#N/A,FALSE,"Small L&amp;P";#N/A,#N/A,FALSE,"Medium L&amp;P";#N/A,#N/A,FALSE,"E-19";#N/A,#N/A,FALSE,"E-20";#N/A,#N/A,FALSE,"Strtlts &amp; Standby";#N/A,#N/A,FALSE,"AG";#N/A,#N/A,FALSE,"A-RTP";#N/A,#N/A,FALSE,"Spec"}</definedName>
    <definedName name="wrn.PI_Report." localSheetId="16" hidden="1">{"PI_Data",#N/A,TRUE,"P&amp;I Data"}</definedName>
    <definedName name="wrn.PI_Report." localSheetId="17" hidden="1">{"PI_Data",#N/A,TRUE,"P&amp;I Data"}</definedName>
    <definedName name="wrn.PI_Report." localSheetId="18" hidden="1">{"PI_Data",#N/A,TRUE,"P&amp;I Data"}</definedName>
    <definedName name="wrn.PI_Report." localSheetId="19" hidden="1">{"PI_Data",#N/A,TRUE,"P&amp;I Data"}</definedName>
    <definedName name="wrn.PI_Report." localSheetId="20" hidden="1">{"PI_Data",#N/A,TRUE,"P&amp;I Data"}</definedName>
    <definedName name="wrn.PI_Report." localSheetId="21" hidden="1">{"PI_Data",#N/A,TRUE,"P&amp;I Data"}</definedName>
    <definedName name="wrn.PI_Report." localSheetId="22" hidden="1">{"PI_Data",#N/A,TRUE,"P&amp;I Data"}</definedName>
    <definedName name="wrn.PI_Report." localSheetId="23" hidden="1">{"PI_Data",#N/A,TRUE,"P&amp;I Data"}</definedName>
    <definedName name="wrn.PI_Report." localSheetId="24" hidden="1">{"PI_Data",#N/A,TRUE,"P&amp;I Data"}</definedName>
    <definedName name="wrn.PI_Report." localSheetId="25" hidden="1">{"PI_Data",#N/A,TRUE,"P&amp;I Data"}</definedName>
    <definedName name="wrn.PI_Report." localSheetId="26" hidden="1">{"PI_Data",#N/A,TRUE,"P&amp;I Data"}</definedName>
    <definedName name="wrn.PI_Report." localSheetId="28" hidden="1">{"PI_Data",#N/A,TRUE,"P&amp;I Data"}</definedName>
    <definedName name="wrn.PI_Report." localSheetId="29" hidden="1">{"PI_Data",#N/A,TRUE,"P&amp;I Data"}</definedName>
    <definedName name="wrn.PI_Report." localSheetId="30" hidden="1">{"PI_Data",#N/A,TRUE,"P&amp;I Data"}</definedName>
    <definedName name="wrn.PI_Report." localSheetId="31" hidden="1">{"PI_Data",#N/A,TRUE,"P&amp;I Data"}</definedName>
    <definedName name="wrn.PI_Report." localSheetId="32" hidden="1">{"PI_Data",#N/A,TRUE,"P&amp;I Data"}</definedName>
    <definedName name="wrn.PI_Report." localSheetId="33" hidden="1">{"PI_Data",#N/A,TRUE,"P&amp;I Data"}</definedName>
    <definedName name="wrn.PI_Report." localSheetId="34" hidden="1">{"PI_Data",#N/A,TRUE,"P&amp;I Data"}</definedName>
    <definedName name="wrn.PI_Report." localSheetId="35" hidden="1">{"PI_Data",#N/A,TRUE,"P&amp;I Data"}</definedName>
    <definedName name="wrn.PI_Report." localSheetId="36" hidden="1">{"PI_Data",#N/A,TRUE,"P&amp;I Data"}</definedName>
    <definedName name="wrn.PI_Report." localSheetId="8" hidden="1">{"PI_Data",#N/A,TRUE,"P&amp;I Data"}</definedName>
    <definedName name="wrn.PI_Report." localSheetId="9" hidden="1">{"PI_Data",#N/A,TRUE,"P&amp;I Data"}</definedName>
    <definedName name="wrn.PI_Report." localSheetId="10" hidden="1">{"PI_Data",#N/A,TRUE,"P&amp;I Data"}</definedName>
    <definedName name="wrn.PI_Report." localSheetId="12" hidden="1">{"PI_Data",#N/A,TRUE,"P&amp;I Data"}</definedName>
    <definedName name="wrn.PI_Report." localSheetId="13" hidden="1">{"PI_Data",#N/A,TRUE,"P&amp;I Data"}</definedName>
    <definedName name="wrn.PI_Report." localSheetId="14" hidden="1">{"PI_Data",#N/A,TRUE,"P&amp;I Data"}</definedName>
    <definedName name="wrn.PI_Report." localSheetId="15" hidden="1">{"PI_Data",#N/A,TRUE,"P&amp;I Data"}</definedName>
    <definedName name="wrn.PI_Report." localSheetId="3" hidden="1">{"PI_Data",#N/A,TRUE,"P&amp;I Data"}</definedName>
    <definedName name="wrn.Print._.1_8." localSheetId="25" hidden="1">{"spreadsheet1-8","1",FALSE,"Scenarios 1-8";"spreadsheet1-8","2",FALSE,"Scenarios 1-8";"spreadsheet1-8","3",FALSE,"Scenarios 1-8";"spreadsheet1-8","4",FALSE,"Scenarios 1-8";"spreadsheet1-8","5",FALSE,"Scenarios 1-8";"spreadsheet1-8","6",FALSE,"Scenarios 1-8";"spreadsheet1-8","7",FALSE,"Scenarios 1-8";"spreadsheet1-8","8",FALSE,"Scenarios 1-8"}</definedName>
    <definedName name="wrn.Print._.1_8." localSheetId="8" hidden="1">{"spreadsheet1-8","1",FALSE,"Scenarios 1-8";"spreadsheet1-8","2",FALSE,"Scenarios 1-8";"spreadsheet1-8","3",FALSE,"Scenarios 1-8";"spreadsheet1-8","4",FALSE,"Scenarios 1-8";"spreadsheet1-8","5",FALSE,"Scenarios 1-8";"spreadsheet1-8","6",FALSE,"Scenarios 1-8";"spreadsheet1-8","7",FALSE,"Scenarios 1-8";"spreadsheet1-8","8",FALSE,"Scenarios 1-8"}</definedName>
    <definedName name="wrn.Print._.1_8." localSheetId="10" hidden="1">{"spreadsheet1-8","1",FALSE,"Scenarios 1-8";"spreadsheet1-8","2",FALSE,"Scenarios 1-8";"spreadsheet1-8","3",FALSE,"Scenarios 1-8";"spreadsheet1-8","4",FALSE,"Scenarios 1-8";"spreadsheet1-8","5",FALSE,"Scenarios 1-8";"spreadsheet1-8","6",FALSE,"Scenarios 1-8";"spreadsheet1-8","7",FALSE,"Scenarios 1-8";"spreadsheet1-8","8",FALSE,"Scenarios 1-8"}</definedName>
    <definedName name="wrn.Print._.1_8." localSheetId="3" hidden="1">{"spreadsheet1-8","1",FALSE,"Scenarios 1-8";"spreadsheet1-8","2",FALSE,"Scenarios 1-8";"spreadsheet1-8","3",FALSE,"Scenarios 1-8";"spreadsheet1-8","4",FALSE,"Scenarios 1-8";"spreadsheet1-8","5",FALSE,"Scenarios 1-8";"spreadsheet1-8","6",FALSE,"Scenarios 1-8";"spreadsheet1-8","7",FALSE,"Scenarios 1-8";"spreadsheet1-8","8",FALSE,"Scenarios 1-8"}</definedName>
    <definedName name="wrn.Print._.9_16." localSheetId="25" hidden="1">{"Spreadsheet9-16","9",FALSE,"Scenarios 9-16";"Spreadsheet9-16","10",FALSE,"Scenarios 9-16";"Spreadsheet9-16","11",FALSE,"Scenarios 9-16";"Spreadsheet9-16","12",FALSE,"Scenarios 9-16";"Spreadsheet9-16","13",FALSE,"Scenarios 9-16";"Spreadsheet9-16","14",FALSE,"Scenarios 9-16";"Spreadsheet9-16","15",FALSE,"Scenarios 9-16";"Spreadsheet9-16","16",FALSE,"Scenarios 9-16"}</definedName>
    <definedName name="wrn.Print._.9_16." localSheetId="8" hidden="1">{"Spreadsheet9-16","9",FALSE,"Scenarios 9-16";"Spreadsheet9-16","10",FALSE,"Scenarios 9-16";"Spreadsheet9-16","11",FALSE,"Scenarios 9-16";"Spreadsheet9-16","12",FALSE,"Scenarios 9-16";"Spreadsheet9-16","13",FALSE,"Scenarios 9-16";"Spreadsheet9-16","14",FALSE,"Scenarios 9-16";"Spreadsheet9-16","15",FALSE,"Scenarios 9-16";"Spreadsheet9-16","16",FALSE,"Scenarios 9-16"}</definedName>
    <definedName name="wrn.Print._.9_16." localSheetId="10" hidden="1">{"Spreadsheet9-16","9",FALSE,"Scenarios 9-16";"Spreadsheet9-16","10",FALSE,"Scenarios 9-16";"Spreadsheet9-16","11",FALSE,"Scenarios 9-16";"Spreadsheet9-16","12",FALSE,"Scenarios 9-16";"Spreadsheet9-16","13",FALSE,"Scenarios 9-16";"Spreadsheet9-16","14",FALSE,"Scenarios 9-16";"Spreadsheet9-16","15",FALSE,"Scenarios 9-16";"Spreadsheet9-16","16",FALSE,"Scenarios 9-16"}</definedName>
    <definedName name="wrn.Print._.9_16." localSheetId="3" hidden="1">{"Spreadsheet9-16","9",FALSE,"Scenarios 9-16";"Spreadsheet9-16","10",FALSE,"Scenarios 9-16";"Spreadsheet9-16","11",FALSE,"Scenarios 9-16";"Spreadsheet9-16","12",FALSE,"Scenarios 9-16";"Spreadsheet9-16","13",FALSE,"Scenarios 9-16";"Spreadsheet9-16","14",FALSE,"Scenarios 9-16";"Spreadsheet9-16","15",FALSE,"Scenarios 9-16";"Spreadsheet9-16","16",FALSE,"Scenarios 9-16"}</definedName>
    <definedName name="wrn.Print._.Out." localSheetId="24" hidden="1">{#N/A,#N/A,FALSE,"Workpaper Tables 4-1 &amp; 4-2";#N/A,#N/A,FALSE,"Revenue Allocation Results";#N/A,#N/A,FALSE,"FERC Rev @ PR";#N/A,#N/A,FALSE,"Distribution Revenue Allocation";#N/A,#N/A,FALSE,"Nonallocated Revenues ";#N/A,#N/A,FALSE,"2000mixuse";#N/A,#N/A,FALSE,"MC Revenues- 00 sales, 96 MC's"}</definedName>
    <definedName name="wrn.Print._.Out." localSheetId="25" hidden="1">{#N/A,#N/A,FALSE,"Workpaper Tables 4-1 &amp; 4-2";#N/A,#N/A,FALSE,"Revenue Allocation Results";#N/A,#N/A,FALSE,"FERC Rev @ PR";#N/A,#N/A,FALSE,"Distribution Revenue Allocation";#N/A,#N/A,FALSE,"Nonallocated Revenues ";#N/A,#N/A,FALSE,"2000mixuse";#N/A,#N/A,FALSE,"MC Revenues- 00 sales, 96 MC's"}</definedName>
    <definedName name="wrn.Print._.Out." localSheetId="8" hidden="1">{#N/A,#N/A,FALSE,"Workpaper Tables 4-1 &amp; 4-2";#N/A,#N/A,FALSE,"Revenue Allocation Results";#N/A,#N/A,FALSE,"FERC Rev @ PR";#N/A,#N/A,FALSE,"Distribution Revenue Allocation";#N/A,#N/A,FALSE,"Nonallocated Revenues ";#N/A,#N/A,FALSE,"2000mixuse";#N/A,#N/A,FALSE,"MC Revenues- 00 sales, 96 MC's"}</definedName>
    <definedName name="wrn.Print._.Out." localSheetId="10" hidden="1">{#N/A,#N/A,FALSE,"Workpaper Tables 4-1 &amp; 4-2";#N/A,#N/A,FALSE,"Revenue Allocation Results";#N/A,#N/A,FALSE,"FERC Rev @ PR";#N/A,#N/A,FALSE,"Distribution Revenue Allocation";#N/A,#N/A,FALSE,"Nonallocated Revenues ";#N/A,#N/A,FALSE,"2000mixuse";#N/A,#N/A,FALSE,"MC Revenues- 00 sales, 96 MC's"}</definedName>
    <definedName name="wrn.Print._.Out." localSheetId="14" hidden="1">{#N/A,#N/A,FALSE,"Workpaper Tables 4-1 &amp; 4-2";#N/A,#N/A,FALSE,"Revenue Allocation Results";#N/A,#N/A,FALSE,"FERC Rev @ PR";#N/A,#N/A,FALSE,"Distribution Revenue Allocation";#N/A,#N/A,FALSE,"Nonallocated Revenues ";#N/A,#N/A,FALSE,"2000mixuse";#N/A,#N/A,FALSE,"MC Revenues- 00 sales, 96 MC's"}</definedName>
    <definedName name="wrn.Print._.Out." localSheetId="3" hidden="1">{#N/A,#N/A,FALSE,"Workpaper Tables 4-1 &amp; 4-2";#N/A,#N/A,FALSE,"Revenue Allocation Results";#N/A,#N/A,FALSE,"FERC Rev @ PR";#N/A,#N/A,FALSE,"Distribution Revenue Allocation";#N/A,#N/A,FALSE,"Nonallocated Revenues ";#N/A,#N/A,FALSE,"2000mixuse";#N/A,#N/A,FALSE,"MC Revenues- 00 sales, 96 MC's"}</definedName>
    <definedName name="wrn.printout." localSheetId="16" hidden="1">{#N/A,#N/A,FALSE,"Transmission Revenue Allocation";"Marginal Cost Revenues",#N/A,FALSE,"MC Revenues- 01 sales, 96 MC's";#N/A,#N/A,FALSE,"1996 marginal costs -ECAC Adopt"}</definedName>
    <definedName name="wrn.printout." localSheetId="17" hidden="1">{#N/A,#N/A,FALSE,"Transmission Revenue Allocation";"Marginal Cost Revenues",#N/A,FALSE,"MC Revenues- 01 sales, 96 MC's";#N/A,#N/A,FALSE,"1996 marginal costs -ECAC Adopt"}</definedName>
    <definedName name="wrn.printout." localSheetId="18" hidden="1">{#N/A,#N/A,FALSE,"Transmission Revenue Allocation";"Marginal Cost Revenues",#N/A,FALSE,"MC Revenues- 01 sales, 96 MC's";#N/A,#N/A,FALSE,"1996 marginal costs -ECAC Adopt"}</definedName>
    <definedName name="wrn.printout." localSheetId="19" hidden="1">{#N/A,#N/A,FALSE,"Transmission Revenue Allocation";"Marginal Cost Revenues",#N/A,FALSE,"MC Revenues- 01 sales, 96 MC's";#N/A,#N/A,FALSE,"1996 marginal costs -ECAC Adopt"}</definedName>
    <definedName name="wrn.printout." localSheetId="20" hidden="1">{#N/A,#N/A,FALSE,"Transmission Revenue Allocation";"Marginal Cost Revenues",#N/A,FALSE,"MC Revenues- 01 sales, 96 MC's";#N/A,#N/A,FALSE,"1996 marginal costs -ECAC Adopt"}</definedName>
    <definedName name="wrn.printout." localSheetId="21" hidden="1">{#N/A,#N/A,FALSE,"Transmission Revenue Allocation";"Marginal Cost Revenues",#N/A,FALSE,"MC Revenues- 01 sales, 96 MC's";#N/A,#N/A,FALSE,"1996 marginal costs -ECAC Adopt"}</definedName>
    <definedName name="wrn.printout." localSheetId="22" hidden="1">{#N/A,#N/A,FALSE,"Transmission Revenue Allocation";"Marginal Cost Revenues",#N/A,FALSE,"MC Revenues- 01 sales, 96 MC's";#N/A,#N/A,FALSE,"1996 marginal costs -ECAC Adopt"}</definedName>
    <definedName name="wrn.printout." localSheetId="23" hidden="1">{#N/A,#N/A,FALSE,"Transmission Revenue Allocation";"Marginal Cost Revenues",#N/A,FALSE,"MC Revenues- 01 sales, 96 MC's";#N/A,#N/A,FALSE,"1996 marginal costs -ECAC Adopt"}</definedName>
    <definedName name="wrn.printout." localSheetId="25" hidden="1">{#N/A,#N/A,FALSE,"Transmission Revenue Allocation";"Marginal Cost Revenues",#N/A,FALSE,"MC Revenues- 01 sales, 96 MC's";#N/A,#N/A,FALSE,"1996 marginal costs -ECAC Adopt"}</definedName>
    <definedName name="wrn.printout." localSheetId="26" hidden="1">{#N/A,#N/A,FALSE,"Transmission Revenue Allocation";"Marginal Cost Revenues",#N/A,FALSE,"MC Revenues- 01 sales, 96 MC's";#N/A,#N/A,FALSE,"1996 marginal costs -ECAC Adopt"}</definedName>
    <definedName name="wrn.printout." localSheetId="28" hidden="1">{#N/A,#N/A,FALSE,"Transmission Revenue Allocation";"Marginal Cost Revenues",#N/A,FALSE,"MC Revenues- 01 sales, 96 MC's";#N/A,#N/A,FALSE,"1996 marginal costs -ECAC Adopt"}</definedName>
    <definedName name="wrn.printout." localSheetId="29" hidden="1">{#N/A,#N/A,FALSE,"Transmission Revenue Allocation";"Marginal Cost Revenues",#N/A,FALSE,"MC Revenues- 01 sales, 96 MC's";#N/A,#N/A,FALSE,"1996 marginal costs -ECAC Adopt"}</definedName>
    <definedName name="wrn.printout." localSheetId="30" hidden="1">{#N/A,#N/A,FALSE,"Transmission Revenue Allocation";"Marginal Cost Revenues",#N/A,FALSE,"MC Revenues- 01 sales, 96 MC's";#N/A,#N/A,FALSE,"1996 marginal costs -ECAC Adopt"}</definedName>
    <definedName name="wrn.printout." localSheetId="31" hidden="1">{#N/A,#N/A,FALSE,"Transmission Revenue Allocation";"Marginal Cost Revenues",#N/A,FALSE,"MC Revenues- 01 sales, 96 MC's";#N/A,#N/A,FALSE,"1996 marginal costs -ECAC Adopt"}</definedName>
    <definedName name="wrn.printout." localSheetId="32" hidden="1">{#N/A,#N/A,FALSE,"Transmission Revenue Allocation";"Marginal Cost Revenues",#N/A,FALSE,"MC Revenues- 01 sales, 96 MC's";#N/A,#N/A,FALSE,"1996 marginal costs -ECAC Adopt"}</definedName>
    <definedName name="wrn.printout." localSheetId="33" hidden="1">{#N/A,#N/A,FALSE,"Transmission Revenue Allocation";"Marginal Cost Revenues",#N/A,FALSE,"MC Revenues- 01 sales, 96 MC's";#N/A,#N/A,FALSE,"1996 marginal costs -ECAC Adopt"}</definedName>
    <definedName name="wrn.printout." localSheetId="34" hidden="1">{#N/A,#N/A,FALSE,"Transmission Revenue Allocation";"Marginal Cost Revenues",#N/A,FALSE,"MC Revenues- 01 sales, 96 MC's";#N/A,#N/A,FALSE,"1996 marginal costs -ECAC Adopt"}</definedName>
    <definedName name="wrn.printout." localSheetId="35" hidden="1">{#N/A,#N/A,FALSE,"Transmission Revenue Allocation";"Marginal Cost Revenues",#N/A,FALSE,"MC Revenues- 01 sales, 96 MC's";#N/A,#N/A,FALSE,"1996 marginal costs -ECAC Adopt"}</definedName>
    <definedName name="wrn.printout." localSheetId="36" hidden="1">{#N/A,#N/A,FALSE,"Transmission Revenue Allocation";"Marginal Cost Revenues",#N/A,FALSE,"MC Revenues- 01 sales, 96 MC's";#N/A,#N/A,FALSE,"1996 marginal costs -ECAC Adopt"}</definedName>
    <definedName name="wrn.printout." localSheetId="8" hidden="1">{#N/A,#N/A,FALSE,"Transmission Revenue Allocation";"Marginal Cost Revenues",#N/A,FALSE,"MC Revenues- 01 sales, 96 MC's";#N/A,#N/A,FALSE,"1996 marginal costs -ECAC Adopt"}</definedName>
    <definedName name="wrn.printout." localSheetId="10" hidden="1">{#N/A,#N/A,FALSE,"Transmission Revenue Allocation";"Marginal Cost Revenues",#N/A,FALSE,"MC Revenues- 01 sales, 96 MC's";#N/A,#N/A,FALSE,"1996 marginal costs -ECAC Adopt"}</definedName>
    <definedName name="wrn.printout." localSheetId="12" hidden="1">{#N/A,#N/A,FALSE,"Transmission Revenue Allocation";"Marginal Cost Revenues",#N/A,FALSE,"MC Revenues- 01 sales, 96 MC's";#N/A,#N/A,FALSE,"1996 marginal costs -ECAC Adopt"}</definedName>
    <definedName name="wrn.printout." localSheetId="13" hidden="1">{#N/A,#N/A,FALSE,"Transmission Revenue Allocation";"Marginal Cost Revenues",#N/A,FALSE,"MC Revenues- 01 sales, 96 MC's";#N/A,#N/A,FALSE,"1996 marginal costs -ECAC Adopt"}</definedName>
    <definedName name="wrn.printout." localSheetId="14" hidden="1">{#N/A,#N/A,FALSE,"Transmission Revenue Allocation";"Marginal Cost Revenues",#N/A,FALSE,"MC Revenues- 01 sales, 96 MC's";#N/A,#N/A,FALSE,"1996 marginal costs -ECAC Adopt"}</definedName>
    <definedName name="wrn.printout." localSheetId="15" hidden="1">{#N/A,#N/A,FALSE,"Transmission Revenue Allocation";"Marginal Cost Revenues",#N/A,FALSE,"MC Revenues- 01 sales, 96 MC's";#N/A,#N/A,FALSE,"1996 marginal costs -ECAC Adopt"}</definedName>
    <definedName name="wrn.printout." localSheetId="3" hidden="1">{#N/A,#N/A,FALSE,"Transmission Revenue Allocation";"Marginal Cost Revenues",#N/A,FALSE,"MC Revenues- 01 sales, 96 MC's";#N/A,#N/A,FALSE,"1996 marginal costs -ECAC Adopt"}</definedName>
    <definedName name="wrn.RAP." localSheetId="24"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 localSheetId="25"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 localSheetId="8"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 localSheetId="10"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 localSheetId="14"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 localSheetId="3"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es." localSheetId="25" hidden="1">{#N/A,#N/A,FALSE,"E-1, EM, ES";#N/A,#N/A,FALSE,"ESR, ET";#N/A,#N/A,FALSE,"E-7, E-A7";#N/A,#N/A,FALSE,"E-8";#N/A,#N/A,FALSE,"E-9 A, B, C, D";#N/A,#N/A,FALSE,"EL-1, EML";#N/A,#N/A,FALSE,"ESL, ESRL";#N/A,#N/A,FALSE,"ETL, EL-7";#N/A,#N/A,FALSE,"EL-A7, EL-8"}</definedName>
    <definedName name="wrn.Res." localSheetId="8" hidden="1">{#N/A,#N/A,FALSE,"E-1, EM, ES";#N/A,#N/A,FALSE,"ESR, ET";#N/A,#N/A,FALSE,"E-7, E-A7";#N/A,#N/A,FALSE,"E-8";#N/A,#N/A,FALSE,"E-9 A, B, C, D";#N/A,#N/A,FALSE,"EL-1, EML";#N/A,#N/A,FALSE,"ESL, ESRL";#N/A,#N/A,FALSE,"ETL, EL-7";#N/A,#N/A,FALSE,"EL-A7, EL-8"}</definedName>
    <definedName name="wrn.Res." localSheetId="10" hidden="1">{#N/A,#N/A,FALSE,"E-1, EM, ES";#N/A,#N/A,FALSE,"ESR, ET";#N/A,#N/A,FALSE,"E-7, E-A7";#N/A,#N/A,FALSE,"E-8";#N/A,#N/A,FALSE,"E-9 A, B, C, D";#N/A,#N/A,FALSE,"EL-1, EML";#N/A,#N/A,FALSE,"ESL, ESRL";#N/A,#N/A,FALSE,"ETL, EL-7";#N/A,#N/A,FALSE,"EL-A7, EL-8"}</definedName>
    <definedName name="wrn.Res." localSheetId="14" hidden="1">{#N/A,#N/A,FALSE,"E-1, EM, ES";#N/A,#N/A,FALSE,"ESR, ET";#N/A,#N/A,FALSE,"E-7, E-A7";#N/A,#N/A,FALSE,"E-8";#N/A,#N/A,FALSE,"E-9 A, B, C, D";#N/A,#N/A,FALSE,"EL-1, EML";#N/A,#N/A,FALSE,"ESL, ESRL";#N/A,#N/A,FALSE,"ETL, EL-7";#N/A,#N/A,FALSE,"EL-A7, EL-8"}</definedName>
    <definedName name="wrn.Res." localSheetId="3" hidden="1">{#N/A,#N/A,FALSE,"E-1, EM, ES";#N/A,#N/A,FALSE,"ESR, ET";#N/A,#N/A,FALSE,"E-7, E-A7";#N/A,#N/A,FALSE,"E-8";#N/A,#N/A,FALSE,"E-9 A, B, C, D";#N/A,#N/A,FALSE,"EL-1, EML";#N/A,#N/A,FALSE,"ESL, ESRL";#N/A,#N/A,FALSE,"ETL, EL-7";#N/A,#N/A,FALSE,"EL-A7, EL-8"}</definedName>
    <definedName name="wrn.Rev._.Alloc." localSheetId="24" hidden="1">{#N/A,#N/A,FALSE,"RRQ inputs ";#N/A,#N/A,FALSE,"FERC Rev @ PR";#N/A,#N/A,FALSE,"Distribution Revenue Allocation";#N/A,#N/A,FALSE,"Nonallocated Revenues";#N/A,#N/A,FALSE,"MC Revenues-03 sales, 96 MC's";#N/A,#N/A,FALSE,"FTA"}</definedName>
    <definedName name="wrn.Rev._.Alloc." localSheetId="25" hidden="1">{#N/A,#N/A,FALSE,"RRQ inputs ";#N/A,#N/A,FALSE,"FERC Rev @ PR";#N/A,#N/A,FALSE,"Distribution Revenue Allocation";#N/A,#N/A,FALSE,"Nonallocated Revenues";#N/A,#N/A,FALSE,"MC Revenues-03 sales, 96 MC's";#N/A,#N/A,FALSE,"FTA"}</definedName>
    <definedName name="wrn.Rev._.Alloc." localSheetId="8" hidden="1">{#N/A,#N/A,FALSE,"RRQ inputs ";#N/A,#N/A,FALSE,"FERC Rev @ PR";#N/A,#N/A,FALSE,"Distribution Revenue Allocation";#N/A,#N/A,FALSE,"Nonallocated Revenues";#N/A,#N/A,FALSE,"MC Revenues-03 sales, 96 MC's";#N/A,#N/A,FALSE,"FTA"}</definedName>
    <definedName name="wrn.Rev._.Alloc." localSheetId="10" hidden="1">{#N/A,#N/A,FALSE,"RRQ inputs ";#N/A,#N/A,FALSE,"FERC Rev @ PR";#N/A,#N/A,FALSE,"Distribution Revenue Allocation";#N/A,#N/A,FALSE,"Nonallocated Revenues";#N/A,#N/A,FALSE,"MC Revenues-03 sales, 96 MC's";#N/A,#N/A,FALSE,"FTA"}</definedName>
    <definedName name="wrn.Rev._.Alloc." localSheetId="14" hidden="1">{#N/A,#N/A,FALSE,"RRQ inputs ";#N/A,#N/A,FALSE,"FERC Rev @ PR";#N/A,#N/A,FALSE,"Distribution Revenue Allocation";#N/A,#N/A,FALSE,"Nonallocated Revenues";#N/A,#N/A,FALSE,"MC Revenues-03 sales, 96 MC's";#N/A,#N/A,FALSE,"FTA"}</definedName>
    <definedName name="wrn.Rev._.Alloc." localSheetId="3" hidden="1">{#N/A,#N/A,FALSE,"RRQ inputs ";#N/A,#N/A,FALSE,"FERC Rev @ PR";#N/A,#N/A,FALSE,"Distribution Revenue Allocation";#N/A,#N/A,FALSE,"Nonallocated Revenues";#N/A,#N/A,FALSE,"MC Revenues-03 sales, 96 MC's";#N/A,#N/A,FALSE,"FTA"}</definedName>
    <definedName name="wrn.schedules." localSheetId="24" hidden="1">{#N/A,#N/A,FALSE,"ND Rev at Pres Rates";#N/A,#N/A,FALSE,"Res - Unadj";#N/A,#N/A,FALSE,"Small L&amp;P";#N/A,#N/A,FALSE,"Medium L&amp;P";#N/A,#N/A,FALSE,"E-19";#N/A,#N/A,FALSE,"E-20";#N/A,#N/A,FALSE,"A-RTP";#N/A,#N/A,FALSE,"Strtlts &amp; Standby";#N/A,#N/A,FALSE,"AG";#N/A,#N/A,FALSE,"2001mixeduse"}</definedName>
    <definedName name="wrn.schedules." localSheetId="25" hidden="1">{#N/A,#N/A,FALSE,"Res - Unadj";#N/A,#N/A,FALSE,"Small L&amp;P";#N/A,#N/A,FALSE,"Medium L&amp;P";#N/A,#N/A,FALSE,"E-19";#N/A,#N/A,FALSE,"E-20";#N/A,#N/A,FALSE,"A-RTP";#N/A,#N/A,FALSE,"Strtlts &amp; Standby";#N/A,#N/A,FALSE,"AG";#N/A,#N/A,FALSE,"2001mixeduse"}</definedName>
    <definedName name="wrn.schedules." localSheetId="8" hidden="1">{#N/A,#N/A,FALSE,"Res - Unadj";#N/A,#N/A,FALSE,"Small L&amp;P";#N/A,#N/A,FALSE,"Medium L&amp;P";#N/A,#N/A,FALSE,"E-19";#N/A,#N/A,FALSE,"E-20";#N/A,#N/A,FALSE,"A-RTP";#N/A,#N/A,FALSE,"Strtlts &amp; Standby";#N/A,#N/A,FALSE,"AG";#N/A,#N/A,FALSE,"2001mixeduse"}</definedName>
    <definedName name="wrn.schedules." localSheetId="10" hidden="1">{#N/A,#N/A,FALSE,"Res - Unadj";#N/A,#N/A,FALSE,"Small L&amp;P";#N/A,#N/A,FALSE,"Medium L&amp;P";#N/A,#N/A,FALSE,"E-19";#N/A,#N/A,FALSE,"E-20";#N/A,#N/A,FALSE,"A-RTP";#N/A,#N/A,FALSE,"Strtlts &amp; Standby";#N/A,#N/A,FALSE,"AG";#N/A,#N/A,FALSE,"2001mixeduse"}</definedName>
    <definedName name="wrn.schedules." localSheetId="14" hidden="1">{#N/A,#N/A,FALSE,"Res - Unadj";#N/A,#N/A,FALSE,"Small L&amp;P";#N/A,#N/A,FALSE,"Medium L&amp;P";#N/A,#N/A,FALSE,"E-19";#N/A,#N/A,FALSE,"E-20";#N/A,#N/A,FALSE,"A-RTP";#N/A,#N/A,FALSE,"Strtlts &amp; Standby";#N/A,#N/A,FALSE,"AG";#N/A,#N/A,FALSE,"2001mixeduse"}</definedName>
    <definedName name="wrn.schedules." localSheetId="3" hidden="1">{#N/A,#N/A,FALSE,"Res - Unadj";#N/A,#N/A,FALSE,"Small L&amp;P";#N/A,#N/A,FALSE,"Medium L&amp;P";#N/A,#N/A,FALSE,"E-19";#N/A,#N/A,FALSE,"E-20";#N/A,#N/A,FALSE,"A-RTP";#N/A,#N/A,FALSE,"Strtlts &amp; Standby";#N/A,#N/A,FALSE,"AG";#N/A,#N/A,FALSE,"2001mixeduse"}</definedName>
    <definedName name="wrn.sum1." localSheetId="25" hidden="1">{"Summary","1",FALSE,"Summary"}</definedName>
    <definedName name="wrn.sum1." localSheetId="8" hidden="1">{"Summary","1",FALSE,"Summary"}</definedName>
    <definedName name="wrn.sum1." localSheetId="10" hidden="1">{"Summary","1",FALSE,"Summary"}</definedName>
    <definedName name="wrn.sum1." localSheetId="3" hidden="1">{"Summary","1",FALSE,"Summary"}</definedName>
    <definedName name="x" localSheetId="25" hidden="1">{#N/A,#N/A,FALSE,"CTC Summary - EOY";#N/A,#N/A,FALSE,"CTC Summary - Wtavg"}</definedName>
    <definedName name="x" localSheetId="8" hidden="1">{#N/A,#N/A,FALSE,"CTC Summary - EOY";#N/A,#N/A,FALSE,"CTC Summary - Wtavg"}</definedName>
    <definedName name="x" localSheetId="10" hidden="1">{#N/A,#N/A,FALSE,"CTC Summary - EOY";#N/A,#N/A,FALSE,"CTC Summary - Wtavg"}</definedName>
    <definedName name="x" localSheetId="3" hidden="1">{#N/A,#N/A,FALSE,"CTC Summary - EOY";#N/A,#N/A,FALSE,"CTC Summary - Wtavg"}</definedName>
    <definedName name="xb" localSheetId="25" hidden="1">{#N/A,#N/A,TRUE,"Title Page";#N/A,#N/A,TRUE,"Table of Contents";#N/A,#N/A,TRUE,"Guidelines 1";#N/A,#N/A,TRUE,"Guidelines 2";#N/A,#N/A,TRUE,"SAP Help";#N/A,#N/A,TRUE,"PCC Activity Types (GSM)";#N/A,#N/A,TRUE,"PCC Activity Types (non-GSM)";#N/A,#N/A,TRUE,"Bus Areas, MWC's, &amp; Plan Orders";#N/A,#N/A,TRUE,"Receiver Cost Centers";#N/A,#N/A,TRUE,"Responsible Cost Centers";#N/A,#N/A,TRUE,"FERC Regulatory Accounts";#N/A,#N/A,TRUE,"Counties";#N/A,#N/A,TRUE,"Cost Elements";#N/A,#N/A,TRUE,"Asset Classifications";#N/A,#N/A,TRUE,"GSM Common";#N/A,#N/A,TRUE,"Burney";#N/A,#N/A,TRUE,"Central Coast";#N/A,#N/A,TRUE,"De Anza";#N/A,#N/A,TRUE,"Diablo";#N/A,#N/A,TRUE,"East Bay";#N/A,#N/A,TRUE,"Fresno";#N/A,#N/A,TRUE,"Hinkley";#N/A,#N/A,TRUE,"Kern";#N/A,#N/A,TRUE,"Kettleman";#N/A,#N/A,TRUE,"Los Medanos";#N/A,#N/A,TRUE,"McDonald Island";#N/A,#N/A,TRUE,"Meridian-Orland";#N/A,#N/A,TRUE,"Milpitas-Hollister";#N/A,#N/A,TRUE,"Mission";#N/A,#N/A,TRUE,"North Bay";#N/A,#N/A,TRUE,"North Coast";#N/A,#N/A,TRUE,"North Valley";#N/A,#N/A,TRUE,"Peninsula";#N/A,#N/A,TRUE,"Rio Vista";#N/A,#N/A,TRUE,"Sacramento";#N/A,#N/A,TRUE,"San Francisco";#N/A,#N/A,TRUE,"San Jose";#N/A,#N/A,TRUE,"Sierra";#N/A,#N/A,TRUE,"Stockton";#N/A,#N/A,TRUE,"Topock";#N/A,#N/A,TRUE,"Tracy";#N/A,#N/A,TRUE,"Willows";#N/A,#N/A,TRUE,"Yosemite";#N/A,#N/A,TRUE,"Non-GSM"}</definedName>
    <definedName name="xb" localSheetId="8" hidden="1">{#N/A,#N/A,TRUE,"Title Page";#N/A,#N/A,TRUE,"Table of Contents";#N/A,#N/A,TRUE,"Guidelines 1";#N/A,#N/A,TRUE,"Guidelines 2";#N/A,#N/A,TRUE,"SAP Help";#N/A,#N/A,TRUE,"PCC Activity Types (GSM)";#N/A,#N/A,TRUE,"PCC Activity Types (non-GSM)";#N/A,#N/A,TRUE,"Bus Areas, MWC's, &amp; Plan Orders";#N/A,#N/A,TRUE,"Receiver Cost Centers";#N/A,#N/A,TRUE,"Responsible Cost Centers";#N/A,#N/A,TRUE,"FERC Regulatory Accounts";#N/A,#N/A,TRUE,"Counties";#N/A,#N/A,TRUE,"Cost Elements";#N/A,#N/A,TRUE,"Asset Classifications";#N/A,#N/A,TRUE,"GSM Common";#N/A,#N/A,TRUE,"Burney";#N/A,#N/A,TRUE,"Central Coast";#N/A,#N/A,TRUE,"De Anza";#N/A,#N/A,TRUE,"Diablo";#N/A,#N/A,TRUE,"East Bay";#N/A,#N/A,TRUE,"Fresno";#N/A,#N/A,TRUE,"Hinkley";#N/A,#N/A,TRUE,"Kern";#N/A,#N/A,TRUE,"Kettleman";#N/A,#N/A,TRUE,"Los Medanos";#N/A,#N/A,TRUE,"McDonald Island";#N/A,#N/A,TRUE,"Meridian-Orland";#N/A,#N/A,TRUE,"Milpitas-Hollister";#N/A,#N/A,TRUE,"Mission";#N/A,#N/A,TRUE,"North Bay";#N/A,#N/A,TRUE,"North Coast";#N/A,#N/A,TRUE,"North Valley";#N/A,#N/A,TRUE,"Peninsula";#N/A,#N/A,TRUE,"Rio Vista";#N/A,#N/A,TRUE,"Sacramento";#N/A,#N/A,TRUE,"San Francisco";#N/A,#N/A,TRUE,"San Jose";#N/A,#N/A,TRUE,"Sierra";#N/A,#N/A,TRUE,"Stockton";#N/A,#N/A,TRUE,"Topock";#N/A,#N/A,TRUE,"Tracy";#N/A,#N/A,TRUE,"Willows";#N/A,#N/A,TRUE,"Yosemite";#N/A,#N/A,TRUE,"Non-GSM"}</definedName>
    <definedName name="xb" localSheetId="10" hidden="1">{#N/A,#N/A,TRUE,"Title Page";#N/A,#N/A,TRUE,"Table of Contents";#N/A,#N/A,TRUE,"Guidelines 1";#N/A,#N/A,TRUE,"Guidelines 2";#N/A,#N/A,TRUE,"SAP Help";#N/A,#N/A,TRUE,"PCC Activity Types (GSM)";#N/A,#N/A,TRUE,"PCC Activity Types (non-GSM)";#N/A,#N/A,TRUE,"Bus Areas, MWC's, &amp; Plan Orders";#N/A,#N/A,TRUE,"Receiver Cost Centers";#N/A,#N/A,TRUE,"Responsible Cost Centers";#N/A,#N/A,TRUE,"FERC Regulatory Accounts";#N/A,#N/A,TRUE,"Counties";#N/A,#N/A,TRUE,"Cost Elements";#N/A,#N/A,TRUE,"Asset Classifications";#N/A,#N/A,TRUE,"GSM Common";#N/A,#N/A,TRUE,"Burney";#N/A,#N/A,TRUE,"Central Coast";#N/A,#N/A,TRUE,"De Anza";#N/A,#N/A,TRUE,"Diablo";#N/A,#N/A,TRUE,"East Bay";#N/A,#N/A,TRUE,"Fresno";#N/A,#N/A,TRUE,"Hinkley";#N/A,#N/A,TRUE,"Kern";#N/A,#N/A,TRUE,"Kettleman";#N/A,#N/A,TRUE,"Los Medanos";#N/A,#N/A,TRUE,"McDonald Island";#N/A,#N/A,TRUE,"Meridian-Orland";#N/A,#N/A,TRUE,"Milpitas-Hollister";#N/A,#N/A,TRUE,"Mission";#N/A,#N/A,TRUE,"North Bay";#N/A,#N/A,TRUE,"North Coast";#N/A,#N/A,TRUE,"North Valley";#N/A,#N/A,TRUE,"Peninsula";#N/A,#N/A,TRUE,"Rio Vista";#N/A,#N/A,TRUE,"Sacramento";#N/A,#N/A,TRUE,"San Francisco";#N/A,#N/A,TRUE,"San Jose";#N/A,#N/A,TRUE,"Sierra";#N/A,#N/A,TRUE,"Stockton";#N/A,#N/A,TRUE,"Topock";#N/A,#N/A,TRUE,"Tracy";#N/A,#N/A,TRUE,"Willows";#N/A,#N/A,TRUE,"Yosemite";#N/A,#N/A,TRUE,"Non-GSM"}</definedName>
    <definedName name="xb" localSheetId="3" hidden="1">{#N/A,#N/A,TRUE,"Title Page";#N/A,#N/A,TRUE,"Table of Contents";#N/A,#N/A,TRUE,"Guidelines 1";#N/A,#N/A,TRUE,"Guidelines 2";#N/A,#N/A,TRUE,"SAP Help";#N/A,#N/A,TRUE,"PCC Activity Types (GSM)";#N/A,#N/A,TRUE,"PCC Activity Types (non-GSM)";#N/A,#N/A,TRUE,"Bus Areas, MWC's, &amp; Plan Orders";#N/A,#N/A,TRUE,"Receiver Cost Centers";#N/A,#N/A,TRUE,"Responsible Cost Centers";#N/A,#N/A,TRUE,"FERC Regulatory Accounts";#N/A,#N/A,TRUE,"Counties";#N/A,#N/A,TRUE,"Cost Elements";#N/A,#N/A,TRUE,"Asset Classifications";#N/A,#N/A,TRUE,"GSM Common";#N/A,#N/A,TRUE,"Burney";#N/A,#N/A,TRUE,"Central Coast";#N/A,#N/A,TRUE,"De Anza";#N/A,#N/A,TRUE,"Diablo";#N/A,#N/A,TRUE,"East Bay";#N/A,#N/A,TRUE,"Fresno";#N/A,#N/A,TRUE,"Hinkley";#N/A,#N/A,TRUE,"Kern";#N/A,#N/A,TRUE,"Kettleman";#N/A,#N/A,TRUE,"Los Medanos";#N/A,#N/A,TRUE,"McDonald Island";#N/A,#N/A,TRUE,"Meridian-Orland";#N/A,#N/A,TRUE,"Milpitas-Hollister";#N/A,#N/A,TRUE,"Mission";#N/A,#N/A,TRUE,"North Bay";#N/A,#N/A,TRUE,"North Coast";#N/A,#N/A,TRUE,"North Valley";#N/A,#N/A,TRUE,"Peninsula";#N/A,#N/A,TRUE,"Rio Vista";#N/A,#N/A,TRUE,"Sacramento";#N/A,#N/A,TRUE,"San Francisco";#N/A,#N/A,TRUE,"San Jose";#N/A,#N/A,TRUE,"Sierra";#N/A,#N/A,TRUE,"Stockton";#N/A,#N/A,TRUE,"Topock";#N/A,#N/A,TRUE,"Tracy";#N/A,#N/A,TRUE,"Willows";#N/A,#N/A,TRUE,"Yosemite";#N/A,#N/A,TRUE,"Non-GSM"}</definedName>
    <definedName name="xc" localSheetId="25" hidden="1">{#N/A,#N/A,TRUE,"Title Page";#N/A,#N/A,TRUE,"Table of Contents";#N/A,#N/A,TRUE,"Guidelines 1";#N/A,#N/A,TRUE,"Guidelines 2";#N/A,#N/A,TRUE,"SAP Help";#N/A,#N/A,TRUE,"PCC Activity Types (GSM)";#N/A,#N/A,TRUE,"PCC Activity Types (non-GSM)";#N/A,#N/A,TRUE,"Bus Areas, MWC's, &amp; Plan Orders";#N/A,#N/A,TRUE,"Receiver Cost Centers";#N/A,#N/A,TRUE,"Responsible Cost Centers";#N/A,#N/A,TRUE,"FERC Regulatory Accounts";#N/A,#N/A,TRUE,"Counties"}</definedName>
    <definedName name="xc" localSheetId="8" hidden="1">{#N/A,#N/A,TRUE,"Title Page";#N/A,#N/A,TRUE,"Table of Contents";#N/A,#N/A,TRUE,"Guidelines 1";#N/A,#N/A,TRUE,"Guidelines 2";#N/A,#N/A,TRUE,"SAP Help";#N/A,#N/A,TRUE,"PCC Activity Types (GSM)";#N/A,#N/A,TRUE,"PCC Activity Types (non-GSM)";#N/A,#N/A,TRUE,"Bus Areas, MWC's, &amp; Plan Orders";#N/A,#N/A,TRUE,"Receiver Cost Centers";#N/A,#N/A,TRUE,"Responsible Cost Centers";#N/A,#N/A,TRUE,"FERC Regulatory Accounts";#N/A,#N/A,TRUE,"Counties"}</definedName>
    <definedName name="xc" localSheetId="10" hidden="1">{#N/A,#N/A,TRUE,"Title Page";#N/A,#N/A,TRUE,"Table of Contents";#N/A,#N/A,TRUE,"Guidelines 1";#N/A,#N/A,TRUE,"Guidelines 2";#N/A,#N/A,TRUE,"SAP Help";#N/A,#N/A,TRUE,"PCC Activity Types (GSM)";#N/A,#N/A,TRUE,"PCC Activity Types (non-GSM)";#N/A,#N/A,TRUE,"Bus Areas, MWC's, &amp; Plan Orders";#N/A,#N/A,TRUE,"Receiver Cost Centers";#N/A,#N/A,TRUE,"Responsible Cost Centers";#N/A,#N/A,TRUE,"FERC Regulatory Accounts";#N/A,#N/A,TRUE,"Counties"}</definedName>
    <definedName name="xc" localSheetId="3" hidden="1">{#N/A,#N/A,TRUE,"Title Page";#N/A,#N/A,TRUE,"Table of Contents";#N/A,#N/A,TRUE,"Guidelines 1";#N/A,#N/A,TRUE,"Guidelines 2";#N/A,#N/A,TRUE,"SAP Help";#N/A,#N/A,TRUE,"PCC Activity Types (GSM)";#N/A,#N/A,TRUE,"PCC Activity Types (non-GSM)";#N/A,#N/A,TRUE,"Bus Areas, MWC's, &amp; Plan Orders";#N/A,#N/A,TRUE,"Receiver Cost Centers";#N/A,#N/A,TRUE,"Responsible Cost Centers";#N/A,#N/A,TRUE,"FERC Regulatory Accounts";#N/A,#N/A,TRUE,"Counties"}</definedName>
    <definedName name="xd" localSheetId="25" hidden="1">{#N/A,#N/A,TRUE,"Title Page";#N/A,#N/A,TRUE,"Table of Contents";#N/A,#N/A,TRUE,"Guidelines 1";#N/A,#N/A,TRUE,"Guidelines 2";#N/A,#N/A,TRUE,"Central Coast";#N/A,#N/A,TRUE,"De Anza";#N/A,#N/A,TRUE,"Diablo";#N/A,#N/A,TRUE,"East Bay";#N/A,#N/A,TRUE,"Fresno";#N/A,#N/A,TRUE,"Kern";#N/A,#N/A,TRUE,"Mission";#N/A,#N/A,TRUE,"North Bay";#N/A,#N/A,TRUE,"North Coast";#N/A,#N/A,TRUE,"North Valley";#N/A,#N/A,TRUE,"Peninsula";#N/A,#N/A,TRUE,"Sacramento";#N/A,#N/A,TRUE,"San Francisco";#N/A,#N/A,TRUE,"San Jose";#N/A,#N/A,TRUE,"Sierra";#N/A,#N/A,TRUE,"Stockton";#N/A,#N/A,TRUE,"Yosemite"}</definedName>
    <definedName name="xd" localSheetId="8" hidden="1">{#N/A,#N/A,TRUE,"Title Page";#N/A,#N/A,TRUE,"Table of Contents";#N/A,#N/A,TRUE,"Guidelines 1";#N/A,#N/A,TRUE,"Guidelines 2";#N/A,#N/A,TRUE,"Central Coast";#N/A,#N/A,TRUE,"De Anza";#N/A,#N/A,TRUE,"Diablo";#N/A,#N/A,TRUE,"East Bay";#N/A,#N/A,TRUE,"Fresno";#N/A,#N/A,TRUE,"Kern";#N/A,#N/A,TRUE,"Mission";#N/A,#N/A,TRUE,"North Bay";#N/A,#N/A,TRUE,"North Coast";#N/A,#N/A,TRUE,"North Valley";#N/A,#N/A,TRUE,"Peninsula";#N/A,#N/A,TRUE,"Sacramento";#N/A,#N/A,TRUE,"San Francisco";#N/A,#N/A,TRUE,"San Jose";#N/A,#N/A,TRUE,"Sierra";#N/A,#N/A,TRUE,"Stockton";#N/A,#N/A,TRUE,"Yosemite"}</definedName>
    <definedName name="xd" localSheetId="10" hidden="1">{#N/A,#N/A,TRUE,"Title Page";#N/A,#N/A,TRUE,"Table of Contents";#N/A,#N/A,TRUE,"Guidelines 1";#N/A,#N/A,TRUE,"Guidelines 2";#N/A,#N/A,TRUE,"Central Coast";#N/A,#N/A,TRUE,"De Anza";#N/A,#N/A,TRUE,"Diablo";#N/A,#N/A,TRUE,"East Bay";#N/A,#N/A,TRUE,"Fresno";#N/A,#N/A,TRUE,"Kern";#N/A,#N/A,TRUE,"Mission";#N/A,#N/A,TRUE,"North Bay";#N/A,#N/A,TRUE,"North Coast";#N/A,#N/A,TRUE,"North Valley";#N/A,#N/A,TRUE,"Peninsula";#N/A,#N/A,TRUE,"Sacramento";#N/A,#N/A,TRUE,"San Francisco";#N/A,#N/A,TRUE,"San Jose";#N/A,#N/A,TRUE,"Sierra";#N/A,#N/A,TRUE,"Stockton";#N/A,#N/A,TRUE,"Yosemite"}</definedName>
    <definedName name="xd" localSheetId="3" hidden="1">{#N/A,#N/A,TRUE,"Title Page";#N/A,#N/A,TRUE,"Table of Contents";#N/A,#N/A,TRUE,"Guidelines 1";#N/A,#N/A,TRUE,"Guidelines 2";#N/A,#N/A,TRUE,"Central Coast";#N/A,#N/A,TRUE,"De Anza";#N/A,#N/A,TRUE,"Diablo";#N/A,#N/A,TRUE,"East Bay";#N/A,#N/A,TRUE,"Fresno";#N/A,#N/A,TRUE,"Kern";#N/A,#N/A,TRUE,"Mission";#N/A,#N/A,TRUE,"North Bay";#N/A,#N/A,TRUE,"North Coast";#N/A,#N/A,TRUE,"North Valley";#N/A,#N/A,TRUE,"Peninsula";#N/A,#N/A,TRUE,"Sacramento";#N/A,#N/A,TRUE,"San Francisco";#N/A,#N/A,TRUE,"San Jose";#N/A,#N/A,TRUE,"Sierra";#N/A,#N/A,TRUE,"Stockton";#N/A,#N/A,TRUE,"Yosemite"}</definedName>
    <definedName name="xe" localSheetId="25" hidden="1">{#N/A,#N/A,TRUE,"Title Page";#N/A,#N/A,TRUE,"Table of Contents";#N/A,#N/A,TRUE,"Guidelines 1";#N/A,#N/A,TRUE,"Guidelines 2";#N/A,#N/A,TRUE,"Central Coast";#N/A,#N/A,TRUE,"De Anza";#N/A,#N/A,TRUE,"Diablo";#N/A,#N/A,TRUE,"East Bay";#N/A,#N/A,TRUE,"Fresno";#N/A,#N/A,TRUE,"Kern";#N/A,#N/A,TRUE,"Mission";#N/A,#N/A,TRUE,"North Bay";#N/A,#N/A,TRUE,"North Coast";#N/A,#N/A,TRUE,"North Valley";#N/A,#N/A,TRUE,"Peninsula";#N/A,#N/A,TRUE,"Sacramento";#N/A,#N/A,TRUE,"San Francisco";#N/A,#N/A,TRUE,"San Jose";#N/A,#N/A,TRUE,"Sierra";#N/A,#N/A,TRUE,"Stockton";#N/A,#N/A,TRUE,"Yosemite"}</definedName>
    <definedName name="xe" localSheetId="8" hidden="1">{#N/A,#N/A,TRUE,"Title Page";#N/A,#N/A,TRUE,"Table of Contents";#N/A,#N/A,TRUE,"Guidelines 1";#N/A,#N/A,TRUE,"Guidelines 2";#N/A,#N/A,TRUE,"Central Coast";#N/A,#N/A,TRUE,"De Anza";#N/A,#N/A,TRUE,"Diablo";#N/A,#N/A,TRUE,"East Bay";#N/A,#N/A,TRUE,"Fresno";#N/A,#N/A,TRUE,"Kern";#N/A,#N/A,TRUE,"Mission";#N/A,#N/A,TRUE,"North Bay";#N/A,#N/A,TRUE,"North Coast";#N/A,#N/A,TRUE,"North Valley";#N/A,#N/A,TRUE,"Peninsula";#N/A,#N/A,TRUE,"Sacramento";#N/A,#N/A,TRUE,"San Francisco";#N/A,#N/A,TRUE,"San Jose";#N/A,#N/A,TRUE,"Sierra";#N/A,#N/A,TRUE,"Stockton";#N/A,#N/A,TRUE,"Yosemite"}</definedName>
    <definedName name="xe" localSheetId="10" hidden="1">{#N/A,#N/A,TRUE,"Title Page";#N/A,#N/A,TRUE,"Table of Contents";#N/A,#N/A,TRUE,"Guidelines 1";#N/A,#N/A,TRUE,"Guidelines 2";#N/A,#N/A,TRUE,"Central Coast";#N/A,#N/A,TRUE,"De Anza";#N/A,#N/A,TRUE,"Diablo";#N/A,#N/A,TRUE,"East Bay";#N/A,#N/A,TRUE,"Fresno";#N/A,#N/A,TRUE,"Kern";#N/A,#N/A,TRUE,"Mission";#N/A,#N/A,TRUE,"North Bay";#N/A,#N/A,TRUE,"North Coast";#N/A,#N/A,TRUE,"North Valley";#N/A,#N/A,TRUE,"Peninsula";#N/A,#N/A,TRUE,"Sacramento";#N/A,#N/A,TRUE,"San Francisco";#N/A,#N/A,TRUE,"San Jose";#N/A,#N/A,TRUE,"Sierra";#N/A,#N/A,TRUE,"Stockton";#N/A,#N/A,TRUE,"Yosemite"}</definedName>
    <definedName name="xe" localSheetId="3" hidden="1">{#N/A,#N/A,TRUE,"Title Page";#N/A,#N/A,TRUE,"Table of Contents";#N/A,#N/A,TRUE,"Guidelines 1";#N/A,#N/A,TRUE,"Guidelines 2";#N/A,#N/A,TRUE,"Central Coast";#N/A,#N/A,TRUE,"De Anza";#N/A,#N/A,TRUE,"Diablo";#N/A,#N/A,TRUE,"East Bay";#N/A,#N/A,TRUE,"Fresno";#N/A,#N/A,TRUE,"Kern";#N/A,#N/A,TRUE,"Mission";#N/A,#N/A,TRUE,"North Bay";#N/A,#N/A,TRUE,"North Coast";#N/A,#N/A,TRUE,"North Valley";#N/A,#N/A,TRUE,"Peninsula";#N/A,#N/A,TRUE,"Sacramento";#N/A,#N/A,TRUE,"San Francisco";#N/A,#N/A,TRUE,"San Jose";#N/A,#N/A,TRUE,"Sierra";#N/A,#N/A,TRUE,"Stockton";#N/A,#N/A,TRUE,"Yosemite"}</definedName>
    <definedName name="xf" localSheetId="25" hidden="1">{#N/A,#N/A,TRUE,"Guidelines 1";#N/A,#N/A,TRUE,"Table of Contents";#N/A,#N/A,TRUE,"Title Page";#N/A,#N/A,TRUE,"Guidelines 2";#N/A,#N/A,TRUE,"SAP Help";#N/A,#N/A,TRUE,"PCC Activity Types (GSM)";#N/A,#N/A,TRUE,"PCC Activity Types (non-GSM)";#N/A,#N/A,TRUE,"Bus Areas, MWC's, &amp; Plan Orders";#N/A,#N/A,TRUE,"Receiver Cost Centers";#N/A,#N/A,TRUE,"Responsible Cost Centers";#N/A,#N/A,TRUE,"FERC Regulatory Accounts";#N/A,#N/A,TRUE,"Counties";#N/A,#N/A,TRUE,"Cost Elements";#N/A,#N/A,TRUE,"Asset Classifications"}</definedName>
    <definedName name="xf" localSheetId="8" hidden="1">{#N/A,#N/A,TRUE,"Guidelines 1";#N/A,#N/A,TRUE,"Table of Contents";#N/A,#N/A,TRUE,"Title Page";#N/A,#N/A,TRUE,"Guidelines 2";#N/A,#N/A,TRUE,"SAP Help";#N/A,#N/A,TRUE,"PCC Activity Types (GSM)";#N/A,#N/A,TRUE,"PCC Activity Types (non-GSM)";#N/A,#N/A,TRUE,"Bus Areas, MWC's, &amp; Plan Orders";#N/A,#N/A,TRUE,"Receiver Cost Centers";#N/A,#N/A,TRUE,"Responsible Cost Centers";#N/A,#N/A,TRUE,"FERC Regulatory Accounts";#N/A,#N/A,TRUE,"Counties";#N/A,#N/A,TRUE,"Cost Elements";#N/A,#N/A,TRUE,"Asset Classifications"}</definedName>
    <definedName name="xf" localSheetId="10" hidden="1">{#N/A,#N/A,TRUE,"Guidelines 1";#N/A,#N/A,TRUE,"Table of Contents";#N/A,#N/A,TRUE,"Title Page";#N/A,#N/A,TRUE,"Guidelines 2";#N/A,#N/A,TRUE,"SAP Help";#N/A,#N/A,TRUE,"PCC Activity Types (GSM)";#N/A,#N/A,TRUE,"PCC Activity Types (non-GSM)";#N/A,#N/A,TRUE,"Bus Areas, MWC's, &amp; Plan Orders";#N/A,#N/A,TRUE,"Receiver Cost Centers";#N/A,#N/A,TRUE,"Responsible Cost Centers";#N/A,#N/A,TRUE,"FERC Regulatory Accounts";#N/A,#N/A,TRUE,"Counties";#N/A,#N/A,TRUE,"Cost Elements";#N/A,#N/A,TRUE,"Asset Classifications"}</definedName>
    <definedName name="xf" localSheetId="3" hidden="1">{#N/A,#N/A,TRUE,"Guidelines 1";#N/A,#N/A,TRUE,"Table of Contents";#N/A,#N/A,TRUE,"Title Page";#N/A,#N/A,TRUE,"Guidelines 2";#N/A,#N/A,TRUE,"SAP Help";#N/A,#N/A,TRUE,"PCC Activity Types (GSM)";#N/A,#N/A,TRUE,"PCC Activity Types (non-GSM)";#N/A,#N/A,TRUE,"Bus Areas, MWC's, &amp; Plan Orders";#N/A,#N/A,TRUE,"Receiver Cost Centers";#N/A,#N/A,TRUE,"Responsible Cost Centers";#N/A,#N/A,TRUE,"FERC Regulatory Accounts";#N/A,#N/A,TRUE,"Counties";#N/A,#N/A,TRUE,"Cost Elements";#N/A,#N/A,TRUE,"Asset Classifications"}</definedName>
    <definedName name="xg" localSheetId="25" hidden="1">{#N/A,#N/A,TRUE,"Title Page";#N/A,#N/A,TRUE,"Table of Contents";#N/A,#N/A,TRUE,"Guidelines 1";#N/A,#N/A,TRUE,"Guidelines 2";#N/A,#N/A,TRUE,"SAP Help";#N/A,#N/A,TRUE,"PCC Activity Types (GSM)";#N/A,#N/A,TRUE,"PCC Activity Types (non-GSM)";#N/A,#N/A,TRUE,"Cost Elements";#N/A,#N/A,TRUE,"GSM Common";#N/A,#N/A,TRUE,"Burney";#N/A,#N/A,TRUE,"Hinkley";#N/A,#N/A,TRUE,"Kettleman";#N/A,#N/A,TRUE,"Los Medanos";#N/A,#N/A,TRUE,"McDonald Island";#N/A,#N/A,TRUE,"Meridian-Orland";#N/A,#N/A,TRUE,"Milpitas-Hollister";#N/A,#N/A,TRUE,"Rio Vista";#N/A,#N/A,TRUE,"Topock";#N/A,#N/A,TRUE,"Tracy";#N/A,#N/A,TRUE,"Willows";#N/A,#N/A,TRUE,"Non-GSM"}</definedName>
    <definedName name="xg" localSheetId="8" hidden="1">{#N/A,#N/A,TRUE,"Title Page";#N/A,#N/A,TRUE,"Table of Contents";#N/A,#N/A,TRUE,"Guidelines 1";#N/A,#N/A,TRUE,"Guidelines 2";#N/A,#N/A,TRUE,"SAP Help";#N/A,#N/A,TRUE,"PCC Activity Types (GSM)";#N/A,#N/A,TRUE,"PCC Activity Types (non-GSM)";#N/A,#N/A,TRUE,"Cost Elements";#N/A,#N/A,TRUE,"GSM Common";#N/A,#N/A,TRUE,"Burney";#N/A,#N/A,TRUE,"Hinkley";#N/A,#N/A,TRUE,"Kettleman";#N/A,#N/A,TRUE,"Los Medanos";#N/A,#N/A,TRUE,"McDonald Island";#N/A,#N/A,TRUE,"Meridian-Orland";#N/A,#N/A,TRUE,"Milpitas-Hollister";#N/A,#N/A,TRUE,"Rio Vista";#N/A,#N/A,TRUE,"Topock";#N/A,#N/A,TRUE,"Tracy";#N/A,#N/A,TRUE,"Willows";#N/A,#N/A,TRUE,"Non-GSM"}</definedName>
    <definedName name="xg" localSheetId="10" hidden="1">{#N/A,#N/A,TRUE,"Title Page";#N/A,#N/A,TRUE,"Table of Contents";#N/A,#N/A,TRUE,"Guidelines 1";#N/A,#N/A,TRUE,"Guidelines 2";#N/A,#N/A,TRUE,"SAP Help";#N/A,#N/A,TRUE,"PCC Activity Types (GSM)";#N/A,#N/A,TRUE,"PCC Activity Types (non-GSM)";#N/A,#N/A,TRUE,"Cost Elements";#N/A,#N/A,TRUE,"GSM Common";#N/A,#N/A,TRUE,"Burney";#N/A,#N/A,TRUE,"Hinkley";#N/A,#N/A,TRUE,"Kettleman";#N/A,#N/A,TRUE,"Los Medanos";#N/A,#N/A,TRUE,"McDonald Island";#N/A,#N/A,TRUE,"Meridian-Orland";#N/A,#N/A,TRUE,"Milpitas-Hollister";#N/A,#N/A,TRUE,"Rio Vista";#N/A,#N/A,TRUE,"Topock";#N/A,#N/A,TRUE,"Tracy";#N/A,#N/A,TRUE,"Willows";#N/A,#N/A,TRUE,"Non-GSM"}</definedName>
    <definedName name="xg" localSheetId="3" hidden="1">{#N/A,#N/A,TRUE,"Title Page";#N/A,#N/A,TRUE,"Table of Contents";#N/A,#N/A,TRUE,"Guidelines 1";#N/A,#N/A,TRUE,"Guidelines 2";#N/A,#N/A,TRUE,"SAP Help";#N/A,#N/A,TRUE,"PCC Activity Types (GSM)";#N/A,#N/A,TRUE,"PCC Activity Types (non-GSM)";#N/A,#N/A,TRUE,"Cost Elements";#N/A,#N/A,TRUE,"GSM Common";#N/A,#N/A,TRUE,"Burney";#N/A,#N/A,TRUE,"Hinkley";#N/A,#N/A,TRUE,"Kettleman";#N/A,#N/A,TRUE,"Los Medanos";#N/A,#N/A,TRUE,"McDonald Island";#N/A,#N/A,TRUE,"Meridian-Orland";#N/A,#N/A,TRUE,"Milpitas-Hollister";#N/A,#N/A,TRUE,"Rio Vista";#N/A,#N/A,TRUE,"Topock";#N/A,#N/A,TRUE,"Tracy";#N/A,#N/A,TRUE,"Willows";#N/A,#N/A,TRUE,"Non-GSM"}</definedName>
    <definedName name="xh" localSheetId="25" hidden="1">{"spreadsheet1-8","1",FALSE,"Scenarios 1-8";"spreadsheet1-8","2",FALSE,"Scenarios 1-8";"spreadsheet1-8","3",FALSE,"Scenarios 1-8";"spreadsheet1-8","4",FALSE,"Scenarios 1-8";"spreadsheet1-8","5",FALSE,"Scenarios 1-8";"spreadsheet1-8","6",FALSE,"Scenarios 1-8";"spreadsheet1-8","7",FALSE,"Scenarios 1-8";"spreadsheet1-8","8",FALSE,"Scenarios 1-8"}</definedName>
    <definedName name="xh" localSheetId="8" hidden="1">{"spreadsheet1-8","1",FALSE,"Scenarios 1-8";"spreadsheet1-8","2",FALSE,"Scenarios 1-8";"spreadsheet1-8","3",FALSE,"Scenarios 1-8";"spreadsheet1-8","4",FALSE,"Scenarios 1-8";"spreadsheet1-8","5",FALSE,"Scenarios 1-8";"spreadsheet1-8","6",FALSE,"Scenarios 1-8";"spreadsheet1-8","7",FALSE,"Scenarios 1-8";"spreadsheet1-8","8",FALSE,"Scenarios 1-8"}</definedName>
    <definedName name="xh" localSheetId="10" hidden="1">{"spreadsheet1-8","1",FALSE,"Scenarios 1-8";"spreadsheet1-8","2",FALSE,"Scenarios 1-8";"spreadsheet1-8","3",FALSE,"Scenarios 1-8";"spreadsheet1-8","4",FALSE,"Scenarios 1-8";"spreadsheet1-8","5",FALSE,"Scenarios 1-8";"spreadsheet1-8","6",FALSE,"Scenarios 1-8";"spreadsheet1-8","7",FALSE,"Scenarios 1-8";"spreadsheet1-8","8",FALSE,"Scenarios 1-8"}</definedName>
    <definedName name="xh" localSheetId="3" hidden="1">{"spreadsheet1-8","1",FALSE,"Scenarios 1-8";"spreadsheet1-8","2",FALSE,"Scenarios 1-8";"spreadsheet1-8","3",FALSE,"Scenarios 1-8";"spreadsheet1-8","4",FALSE,"Scenarios 1-8";"spreadsheet1-8","5",FALSE,"Scenarios 1-8";"spreadsheet1-8","6",FALSE,"Scenarios 1-8";"spreadsheet1-8","7",FALSE,"Scenarios 1-8";"spreadsheet1-8","8",FALSE,"Scenarios 1-8"}</definedName>
    <definedName name="xi" localSheetId="25" hidden="1">{"Spreadsheet9-16","9",FALSE,"Scenarios 9-16";"Spreadsheet9-16","10",FALSE,"Scenarios 9-16";"Spreadsheet9-16","11",FALSE,"Scenarios 9-16";"Spreadsheet9-16","12",FALSE,"Scenarios 9-16";"Spreadsheet9-16","13",FALSE,"Scenarios 9-16";"Spreadsheet9-16","14",FALSE,"Scenarios 9-16";"Spreadsheet9-16","15",FALSE,"Scenarios 9-16";"Spreadsheet9-16","16",FALSE,"Scenarios 9-16"}</definedName>
    <definedName name="xi" localSheetId="8" hidden="1">{"Spreadsheet9-16","9",FALSE,"Scenarios 9-16";"Spreadsheet9-16","10",FALSE,"Scenarios 9-16";"Spreadsheet9-16","11",FALSE,"Scenarios 9-16";"Spreadsheet9-16","12",FALSE,"Scenarios 9-16";"Spreadsheet9-16","13",FALSE,"Scenarios 9-16";"Spreadsheet9-16","14",FALSE,"Scenarios 9-16";"Spreadsheet9-16","15",FALSE,"Scenarios 9-16";"Spreadsheet9-16","16",FALSE,"Scenarios 9-16"}</definedName>
    <definedName name="xi" localSheetId="10" hidden="1">{"Spreadsheet9-16","9",FALSE,"Scenarios 9-16";"Spreadsheet9-16","10",FALSE,"Scenarios 9-16";"Spreadsheet9-16","11",FALSE,"Scenarios 9-16";"Spreadsheet9-16","12",FALSE,"Scenarios 9-16";"Spreadsheet9-16","13",FALSE,"Scenarios 9-16";"Spreadsheet9-16","14",FALSE,"Scenarios 9-16";"Spreadsheet9-16","15",FALSE,"Scenarios 9-16";"Spreadsheet9-16","16",FALSE,"Scenarios 9-16"}</definedName>
    <definedName name="xi" localSheetId="3" hidden="1">{"Spreadsheet9-16","9",FALSE,"Scenarios 9-16";"Spreadsheet9-16","10",FALSE,"Scenarios 9-16";"Spreadsheet9-16","11",FALSE,"Scenarios 9-16";"Spreadsheet9-16","12",FALSE,"Scenarios 9-16";"Spreadsheet9-16","13",FALSE,"Scenarios 9-16";"Spreadsheet9-16","14",FALSE,"Scenarios 9-16";"Spreadsheet9-16","15",FALSE,"Scenarios 9-16";"Spreadsheet9-16","16",FALSE,"Scenarios 9-16"}</definedName>
    <definedName name="xj" localSheetId="25" hidden="1">{#N/A,#N/A,FALSE,"Assumptions";#N/A,#N/A,FALSE,"RRQ inputs and toggles";#N/A,#N/A,FALSE,"Revenue Allocation Results";#N/A,#N/A,FALSE,"Table2";#N/A,#N/A,FALSE,"Distribution Revenue Allocation";#N/A,#N/A,FALSE,"FERC Rev @ PR";#N/A,#N/A,FALSE,"Public Purpose Program Allocate";#N/A,#N/A,FALSE,"CTC";#N/A,#N/A,FALSE,"UCS";#N/A,#N/A,FALSE,"Nuclear Decommissioning";#N/A,#N/A,FALSE,"FTA";#N/A,#N/A,FALSE,"RRB";#N/A,#N/A,FALSE,"Nonallocated Revenues";#N/A,#N/A,FALSE,"MC Revenues-01 sales, 96 MC's"}</definedName>
    <definedName name="xj" localSheetId="8" hidden="1">{#N/A,#N/A,FALSE,"Assumptions";#N/A,#N/A,FALSE,"RRQ inputs and toggles";#N/A,#N/A,FALSE,"Revenue Allocation Results";#N/A,#N/A,FALSE,"Table2";#N/A,#N/A,FALSE,"Distribution Revenue Allocation";#N/A,#N/A,FALSE,"FERC Rev @ PR";#N/A,#N/A,FALSE,"Public Purpose Program Allocate";#N/A,#N/A,FALSE,"CTC";#N/A,#N/A,FALSE,"UCS";#N/A,#N/A,FALSE,"Nuclear Decommissioning";#N/A,#N/A,FALSE,"FTA";#N/A,#N/A,FALSE,"RRB";#N/A,#N/A,FALSE,"Nonallocated Revenues";#N/A,#N/A,FALSE,"MC Revenues-01 sales, 96 MC's"}</definedName>
    <definedName name="xj" localSheetId="10" hidden="1">{#N/A,#N/A,FALSE,"Assumptions";#N/A,#N/A,FALSE,"RRQ inputs and toggles";#N/A,#N/A,FALSE,"Revenue Allocation Results";#N/A,#N/A,FALSE,"Table2";#N/A,#N/A,FALSE,"Distribution Revenue Allocation";#N/A,#N/A,FALSE,"FERC Rev @ PR";#N/A,#N/A,FALSE,"Public Purpose Program Allocate";#N/A,#N/A,FALSE,"CTC";#N/A,#N/A,FALSE,"UCS";#N/A,#N/A,FALSE,"Nuclear Decommissioning";#N/A,#N/A,FALSE,"FTA";#N/A,#N/A,FALSE,"RRB";#N/A,#N/A,FALSE,"Nonallocated Revenues";#N/A,#N/A,FALSE,"MC Revenues-01 sales, 96 MC's"}</definedName>
    <definedName name="xj" localSheetId="3" hidden="1">{#N/A,#N/A,FALSE,"Assumptions";#N/A,#N/A,FALSE,"RRQ inputs and toggles";#N/A,#N/A,FALSE,"Revenue Allocation Results";#N/A,#N/A,FALSE,"Table2";#N/A,#N/A,FALSE,"Distribution Revenue Allocation";#N/A,#N/A,FALSE,"FERC Rev @ PR";#N/A,#N/A,FALSE,"Public Purpose Program Allocate";#N/A,#N/A,FALSE,"CTC";#N/A,#N/A,FALSE,"UCS";#N/A,#N/A,FALSE,"Nuclear Decommissioning";#N/A,#N/A,FALSE,"FTA";#N/A,#N/A,FALSE,"RRB";#N/A,#N/A,FALSE,"Nonallocated Revenues";#N/A,#N/A,FALSE,"MC Revenues-01 sales, 96 MC's"}</definedName>
    <definedName name="xk" localSheetId="25" hidden="1">{#N/A,#N/A,FALSE,"Res - Unadj";#N/A,#N/A,FALSE,"Small L&amp;P";#N/A,#N/A,FALSE,"Medium L&amp;P";#N/A,#N/A,FALSE,"E-19";#N/A,#N/A,FALSE,"E-20";#N/A,#N/A,FALSE,"A-RTP";#N/A,#N/A,FALSE,"Strtlts &amp; Standby";#N/A,#N/A,FALSE,"AG";#N/A,#N/A,FALSE,"2001mixeduse"}</definedName>
    <definedName name="xk" localSheetId="8" hidden="1">{#N/A,#N/A,FALSE,"Res - Unadj";#N/A,#N/A,FALSE,"Small L&amp;P";#N/A,#N/A,FALSE,"Medium L&amp;P";#N/A,#N/A,FALSE,"E-19";#N/A,#N/A,FALSE,"E-20";#N/A,#N/A,FALSE,"A-RTP";#N/A,#N/A,FALSE,"Strtlts &amp; Standby";#N/A,#N/A,FALSE,"AG";#N/A,#N/A,FALSE,"2001mixeduse"}</definedName>
    <definedName name="xk" localSheetId="10" hidden="1">{#N/A,#N/A,FALSE,"Res - Unadj";#N/A,#N/A,FALSE,"Small L&amp;P";#N/A,#N/A,FALSE,"Medium L&amp;P";#N/A,#N/A,FALSE,"E-19";#N/A,#N/A,FALSE,"E-20";#N/A,#N/A,FALSE,"A-RTP";#N/A,#N/A,FALSE,"Strtlts &amp; Standby";#N/A,#N/A,FALSE,"AG";#N/A,#N/A,FALSE,"2001mixeduse"}</definedName>
    <definedName name="xk" localSheetId="3" hidden="1">{#N/A,#N/A,FALSE,"Res - Unadj";#N/A,#N/A,FALSE,"Small L&amp;P";#N/A,#N/A,FALSE,"Medium L&amp;P";#N/A,#N/A,FALSE,"E-19";#N/A,#N/A,FALSE,"E-20";#N/A,#N/A,FALSE,"A-RTP";#N/A,#N/A,FALSE,"Strtlts &amp; Standby";#N/A,#N/A,FALSE,"AG";#N/A,#N/A,FALSE,"2001mixeduse"}</definedName>
    <definedName name="xl" localSheetId="25" hidden="1">{"Summary","1",FALSE,"Summary"}</definedName>
    <definedName name="xl" localSheetId="8" hidden="1">{"Summary","1",FALSE,"Summary"}</definedName>
    <definedName name="xl" localSheetId="10" hidden="1">{"Summary","1",FALSE,"Summary"}</definedName>
    <definedName name="xl" localSheetId="3" hidden="1">{"Summary","1",FALSE,"Summary"}</definedName>
    <definedName name="xm" localSheetId="25" hidden="1">{#N/A,#N/A,TRUE,"Title Page";#N/A,#N/A,TRUE,"Table of Contents";#N/A,#N/A,TRUE,"Guidelines 1";#N/A,#N/A,TRUE,"Guidelines 2";#N/A,#N/A,TRUE,"SAP Help";#N/A,#N/A,TRUE,"PCC Activity Types (GSM)";#N/A,#N/A,TRUE,"PCC Activity Types (non-GSM)";#N/A,#N/A,TRUE,"Bus Areas, MWC's, &amp; Plan Orders";#N/A,#N/A,TRUE,"Receiver Cost Centers";#N/A,#N/A,TRUE,"Responsible Cost Centers";#N/A,#N/A,TRUE,"FERC Regulatory Accounts";#N/A,#N/A,TRUE,"Counties"}</definedName>
    <definedName name="xm" localSheetId="8" hidden="1">{#N/A,#N/A,TRUE,"Title Page";#N/A,#N/A,TRUE,"Table of Contents";#N/A,#N/A,TRUE,"Guidelines 1";#N/A,#N/A,TRUE,"Guidelines 2";#N/A,#N/A,TRUE,"SAP Help";#N/A,#N/A,TRUE,"PCC Activity Types (GSM)";#N/A,#N/A,TRUE,"PCC Activity Types (non-GSM)";#N/A,#N/A,TRUE,"Bus Areas, MWC's, &amp; Plan Orders";#N/A,#N/A,TRUE,"Receiver Cost Centers";#N/A,#N/A,TRUE,"Responsible Cost Centers";#N/A,#N/A,TRUE,"FERC Regulatory Accounts";#N/A,#N/A,TRUE,"Counties"}</definedName>
    <definedName name="xm" localSheetId="10" hidden="1">{#N/A,#N/A,TRUE,"Title Page";#N/A,#N/A,TRUE,"Table of Contents";#N/A,#N/A,TRUE,"Guidelines 1";#N/A,#N/A,TRUE,"Guidelines 2";#N/A,#N/A,TRUE,"SAP Help";#N/A,#N/A,TRUE,"PCC Activity Types (GSM)";#N/A,#N/A,TRUE,"PCC Activity Types (non-GSM)";#N/A,#N/A,TRUE,"Bus Areas, MWC's, &amp; Plan Orders";#N/A,#N/A,TRUE,"Receiver Cost Centers";#N/A,#N/A,TRUE,"Responsible Cost Centers";#N/A,#N/A,TRUE,"FERC Regulatory Accounts";#N/A,#N/A,TRUE,"Counties"}</definedName>
    <definedName name="xm" localSheetId="3" hidden="1">{#N/A,#N/A,TRUE,"Title Page";#N/A,#N/A,TRUE,"Table of Contents";#N/A,#N/A,TRUE,"Guidelines 1";#N/A,#N/A,TRUE,"Guidelines 2";#N/A,#N/A,TRUE,"SAP Help";#N/A,#N/A,TRUE,"PCC Activity Types (GSM)";#N/A,#N/A,TRUE,"PCC Activity Types (non-GSM)";#N/A,#N/A,TRUE,"Bus Areas, MWC's, &amp; Plan Orders";#N/A,#N/A,TRUE,"Receiver Cost Centers";#N/A,#N/A,TRUE,"Responsible Cost Centers";#N/A,#N/A,TRUE,"FERC Regulatory Accounts";#N/A,#N/A,TRUE,"Counties"}</definedName>
    <definedName name="xxx" localSheetId="25" hidden="1">{#N/A,#N/A,TRUE,"Title Page";#N/A,#N/A,TRUE,"Table of Contents";#N/A,#N/A,TRUE,"Guidelines 1";#N/A,#N/A,TRUE,"Guidelines 2";#N/A,#N/A,TRUE,"SAP Help";#N/A,#N/A,TRUE,"PCC Activity Types (GSM)";#N/A,#N/A,TRUE,"PCC Activity Types (non-GSM)";#N/A,#N/A,TRUE,"Bus Areas, MWC's, &amp; Plan Orders";#N/A,#N/A,TRUE,"Receiver Cost Centers";#N/A,#N/A,TRUE,"Responsible Cost Centers";#N/A,#N/A,TRUE,"FERC Regulatory Accounts";#N/A,#N/A,TRUE,"Counties"}</definedName>
    <definedName name="xxx" localSheetId="8" hidden="1">{#N/A,#N/A,TRUE,"Title Page";#N/A,#N/A,TRUE,"Table of Contents";#N/A,#N/A,TRUE,"Guidelines 1";#N/A,#N/A,TRUE,"Guidelines 2";#N/A,#N/A,TRUE,"SAP Help";#N/A,#N/A,TRUE,"PCC Activity Types (GSM)";#N/A,#N/A,TRUE,"PCC Activity Types (non-GSM)";#N/A,#N/A,TRUE,"Bus Areas, MWC's, &amp; Plan Orders";#N/A,#N/A,TRUE,"Receiver Cost Centers";#N/A,#N/A,TRUE,"Responsible Cost Centers";#N/A,#N/A,TRUE,"FERC Regulatory Accounts";#N/A,#N/A,TRUE,"Counties"}</definedName>
    <definedName name="xxx" localSheetId="10" hidden="1">{#N/A,#N/A,TRUE,"Title Page";#N/A,#N/A,TRUE,"Table of Contents";#N/A,#N/A,TRUE,"Guidelines 1";#N/A,#N/A,TRUE,"Guidelines 2";#N/A,#N/A,TRUE,"SAP Help";#N/A,#N/A,TRUE,"PCC Activity Types (GSM)";#N/A,#N/A,TRUE,"PCC Activity Types (non-GSM)";#N/A,#N/A,TRUE,"Bus Areas, MWC's, &amp; Plan Orders";#N/A,#N/A,TRUE,"Receiver Cost Centers";#N/A,#N/A,TRUE,"Responsible Cost Centers";#N/A,#N/A,TRUE,"FERC Regulatory Accounts";#N/A,#N/A,TRUE,"Counties"}</definedName>
    <definedName name="xxx" localSheetId="3" hidden="1">{#N/A,#N/A,TRUE,"Title Page";#N/A,#N/A,TRUE,"Table of Contents";#N/A,#N/A,TRUE,"Guidelines 1";#N/A,#N/A,TRUE,"Guidelines 2";#N/A,#N/A,TRUE,"SAP Help";#N/A,#N/A,TRUE,"PCC Activity Types (GSM)";#N/A,#N/A,TRUE,"PCC Activity Types (non-GSM)";#N/A,#N/A,TRUE,"Bus Areas, MWC's, &amp; Plan Orders";#N/A,#N/A,TRUE,"Receiver Cost Centers";#N/A,#N/A,TRUE,"Responsible Cost Centers";#N/A,#N/A,TRUE,"FERC Regulatory Accounts";#N/A,#N/A,TRUE,"Counties"}</definedName>
    <definedName name="zzzzzzzzzzzzzzzzzzzzzzzzzzzzz" localSheetId="25" hidden="1">{"PI_Data",#N/A,TRUE,"P&amp;I Data"}</definedName>
    <definedName name="zzzzzzzzzzzzzzzzzzzzzzzzzzzzz" localSheetId="8" hidden="1">{"PI_Data",#N/A,TRUE,"P&amp;I Data"}</definedName>
    <definedName name="zzzzzzzzzzzzzzzzzzzzzzzzzzzzz" localSheetId="10" hidden="1">{"PI_Data",#N/A,TRUE,"P&amp;I Data"}</definedName>
    <definedName name="zzzzzzzzzzzzzzzzzzzzzzzzzzzzz" localSheetId="3" hidden="1">{"PI_Data",#N/A,TRUE,"P&amp;I Data"}</definedName>
  </definedNames>
  <calcPr calcId="191029"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2" i="42" l="1"/>
  <c r="E14" i="42"/>
  <c r="P14" i="42" s="1"/>
  <c r="P18" i="42" s="1"/>
  <c r="I14" i="42"/>
  <c r="J14" i="42"/>
  <c r="K14" i="42"/>
  <c r="K18" i="42" s="1"/>
  <c r="L14" i="42"/>
  <c r="L18" i="42" s="1"/>
  <c r="M14" i="42"/>
  <c r="M18" i="42" s="1"/>
  <c r="O14" i="42"/>
  <c r="O18" i="42" s="1"/>
  <c r="Q14" i="42"/>
  <c r="E16" i="42"/>
  <c r="F16" i="42"/>
  <c r="G16" i="42"/>
  <c r="R16" i="42" s="1"/>
  <c r="E30" i="7" s="1"/>
  <c r="H16" i="42"/>
  <c r="I16" i="42"/>
  <c r="J16" i="42"/>
  <c r="K16" i="42"/>
  <c r="L16" i="42"/>
  <c r="M16" i="42"/>
  <c r="N16" i="42"/>
  <c r="O16" i="42"/>
  <c r="P16" i="42"/>
  <c r="Q16" i="42"/>
  <c r="E18" i="42"/>
  <c r="I18" i="42"/>
  <c r="J18" i="42"/>
  <c r="Q18" i="42"/>
  <c r="S21" i="42"/>
  <c r="S22" i="42"/>
  <c r="S23" i="42"/>
  <c r="D2" i="41"/>
  <c r="E11" i="41"/>
  <c r="C12" i="41"/>
  <c r="E12" i="41"/>
  <c r="A13" i="41"/>
  <c r="E13" i="41" s="1"/>
  <c r="C13" i="41"/>
  <c r="C14" i="41"/>
  <c r="C15" i="41"/>
  <c r="C16" i="41"/>
  <c r="C21" i="41"/>
  <c r="C28" i="41"/>
  <c r="E33" i="41"/>
  <c r="C34" i="41"/>
  <c r="E34" i="41"/>
  <c r="A35" i="41"/>
  <c r="C35" i="41"/>
  <c r="E35" i="41"/>
  <c r="A36" i="41"/>
  <c r="A37" i="41" s="1"/>
  <c r="C36" i="41"/>
  <c r="C37" i="41"/>
  <c r="C38" i="41"/>
  <c r="C42" i="41"/>
  <c r="L2" i="40"/>
  <c r="L3" i="40"/>
  <c r="M11" i="40"/>
  <c r="K14" i="40"/>
  <c r="M14" i="40"/>
  <c r="A15" i="40"/>
  <c r="K15" i="40"/>
  <c r="K18" i="40" s="1"/>
  <c r="K20" i="40" s="1"/>
  <c r="M15" i="40"/>
  <c r="A16" i="40"/>
  <c r="A17" i="40" s="1"/>
  <c r="M16" i="40"/>
  <c r="K19" i="40"/>
  <c r="M21" i="40"/>
  <c r="M22" i="40"/>
  <c r="M24" i="40"/>
  <c r="M28" i="40"/>
  <c r="M31" i="40"/>
  <c r="A32" i="40"/>
  <c r="M32" i="40"/>
  <c r="A33" i="40"/>
  <c r="K33" i="40"/>
  <c r="M33" i="40"/>
  <c r="F10" i="39"/>
  <c r="G10" i="39"/>
  <c r="N11" i="39"/>
  <c r="G13" i="39"/>
  <c r="I13" i="39"/>
  <c r="N13" i="39"/>
  <c r="A15" i="39"/>
  <c r="A17" i="39" s="1"/>
  <c r="G15" i="39"/>
  <c r="H15" i="39"/>
  <c r="I15" i="39" s="1"/>
  <c r="G17" i="39"/>
  <c r="G25" i="39" s="1"/>
  <c r="G43" i="39" s="1"/>
  <c r="H17" i="39"/>
  <c r="I17" i="39"/>
  <c r="I25" i="39" s="1"/>
  <c r="G19" i="39"/>
  <c r="I19" i="39" s="1"/>
  <c r="G21" i="39"/>
  <c r="I21" i="39"/>
  <c r="G23" i="39"/>
  <c r="H23" i="39"/>
  <c r="I23" i="39"/>
  <c r="D25" i="39"/>
  <c r="E25" i="39"/>
  <c r="E43" i="39" s="1"/>
  <c r="F25" i="39"/>
  <c r="G27" i="39"/>
  <c r="H27" i="39"/>
  <c r="I27" i="39" s="1"/>
  <c r="G29" i="39"/>
  <c r="H29" i="39"/>
  <c r="I29" i="39"/>
  <c r="G31" i="39"/>
  <c r="I31" i="39" s="1"/>
  <c r="I33" i="39" s="1"/>
  <c r="H31" i="39"/>
  <c r="D33" i="39"/>
  <c r="D55" i="39" s="1"/>
  <c r="E33" i="39"/>
  <c r="E55" i="39" s="1"/>
  <c r="F33" i="39"/>
  <c r="F55" i="39" s="1"/>
  <c r="G33" i="39"/>
  <c r="G35" i="39"/>
  <c r="H35" i="39"/>
  <c r="I35" i="39"/>
  <c r="G37" i="39"/>
  <c r="H37" i="39"/>
  <c r="I37" i="39"/>
  <c r="G39" i="39"/>
  <c r="H39" i="39"/>
  <c r="I39" i="39" s="1"/>
  <c r="I41" i="39" s="1"/>
  <c r="D41" i="39"/>
  <c r="D43" i="39" s="1"/>
  <c r="E41" i="39"/>
  <c r="F41" i="39"/>
  <c r="G41" i="39"/>
  <c r="L43" i="39"/>
  <c r="L55" i="39" s="1"/>
  <c r="G46" i="39"/>
  <c r="H46" i="39"/>
  <c r="I46" i="39"/>
  <c r="G48" i="39"/>
  <c r="H48" i="39"/>
  <c r="I48" i="39"/>
  <c r="G50" i="39"/>
  <c r="I50" i="39" s="1"/>
  <c r="I52" i="39" s="1"/>
  <c r="H50" i="39"/>
  <c r="D52" i="39"/>
  <c r="E52" i="39"/>
  <c r="F52" i="39"/>
  <c r="G52" i="39"/>
  <c r="N10" i="38"/>
  <c r="H12" i="38"/>
  <c r="L12" i="38"/>
  <c r="N12" i="38"/>
  <c r="A14" i="38"/>
  <c r="N14" i="38" s="1"/>
  <c r="H14" i="38"/>
  <c r="L14" i="38"/>
  <c r="L16" i="38"/>
  <c r="L18" i="38"/>
  <c r="L20" i="38"/>
  <c r="L22" i="38"/>
  <c r="H24" i="38"/>
  <c r="H26" i="38"/>
  <c r="L26" i="38"/>
  <c r="H28" i="38"/>
  <c r="L28" i="38"/>
  <c r="H30" i="38"/>
  <c r="L30" i="38"/>
  <c r="L34" i="38"/>
  <c r="L36" i="38"/>
  <c r="L38" i="38"/>
  <c r="H40" i="38"/>
  <c r="L42" i="38"/>
  <c r="L48" i="38" s="1"/>
  <c r="L44" i="38"/>
  <c r="L46" i="38"/>
  <c r="H48" i="38"/>
  <c r="E2" i="37"/>
  <c r="F9" i="37"/>
  <c r="A10" i="37"/>
  <c r="F10" i="37" s="1"/>
  <c r="C11" i="37"/>
  <c r="C13" i="37" s="1"/>
  <c r="C8" i="36" s="1"/>
  <c r="C13" i="36" s="1"/>
  <c r="D11" i="37"/>
  <c r="F16" i="37"/>
  <c r="E2" i="36"/>
  <c r="F5" i="36"/>
  <c r="F7" i="36"/>
  <c r="A8" i="36"/>
  <c r="D9" i="36" s="1"/>
  <c r="F8" i="36"/>
  <c r="A9" i="36"/>
  <c r="F9" i="36" s="1"/>
  <c r="F12" i="36"/>
  <c r="A13" i="36"/>
  <c r="F13" i="36"/>
  <c r="A14" i="36"/>
  <c r="D14" i="36"/>
  <c r="F14" i="36"/>
  <c r="G2" i="35"/>
  <c r="H6" i="35"/>
  <c r="D7" i="35"/>
  <c r="D49" i="35" s="1"/>
  <c r="F49" i="35" s="1"/>
  <c r="E7" i="35"/>
  <c r="H7" i="35"/>
  <c r="D12" i="35"/>
  <c r="E12" i="35"/>
  <c r="F12" i="35"/>
  <c r="H12" i="35"/>
  <c r="A13" i="35"/>
  <c r="H13" i="35" s="1"/>
  <c r="D13" i="35"/>
  <c r="E13" i="35"/>
  <c r="F13" i="35" s="1"/>
  <c r="D18" i="35"/>
  <c r="E18" i="35"/>
  <c r="F18" i="35"/>
  <c r="D19" i="35"/>
  <c r="E19" i="35"/>
  <c r="F19" i="35"/>
  <c r="D24" i="35"/>
  <c r="F24" i="35" s="1"/>
  <c r="F26" i="35" s="1"/>
  <c r="E24" i="35"/>
  <c r="D25" i="35"/>
  <c r="E25" i="35"/>
  <c r="E26" i="35" s="1"/>
  <c r="F25" i="35"/>
  <c r="D28" i="35"/>
  <c r="E28" i="35"/>
  <c r="F28" i="35"/>
  <c r="D29" i="35"/>
  <c r="F29" i="35" s="1"/>
  <c r="E29" i="35"/>
  <c r="D30" i="35"/>
  <c r="E30" i="35"/>
  <c r="F30" i="35"/>
  <c r="D31" i="35"/>
  <c r="E31" i="35"/>
  <c r="F31" i="35"/>
  <c r="E38" i="35"/>
  <c r="H38" i="35"/>
  <c r="F39" i="35"/>
  <c r="A40" i="35"/>
  <c r="G20" i="35" s="1"/>
  <c r="D40" i="35"/>
  <c r="E40" i="35"/>
  <c r="F40" i="35"/>
  <c r="H40" i="35"/>
  <c r="A41" i="35"/>
  <c r="H41" i="35" s="1"/>
  <c r="D41" i="35"/>
  <c r="F41" i="35" s="1"/>
  <c r="E41" i="35"/>
  <c r="D42" i="35"/>
  <c r="F42" i="35" s="1"/>
  <c r="E42" i="35"/>
  <c r="D43" i="35"/>
  <c r="E43" i="35"/>
  <c r="F43" i="35"/>
  <c r="E46" i="35"/>
  <c r="D48" i="35"/>
  <c r="F48" i="35" s="1"/>
  <c r="E48" i="35"/>
  <c r="E49" i="35"/>
  <c r="D50" i="35"/>
  <c r="E50" i="35"/>
  <c r="F50" i="35"/>
  <c r="D57" i="35"/>
  <c r="F57" i="35" s="1"/>
  <c r="E57" i="35"/>
  <c r="F60" i="35"/>
  <c r="F2" i="34"/>
  <c r="G5" i="34"/>
  <c r="G8" i="34"/>
  <c r="A9" i="34"/>
  <c r="G9" i="34"/>
  <c r="G13" i="34"/>
  <c r="A14" i="34"/>
  <c r="G14" i="34"/>
  <c r="G18" i="34"/>
  <c r="A19" i="34"/>
  <c r="G19" i="34" s="1"/>
  <c r="E22" i="34"/>
  <c r="G22" i="34"/>
  <c r="A23" i="34"/>
  <c r="E23" i="34"/>
  <c r="G23" i="34"/>
  <c r="A24" i="34"/>
  <c r="E24" i="34"/>
  <c r="G24" i="34"/>
  <c r="E2" i="33"/>
  <c r="E3" i="33"/>
  <c r="F5" i="33"/>
  <c r="F7" i="33"/>
  <c r="A8" i="33"/>
  <c r="F8" i="33"/>
  <c r="A9" i="33"/>
  <c r="F9" i="33"/>
  <c r="A10" i="33"/>
  <c r="A11" i="33" s="1"/>
  <c r="F10" i="33"/>
  <c r="C11" i="33"/>
  <c r="C14" i="33"/>
  <c r="C16" i="33" s="1"/>
  <c r="D14" i="33"/>
  <c r="C36" i="33"/>
  <c r="C37" i="33"/>
  <c r="C38" i="33"/>
  <c r="M13" i="27" s="1"/>
  <c r="N13" i="27" s="1"/>
  <c r="C41" i="33"/>
  <c r="C42" i="33"/>
  <c r="C43" i="33"/>
  <c r="C45" i="33" s="1"/>
  <c r="C44" i="33"/>
  <c r="C48" i="33"/>
  <c r="C50" i="33" s="1"/>
  <c r="C49" i="33"/>
  <c r="C64" i="33"/>
  <c r="J2" i="32"/>
  <c r="K7" i="32"/>
  <c r="K8" i="32"/>
  <c r="A9" i="32"/>
  <c r="K9" i="32"/>
  <c r="A10" i="32"/>
  <c r="K10" i="32"/>
  <c r="K13" i="32"/>
  <c r="D14" i="32"/>
  <c r="E14" i="32"/>
  <c r="K14" i="32"/>
  <c r="A15" i="32"/>
  <c r="D15" i="32"/>
  <c r="E15" i="32"/>
  <c r="K15" i="32"/>
  <c r="A16" i="32"/>
  <c r="F25" i="32" s="1"/>
  <c r="D16" i="32"/>
  <c r="D25" i="32" s="1"/>
  <c r="E16" i="32"/>
  <c r="F16" i="32"/>
  <c r="K16" i="32"/>
  <c r="D23" i="32"/>
  <c r="F23" i="32"/>
  <c r="D24" i="32"/>
  <c r="D18" i="32" s="1"/>
  <c r="D39" i="32" s="1"/>
  <c r="E24" i="32"/>
  <c r="K30" i="32"/>
  <c r="D32" i="32"/>
  <c r="E32" i="32"/>
  <c r="K32" i="32"/>
  <c r="A33" i="32"/>
  <c r="F24" i="32" s="1"/>
  <c r="D33" i="32"/>
  <c r="D35" i="32" s="1"/>
  <c r="D37" i="32" s="1"/>
  <c r="E33" i="32"/>
  <c r="K33" i="32"/>
  <c r="A34" i="32"/>
  <c r="F35" i="32" s="1"/>
  <c r="D34" i="32"/>
  <c r="E34" i="32"/>
  <c r="E35" i="32" s="1"/>
  <c r="K34" i="32"/>
  <c r="A35" i="32"/>
  <c r="K35" i="32" s="1"/>
  <c r="K46" i="32"/>
  <c r="E47" i="32"/>
  <c r="H47" i="32"/>
  <c r="J47" i="32"/>
  <c r="K47" i="32"/>
  <c r="A48" i="32"/>
  <c r="K48" i="32" s="1"/>
  <c r="C48" i="32"/>
  <c r="D48" i="32"/>
  <c r="E48" i="32"/>
  <c r="E49" i="32" s="1"/>
  <c r="E50" i="32" s="1"/>
  <c r="E51" i="32" s="1"/>
  <c r="E52" i="32" s="1"/>
  <c r="E53" i="32" s="1"/>
  <c r="E54" i="32" s="1"/>
  <c r="E55" i="32" s="1"/>
  <c r="E56" i="32" s="1"/>
  <c r="E57" i="32" s="1"/>
  <c r="E58" i="32" s="1"/>
  <c r="E59" i="32" s="1"/>
  <c r="G48" i="32"/>
  <c r="G49" i="32" s="1"/>
  <c r="C49" i="32"/>
  <c r="D49" i="32"/>
  <c r="C50" i="32"/>
  <c r="D50" i="32"/>
  <c r="C51" i="32"/>
  <c r="D51" i="32"/>
  <c r="C52" i="32"/>
  <c r="D52" i="32"/>
  <c r="C53" i="32"/>
  <c r="D53" i="32"/>
  <c r="C54" i="32"/>
  <c r="D54" i="32"/>
  <c r="C55" i="32"/>
  <c r="D55" i="32"/>
  <c r="C56" i="32"/>
  <c r="D56" i="32"/>
  <c r="C57" i="32"/>
  <c r="D57" i="32"/>
  <c r="C58" i="32"/>
  <c r="D58" i="32"/>
  <c r="C59" i="32"/>
  <c r="D59" i="32"/>
  <c r="E60" i="32"/>
  <c r="E2" i="31"/>
  <c r="E3" i="31"/>
  <c r="F6" i="31"/>
  <c r="F7" i="31"/>
  <c r="A8" i="31"/>
  <c r="F8" i="31"/>
  <c r="C9" i="31"/>
  <c r="C10" i="31"/>
  <c r="F13" i="31"/>
  <c r="F14" i="31"/>
  <c r="A15" i="31"/>
  <c r="F15" i="31"/>
  <c r="A16" i="31"/>
  <c r="F16" i="31" s="1"/>
  <c r="C16" i="31"/>
  <c r="C17" i="31"/>
  <c r="F2" i="30"/>
  <c r="G6" i="30"/>
  <c r="C7" i="30"/>
  <c r="G7" i="30"/>
  <c r="A9" i="30"/>
  <c r="D11" i="30" s="1"/>
  <c r="G9" i="30"/>
  <c r="A10" i="30"/>
  <c r="G10" i="30"/>
  <c r="A11" i="30"/>
  <c r="G11" i="30" s="1"/>
  <c r="C11" i="30"/>
  <c r="C18" i="30"/>
  <c r="D18" i="30"/>
  <c r="G18" i="30"/>
  <c r="A19" i="30"/>
  <c r="E19" i="30"/>
  <c r="E18" i="30" s="1"/>
  <c r="F19" i="30"/>
  <c r="F18" i="30" s="1"/>
  <c r="C29" i="30" s="1"/>
  <c r="G19" i="30"/>
  <c r="A20" i="30"/>
  <c r="G20" i="30" s="1"/>
  <c r="E20" i="30"/>
  <c r="F20" i="30"/>
  <c r="E21" i="30"/>
  <c r="F21" i="30"/>
  <c r="E22" i="30"/>
  <c r="F22" i="30"/>
  <c r="E23" i="30"/>
  <c r="F23" i="30"/>
  <c r="E24" i="30"/>
  <c r="F24" i="30"/>
  <c r="G28" i="30"/>
  <c r="D29" i="30"/>
  <c r="G29" i="30"/>
  <c r="A30" i="30"/>
  <c r="G30" i="30" s="1"/>
  <c r="D30" i="30"/>
  <c r="G36" i="30"/>
  <c r="G37" i="30"/>
  <c r="A38" i="30"/>
  <c r="D39" i="30" s="1"/>
  <c r="D38" i="30"/>
  <c r="G38" i="30"/>
  <c r="A39" i="30"/>
  <c r="G39" i="30" s="1"/>
  <c r="J2" i="29"/>
  <c r="J3" i="29"/>
  <c r="K11" i="29"/>
  <c r="K12" i="29"/>
  <c r="K14" i="29"/>
  <c r="A15" i="29"/>
  <c r="E15" i="29"/>
  <c r="F15" i="29"/>
  <c r="G15" i="29"/>
  <c r="H15" i="29" s="1"/>
  <c r="H12" i="29" s="1"/>
  <c r="I15" i="29"/>
  <c r="K15" i="29"/>
  <c r="A16" i="29"/>
  <c r="H16" i="29"/>
  <c r="K16" i="29"/>
  <c r="A17" i="29"/>
  <c r="K17" i="29" s="1"/>
  <c r="H17" i="29"/>
  <c r="H18" i="29"/>
  <c r="K20" i="29"/>
  <c r="A21" i="29"/>
  <c r="A22" i="29" s="1"/>
  <c r="E21" i="29"/>
  <c r="E12" i="29" s="1"/>
  <c r="F21" i="29"/>
  <c r="F12" i="29" s="1"/>
  <c r="G21" i="29"/>
  <c r="G12" i="29" s="1"/>
  <c r="H21" i="29"/>
  <c r="I21" i="29"/>
  <c r="I12" i="29" s="1"/>
  <c r="K21" i="29"/>
  <c r="H22" i="29"/>
  <c r="H23" i="29"/>
  <c r="H24" i="29"/>
  <c r="H25" i="29"/>
  <c r="H26" i="29"/>
  <c r="H27" i="29"/>
  <c r="H28" i="29"/>
  <c r="K30" i="29"/>
  <c r="A31" i="29"/>
  <c r="K31" i="29" s="1"/>
  <c r="E31" i="29"/>
  <c r="F31" i="29"/>
  <c r="G31" i="29"/>
  <c r="H31" i="29" s="1"/>
  <c r="I31" i="29"/>
  <c r="H32" i="29"/>
  <c r="H33" i="29"/>
  <c r="H34" i="29"/>
  <c r="K36" i="29"/>
  <c r="A37" i="29"/>
  <c r="E37" i="29"/>
  <c r="F37" i="29"/>
  <c r="G37" i="29"/>
  <c r="H37" i="29"/>
  <c r="I37" i="29"/>
  <c r="K37" i="29"/>
  <c r="A38" i="29"/>
  <c r="K38" i="29" s="1"/>
  <c r="H38" i="29"/>
  <c r="H39" i="29"/>
  <c r="I39" i="29"/>
  <c r="H40" i="29"/>
  <c r="H41" i="29"/>
  <c r="H42" i="29"/>
  <c r="K44" i="29"/>
  <c r="A45" i="29"/>
  <c r="E45" i="29"/>
  <c r="F45" i="29"/>
  <c r="G45" i="29"/>
  <c r="H45" i="29"/>
  <c r="I45" i="29"/>
  <c r="K45" i="29"/>
  <c r="A46" i="29"/>
  <c r="K46" i="29" s="1"/>
  <c r="H46" i="29"/>
  <c r="H47" i="29"/>
  <c r="H48" i="29"/>
  <c r="H49" i="29"/>
  <c r="H50" i="29"/>
  <c r="H51" i="29"/>
  <c r="H52" i="29"/>
  <c r="H53" i="29"/>
  <c r="H54" i="29"/>
  <c r="H55" i="29"/>
  <c r="H56" i="29"/>
  <c r="H57" i="29"/>
  <c r="H58" i="29"/>
  <c r="H59" i="29"/>
  <c r="H60" i="29"/>
  <c r="H61" i="29"/>
  <c r="H62" i="29"/>
  <c r="H63" i="29"/>
  <c r="K70" i="29"/>
  <c r="A71" i="29"/>
  <c r="E71" i="29"/>
  <c r="F71" i="29"/>
  <c r="G71" i="29"/>
  <c r="H71" i="29"/>
  <c r="I71" i="29"/>
  <c r="K71" i="29"/>
  <c r="A72" i="29"/>
  <c r="K72" i="29" s="1"/>
  <c r="H72" i="29"/>
  <c r="H73" i="29"/>
  <c r="K75" i="29"/>
  <c r="A76" i="29"/>
  <c r="A77" i="29" s="1"/>
  <c r="E76" i="29"/>
  <c r="F76" i="29"/>
  <c r="G76" i="29"/>
  <c r="H76" i="29"/>
  <c r="I76" i="29"/>
  <c r="K76" i="29"/>
  <c r="H77" i="29"/>
  <c r="H78" i="29"/>
  <c r="K80" i="29"/>
  <c r="A81" i="29"/>
  <c r="A82" i="29" s="1"/>
  <c r="E81" i="29"/>
  <c r="F81" i="29"/>
  <c r="G81" i="29"/>
  <c r="H81" i="29"/>
  <c r="I81" i="29"/>
  <c r="H82" i="29"/>
  <c r="H83" i="29"/>
  <c r="K90" i="29"/>
  <c r="A91" i="29"/>
  <c r="K91" i="29" s="1"/>
  <c r="O6" i="28"/>
  <c r="A7" i="28"/>
  <c r="O7" i="28"/>
  <c r="A8" i="28"/>
  <c r="O8" i="28"/>
  <c r="A9" i="28"/>
  <c r="O9" i="28"/>
  <c r="A10" i="28"/>
  <c r="I10" i="28"/>
  <c r="I27" i="28" s="1"/>
  <c r="F31" i="28" s="1"/>
  <c r="F34" i="28" s="1"/>
  <c r="O10" i="28"/>
  <c r="A11" i="28"/>
  <c r="I11" i="28"/>
  <c r="I12" i="28"/>
  <c r="I13" i="28"/>
  <c r="I14" i="28"/>
  <c r="I15" i="28"/>
  <c r="I16" i="28"/>
  <c r="I17" i="28"/>
  <c r="I18" i="28"/>
  <c r="I19" i="28"/>
  <c r="I20" i="28"/>
  <c r="I21" i="28"/>
  <c r="I22" i="28"/>
  <c r="I23" i="28"/>
  <c r="I24" i="28"/>
  <c r="I25" i="28"/>
  <c r="I26" i="28"/>
  <c r="E27" i="28"/>
  <c r="G27" i="28"/>
  <c r="O29" i="28"/>
  <c r="A30" i="28"/>
  <c r="O30" i="28"/>
  <c r="A31" i="28"/>
  <c r="O31" i="28"/>
  <c r="A32" i="28"/>
  <c r="A33" i="28" s="1"/>
  <c r="F32" i="28"/>
  <c r="F38" i="28" s="1"/>
  <c r="O32" i="28"/>
  <c r="F42" i="28"/>
  <c r="O47" i="28"/>
  <c r="O48" i="28"/>
  <c r="O49" i="28"/>
  <c r="O51" i="28"/>
  <c r="A52" i="28"/>
  <c r="E54" i="28"/>
  <c r="E55" i="28"/>
  <c r="E56" i="28"/>
  <c r="E57" i="28"/>
  <c r="E58" i="28"/>
  <c r="E59" i="28"/>
  <c r="E60" i="28"/>
  <c r="E61" i="28"/>
  <c r="E62" i="28"/>
  <c r="E63" i="28"/>
  <c r="E64" i="28"/>
  <c r="E65" i="28"/>
  <c r="E66" i="28"/>
  <c r="E67" i="28"/>
  <c r="E68" i="28"/>
  <c r="E69" i="28"/>
  <c r="E70" i="28"/>
  <c r="F71" i="28"/>
  <c r="G71" i="28"/>
  <c r="H71" i="28"/>
  <c r="I71" i="28"/>
  <c r="J71" i="28"/>
  <c r="K71" i="28"/>
  <c r="L71" i="28"/>
  <c r="M71" i="28"/>
  <c r="N71" i="28"/>
  <c r="P2" i="27"/>
  <c r="D11" i="27"/>
  <c r="E11" i="27"/>
  <c r="G11" i="27"/>
  <c r="H11" i="27"/>
  <c r="Q11" i="27"/>
  <c r="A12" i="27"/>
  <c r="Q12" i="27" s="1"/>
  <c r="F12" i="27"/>
  <c r="F11" i="27" s="1"/>
  <c r="I12" i="27"/>
  <c r="J12" i="27"/>
  <c r="K12" i="27"/>
  <c r="L12" i="27"/>
  <c r="F13" i="27"/>
  <c r="I13" i="27"/>
  <c r="J13" i="27"/>
  <c r="K13" i="27"/>
  <c r="L13" i="27"/>
  <c r="F14" i="27"/>
  <c r="I14" i="27"/>
  <c r="J14" i="27"/>
  <c r="K14" i="27"/>
  <c r="L14" i="27"/>
  <c r="F15" i="27"/>
  <c r="I15" i="27"/>
  <c r="J15" i="27"/>
  <c r="K15" i="27"/>
  <c r="L15" i="27"/>
  <c r="F16" i="27"/>
  <c r="I16" i="27"/>
  <c r="J16" i="27"/>
  <c r="K16" i="27"/>
  <c r="L16" i="27"/>
  <c r="F17" i="27"/>
  <c r="I17" i="27"/>
  <c r="J17" i="27"/>
  <c r="K17" i="27"/>
  <c r="L17" i="27"/>
  <c r="M17" i="27"/>
  <c r="F18" i="27"/>
  <c r="I18" i="27"/>
  <c r="J18" i="27"/>
  <c r="L18" i="27" s="1"/>
  <c r="K18" i="27"/>
  <c r="F19" i="27"/>
  <c r="I19" i="27"/>
  <c r="J19" i="27"/>
  <c r="L19" i="27" s="1"/>
  <c r="K19" i="27"/>
  <c r="F20" i="27"/>
  <c r="I20" i="27"/>
  <c r="I11" i="27" s="1"/>
  <c r="J20" i="27"/>
  <c r="K20" i="27"/>
  <c r="L20" i="27" s="1"/>
  <c r="M20" i="27"/>
  <c r="O20" i="27" s="1"/>
  <c r="F21" i="27"/>
  <c r="I21" i="27"/>
  <c r="J21" i="27"/>
  <c r="K21" i="27"/>
  <c r="F22" i="27"/>
  <c r="I22" i="27"/>
  <c r="J22" i="27"/>
  <c r="K22" i="27"/>
  <c r="M22" i="27"/>
  <c r="F23" i="27"/>
  <c r="I23" i="27"/>
  <c r="J23" i="27"/>
  <c r="K23" i="27"/>
  <c r="L23" i="27"/>
  <c r="F24" i="27"/>
  <c r="I24" i="27"/>
  <c r="J24" i="27"/>
  <c r="K24" i="27"/>
  <c r="O24" i="27" s="1"/>
  <c r="L24" i="27"/>
  <c r="N24" i="27"/>
  <c r="P24" i="27" s="1"/>
  <c r="F25" i="27"/>
  <c r="I25" i="27"/>
  <c r="J25" i="27"/>
  <c r="K25" i="27"/>
  <c r="L25" i="27"/>
  <c r="F26" i="27"/>
  <c r="I26" i="27"/>
  <c r="J26" i="27"/>
  <c r="K26" i="27"/>
  <c r="L26" i="27"/>
  <c r="F27" i="27"/>
  <c r="I27" i="27"/>
  <c r="J27" i="27"/>
  <c r="K27" i="27"/>
  <c r="L27" i="27"/>
  <c r="F28" i="27"/>
  <c r="I28" i="27"/>
  <c r="J28" i="27"/>
  <c r="K28" i="27"/>
  <c r="L28" i="27"/>
  <c r="B29" i="27"/>
  <c r="F29" i="27"/>
  <c r="I29" i="27"/>
  <c r="J29" i="27"/>
  <c r="K29" i="27"/>
  <c r="L29" i="27"/>
  <c r="B30" i="27"/>
  <c r="F30" i="27"/>
  <c r="I30" i="27"/>
  <c r="J30" i="27"/>
  <c r="K30" i="27"/>
  <c r="L30" i="27"/>
  <c r="B31" i="27"/>
  <c r="F31" i="27"/>
  <c r="I31" i="27"/>
  <c r="J31" i="27"/>
  <c r="K31" i="27"/>
  <c r="L31" i="27"/>
  <c r="B32" i="27"/>
  <c r="F32" i="27"/>
  <c r="I32" i="27"/>
  <c r="J32" i="27"/>
  <c r="K32" i="27"/>
  <c r="L32" i="27"/>
  <c r="M32" i="27"/>
  <c r="O32" i="27" s="1"/>
  <c r="N32" i="27"/>
  <c r="F33" i="27"/>
  <c r="I33" i="27"/>
  <c r="J33" i="27"/>
  <c r="L33" i="27" s="1"/>
  <c r="K33" i="27"/>
  <c r="F34" i="27"/>
  <c r="I34" i="27"/>
  <c r="J34" i="27"/>
  <c r="L34" i="27" s="1"/>
  <c r="K34" i="27"/>
  <c r="F35" i="27"/>
  <c r="I35" i="27"/>
  <c r="J35" i="27"/>
  <c r="K35" i="27"/>
  <c r="L35" i="27" s="1"/>
  <c r="M35" i="27"/>
  <c r="O35" i="27"/>
  <c r="F36" i="27"/>
  <c r="I36" i="27"/>
  <c r="J36" i="27"/>
  <c r="K36" i="27"/>
  <c r="BI2" i="26"/>
  <c r="BH10" i="26"/>
  <c r="H13" i="26"/>
  <c r="J13" i="26"/>
  <c r="L13" i="26"/>
  <c r="L18" i="26" s="1"/>
  <c r="N13" i="26"/>
  <c r="T13" i="26"/>
  <c r="V13" i="26"/>
  <c r="X13" i="26"/>
  <c r="AF13" i="26"/>
  <c r="AH13" i="26"/>
  <c r="AT13" i="26"/>
  <c r="BJ13" i="26"/>
  <c r="A14" i="26"/>
  <c r="H14" i="26"/>
  <c r="L14" i="26"/>
  <c r="AD14" i="26"/>
  <c r="AF14" i="26"/>
  <c r="AF18" i="26" s="1"/>
  <c r="AF24" i="26" s="1"/>
  <c r="BJ14" i="26"/>
  <c r="A15" i="26"/>
  <c r="A16" i="26" s="1"/>
  <c r="L15" i="26"/>
  <c r="T15" i="26"/>
  <c r="X15" i="26"/>
  <c r="AT15" i="26"/>
  <c r="AV15" i="26"/>
  <c r="H16" i="26"/>
  <c r="L16" i="26"/>
  <c r="V16" i="26"/>
  <c r="AT16" i="26"/>
  <c r="AV16" i="26"/>
  <c r="H17" i="26"/>
  <c r="L17" i="26"/>
  <c r="N17" i="26"/>
  <c r="AT17" i="26"/>
  <c r="AV17" i="26"/>
  <c r="AX17" i="26"/>
  <c r="H21" i="26"/>
  <c r="J21" i="26"/>
  <c r="L21" i="26"/>
  <c r="N21" i="26"/>
  <c r="T21" i="26"/>
  <c r="X21" i="26"/>
  <c r="AD21" i="26"/>
  <c r="AF21" i="26"/>
  <c r="H22" i="26"/>
  <c r="J22" i="26"/>
  <c r="L22" i="26"/>
  <c r="N22" i="26"/>
  <c r="T22" i="26"/>
  <c r="V22" i="26"/>
  <c r="X22" i="26"/>
  <c r="Z22" i="26"/>
  <c r="AD22" i="26"/>
  <c r="AF22" i="26"/>
  <c r="AH22" i="26"/>
  <c r="AT22" i="26"/>
  <c r="AV22" i="26"/>
  <c r="AX22" i="26"/>
  <c r="H23" i="26"/>
  <c r="J23" i="26"/>
  <c r="L23" i="26"/>
  <c r="N23" i="26"/>
  <c r="T23" i="26"/>
  <c r="V23" i="26"/>
  <c r="X23" i="26"/>
  <c r="Z23" i="26"/>
  <c r="AD23" i="26"/>
  <c r="AF23" i="26"/>
  <c r="AH23" i="26"/>
  <c r="AL23" i="26"/>
  <c r="AN23" i="26"/>
  <c r="BB23" i="26" s="1"/>
  <c r="AT23" i="26"/>
  <c r="AV23" i="26"/>
  <c r="AX23" i="26"/>
  <c r="L24" i="26"/>
  <c r="H27" i="26"/>
  <c r="J27" i="26"/>
  <c r="L27" i="26"/>
  <c r="N27" i="26"/>
  <c r="T27" i="26"/>
  <c r="V27" i="26"/>
  <c r="X27" i="26"/>
  <c r="AD27" i="26"/>
  <c r="AD13" i="26" s="1"/>
  <c r="AD18" i="26" s="1"/>
  <c r="AD24" i="26" s="1"/>
  <c r="AF27" i="26"/>
  <c r="AH27" i="26"/>
  <c r="AT27" i="26"/>
  <c r="AV27" i="26"/>
  <c r="AV13" i="26" s="1"/>
  <c r="AV18" i="26" s="1"/>
  <c r="AV24" i="26" s="1"/>
  <c r="AX27" i="26"/>
  <c r="AX13" i="26" s="1"/>
  <c r="AX18" i="26" s="1"/>
  <c r="AX24" i="26" s="1"/>
  <c r="BJ27" i="26"/>
  <c r="A28" i="26"/>
  <c r="T28" i="26"/>
  <c r="Z28" i="26"/>
  <c r="Z27" i="26" s="1"/>
  <c r="AL28" i="26"/>
  <c r="AZ28" i="26" s="1"/>
  <c r="AN28" i="26"/>
  <c r="AP28" i="26"/>
  <c r="BJ28" i="26"/>
  <c r="A29" i="26"/>
  <c r="T29" i="26"/>
  <c r="Z29" i="26"/>
  <c r="AL29" i="26"/>
  <c r="AN29" i="26"/>
  <c r="BB29" i="26" s="1"/>
  <c r="AP29" i="26"/>
  <c r="BD29" i="26" s="1"/>
  <c r="BJ29" i="26"/>
  <c r="A30" i="26"/>
  <c r="T30" i="26"/>
  <c r="Z30" i="26"/>
  <c r="AL30" i="26"/>
  <c r="AN30" i="26"/>
  <c r="BB30" i="26" s="1"/>
  <c r="AP30" i="26"/>
  <c r="BD30" i="26" s="1"/>
  <c r="BJ30" i="26"/>
  <c r="A31" i="26"/>
  <c r="Z31" i="26"/>
  <c r="AL31" i="26"/>
  <c r="AZ31" i="26" s="1"/>
  <c r="AN31" i="26"/>
  <c r="BB31" i="26" s="1"/>
  <c r="AP31" i="26"/>
  <c r="BD31" i="26" s="1"/>
  <c r="BJ31" i="26"/>
  <c r="A32" i="26"/>
  <c r="BJ32" i="26" s="1"/>
  <c r="Z32" i="26"/>
  <c r="AL32" i="26"/>
  <c r="AN32" i="26"/>
  <c r="BB32" i="26" s="1"/>
  <c r="AP32" i="26"/>
  <c r="BD32" i="26" s="1"/>
  <c r="AR32" i="26"/>
  <c r="AZ32" i="26"/>
  <c r="BF32" i="26" s="1"/>
  <c r="BH32" i="26" s="1"/>
  <c r="H35" i="26"/>
  <c r="J35" i="26"/>
  <c r="J14" i="26" s="1"/>
  <c r="L35" i="26"/>
  <c r="N35" i="26"/>
  <c r="N14" i="26" s="1"/>
  <c r="N18" i="26" s="1"/>
  <c r="N24" i="26" s="1"/>
  <c r="V35" i="26"/>
  <c r="V14" i="26" s="1"/>
  <c r="X35" i="26"/>
  <c r="X14" i="26" s="1"/>
  <c r="AD35" i="26"/>
  <c r="AF35" i="26"/>
  <c r="AH35" i="26"/>
  <c r="AH14" i="26" s="1"/>
  <c r="AT35" i="26"/>
  <c r="AT14" i="26" s="1"/>
  <c r="AV35" i="26"/>
  <c r="AV14" i="26" s="1"/>
  <c r="AX35" i="26"/>
  <c r="AX14" i="26" s="1"/>
  <c r="BJ35" i="26"/>
  <c r="A36" i="26"/>
  <c r="T36" i="26"/>
  <c r="AL36" i="26" s="1"/>
  <c r="AN36" i="26"/>
  <c r="AP36" i="26"/>
  <c r="AR36" i="26"/>
  <c r="AZ36" i="26"/>
  <c r="BB36" i="26"/>
  <c r="BB35" i="26" s="1"/>
  <c r="BB14" i="26" s="1"/>
  <c r="T37" i="26"/>
  <c r="AN37" i="26"/>
  <c r="BB37" i="26" s="1"/>
  <c r="AP37" i="26"/>
  <c r="BD37" i="26"/>
  <c r="T38" i="26"/>
  <c r="AL38" i="26" s="1"/>
  <c r="AZ38" i="26" s="1"/>
  <c r="Z38" i="26"/>
  <c r="AN38" i="26"/>
  <c r="AP38" i="26"/>
  <c r="AR38" i="26"/>
  <c r="BB38" i="26"/>
  <c r="BF38" i="26" s="1"/>
  <c r="BH38" i="26" s="1"/>
  <c r="BD38" i="26"/>
  <c r="T39" i="26"/>
  <c r="AL39" i="26" s="1"/>
  <c r="Z39" i="26"/>
  <c r="AN39" i="26"/>
  <c r="BB39" i="26" s="1"/>
  <c r="BF39" i="26" s="1"/>
  <c r="BH39" i="26" s="1"/>
  <c r="AP39" i="26"/>
  <c r="AZ39" i="26"/>
  <c r="BD39" i="26"/>
  <c r="T40" i="26"/>
  <c r="AN40" i="26"/>
  <c r="AP40" i="26"/>
  <c r="BB40" i="26"/>
  <c r="BD40" i="26"/>
  <c r="H43" i="26"/>
  <c r="H15" i="26" s="1"/>
  <c r="J43" i="26"/>
  <c r="J15" i="26" s="1"/>
  <c r="L43" i="26"/>
  <c r="N43" i="26"/>
  <c r="N15" i="26" s="1"/>
  <c r="T43" i="26"/>
  <c r="X43" i="26"/>
  <c r="AD43" i="26"/>
  <c r="AD15" i="26" s="1"/>
  <c r="AF43" i="26"/>
  <c r="AF15" i="26" s="1"/>
  <c r="AH43" i="26"/>
  <c r="AH15" i="26" s="1"/>
  <c r="AT43" i="26"/>
  <c r="AV43" i="26"/>
  <c r="AX43" i="26"/>
  <c r="AX15" i="26" s="1"/>
  <c r="BJ43" i="26"/>
  <c r="A44" i="26"/>
  <c r="BJ44" i="26" s="1"/>
  <c r="V44" i="26"/>
  <c r="AL44" i="26"/>
  <c r="AP44" i="26"/>
  <c r="BD44" i="26"/>
  <c r="V45" i="26"/>
  <c r="Z45" i="26" s="1"/>
  <c r="AL45" i="26"/>
  <c r="AN45" i="26"/>
  <c r="AP45" i="26"/>
  <c r="AZ45" i="26"/>
  <c r="BD45" i="26"/>
  <c r="V46" i="26"/>
  <c r="Z46" i="26" s="1"/>
  <c r="AL46" i="26"/>
  <c r="AR46" i="26" s="1"/>
  <c r="AN46" i="26"/>
  <c r="BB46" i="26" s="1"/>
  <c r="AP46" i="26"/>
  <c r="AZ46" i="26"/>
  <c r="BF46" i="26" s="1"/>
  <c r="BD46" i="26"/>
  <c r="BH46" i="26"/>
  <c r="V47" i="26"/>
  <c r="Z47" i="26"/>
  <c r="AL47" i="26"/>
  <c r="AZ47" i="26" s="1"/>
  <c r="AN47" i="26"/>
  <c r="AP47" i="26"/>
  <c r="AR47" i="26"/>
  <c r="BB47" i="26"/>
  <c r="BD47" i="26"/>
  <c r="BF47" i="26"/>
  <c r="BH47" i="26"/>
  <c r="V48" i="26"/>
  <c r="Z48" i="26"/>
  <c r="AL48" i="26"/>
  <c r="AZ48" i="26" s="1"/>
  <c r="AN48" i="26"/>
  <c r="AP48" i="26"/>
  <c r="AR48" i="26"/>
  <c r="BB48" i="26"/>
  <c r="BD48" i="26"/>
  <c r="BF48" i="26"/>
  <c r="BH48" i="26"/>
  <c r="V49" i="26"/>
  <c r="Z49" i="26"/>
  <c r="AL49" i="26"/>
  <c r="AZ49" i="26" s="1"/>
  <c r="BF49" i="26" s="1"/>
  <c r="BH49" i="26" s="1"/>
  <c r="AN49" i="26"/>
  <c r="AP49" i="26"/>
  <c r="BB49" i="26"/>
  <c r="BD49" i="26"/>
  <c r="V50" i="26"/>
  <c r="Z50" i="26"/>
  <c r="AL50" i="26"/>
  <c r="AZ50" i="26" s="1"/>
  <c r="BF50" i="26" s="1"/>
  <c r="BH50" i="26" s="1"/>
  <c r="AN50" i="26"/>
  <c r="AP50" i="26"/>
  <c r="BB50" i="26"/>
  <c r="BD50" i="26"/>
  <c r="V51" i="26"/>
  <c r="Z51" i="26"/>
  <c r="AL51" i="26"/>
  <c r="AZ51" i="26" s="1"/>
  <c r="BF51" i="26" s="1"/>
  <c r="BH51" i="26" s="1"/>
  <c r="AN51" i="26"/>
  <c r="AP51" i="26"/>
  <c r="BD51" i="26" s="1"/>
  <c r="BB51" i="26"/>
  <c r="V52" i="26"/>
  <c r="Z52" i="26"/>
  <c r="AL52" i="26"/>
  <c r="AZ52" i="26" s="1"/>
  <c r="AN52" i="26"/>
  <c r="BB52" i="26" s="1"/>
  <c r="AP52" i="26"/>
  <c r="BD52" i="26" s="1"/>
  <c r="AR52" i="26"/>
  <c r="V53" i="26"/>
  <c r="Z53" i="26"/>
  <c r="AL53" i="26"/>
  <c r="AZ53" i="26" s="1"/>
  <c r="AN53" i="26"/>
  <c r="AP53" i="26"/>
  <c r="BD53" i="26" s="1"/>
  <c r="AR53" i="26"/>
  <c r="BB53" i="26"/>
  <c r="V54" i="26"/>
  <c r="Z54" i="26"/>
  <c r="AL54" i="26"/>
  <c r="AR54" i="26" s="1"/>
  <c r="AN54" i="26"/>
  <c r="AP54" i="26"/>
  <c r="BD54" i="26" s="1"/>
  <c r="AZ54" i="26"/>
  <c r="BF54" i="26" s="1"/>
  <c r="BB54" i="26"/>
  <c r="BH54" i="26"/>
  <c r="V55" i="26"/>
  <c r="Z55" i="26"/>
  <c r="AL55" i="26"/>
  <c r="AZ55" i="26" s="1"/>
  <c r="AN55" i="26"/>
  <c r="AP55" i="26"/>
  <c r="AR55" i="26"/>
  <c r="BB55" i="26"/>
  <c r="BD55" i="26"/>
  <c r="BF55" i="26"/>
  <c r="BH55" i="26"/>
  <c r="V56" i="26"/>
  <c r="AN56" i="26" s="1"/>
  <c r="BB56" i="26" s="1"/>
  <c r="Z56" i="26"/>
  <c r="AL56" i="26"/>
  <c r="AR56" i="26" s="1"/>
  <c r="AP56" i="26"/>
  <c r="BD56" i="26"/>
  <c r="V57" i="26"/>
  <c r="Z57" i="26"/>
  <c r="AL57" i="26"/>
  <c r="AN57" i="26"/>
  <c r="AP57" i="26"/>
  <c r="AZ57" i="26"/>
  <c r="BD57" i="26"/>
  <c r="V58" i="26"/>
  <c r="Z58" i="26" s="1"/>
  <c r="AL58" i="26"/>
  <c r="AP58" i="26"/>
  <c r="BD58" i="26" s="1"/>
  <c r="V59" i="26"/>
  <c r="Z59" i="26"/>
  <c r="AL59" i="26"/>
  <c r="AN59" i="26"/>
  <c r="BB59" i="26" s="1"/>
  <c r="AP59" i="26"/>
  <c r="BD59" i="26" s="1"/>
  <c r="V60" i="26"/>
  <c r="Z60" i="26" s="1"/>
  <c r="AL60" i="26"/>
  <c r="AZ60" i="26" s="1"/>
  <c r="AN60" i="26"/>
  <c r="BB60" i="26" s="1"/>
  <c r="AP60" i="26"/>
  <c r="AR60" i="26"/>
  <c r="BD60" i="26"/>
  <c r="V61" i="26"/>
  <c r="Z61" i="26"/>
  <c r="AL61" i="26"/>
  <c r="AZ61" i="26" s="1"/>
  <c r="BF61" i="26" s="1"/>
  <c r="BH61" i="26" s="1"/>
  <c r="AN61" i="26"/>
  <c r="BB61" i="26" s="1"/>
  <c r="AP61" i="26"/>
  <c r="BD61" i="26" s="1"/>
  <c r="V62" i="26"/>
  <c r="Z62" i="26"/>
  <c r="AL62" i="26"/>
  <c r="AN62" i="26"/>
  <c r="BB62" i="26" s="1"/>
  <c r="AP62" i="26"/>
  <c r="BD62" i="26" s="1"/>
  <c r="AR62" i="26"/>
  <c r="AZ62" i="26"/>
  <c r="V63" i="26"/>
  <c r="Z63" i="26" s="1"/>
  <c r="AL63" i="26"/>
  <c r="AN63" i="26"/>
  <c r="AP63" i="26"/>
  <c r="BD63" i="26" s="1"/>
  <c r="AR63" i="26"/>
  <c r="AZ63" i="26"/>
  <c r="BB63" i="26"/>
  <c r="BF63" i="26"/>
  <c r="BH63" i="26" s="1"/>
  <c r="V64" i="26"/>
  <c r="AL64" i="26"/>
  <c r="AP64" i="26"/>
  <c r="AZ64" i="26"/>
  <c r="BD64" i="26"/>
  <c r="V65" i="26"/>
  <c r="AN65" i="26" s="1"/>
  <c r="Z65" i="26"/>
  <c r="AL65" i="26"/>
  <c r="AZ65" i="26" s="1"/>
  <c r="AP65" i="26"/>
  <c r="AR65" i="26"/>
  <c r="BB65" i="26"/>
  <c r="BF65" i="26" s="1"/>
  <c r="BH65" i="26" s="1"/>
  <c r="BD65" i="26"/>
  <c r="V66" i="26"/>
  <c r="Z66" i="26"/>
  <c r="AL66" i="26"/>
  <c r="AN66" i="26"/>
  <c r="AP66" i="26"/>
  <c r="BB66" i="26"/>
  <c r="BD66" i="26"/>
  <c r="V67" i="26"/>
  <c r="Z67" i="26" s="1"/>
  <c r="AL67" i="26"/>
  <c r="AP67" i="26"/>
  <c r="AZ67" i="26"/>
  <c r="BD67" i="26"/>
  <c r="V68" i="26"/>
  <c r="AL68" i="26"/>
  <c r="AP68" i="26"/>
  <c r="BD68" i="26" s="1"/>
  <c r="V69" i="26"/>
  <c r="AN69" i="26" s="1"/>
  <c r="Z69" i="26"/>
  <c r="AL69" i="26"/>
  <c r="AP69" i="26"/>
  <c r="BD69" i="26" s="1"/>
  <c r="AZ69" i="26"/>
  <c r="V70" i="26"/>
  <c r="AL70" i="26"/>
  <c r="AZ70" i="26" s="1"/>
  <c r="AP70" i="26"/>
  <c r="BD70" i="26"/>
  <c r="V71" i="26"/>
  <c r="Z71" i="26"/>
  <c r="AL71" i="26"/>
  <c r="AZ71" i="26" s="1"/>
  <c r="BF71" i="26" s="1"/>
  <c r="AN71" i="26"/>
  <c r="AP71" i="26"/>
  <c r="BD71" i="26" s="1"/>
  <c r="AR71" i="26"/>
  <c r="BB71" i="26"/>
  <c r="BH71" i="26"/>
  <c r="V72" i="26"/>
  <c r="AN72" i="26" s="1"/>
  <c r="BB72" i="26" s="1"/>
  <c r="Z72" i="26"/>
  <c r="AL72" i="26"/>
  <c r="AP72" i="26"/>
  <c r="BD72" i="26" s="1"/>
  <c r="V73" i="26"/>
  <c r="Z73" i="26"/>
  <c r="AL73" i="26"/>
  <c r="AN73" i="26"/>
  <c r="AP73" i="26"/>
  <c r="BD73" i="26" s="1"/>
  <c r="BB73" i="26"/>
  <c r="V74" i="26"/>
  <c r="AN74" i="26" s="1"/>
  <c r="Z74" i="26"/>
  <c r="AL74" i="26"/>
  <c r="AZ74" i="26" s="1"/>
  <c r="AP74" i="26"/>
  <c r="BD74" i="26" s="1"/>
  <c r="V75" i="26"/>
  <c r="Z75" i="26"/>
  <c r="AL75" i="26"/>
  <c r="AN75" i="26"/>
  <c r="BB75" i="26" s="1"/>
  <c r="AP75" i="26"/>
  <c r="BD75" i="26" s="1"/>
  <c r="AR75" i="26"/>
  <c r="AZ75" i="26"/>
  <c r="BF75" i="26" s="1"/>
  <c r="BH75" i="26" s="1"/>
  <c r="V76" i="26"/>
  <c r="Z76" i="26"/>
  <c r="AL76" i="26"/>
  <c r="AN76" i="26"/>
  <c r="BB76" i="26" s="1"/>
  <c r="AP76" i="26"/>
  <c r="AR76" i="26"/>
  <c r="AZ76" i="26"/>
  <c r="BD76" i="26"/>
  <c r="V77" i="26"/>
  <c r="Z77" i="26" s="1"/>
  <c r="AL77" i="26"/>
  <c r="AZ77" i="26" s="1"/>
  <c r="AN77" i="26"/>
  <c r="AP77" i="26"/>
  <c r="AR77" i="26"/>
  <c r="BB77" i="26"/>
  <c r="BD77" i="26"/>
  <c r="V78" i="26"/>
  <c r="AL78" i="26"/>
  <c r="AP78" i="26"/>
  <c r="AZ78" i="26"/>
  <c r="BD78" i="26"/>
  <c r="V79" i="26"/>
  <c r="AN79" i="26" s="1"/>
  <c r="Z79" i="26"/>
  <c r="AL79" i="26"/>
  <c r="AP79" i="26"/>
  <c r="AR79" i="26"/>
  <c r="AZ79" i="26"/>
  <c r="BB79" i="26"/>
  <c r="BD79" i="26"/>
  <c r="BF79" i="26"/>
  <c r="BH79" i="26"/>
  <c r="V80" i="26"/>
  <c r="AL80" i="26"/>
  <c r="AP80" i="26"/>
  <c r="BD80" i="26" s="1"/>
  <c r="AZ80" i="26"/>
  <c r="V81" i="26"/>
  <c r="AN81" i="26" s="1"/>
  <c r="BB81" i="26" s="1"/>
  <c r="Z81" i="26"/>
  <c r="AL81" i="26"/>
  <c r="AP81" i="26"/>
  <c r="AZ81" i="26"/>
  <c r="BF81" i="26" s="1"/>
  <c r="BH81" i="26" s="1"/>
  <c r="BD81" i="26"/>
  <c r="V82" i="26"/>
  <c r="Z82" i="26" s="1"/>
  <c r="AL82" i="26"/>
  <c r="AP82" i="26"/>
  <c r="AZ82" i="26"/>
  <c r="BD82" i="26"/>
  <c r="V83" i="26"/>
  <c r="Z83" i="26"/>
  <c r="AL83" i="26"/>
  <c r="AN83" i="26"/>
  <c r="AP83" i="26"/>
  <c r="BB83" i="26"/>
  <c r="BD83" i="26"/>
  <c r="V84" i="26"/>
  <c r="Z84" i="26" s="1"/>
  <c r="AL84" i="26"/>
  <c r="AZ84" i="26" s="1"/>
  <c r="AP84" i="26"/>
  <c r="BD84" i="26"/>
  <c r="V85" i="26"/>
  <c r="AN85" i="26" s="1"/>
  <c r="Z85" i="26"/>
  <c r="AL85" i="26"/>
  <c r="AZ85" i="26" s="1"/>
  <c r="AP85" i="26"/>
  <c r="BD85" i="26" s="1"/>
  <c r="V86" i="26"/>
  <c r="AN86" i="26" s="1"/>
  <c r="BB86" i="26" s="1"/>
  <c r="Z86" i="26"/>
  <c r="AL86" i="26"/>
  <c r="AZ86" i="26" s="1"/>
  <c r="AP86" i="26"/>
  <c r="BD86" i="26" s="1"/>
  <c r="AR86" i="26"/>
  <c r="V87" i="26"/>
  <c r="Z87" i="26"/>
  <c r="AL87" i="26"/>
  <c r="AN87" i="26"/>
  <c r="AP87" i="26"/>
  <c r="BD87" i="26" s="1"/>
  <c r="BB87" i="26"/>
  <c r="V88" i="26"/>
  <c r="Z88" i="26"/>
  <c r="AL88" i="26"/>
  <c r="AN88" i="26"/>
  <c r="BB88" i="26" s="1"/>
  <c r="AP88" i="26"/>
  <c r="BD88" i="26" s="1"/>
  <c r="V89" i="26"/>
  <c r="Z89" i="26"/>
  <c r="AL89" i="26"/>
  <c r="AZ89" i="26" s="1"/>
  <c r="AN89" i="26"/>
  <c r="BB89" i="26" s="1"/>
  <c r="AP89" i="26"/>
  <c r="BD89" i="26" s="1"/>
  <c r="AR89" i="26"/>
  <c r="V90" i="26"/>
  <c r="Z90" i="26"/>
  <c r="AL90" i="26"/>
  <c r="AN90" i="26"/>
  <c r="BB90" i="26" s="1"/>
  <c r="AP90" i="26"/>
  <c r="BD90" i="26"/>
  <c r="V91" i="26"/>
  <c r="Z91" i="26"/>
  <c r="AL91" i="26"/>
  <c r="AZ91" i="26" s="1"/>
  <c r="AN91" i="26"/>
  <c r="AP91" i="26"/>
  <c r="AR91" i="26"/>
  <c r="BB91" i="26"/>
  <c r="BD91" i="26"/>
  <c r="V92" i="26"/>
  <c r="AN92" i="26" s="1"/>
  <c r="Z92" i="26"/>
  <c r="AL92" i="26"/>
  <c r="AZ92" i="26" s="1"/>
  <c r="AP92" i="26"/>
  <c r="AR92" i="26"/>
  <c r="BB92" i="26"/>
  <c r="BD92" i="26"/>
  <c r="BF92" i="26"/>
  <c r="BH92" i="26" s="1"/>
  <c r="V93" i="26"/>
  <c r="Z93" i="26" s="1"/>
  <c r="AL93" i="26"/>
  <c r="AN93" i="26"/>
  <c r="AP93" i="26"/>
  <c r="AZ93" i="26"/>
  <c r="BB93" i="26"/>
  <c r="BD93" i="26"/>
  <c r="BF93" i="26"/>
  <c r="BH93" i="26" s="1"/>
  <c r="V94" i="26"/>
  <c r="Z94" i="26" s="1"/>
  <c r="AL94" i="26"/>
  <c r="AN94" i="26"/>
  <c r="AP94" i="26"/>
  <c r="BD94" i="26" s="1"/>
  <c r="AZ94" i="26"/>
  <c r="BF94" i="26" s="1"/>
  <c r="BH94" i="26" s="1"/>
  <c r="BB94" i="26"/>
  <c r="V95" i="26"/>
  <c r="Z95" i="26"/>
  <c r="AL95" i="26"/>
  <c r="AN95" i="26"/>
  <c r="AP95" i="26"/>
  <c r="AR95" i="26"/>
  <c r="AZ95" i="26"/>
  <c r="BF95" i="26" s="1"/>
  <c r="BH95" i="26" s="1"/>
  <c r="BB95" i="26"/>
  <c r="BD95" i="26"/>
  <c r="V96" i="26"/>
  <c r="AL96" i="26"/>
  <c r="AP96" i="26"/>
  <c r="AZ96" i="26"/>
  <c r="BD96" i="26"/>
  <c r="V97" i="26"/>
  <c r="AL97" i="26"/>
  <c r="AP97" i="26"/>
  <c r="AZ97" i="26"/>
  <c r="BD97" i="26"/>
  <c r="V98" i="26"/>
  <c r="AL98" i="26"/>
  <c r="AP98" i="26"/>
  <c r="AZ98" i="26"/>
  <c r="BD98" i="26"/>
  <c r="V99" i="26"/>
  <c r="AL99" i="26"/>
  <c r="AP99" i="26"/>
  <c r="BD99" i="26" s="1"/>
  <c r="AZ99" i="26"/>
  <c r="V100" i="26"/>
  <c r="AL100" i="26"/>
  <c r="AP100" i="26"/>
  <c r="AZ100" i="26"/>
  <c r="BD100" i="26"/>
  <c r="H103" i="26"/>
  <c r="J103" i="26"/>
  <c r="J16" i="26" s="1"/>
  <c r="L103" i="26"/>
  <c r="N103" i="26"/>
  <c r="N16" i="26" s="1"/>
  <c r="T103" i="26"/>
  <c r="T16" i="26" s="1"/>
  <c r="V103" i="26"/>
  <c r="AD103" i="26"/>
  <c r="AD16" i="26" s="1"/>
  <c r="AF103" i="26"/>
  <c r="AF16" i="26" s="1"/>
  <c r="AH103" i="26"/>
  <c r="AH16" i="26" s="1"/>
  <c r="AT103" i="26"/>
  <c r="AV103" i="26"/>
  <c r="AX103" i="26"/>
  <c r="AX16" i="26" s="1"/>
  <c r="BJ103" i="26"/>
  <c r="A104" i="26"/>
  <c r="X104" i="26"/>
  <c r="AL104" i="26"/>
  <c r="AZ104" i="26" s="1"/>
  <c r="AN104" i="26"/>
  <c r="BJ104" i="26"/>
  <c r="A105" i="26"/>
  <c r="BJ105" i="26" s="1"/>
  <c r="X105" i="26"/>
  <c r="AP105" i="26" s="1"/>
  <c r="BD105" i="26" s="1"/>
  <c r="BF105" i="26" s="1"/>
  <c r="BH105" i="26" s="1"/>
  <c r="Z105" i="26"/>
  <c r="AL105" i="26"/>
  <c r="AN105" i="26"/>
  <c r="BB105" i="26" s="1"/>
  <c r="AZ105" i="26"/>
  <c r="X106" i="26"/>
  <c r="AP106" i="26" s="1"/>
  <c r="BD106" i="26" s="1"/>
  <c r="Z106" i="26"/>
  <c r="AL106" i="26"/>
  <c r="AR106" i="26" s="1"/>
  <c r="AN106" i="26"/>
  <c r="BB106" i="26" s="1"/>
  <c r="AZ106" i="26"/>
  <c r="BF106" i="26" s="1"/>
  <c r="BH106" i="26" s="1"/>
  <c r="X107" i="26"/>
  <c r="AP107" i="26" s="1"/>
  <c r="BD107" i="26" s="1"/>
  <c r="Z107" i="26"/>
  <c r="AL107" i="26"/>
  <c r="AN107" i="26"/>
  <c r="BB107" i="26"/>
  <c r="X108" i="26"/>
  <c r="AP108" i="26" s="1"/>
  <c r="BD108" i="26" s="1"/>
  <c r="Z108" i="26"/>
  <c r="AL108" i="26"/>
  <c r="AN108" i="26"/>
  <c r="AR108" i="26" s="1"/>
  <c r="AZ108" i="26"/>
  <c r="X109" i="26"/>
  <c r="Z109" i="26" s="1"/>
  <c r="AL109" i="26"/>
  <c r="AN109" i="26"/>
  <c r="BB109" i="26" s="1"/>
  <c r="AP109" i="26"/>
  <c r="BD109" i="26"/>
  <c r="X110" i="26"/>
  <c r="Z110" i="26"/>
  <c r="AL110" i="26"/>
  <c r="AN110" i="26"/>
  <c r="AP110" i="26"/>
  <c r="BB110" i="26"/>
  <c r="BD110" i="26"/>
  <c r="X111" i="26"/>
  <c r="AP111" i="26" s="1"/>
  <c r="Z111" i="26"/>
  <c r="AL111" i="26"/>
  <c r="AZ111" i="26" s="1"/>
  <c r="AN111" i="26"/>
  <c r="BB111" i="26" s="1"/>
  <c r="AR111" i="26"/>
  <c r="BD111" i="26"/>
  <c r="X112" i="26"/>
  <c r="AP112" i="26" s="1"/>
  <c r="BD112" i="26" s="1"/>
  <c r="Z112" i="26"/>
  <c r="AL112" i="26"/>
  <c r="AR112" i="26" s="1"/>
  <c r="AN112" i="26"/>
  <c r="BB112" i="26" s="1"/>
  <c r="AZ112" i="26"/>
  <c r="BF112" i="26"/>
  <c r="X113" i="26"/>
  <c r="Z113" i="26"/>
  <c r="AL113" i="26"/>
  <c r="AN113" i="26"/>
  <c r="BB113" i="26" s="1"/>
  <c r="AP113" i="26"/>
  <c r="BD113" i="26" s="1"/>
  <c r="H116" i="26"/>
  <c r="J116" i="26"/>
  <c r="J17" i="26" s="1"/>
  <c r="L116" i="26"/>
  <c r="N116" i="26"/>
  <c r="V116" i="26"/>
  <c r="V17" i="26" s="1"/>
  <c r="X116" i="26"/>
  <c r="X17" i="26" s="1"/>
  <c r="AD116" i="26"/>
  <c r="AD17" i="26" s="1"/>
  <c r="AF116" i="26"/>
  <c r="AF17" i="26" s="1"/>
  <c r="AH116" i="26"/>
  <c r="AH17" i="26" s="1"/>
  <c r="AT116" i="26"/>
  <c r="AV116" i="26"/>
  <c r="AX116" i="26"/>
  <c r="BJ116" i="26"/>
  <c r="A117" i="26"/>
  <c r="BJ117" i="26" s="1"/>
  <c r="T117" i="26"/>
  <c r="AN117" i="26"/>
  <c r="BB117" i="26" s="1"/>
  <c r="AP117" i="26"/>
  <c r="AP116" i="26" s="1"/>
  <c r="AP17" i="26" s="1"/>
  <c r="BD117" i="26"/>
  <c r="T118" i="26"/>
  <c r="AN118" i="26"/>
  <c r="BB118" i="26" s="1"/>
  <c r="AP118" i="26"/>
  <c r="BD118" i="26"/>
  <c r="T119" i="26"/>
  <c r="AN119" i="26"/>
  <c r="BB119" i="26" s="1"/>
  <c r="AP119" i="26"/>
  <c r="BD119" i="26"/>
  <c r="T120" i="26"/>
  <c r="AN120" i="26"/>
  <c r="BB120" i="26" s="1"/>
  <c r="AP120" i="26"/>
  <c r="BD120" i="26"/>
  <c r="T121" i="26"/>
  <c r="Z121" i="26"/>
  <c r="AL121" i="26"/>
  <c r="AR121" i="26" s="1"/>
  <c r="AN121" i="26"/>
  <c r="AP121" i="26"/>
  <c r="AZ121" i="26"/>
  <c r="BF121" i="26" s="1"/>
  <c r="BH121" i="26" s="1"/>
  <c r="BB121" i="26"/>
  <c r="BD121" i="26"/>
  <c r="AL122" i="26"/>
  <c r="AN122" i="26"/>
  <c r="BB122" i="26" s="1"/>
  <c r="AP122" i="26"/>
  <c r="BD122" i="26" s="1"/>
  <c r="AZ122" i="26"/>
  <c r="H124" i="26"/>
  <c r="J124" i="26"/>
  <c r="L124" i="26"/>
  <c r="N124" i="26"/>
  <c r="T124" i="26"/>
  <c r="V124" i="26"/>
  <c r="V21" i="26" s="1"/>
  <c r="Z21" i="26" s="1"/>
  <c r="X124" i="26"/>
  <c r="AD124" i="26"/>
  <c r="AF124" i="26"/>
  <c r="AH124" i="26"/>
  <c r="AH21" i="26" s="1"/>
  <c r="AT124" i="26"/>
  <c r="AT21" i="26" s="1"/>
  <c r="AZ21" i="26" s="1"/>
  <c r="AV124" i="26"/>
  <c r="AV21" i="26" s="1"/>
  <c r="AX124" i="26"/>
  <c r="AX21" i="26" s="1"/>
  <c r="BJ124" i="26"/>
  <c r="A125" i="26"/>
  <c r="BJ125" i="26" s="1"/>
  <c r="Z125" i="26"/>
  <c r="Z124" i="26" s="1"/>
  <c r="AL125" i="26"/>
  <c r="AL124" i="26" s="1"/>
  <c r="AL21" i="26" s="1"/>
  <c r="AN125" i="26"/>
  <c r="AP125" i="26"/>
  <c r="AR125" i="26"/>
  <c r="AZ125" i="26"/>
  <c r="Z126" i="26"/>
  <c r="AL126" i="26"/>
  <c r="AN126" i="26"/>
  <c r="AP126" i="26"/>
  <c r="AZ126" i="26"/>
  <c r="BB126" i="26"/>
  <c r="Z127" i="26"/>
  <c r="AL127" i="26"/>
  <c r="AN127" i="26"/>
  <c r="BB127" i="26" s="1"/>
  <c r="AP127" i="26"/>
  <c r="BD127" i="26" s="1"/>
  <c r="AR127" i="26"/>
  <c r="AZ127" i="26"/>
  <c r="Z128" i="26"/>
  <c r="AL128" i="26"/>
  <c r="AN128" i="26"/>
  <c r="AP128" i="26"/>
  <c r="AR128" i="26"/>
  <c r="AZ128" i="26"/>
  <c r="BB128" i="26"/>
  <c r="BD128" i="26"/>
  <c r="Z129" i="26"/>
  <c r="AL129" i="26"/>
  <c r="AN129" i="26"/>
  <c r="AP129" i="26"/>
  <c r="AR129" i="26"/>
  <c r="AZ129" i="26"/>
  <c r="BB129" i="26"/>
  <c r="BD129" i="26"/>
  <c r="BG2" i="25"/>
  <c r="BF10" i="25"/>
  <c r="BF127" i="25" s="1"/>
  <c r="BF22" i="25" s="1"/>
  <c r="T13" i="25"/>
  <c r="V13" i="25"/>
  <c r="AB13" i="25"/>
  <c r="AB18" i="25" s="1"/>
  <c r="AB24" i="25" s="1"/>
  <c r="AD13" i="25"/>
  <c r="AD18" i="25" s="1"/>
  <c r="AD24" i="25" s="1"/>
  <c r="AV13" i="25"/>
  <c r="BH13" i="25"/>
  <c r="A14" i="25"/>
  <c r="H14" i="25"/>
  <c r="L14" i="25"/>
  <c r="T14" i="25"/>
  <c r="V14" i="25"/>
  <c r="AB14" i="25"/>
  <c r="AF14" i="25"/>
  <c r="AF18" i="25" s="1"/>
  <c r="AF24" i="25" s="1"/>
  <c r="AT14" i="25"/>
  <c r="BH14" i="25"/>
  <c r="A15" i="25"/>
  <c r="A16" i="25" s="1"/>
  <c r="J15" i="25"/>
  <c r="R15" i="25"/>
  <c r="V15" i="25"/>
  <c r="AR15" i="25"/>
  <c r="AT15" i="25"/>
  <c r="BH15" i="25"/>
  <c r="L16" i="25"/>
  <c r="R16" i="25"/>
  <c r="T16" i="25"/>
  <c r="AB16" i="25"/>
  <c r="AR16" i="25"/>
  <c r="AT16" i="25"/>
  <c r="L17" i="25"/>
  <c r="AD17" i="25"/>
  <c r="AF17" i="25"/>
  <c r="AR17" i="25"/>
  <c r="H21" i="25"/>
  <c r="V21" i="25"/>
  <c r="AF21" i="25"/>
  <c r="H22" i="25"/>
  <c r="R22" i="25"/>
  <c r="X22" i="25"/>
  <c r="AP22" i="25"/>
  <c r="BD22" i="25"/>
  <c r="H23" i="25"/>
  <c r="R23" i="25"/>
  <c r="X23" i="25"/>
  <c r="AN23" i="25"/>
  <c r="AP23" i="25" s="1"/>
  <c r="BD23" i="25"/>
  <c r="H27" i="25"/>
  <c r="H13" i="25" s="1"/>
  <c r="J27" i="25"/>
  <c r="J13" i="25" s="1"/>
  <c r="L27" i="25"/>
  <c r="L13" i="25" s="1"/>
  <c r="N27" i="25"/>
  <c r="N13" i="25" s="1"/>
  <c r="T27" i="25"/>
  <c r="V27" i="25"/>
  <c r="AB27" i="25"/>
  <c r="AD27" i="25"/>
  <c r="AF27" i="25"/>
  <c r="AF13" i="25" s="1"/>
  <c r="AR27" i="25"/>
  <c r="AR13" i="25" s="1"/>
  <c r="AT27" i="25"/>
  <c r="AT13" i="25" s="1"/>
  <c r="AV27" i="25"/>
  <c r="BH27" i="25"/>
  <c r="A28" i="25"/>
  <c r="BH28" i="25" s="1"/>
  <c r="R28" i="25"/>
  <c r="AL28" i="25"/>
  <c r="AN28" i="25"/>
  <c r="BB28" i="25" s="1"/>
  <c r="AZ28" i="25"/>
  <c r="R29" i="25"/>
  <c r="X29" i="25"/>
  <c r="AJ29" i="25"/>
  <c r="AL29" i="25"/>
  <c r="AN29" i="25"/>
  <c r="BB29" i="25" s="1"/>
  <c r="R30" i="25"/>
  <c r="X30" i="25"/>
  <c r="AJ30" i="25"/>
  <c r="AX30" i="25" s="1"/>
  <c r="BD30" i="25" s="1"/>
  <c r="BF30" i="25" s="1"/>
  <c r="AL30" i="25"/>
  <c r="AZ30" i="25" s="1"/>
  <c r="AN30" i="25"/>
  <c r="BB30" i="25"/>
  <c r="X31" i="25"/>
  <c r="AJ31" i="25"/>
  <c r="AX31" i="25" s="1"/>
  <c r="AL31" i="25"/>
  <c r="AN31" i="25"/>
  <c r="AP31" i="25"/>
  <c r="AZ31" i="25"/>
  <c r="BB31" i="25"/>
  <c r="BD31" i="25"/>
  <c r="BF31" i="25" s="1"/>
  <c r="X32" i="25"/>
  <c r="AJ32" i="25"/>
  <c r="AL32" i="25"/>
  <c r="AZ32" i="25" s="1"/>
  <c r="AN32" i="25"/>
  <c r="BB32" i="25"/>
  <c r="H35" i="25"/>
  <c r="J35" i="25"/>
  <c r="J14" i="25" s="1"/>
  <c r="L35" i="25"/>
  <c r="N35" i="25"/>
  <c r="N14" i="25" s="1"/>
  <c r="T35" i="25"/>
  <c r="V35" i="25"/>
  <c r="AB35" i="25"/>
  <c r="AD35" i="25"/>
  <c r="AD14" i="25" s="1"/>
  <c r="AF35" i="25"/>
  <c r="AL35" i="25"/>
  <c r="AL14" i="25" s="1"/>
  <c r="AR35" i="25"/>
  <c r="AR14" i="25" s="1"/>
  <c r="AT35" i="25"/>
  <c r="AV35" i="25"/>
  <c r="AV14" i="25" s="1"/>
  <c r="AZ35" i="25"/>
  <c r="AZ14" i="25" s="1"/>
  <c r="BH35" i="25"/>
  <c r="A36" i="25"/>
  <c r="A37" i="25" s="1"/>
  <c r="R36" i="25"/>
  <c r="AL36" i="25"/>
  <c r="AN36" i="25"/>
  <c r="AN35" i="25" s="1"/>
  <c r="AN14" i="25" s="1"/>
  <c r="AZ36" i="25"/>
  <c r="BB36" i="25"/>
  <c r="BB35" i="25" s="1"/>
  <c r="BB14" i="25" s="1"/>
  <c r="BH36" i="25"/>
  <c r="R37" i="25"/>
  <c r="AL37" i="25"/>
  <c r="AN37" i="25"/>
  <c r="AZ37" i="25"/>
  <c r="BB37" i="25"/>
  <c r="BH37" i="25"/>
  <c r="A38" i="25"/>
  <c r="BH38" i="25" s="1"/>
  <c r="R38" i="25"/>
  <c r="AL38" i="25"/>
  <c r="AN38" i="25"/>
  <c r="AZ38" i="25"/>
  <c r="BB38" i="25"/>
  <c r="R39" i="25"/>
  <c r="AJ39" i="25" s="1"/>
  <c r="AX39" i="25" s="1"/>
  <c r="BD39" i="25" s="1"/>
  <c r="BF39" i="25" s="1"/>
  <c r="X39" i="25"/>
  <c r="AL39" i="25"/>
  <c r="AN39" i="25"/>
  <c r="AZ39" i="25"/>
  <c r="BB39" i="25"/>
  <c r="R40" i="25"/>
  <c r="X40" i="25" s="1"/>
  <c r="AJ40" i="25"/>
  <c r="AL40" i="25"/>
  <c r="AN40" i="25"/>
  <c r="AZ40" i="25"/>
  <c r="BB40" i="25"/>
  <c r="H43" i="25"/>
  <c r="H15" i="25" s="1"/>
  <c r="J43" i="25"/>
  <c r="L43" i="25"/>
  <c r="L15" i="25" s="1"/>
  <c r="N43" i="25"/>
  <c r="N15" i="25" s="1"/>
  <c r="R43" i="25"/>
  <c r="V43" i="25"/>
  <c r="AB43" i="25"/>
  <c r="AB15" i="25" s="1"/>
  <c r="AD43" i="25"/>
  <c r="AD15" i="25" s="1"/>
  <c r="AF43" i="25"/>
  <c r="AF15" i="25" s="1"/>
  <c r="AR43" i="25"/>
  <c r="AT43" i="25"/>
  <c r="AV43" i="25"/>
  <c r="AV15" i="25" s="1"/>
  <c r="BH43" i="25"/>
  <c r="A44" i="25"/>
  <c r="T44" i="25"/>
  <c r="X44" i="25"/>
  <c r="AJ44" i="25"/>
  <c r="AL44" i="25"/>
  <c r="AZ44" i="25" s="1"/>
  <c r="AN44" i="25"/>
  <c r="AX44" i="25"/>
  <c r="BB44" i="25"/>
  <c r="BD44" i="25"/>
  <c r="T45" i="25"/>
  <c r="X45" i="25"/>
  <c r="AJ45" i="25"/>
  <c r="AX45" i="25" s="1"/>
  <c r="AL45" i="25"/>
  <c r="AZ45" i="25" s="1"/>
  <c r="AN45" i="25"/>
  <c r="BB45" i="25" s="1"/>
  <c r="T46" i="25"/>
  <c r="AL46" i="25" s="1"/>
  <c r="AZ46" i="25" s="1"/>
  <c r="X46" i="25"/>
  <c r="AJ46" i="25"/>
  <c r="AN46" i="25"/>
  <c r="BB46" i="25" s="1"/>
  <c r="AP46" i="25"/>
  <c r="AX46" i="25"/>
  <c r="BD46" i="25"/>
  <c r="BF46" i="25" s="1"/>
  <c r="T47" i="25"/>
  <c r="X47" i="25" s="1"/>
  <c r="AJ47" i="25"/>
  <c r="AL47" i="25"/>
  <c r="AZ47" i="25" s="1"/>
  <c r="AN47" i="25"/>
  <c r="BB47" i="25" s="1"/>
  <c r="T48" i="25"/>
  <c r="X48" i="25"/>
  <c r="AJ48" i="25"/>
  <c r="AX48" i="25" s="1"/>
  <c r="AL48" i="25"/>
  <c r="AZ48" i="25" s="1"/>
  <c r="AN48" i="25"/>
  <c r="BB48" i="25" s="1"/>
  <c r="AP48" i="25"/>
  <c r="T49" i="25"/>
  <c r="X49" i="25"/>
  <c r="AJ49" i="25"/>
  <c r="AL49" i="25"/>
  <c r="AZ49" i="25" s="1"/>
  <c r="AN49" i="25"/>
  <c r="AX49" i="25"/>
  <c r="BB49" i="25"/>
  <c r="BD49" i="25"/>
  <c r="BF49" i="25"/>
  <c r="T50" i="25"/>
  <c r="X50" i="25" s="1"/>
  <c r="AJ50" i="25"/>
  <c r="AX50" i="25" s="1"/>
  <c r="AL50" i="25"/>
  <c r="AN50" i="25"/>
  <c r="AP50" i="25"/>
  <c r="AZ50" i="25"/>
  <c r="BB50" i="25"/>
  <c r="BD50" i="25"/>
  <c r="BF50" i="25"/>
  <c r="T51" i="25"/>
  <c r="AJ51" i="25"/>
  <c r="AN51" i="25"/>
  <c r="BB51" i="25"/>
  <c r="T52" i="25"/>
  <c r="X52" i="25"/>
  <c r="AJ52" i="25"/>
  <c r="AL52" i="25"/>
  <c r="AP52" i="25" s="1"/>
  <c r="AN52" i="25"/>
  <c r="AX52" i="25"/>
  <c r="BB52" i="25"/>
  <c r="T53" i="25"/>
  <c r="AJ53" i="25"/>
  <c r="AN53" i="25"/>
  <c r="BB53" i="25" s="1"/>
  <c r="AX53" i="25"/>
  <c r="T54" i="25"/>
  <c r="X54" i="25"/>
  <c r="AJ54" i="25"/>
  <c r="AL54" i="25"/>
  <c r="AN54" i="25"/>
  <c r="AX54" i="25"/>
  <c r="BB54" i="25"/>
  <c r="T55" i="25"/>
  <c r="X55" i="25" s="1"/>
  <c r="AJ55" i="25"/>
  <c r="AX55" i="25" s="1"/>
  <c r="AL55" i="25"/>
  <c r="AN55" i="25"/>
  <c r="BB55" i="25" s="1"/>
  <c r="AP55" i="25"/>
  <c r="AZ55" i="25"/>
  <c r="BD55" i="25"/>
  <c r="BF55" i="25"/>
  <c r="T56" i="25"/>
  <c r="X56" i="25"/>
  <c r="AJ56" i="25"/>
  <c r="AL56" i="25"/>
  <c r="AN56" i="25"/>
  <c r="BB56" i="25" s="1"/>
  <c r="AZ56" i="25"/>
  <c r="T57" i="25"/>
  <c r="X57" i="25"/>
  <c r="AJ57" i="25"/>
  <c r="AL57" i="25"/>
  <c r="AZ57" i="25" s="1"/>
  <c r="AN57" i="25"/>
  <c r="AP57" i="25"/>
  <c r="AX57" i="25"/>
  <c r="BB57" i="25"/>
  <c r="T58" i="25"/>
  <c r="AL58" i="25" s="1"/>
  <c r="X58" i="25"/>
  <c r="AJ58" i="25"/>
  <c r="AN58" i="25"/>
  <c r="BB58" i="25" s="1"/>
  <c r="AX58" i="25"/>
  <c r="AZ58" i="25"/>
  <c r="BD58" i="25"/>
  <c r="BF58" i="25" s="1"/>
  <c r="T59" i="25"/>
  <c r="X59" i="25"/>
  <c r="AJ59" i="25"/>
  <c r="AX59" i="25" s="1"/>
  <c r="AL59" i="25"/>
  <c r="AZ59" i="25" s="1"/>
  <c r="AN59" i="25"/>
  <c r="AP59" i="25"/>
  <c r="BB59" i="25"/>
  <c r="T60" i="25"/>
  <c r="AJ60" i="25"/>
  <c r="AN60" i="25"/>
  <c r="BB60" i="25" s="1"/>
  <c r="T61" i="25"/>
  <c r="X61" i="25"/>
  <c r="AJ61" i="25"/>
  <c r="AL61" i="25"/>
  <c r="AZ61" i="25" s="1"/>
  <c r="AN61" i="25"/>
  <c r="BB61" i="25" s="1"/>
  <c r="T62" i="25"/>
  <c r="AJ62" i="25"/>
  <c r="AX62" i="25" s="1"/>
  <c r="AN62" i="25"/>
  <c r="BB62" i="25"/>
  <c r="T63" i="25"/>
  <c r="AL63" i="25" s="1"/>
  <c r="AZ63" i="25" s="1"/>
  <c r="X63" i="25"/>
  <c r="AJ63" i="25"/>
  <c r="AN63" i="25"/>
  <c r="BB63" i="25" s="1"/>
  <c r="T64" i="25"/>
  <c r="X64" i="25"/>
  <c r="AJ64" i="25"/>
  <c r="AL64" i="25"/>
  <c r="AN64" i="25"/>
  <c r="AP64" i="25"/>
  <c r="AX64" i="25"/>
  <c r="AZ64" i="25"/>
  <c r="BB64" i="25"/>
  <c r="T65" i="25"/>
  <c r="AJ65" i="25"/>
  <c r="AN65" i="25"/>
  <c r="AX65" i="25"/>
  <c r="BB65" i="25"/>
  <c r="T66" i="25"/>
  <c r="X66" i="25"/>
  <c r="AJ66" i="25"/>
  <c r="AL66" i="25"/>
  <c r="AN66" i="25"/>
  <c r="BB66" i="25" s="1"/>
  <c r="AP66" i="25"/>
  <c r="AX66" i="25"/>
  <c r="AZ66" i="25"/>
  <c r="BD66" i="25"/>
  <c r="BF66" i="25" s="1"/>
  <c r="T67" i="25"/>
  <c r="X67" i="25" s="1"/>
  <c r="AJ67" i="25"/>
  <c r="AN67" i="25"/>
  <c r="BB67" i="25"/>
  <c r="T68" i="25"/>
  <c r="X68" i="25"/>
  <c r="AJ68" i="25"/>
  <c r="AL68" i="25"/>
  <c r="AZ68" i="25" s="1"/>
  <c r="AN68" i="25"/>
  <c r="BB68" i="25" s="1"/>
  <c r="AP68" i="25"/>
  <c r="AX68" i="25"/>
  <c r="BD68" i="25" s="1"/>
  <c r="BF68" i="25" s="1"/>
  <c r="T69" i="25"/>
  <c r="X69" i="25"/>
  <c r="AJ69" i="25"/>
  <c r="AL69" i="25"/>
  <c r="AN69" i="25"/>
  <c r="AP69" i="25"/>
  <c r="AX69" i="25"/>
  <c r="AZ69" i="25"/>
  <c r="BB69" i="25"/>
  <c r="T70" i="25"/>
  <c r="X70" i="25" s="1"/>
  <c r="AJ70" i="25"/>
  <c r="AL70" i="25"/>
  <c r="AP70" i="25" s="1"/>
  <c r="AN70" i="25"/>
  <c r="BB70" i="25" s="1"/>
  <c r="AX70" i="25"/>
  <c r="T71" i="25"/>
  <c r="X71" i="25"/>
  <c r="AJ71" i="25"/>
  <c r="AL71" i="25"/>
  <c r="AZ71" i="25" s="1"/>
  <c r="AN71" i="25"/>
  <c r="BB71" i="25" s="1"/>
  <c r="AP71" i="25"/>
  <c r="AX71" i="25"/>
  <c r="T72" i="25"/>
  <c r="AJ72" i="25"/>
  <c r="AN72" i="25"/>
  <c r="BB72" i="25" s="1"/>
  <c r="T73" i="25"/>
  <c r="X73" i="25" s="1"/>
  <c r="AJ73" i="25"/>
  <c r="AL73" i="25"/>
  <c r="AZ73" i="25" s="1"/>
  <c r="BD73" i="25" s="1"/>
  <c r="AN73" i="25"/>
  <c r="AX73" i="25"/>
  <c r="BB73" i="25"/>
  <c r="BF73" i="25"/>
  <c r="T74" i="25"/>
  <c r="AL74" i="25" s="1"/>
  <c r="AZ74" i="25" s="1"/>
  <c r="X74" i="25"/>
  <c r="AJ74" i="25"/>
  <c r="AN74" i="25"/>
  <c r="BB74" i="25"/>
  <c r="T75" i="25"/>
  <c r="AL75" i="25" s="1"/>
  <c r="AZ75" i="25" s="1"/>
  <c r="X75" i="25"/>
  <c r="AJ75" i="25"/>
  <c r="AP75" i="25" s="1"/>
  <c r="AN75" i="25"/>
  <c r="AX75" i="25"/>
  <c r="BB75" i="25"/>
  <c r="BD75" i="25"/>
  <c r="BF75" i="25" s="1"/>
  <c r="T76" i="25"/>
  <c r="X76" i="25"/>
  <c r="AJ76" i="25"/>
  <c r="AL76" i="25"/>
  <c r="AN76" i="25"/>
  <c r="AP76" i="25"/>
  <c r="AX76" i="25"/>
  <c r="AZ76" i="25"/>
  <c r="BB76" i="25"/>
  <c r="BD76" i="25"/>
  <c r="BF76" i="25" s="1"/>
  <c r="T77" i="25"/>
  <c r="AJ77" i="25"/>
  <c r="AX77" i="25" s="1"/>
  <c r="AN77" i="25"/>
  <c r="BB77" i="25"/>
  <c r="T78" i="25"/>
  <c r="X78" i="25"/>
  <c r="AJ78" i="25"/>
  <c r="AL78" i="25"/>
  <c r="AN78" i="25"/>
  <c r="AX78" i="25"/>
  <c r="BB78" i="25"/>
  <c r="T79" i="25"/>
  <c r="X79" i="25" s="1"/>
  <c r="AJ79" i="25"/>
  <c r="AL79" i="25"/>
  <c r="AZ79" i="25" s="1"/>
  <c r="AN79" i="25"/>
  <c r="BB79" i="25" s="1"/>
  <c r="AX79" i="25"/>
  <c r="BD79" i="25" s="1"/>
  <c r="BF79" i="25" s="1"/>
  <c r="T80" i="25"/>
  <c r="X80" i="25"/>
  <c r="AJ80" i="25"/>
  <c r="AL80" i="25"/>
  <c r="AZ80" i="25" s="1"/>
  <c r="AN80" i="25"/>
  <c r="BB80" i="25"/>
  <c r="T81" i="25"/>
  <c r="X81" i="25"/>
  <c r="AJ81" i="25"/>
  <c r="AX81" i="25" s="1"/>
  <c r="AL81" i="25"/>
  <c r="AZ81" i="25" s="1"/>
  <c r="AN81" i="25"/>
  <c r="BB81" i="25" s="1"/>
  <c r="AP81" i="25"/>
  <c r="T82" i="25"/>
  <c r="X82" i="25"/>
  <c r="AJ82" i="25"/>
  <c r="AL82" i="25"/>
  <c r="AZ82" i="25" s="1"/>
  <c r="AN82" i="25"/>
  <c r="BB82" i="25" s="1"/>
  <c r="T83" i="25"/>
  <c r="X83" i="25"/>
  <c r="AJ83" i="25"/>
  <c r="AL83" i="25"/>
  <c r="AZ83" i="25" s="1"/>
  <c r="AN83" i="25"/>
  <c r="AP83" i="25"/>
  <c r="AX83" i="25"/>
  <c r="BB83" i="25"/>
  <c r="T84" i="25"/>
  <c r="AL84" i="25" s="1"/>
  <c r="X84" i="25"/>
  <c r="AJ84" i="25"/>
  <c r="AX84" i="25" s="1"/>
  <c r="AN84" i="25"/>
  <c r="BB84" i="25" s="1"/>
  <c r="AP84" i="25"/>
  <c r="AZ84" i="25"/>
  <c r="BD84" i="25"/>
  <c r="BF84" i="25"/>
  <c r="T85" i="25"/>
  <c r="X85" i="25"/>
  <c r="AJ85" i="25"/>
  <c r="AL85" i="25"/>
  <c r="AZ85" i="25" s="1"/>
  <c r="AN85" i="25"/>
  <c r="BB85" i="25" s="1"/>
  <c r="T86" i="25"/>
  <c r="X86" i="25" s="1"/>
  <c r="AJ86" i="25"/>
  <c r="AX86" i="25" s="1"/>
  <c r="AL86" i="25"/>
  <c r="AN86" i="25"/>
  <c r="AP86" i="25"/>
  <c r="AZ86" i="25"/>
  <c r="BB86" i="25"/>
  <c r="T87" i="25"/>
  <c r="AJ87" i="25"/>
  <c r="AN87" i="25"/>
  <c r="AX87" i="25"/>
  <c r="BB87" i="25"/>
  <c r="T88" i="25"/>
  <c r="X88" i="25"/>
  <c r="AJ88" i="25"/>
  <c r="AL88" i="25"/>
  <c r="AN88" i="25"/>
  <c r="AP88" i="25"/>
  <c r="AX88" i="25"/>
  <c r="AZ88" i="25"/>
  <c r="BB88" i="25"/>
  <c r="BD88" i="25"/>
  <c r="BF88" i="25"/>
  <c r="T89" i="25"/>
  <c r="AJ89" i="25"/>
  <c r="AN89" i="25"/>
  <c r="AX89" i="25"/>
  <c r="BB89" i="25"/>
  <c r="T90" i="25"/>
  <c r="X90" i="25"/>
  <c r="AJ90" i="25"/>
  <c r="AL90" i="25"/>
  <c r="AP90" i="25" s="1"/>
  <c r="AN90" i="25"/>
  <c r="AX90" i="25"/>
  <c r="AZ90" i="25"/>
  <c r="BB90" i="25"/>
  <c r="BD90" i="25"/>
  <c r="BF90" i="25"/>
  <c r="T91" i="25"/>
  <c r="X91" i="25" s="1"/>
  <c r="AJ91" i="25"/>
  <c r="AL91" i="25"/>
  <c r="AN91" i="25"/>
  <c r="AP91" i="25" s="1"/>
  <c r="AX91" i="25"/>
  <c r="AZ91" i="25"/>
  <c r="BB91" i="25"/>
  <c r="BD91" i="25"/>
  <c r="BF91" i="25"/>
  <c r="T92" i="25"/>
  <c r="X92" i="25"/>
  <c r="AJ92" i="25"/>
  <c r="AL92" i="25"/>
  <c r="AN92" i="25"/>
  <c r="AP92" i="25" s="1"/>
  <c r="AX92" i="25"/>
  <c r="AZ92" i="25"/>
  <c r="BB92" i="25"/>
  <c r="BD92" i="25"/>
  <c r="BF92" i="25" s="1"/>
  <c r="T93" i="25"/>
  <c r="AL93" i="25" s="1"/>
  <c r="AZ93" i="25" s="1"/>
  <c r="X93" i="25"/>
  <c r="AJ93" i="25"/>
  <c r="AN93" i="25"/>
  <c r="AP93" i="25"/>
  <c r="AX93" i="25"/>
  <c r="BB93" i="25"/>
  <c r="T94" i="25"/>
  <c r="AL94" i="25" s="1"/>
  <c r="X94" i="25"/>
  <c r="AJ94" i="25"/>
  <c r="AN94" i="25"/>
  <c r="BB94" i="25" s="1"/>
  <c r="AZ94" i="25"/>
  <c r="T95" i="25"/>
  <c r="X95" i="25"/>
  <c r="AJ95" i="25"/>
  <c r="AX95" i="25" s="1"/>
  <c r="AL95" i="25"/>
  <c r="AZ95" i="25" s="1"/>
  <c r="AN95" i="25"/>
  <c r="AP95" i="25"/>
  <c r="BB95" i="25"/>
  <c r="T96" i="25"/>
  <c r="AL96" i="25" s="1"/>
  <c r="AZ96" i="25" s="1"/>
  <c r="X96" i="25"/>
  <c r="AJ96" i="25"/>
  <c r="AN96" i="25"/>
  <c r="BB96" i="25" s="1"/>
  <c r="T97" i="25"/>
  <c r="X97" i="25"/>
  <c r="AJ97" i="25"/>
  <c r="AL97" i="25"/>
  <c r="AZ97" i="25" s="1"/>
  <c r="AN97" i="25"/>
  <c r="BB97" i="25" s="1"/>
  <c r="AX97" i="25"/>
  <c r="BD97" i="25" s="1"/>
  <c r="BF97" i="25" s="1"/>
  <c r="T98" i="25"/>
  <c r="AL98" i="25" s="1"/>
  <c r="X98" i="25"/>
  <c r="AJ98" i="25"/>
  <c r="AX98" i="25" s="1"/>
  <c r="AN98" i="25"/>
  <c r="AP98" i="25"/>
  <c r="AZ98" i="25"/>
  <c r="BB98" i="25"/>
  <c r="BD98" i="25"/>
  <c r="BF98" i="25" s="1"/>
  <c r="T99" i="25"/>
  <c r="AL99" i="25" s="1"/>
  <c r="X99" i="25"/>
  <c r="AJ99" i="25"/>
  <c r="AN99" i="25"/>
  <c r="AZ99" i="25"/>
  <c r="BB99" i="25"/>
  <c r="T100" i="25"/>
  <c r="AL100" i="25" s="1"/>
  <c r="X100" i="25"/>
  <c r="AJ100" i="25"/>
  <c r="AN100" i="25"/>
  <c r="AX100" i="25"/>
  <c r="BB100" i="25"/>
  <c r="H103" i="25"/>
  <c r="H16" i="25" s="1"/>
  <c r="J103" i="25"/>
  <c r="J16" i="25" s="1"/>
  <c r="L103" i="25"/>
  <c r="N103" i="25"/>
  <c r="N16" i="25" s="1"/>
  <c r="R103" i="25"/>
  <c r="T103" i="25"/>
  <c r="AB103" i="25"/>
  <c r="AD103" i="25"/>
  <c r="AD16" i="25" s="1"/>
  <c r="AF103" i="25"/>
  <c r="AF16" i="25" s="1"/>
  <c r="AR103" i="25"/>
  <c r="AT103" i="25"/>
  <c r="AV103" i="25"/>
  <c r="AV16" i="25" s="1"/>
  <c r="BH103" i="25"/>
  <c r="A104" i="25"/>
  <c r="V104" i="25"/>
  <c r="X104" i="25" s="1"/>
  <c r="AJ104" i="25"/>
  <c r="AL104" i="25"/>
  <c r="AN104" i="25"/>
  <c r="AP104" i="25"/>
  <c r="AX104" i="25"/>
  <c r="AZ104" i="25"/>
  <c r="AZ103" i="25" s="1"/>
  <c r="AZ16" i="25" s="1"/>
  <c r="BB104" i="25"/>
  <c r="V105" i="25"/>
  <c r="X105" i="25"/>
  <c r="AJ105" i="25"/>
  <c r="AL105" i="25"/>
  <c r="AN105" i="25"/>
  <c r="BB105" i="25" s="1"/>
  <c r="AP105" i="25"/>
  <c r="AX105" i="25"/>
  <c r="AZ105" i="25"/>
  <c r="BD105" i="25"/>
  <c r="BF105" i="25" s="1"/>
  <c r="V106" i="25"/>
  <c r="X106" i="25"/>
  <c r="AJ106" i="25"/>
  <c r="AL106" i="25"/>
  <c r="AP106" i="25" s="1"/>
  <c r="AN106" i="25"/>
  <c r="BB106" i="25" s="1"/>
  <c r="AX106" i="25"/>
  <c r="AZ106" i="25"/>
  <c r="BD106" i="25"/>
  <c r="BF106" i="25" s="1"/>
  <c r="BH106" i="25"/>
  <c r="V107" i="25"/>
  <c r="AJ107" i="25"/>
  <c r="AJ103" i="25" s="1"/>
  <c r="AJ16" i="25" s="1"/>
  <c r="AL107" i="25"/>
  <c r="AX107" i="25"/>
  <c r="AZ107" i="25"/>
  <c r="V108" i="25"/>
  <c r="X108" i="25"/>
  <c r="AJ108" i="25"/>
  <c r="AL108" i="25"/>
  <c r="AL103" i="25" s="1"/>
  <c r="AL16" i="25" s="1"/>
  <c r="AN108" i="25"/>
  <c r="AZ108" i="25"/>
  <c r="BB108" i="25"/>
  <c r="V109" i="25"/>
  <c r="X109" i="25"/>
  <c r="AJ109" i="25"/>
  <c r="AL109" i="25"/>
  <c r="AZ109" i="25" s="1"/>
  <c r="AN109" i="25"/>
  <c r="BB109" i="25" s="1"/>
  <c r="AP109" i="25"/>
  <c r="AX109" i="25"/>
  <c r="BD109" i="25" s="1"/>
  <c r="BF109" i="25"/>
  <c r="V110" i="25"/>
  <c r="X110" i="25" s="1"/>
  <c r="AJ110" i="25"/>
  <c r="AX110" i="25" s="1"/>
  <c r="BD110" i="25" s="1"/>
  <c r="BF110" i="25" s="1"/>
  <c r="AL110" i="25"/>
  <c r="AZ110" i="25" s="1"/>
  <c r="AN110" i="25"/>
  <c r="BB110" i="25" s="1"/>
  <c r="AP110" i="25"/>
  <c r="V111" i="25"/>
  <c r="X111" i="25"/>
  <c r="AJ111" i="25"/>
  <c r="AL111" i="25"/>
  <c r="AZ111" i="25" s="1"/>
  <c r="AN111" i="25"/>
  <c r="AP111" i="25"/>
  <c r="AX111" i="25"/>
  <c r="BB111" i="25"/>
  <c r="V112" i="25"/>
  <c r="X112" i="25" s="1"/>
  <c r="AJ112" i="25"/>
  <c r="AX112" i="25" s="1"/>
  <c r="AL112" i="25"/>
  <c r="AN112" i="25"/>
  <c r="BB112" i="25" s="1"/>
  <c r="AP112" i="25"/>
  <c r="AZ112" i="25"/>
  <c r="BD112" i="25"/>
  <c r="BF112" i="25"/>
  <c r="V113" i="25"/>
  <c r="AN113" i="25" s="1"/>
  <c r="X113" i="25"/>
  <c r="AJ113" i="25"/>
  <c r="AL113" i="25"/>
  <c r="AZ113" i="25" s="1"/>
  <c r="AX113" i="25"/>
  <c r="BB113" i="25"/>
  <c r="BD113" i="25"/>
  <c r="V114" i="25"/>
  <c r="AN114" i="25" s="1"/>
  <c r="BB114" i="25" s="1"/>
  <c r="X114" i="25"/>
  <c r="AJ114" i="25"/>
  <c r="AX114" i="25" s="1"/>
  <c r="BD114" i="25" s="1"/>
  <c r="AL114" i="25"/>
  <c r="AZ114" i="25" s="1"/>
  <c r="H117" i="25"/>
  <c r="H17" i="25" s="1"/>
  <c r="J117" i="25"/>
  <c r="J17" i="25" s="1"/>
  <c r="L117" i="25"/>
  <c r="N117" i="25"/>
  <c r="N17" i="25" s="1"/>
  <c r="T117" i="25"/>
  <c r="T17" i="25" s="1"/>
  <c r="V117" i="25"/>
  <c r="V17" i="25" s="1"/>
  <c r="AB117" i="25"/>
  <c r="AB17" i="25" s="1"/>
  <c r="AD117" i="25"/>
  <c r="AF117" i="25"/>
  <c r="AR117" i="25"/>
  <c r="AT117" i="25"/>
  <c r="AT17" i="25" s="1"/>
  <c r="AV117" i="25"/>
  <c r="AV17" i="25" s="1"/>
  <c r="BH117" i="25"/>
  <c r="A118" i="25"/>
  <c r="BH118" i="25" s="1"/>
  <c r="R118" i="25"/>
  <c r="X118" i="25"/>
  <c r="AJ118" i="25"/>
  <c r="AL118" i="25"/>
  <c r="AN118" i="25"/>
  <c r="BB118" i="25" s="1"/>
  <c r="AP118" i="25"/>
  <c r="AZ118" i="25"/>
  <c r="R119" i="25"/>
  <c r="R117" i="25" s="1"/>
  <c r="R17" i="25" s="1"/>
  <c r="X17" i="25" s="1"/>
  <c r="AL119" i="25"/>
  <c r="AZ119" i="25" s="1"/>
  <c r="AN119" i="25"/>
  <c r="BB119" i="25" s="1"/>
  <c r="BB117" i="25" s="1"/>
  <c r="BB17" i="25" s="1"/>
  <c r="X120" i="25"/>
  <c r="AJ120" i="25"/>
  <c r="AP120" i="25" s="1"/>
  <c r="AL120" i="25"/>
  <c r="AZ120" i="25" s="1"/>
  <c r="AN120" i="25"/>
  <c r="AX120" i="25"/>
  <c r="BD120" i="25" s="1"/>
  <c r="BF120" i="25" s="1"/>
  <c r="BB120" i="25"/>
  <c r="X121" i="25"/>
  <c r="AJ121" i="25"/>
  <c r="AL121" i="25"/>
  <c r="AZ121" i="25" s="1"/>
  <c r="AN121" i="25"/>
  <c r="BB121" i="25" s="1"/>
  <c r="X122" i="25"/>
  <c r="AJ122" i="25"/>
  <c r="AL122" i="25"/>
  <c r="AZ122" i="25" s="1"/>
  <c r="AN122" i="25"/>
  <c r="AX122" i="25"/>
  <c r="BB122" i="25"/>
  <c r="AJ123" i="25"/>
  <c r="AX123" i="25" s="1"/>
  <c r="AL123" i="25"/>
  <c r="AZ123" i="25" s="1"/>
  <c r="AN123" i="25"/>
  <c r="BB123" i="25" s="1"/>
  <c r="AP123" i="25"/>
  <c r="H125" i="25"/>
  <c r="J125" i="25"/>
  <c r="J21" i="25" s="1"/>
  <c r="L125" i="25"/>
  <c r="L21" i="25" s="1"/>
  <c r="N125" i="25"/>
  <c r="N21" i="25" s="1"/>
  <c r="R125" i="25"/>
  <c r="R21" i="25" s="1"/>
  <c r="V125" i="25"/>
  <c r="AB125" i="25"/>
  <c r="AB21" i="25" s="1"/>
  <c r="AD125" i="25"/>
  <c r="AD21" i="25" s="1"/>
  <c r="AF125" i="25"/>
  <c r="AR125" i="25"/>
  <c r="AR21" i="25" s="1"/>
  <c r="AT125" i="25"/>
  <c r="AT21" i="25" s="1"/>
  <c r="AV125" i="25"/>
  <c r="AV21" i="25" s="1"/>
  <c r="BH125" i="25"/>
  <c r="A126" i="25"/>
  <c r="T126" i="25"/>
  <c r="X126" i="25"/>
  <c r="AJ126" i="25"/>
  <c r="AL126" i="25"/>
  <c r="AN126" i="25"/>
  <c r="AN22" i="25" s="1"/>
  <c r="AX126" i="25"/>
  <c r="AZ126" i="25"/>
  <c r="BB126" i="25"/>
  <c r="BF126" i="25"/>
  <c r="BF125" i="25" s="1"/>
  <c r="BH126" i="25"/>
  <c r="A127" i="25"/>
  <c r="T127" i="25"/>
  <c r="X127" i="25" s="1"/>
  <c r="X125" i="25" s="1"/>
  <c r="AJ127" i="25"/>
  <c r="AL127" i="25"/>
  <c r="AN127" i="25"/>
  <c r="BB127" i="25" s="1"/>
  <c r="AX127" i="25"/>
  <c r="AZ127" i="25"/>
  <c r="BD127" i="25"/>
  <c r="T128" i="25"/>
  <c r="AL128" i="25" s="1"/>
  <c r="AZ128" i="25" s="1"/>
  <c r="AZ125" i="25" s="1"/>
  <c r="AZ21" i="25" s="1"/>
  <c r="X128" i="25"/>
  <c r="AJ128" i="25"/>
  <c r="AN128" i="25"/>
  <c r="AN125" i="25" s="1"/>
  <c r="AN21" i="25" s="1"/>
  <c r="BB128" i="25"/>
  <c r="BF128" i="25"/>
  <c r="BF23" i="25" s="1"/>
  <c r="T129" i="25"/>
  <c r="X129" i="25"/>
  <c r="AJ129" i="25"/>
  <c r="AX129" i="25" s="1"/>
  <c r="AL129" i="25"/>
  <c r="AZ129" i="25" s="1"/>
  <c r="AN129" i="25"/>
  <c r="BB129" i="25" s="1"/>
  <c r="BB125" i="25" s="1"/>
  <c r="BB21" i="25" s="1"/>
  <c r="BF129" i="25"/>
  <c r="T130" i="25"/>
  <c r="X130" i="25"/>
  <c r="AJ130" i="25"/>
  <c r="AL130" i="25"/>
  <c r="AZ130" i="25" s="1"/>
  <c r="AN130" i="25"/>
  <c r="AX130" i="25"/>
  <c r="BB130" i="25"/>
  <c r="BF130" i="25"/>
  <c r="J2" i="24"/>
  <c r="K25" i="24"/>
  <c r="K26" i="24"/>
  <c r="A27" i="24"/>
  <c r="K27" i="24"/>
  <c r="A28" i="24"/>
  <c r="A35" i="24" s="1"/>
  <c r="E28" i="24"/>
  <c r="E158" i="5" s="1"/>
  <c r="E92" i="7" s="1"/>
  <c r="K28" i="24"/>
  <c r="K34" i="24"/>
  <c r="C35" i="24"/>
  <c r="E27" i="24" s="1"/>
  <c r="E29" i="7" s="1"/>
  <c r="D35" i="24"/>
  <c r="E26" i="24" s="1"/>
  <c r="E29" i="5" s="1"/>
  <c r="E35" i="24"/>
  <c r="K47" i="24"/>
  <c r="A48" i="24"/>
  <c r="K48" i="24" s="1"/>
  <c r="A49" i="24"/>
  <c r="K49" i="24"/>
  <c r="K55" i="24"/>
  <c r="A56" i="24"/>
  <c r="K56" i="24" s="1"/>
  <c r="H56" i="24"/>
  <c r="B57" i="24"/>
  <c r="B58" i="24"/>
  <c r="B59" i="24"/>
  <c r="B60" i="24"/>
  <c r="B61" i="24"/>
  <c r="B62" i="24"/>
  <c r="B63" i="24"/>
  <c r="B64" i="24"/>
  <c r="B65" i="24"/>
  <c r="B66" i="24"/>
  <c r="B67" i="24"/>
  <c r="G67" i="24"/>
  <c r="B68" i="24"/>
  <c r="F2" i="23"/>
  <c r="G6" i="23"/>
  <c r="G7" i="23"/>
  <c r="A8" i="23"/>
  <c r="G8" i="23"/>
  <c r="G12" i="23"/>
  <c r="C13" i="23"/>
  <c r="G13" i="23"/>
  <c r="A14" i="23"/>
  <c r="C14" i="23"/>
  <c r="G14" i="23"/>
  <c r="A15" i="23"/>
  <c r="A16" i="23" s="1"/>
  <c r="C15" i="23"/>
  <c r="G15" i="23"/>
  <c r="C16" i="23"/>
  <c r="C17" i="23"/>
  <c r="C18" i="23"/>
  <c r="C19" i="23"/>
  <c r="C20" i="23"/>
  <c r="C21" i="23"/>
  <c r="C22" i="23"/>
  <c r="C23" i="23"/>
  <c r="C24" i="23"/>
  <c r="C25" i="23"/>
  <c r="D27" i="23"/>
  <c r="D31" i="23"/>
  <c r="D32" i="23" s="1"/>
  <c r="C38" i="23"/>
  <c r="G38" i="23"/>
  <c r="A39" i="23"/>
  <c r="G39" i="23" s="1"/>
  <c r="C39" i="23"/>
  <c r="C40" i="23"/>
  <c r="C41" i="23"/>
  <c r="C42" i="23"/>
  <c r="C43" i="23"/>
  <c r="C44" i="23"/>
  <c r="C45" i="23"/>
  <c r="C46" i="23"/>
  <c r="C47" i="23"/>
  <c r="C48" i="23"/>
  <c r="C49" i="23"/>
  <c r="C50" i="23"/>
  <c r="D54" i="23"/>
  <c r="C60" i="23"/>
  <c r="G60" i="23"/>
  <c r="A61" i="23"/>
  <c r="C61" i="23"/>
  <c r="G61" i="23"/>
  <c r="A62" i="23"/>
  <c r="A63" i="23" s="1"/>
  <c r="C62" i="23"/>
  <c r="G62" i="23"/>
  <c r="C63" i="23"/>
  <c r="C64" i="23"/>
  <c r="C65" i="23"/>
  <c r="C66" i="23"/>
  <c r="C67" i="23"/>
  <c r="C68" i="23"/>
  <c r="C69" i="23"/>
  <c r="C70" i="23"/>
  <c r="C71" i="23"/>
  <c r="C72" i="23"/>
  <c r="D76" i="23"/>
  <c r="C82" i="23"/>
  <c r="G82" i="23"/>
  <c r="A83" i="23"/>
  <c r="A84" i="23" s="1"/>
  <c r="C83" i="23"/>
  <c r="C84" i="23"/>
  <c r="C85" i="23"/>
  <c r="C86" i="23"/>
  <c r="C87" i="23"/>
  <c r="C88" i="23"/>
  <c r="C89" i="23"/>
  <c r="C90" i="23"/>
  <c r="C91" i="23"/>
  <c r="C92" i="23"/>
  <c r="C93" i="23"/>
  <c r="C94" i="23"/>
  <c r="D96" i="23"/>
  <c r="D98" i="23"/>
  <c r="D99" i="23"/>
  <c r="C104" i="23"/>
  <c r="G104" i="23"/>
  <c r="A105" i="23"/>
  <c r="G105" i="23" s="1"/>
  <c r="C105" i="23"/>
  <c r="C106" i="23"/>
  <c r="C107" i="23"/>
  <c r="C108" i="23"/>
  <c r="C109" i="23"/>
  <c r="C110" i="23"/>
  <c r="C111" i="23"/>
  <c r="C112" i="23"/>
  <c r="C113" i="23"/>
  <c r="C114" i="23"/>
  <c r="C115" i="23"/>
  <c r="C116" i="23"/>
  <c r="D118" i="23"/>
  <c r="D120" i="23"/>
  <c r="D121" i="23"/>
  <c r="C126" i="23"/>
  <c r="G126" i="23"/>
  <c r="A127" i="23"/>
  <c r="G127" i="23" s="1"/>
  <c r="C127" i="23"/>
  <c r="C128" i="23"/>
  <c r="C129" i="23"/>
  <c r="C130" i="23"/>
  <c r="C131" i="23"/>
  <c r="C132" i="23"/>
  <c r="C133" i="23"/>
  <c r="C134" i="23"/>
  <c r="C135" i="23"/>
  <c r="C136" i="23"/>
  <c r="C137" i="23"/>
  <c r="C138" i="23"/>
  <c r="D140" i="23"/>
  <c r="D142" i="23"/>
  <c r="D143" i="23" s="1"/>
  <c r="C148" i="23"/>
  <c r="G148" i="23"/>
  <c r="A149" i="23"/>
  <c r="G149" i="23" s="1"/>
  <c r="C149" i="23"/>
  <c r="A150" i="23"/>
  <c r="A151" i="23" s="1"/>
  <c r="C150" i="23"/>
  <c r="C151" i="23"/>
  <c r="C152" i="23"/>
  <c r="C153" i="23"/>
  <c r="C154" i="23"/>
  <c r="C155" i="23"/>
  <c r="C156" i="23"/>
  <c r="C157" i="23"/>
  <c r="C158" i="23"/>
  <c r="C159" i="23"/>
  <c r="C160" i="23"/>
  <c r="D162" i="23"/>
  <c r="D164" i="23"/>
  <c r="D165" i="23" s="1"/>
  <c r="F2" i="22"/>
  <c r="F6" i="22"/>
  <c r="F7" i="22"/>
  <c r="A8" i="22"/>
  <c r="C8" i="22"/>
  <c r="F8" i="22"/>
  <c r="A9" i="22"/>
  <c r="D8" i="22" s="1"/>
  <c r="F9" i="22"/>
  <c r="F12" i="22"/>
  <c r="A13" i="22"/>
  <c r="A14" i="22" s="1"/>
  <c r="F13" i="22"/>
  <c r="C14" i="22"/>
  <c r="C18" i="22"/>
  <c r="C21" i="22"/>
  <c r="M2" i="21"/>
  <c r="N9" i="21"/>
  <c r="N10" i="21"/>
  <c r="A11" i="21"/>
  <c r="N11" i="21"/>
  <c r="A12" i="21"/>
  <c r="N31" i="21"/>
  <c r="D33" i="21"/>
  <c r="N33" i="21"/>
  <c r="A34" i="21"/>
  <c r="D34" i="21"/>
  <c r="E35" i="21"/>
  <c r="D35" i="21" s="1"/>
  <c r="D36" i="21"/>
  <c r="D37" i="21"/>
  <c r="E38" i="21"/>
  <c r="D38" i="21" s="1"/>
  <c r="E39" i="21"/>
  <c r="D39" i="21" s="1"/>
  <c r="F39" i="21"/>
  <c r="D40" i="21"/>
  <c r="E41" i="21"/>
  <c r="D41" i="21" s="1"/>
  <c r="D42" i="21"/>
  <c r="E44" i="21"/>
  <c r="F44" i="21"/>
  <c r="F46" i="21" s="1"/>
  <c r="G44" i="21"/>
  <c r="H44" i="21"/>
  <c r="I44" i="21"/>
  <c r="N54" i="21"/>
  <c r="D55" i="21"/>
  <c r="N55" i="21"/>
  <c r="A56" i="21"/>
  <c r="E56" i="21"/>
  <c r="E63" i="21" s="1"/>
  <c r="D57" i="21"/>
  <c r="D58" i="21"/>
  <c r="D59" i="21"/>
  <c r="D60" i="21"/>
  <c r="D61" i="21"/>
  <c r="F63" i="21"/>
  <c r="G63" i="21"/>
  <c r="H63" i="21"/>
  <c r="I63" i="21"/>
  <c r="F64" i="21"/>
  <c r="F65" i="21"/>
  <c r="D70" i="21"/>
  <c r="N75" i="21"/>
  <c r="E77" i="21"/>
  <c r="E82" i="21" s="1"/>
  <c r="N77" i="21"/>
  <c r="A78" i="21"/>
  <c r="E78" i="21"/>
  <c r="D78" i="21" s="1"/>
  <c r="N78" i="21"/>
  <c r="A79" i="21"/>
  <c r="E79" i="21"/>
  <c r="D79" i="21" s="1"/>
  <c r="N79" i="21"/>
  <c r="A80" i="21"/>
  <c r="N80" i="21"/>
  <c r="A82" i="21"/>
  <c r="F82" i="21"/>
  <c r="G82" i="21"/>
  <c r="H82" i="21"/>
  <c r="I82" i="21"/>
  <c r="F84" i="21"/>
  <c r="N92" i="21"/>
  <c r="D94" i="21"/>
  <c r="N94" i="21"/>
  <c r="A95" i="21"/>
  <c r="D95" i="21"/>
  <c r="E96" i="21"/>
  <c r="D96" i="21" s="1"/>
  <c r="E98" i="21"/>
  <c r="F98" i="21"/>
  <c r="G98" i="21"/>
  <c r="H98" i="21"/>
  <c r="I98" i="21"/>
  <c r="N110" i="21"/>
  <c r="E111" i="21"/>
  <c r="H111" i="21"/>
  <c r="K147" i="21" s="1"/>
  <c r="J111" i="21"/>
  <c r="N111" i="21"/>
  <c r="A112" i="21"/>
  <c r="B112" i="21"/>
  <c r="B113" i="21"/>
  <c r="B114" i="21"/>
  <c r="B115" i="21"/>
  <c r="B116" i="21"/>
  <c r="B117" i="21"/>
  <c r="B118" i="21"/>
  <c r="B119" i="21"/>
  <c r="B120" i="21"/>
  <c r="B121" i="21"/>
  <c r="B122" i="21"/>
  <c r="G122" i="21"/>
  <c r="G121" i="21" s="1"/>
  <c r="B123" i="21"/>
  <c r="F129" i="21"/>
  <c r="F151" i="21" s="1"/>
  <c r="G129" i="21"/>
  <c r="B133" i="21"/>
  <c r="D133" i="21"/>
  <c r="D145" i="21" s="1"/>
  <c r="E133" i="21"/>
  <c r="F133" i="21"/>
  <c r="I133" i="21"/>
  <c r="N133" i="21"/>
  <c r="A134" i="21"/>
  <c r="N134" i="21" s="1"/>
  <c r="B134" i="21"/>
  <c r="D134" i="21"/>
  <c r="F134" i="21" s="1"/>
  <c r="E134" i="21"/>
  <c r="I134" i="21"/>
  <c r="A135" i="21"/>
  <c r="A136" i="21" s="1"/>
  <c r="B135" i="21"/>
  <c r="D135" i="21"/>
  <c r="E135" i="21"/>
  <c r="F135" i="21"/>
  <c r="I135" i="21"/>
  <c r="B136" i="21"/>
  <c r="D136" i="21"/>
  <c r="E136" i="21" s="1"/>
  <c r="F136" i="21"/>
  <c r="I136" i="21"/>
  <c r="B137" i="21"/>
  <c r="D137" i="21"/>
  <c r="F137" i="21" s="1"/>
  <c r="E137" i="21"/>
  <c r="I137" i="21"/>
  <c r="B138" i="21"/>
  <c r="D138" i="21"/>
  <c r="E138" i="21" s="1"/>
  <c r="F138" i="21"/>
  <c r="I138" i="21"/>
  <c r="B139" i="21"/>
  <c r="D139" i="21"/>
  <c r="F139" i="21" s="1"/>
  <c r="E139" i="21"/>
  <c r="I139" i="21"/>
  <c r="B140" i="21"/>
  <c r="D140" i="21"/>
  <c r="E140" i="21" s="1"/>
  <c r="F140" i="21"/>
  <c r="I140" i="21"/>
  <c r="B141" i="21"/>
  <c r="D141" i="21"/>
  <c r="F141" i="21" s="1"/>
  <c r="E141" i="21"/>
  <c r="I141" i="21"/>
  <c r="B142" i="21"/>
  <c r="D142" i="21"/>
  <c r="E142" i="21" s="1"/>
  <c r="F142" i="21"/>
  <c r="I142" i="21"/>
  <c r="B143" i="21"/>
  <c r="D143" i="21"/>
  <c r="F143" i="21" s="1"/>
  <c r="E143" i="21"/>
  <c r="I143" i="21"/>
  <c r="B144" i="21"/>
  <c r="D144" i="21"/>
  <c r="E144" i="21" s="1"/>
  <c r="F144" i="21"/>
  <c r="I144" i="21"/>
  <c r="I145" i="21"/>
  <c r="B150" i="21"/>
  <c r="D150" i="21"/>
  <c r="F150" i="21" s="1"/>
  <c r="I150" i="21"/>
  <c r="B151" i="21"/>
  <c r="D151" i="21"/>
  <c r="I151" i="21"/>
  <c r="B152" i="21"/>
  <c r="D152" i="21"/>
  <c r="I152" i="21"/>
  <c r="B153" i="21"/>
  <c r="D153" i="21"/>
  <c r="F153" i="21"/>
  <c r="I153" i="21"/>
  <c r="B154" i="21"/>
  <c r="D154" i="21"/>
  <c r="F154" i="21"/>
  <c r="I154" i="21"/>
  <c r="B155" i="21"/>
  <c r="D155" i="21"/>
  <c r="F155" i="21"/>
  <c r="I155" i="21"/>
  <c r="B156" i="21"/>
  <c r="D156" i="21"/>
  <c r="F156" i="21"/>
  <c r="I156" i="21"/>
  <c r="B157" i="21"/>
  <c r="D157" i="21"/>
  <c r="F157" i="21"/>
  <c r="G157" i="21"/>
  <c r="I157" i="21"/>
  <c r="B158" i="21"/>
  <c r="D158" i="21"/>
  <c r="F158" i="21"/>
  <c r="I158" i="21"/>
  <c r="B159" i="21"/>
  <c r="D159" i="21"/>
  <c r="E159" i="21"/>
  <c r="F159" i="21"/>
  <c r="G159" i="21"/>
  <c r="I159" i="21"/>
  <c r="B160" i="21"/>
  <c r="D160" i="21"/>
  <c r="F160" i="21" s="1"/>
  <c r="I160" i="21"/>
  <c r="B161" i="21"/>
  <c r="D161" i="21"/>
  <c r="F161" i="21" s="1"/>
  <c r="E161" i="21"/>
  <c r="I161" i="21"/>
  <c r="N168" i="21"/>
  <c r="B170" i="21"/>
  <c r="B171" i="21" s="1"/>
  <c r="B172" i="21" s="1"/>
  <c r="B173" i="21" s="1"/>
  <c r="B174" i="21" s="1"/>
  <c r="B175" i="21" s="1"/>
  <c r="B176" i="21" s="1"/>
  <c r="B177" i="21" s="1"/>
  <c r="B178" i="21" s="1"/>
  <c r="B179" i="21" s="1"/>
  <c r="B180" i="21" s="1"/>
  <c r="B181" i="21" s="1"/>
  <c r="B182" i="21" s="1"/>
  <c r="B183" i="21" s="1"/>
  <c r="B184" i="21" s="1"/>
  <c r="I2" i="20"/>
  <c r="J13" i="20"/>
  <c r="C14" i="20"/>
  <c r="J14" i="20"/>
  <c r="A15" i="20"/>
  <c r="C15" i="20"/>
  <c r="J15" i="20"/>
  <c r="A16" i="20"/>
  <c r="J16" i="20" s="1"/>
  <c r="C16" i="20"/>
  <c r="C17" i="20"/>
  <c r="C18" i="20"/>
  <c r="C19" i="20"/>
  <c r="C20" i="20"/>
  <c r="C21" i="20"/>
  <c r="C22" i="20"/>
  <c r="C23" i="20"/>
  <c r="C24" i="20"/>
  <c r="C25" i="20"/>
  <c r="C26" i="20"/>
  <c r="D27" i="20"/>
  <c r="E27" i="20"/>
  <c r="E14" i="7" s="1"/>
  <c r="J37" i="20"/>
  <c r="C38" i="20"/>
  <c r="F38" i="20"/>
  <c r="J38" i="20"/>
  <c r="A39" i="20"/>
  <c r="C39" i="20"/>
  <c r="F39" i="20"/>
  <c r="J39" i="20"/>
  <c r="A40" i="20"/>
  <c r="A41" i="20" s="1"/>
  <c r="C40" i="20"/>
  <c r="F40" i="20"/>
  <c r="J40" i="20"/>
  <c r="C41" i="20"/>
  <c r="F41" i="20"/>
  <c r="C42" i="20"/>
  <c r="F42" i="20"/>
  <c r="C43" i="20"/>
  <c r="F43" i="20"/>
  <c r="C44" i="20"/>
  <c r="F44" i="20"/>
  <c r="C45" i="20"/>
  <c r="F45" i="20"/>
  <c r="C46" i="20"/>
  <c r="F46" i="20"/>
  <c r="C47" i="20"/>
  <c r="F47" i="20"/>
  <c r="C48" i="20"/>
  <c r="F48" i="20"/>
  <c r="C49" i="20"/>
  <c r="F49" i="20"/>
  <c r="C50" i="20"/>
  <c r="F50" i="20"/>
  <c r="D57" i="20"/>
  <c r="E57" i="20"/>
  <c r="F57" i="20"/>
  <c r="G57" i="20"/>
  <c r="H57" i="20"/>
  <c r="I57" i="20"/>
  <c r="D60" i="20"/>
  <c r="E60" i="20"/>
  <c r="F60" i="20"/>
  <c r="G60" i="20"/>
  <c r="H60" i="20"/>
  <c r="I60" i="20"/>
  <c r="Q10" i="19"/>
  <c r="B11" i="19"/>
  <c r="D11" i="19"/>
  <c r="F11" i="19"/>
  <c r="H11" i="19"/>
  <c r="I11" i="19"/>
  <c r="J11" i="19"/>
  <c r="M11" i="19"/>
  <c r="Q11" i="19"/>
  <c r="A12" i="19"/>
  <c r="B12" i="19"/>
  <c r="D12" i="19"/>
  <c r="F12" i="19"/>
  <c r="H12" i="19" s="1"/>
  <c r="I12" i="19"/>
  <c r="B13" i="19"/>
  <c r="D13" i="19"/>
  <c r="P66" i="18" s="1"/>
  <c r="F13" i="19"/>
  <c r="I13" i="19"/>
  <c r="B14" i="19"/>
  <c r="D14" i="19"/>
  <c r="F14" i="19"/>
  <c r="M14" i="19" s="1"/>
  <c r="H14" i="19"/>
  <c r="I14" i="19"/>
  <c r="J14" i="19"/>
  <c r="B15" i="19"/>
  <c r="D15" i="19"/>
  <c r="F15" i="19"/>
  <c r="H15" i="19"/>
  <c r="I15" i="19"/>
  <c r="J15" i="19" s="1"/>
  <c r="M15" i="19"/>
  <c r="F16" i="19"/>
  <c r="H16" i="19"/>
  <c r="J16" i="19" s="1"/>
  <c r="I16" i="19"/>
  <c r="M16" i="19"/>
  <c r="B17" i="19"/>
  <c r="D17" i="19"/>
  <c r="F17" i="19"/>
  <c r="H17" i="19"/>
  <c r="I17" i="19"/>
  <c r="B18" i="19"/>
  <c r="D18" i="19"/>
  <c r="F18" i="19"/>
  <c r="H18" i="19"/>
  <c r="I18" i="19"/>
  <c r="J18" i="19"/>
  <c r="M18" i="19"/>
  <c r="B19" i="19"/>
  <c r="D19" i="19"/>
  <c r="F19" i="19"/>
  <c r="J19" i="19" s="1"/>
  <c r="H19" i="19"/>
  <c r="I19" i="19"/>
  <c r="M19" i="19"/>
  <c r="B20" i="19"/>
  <c r="D20" i="19"/>
  <c r="AB66" i="18" s="1"/>
  <c r="F20" i="19"/>
  <c r="H20" i="19"/>
  <c r="J20" i="19" s="1"/>
  <c r="I20" i="19"/>
  <c r="M20" i="19"/>
  <c r="B21" i="19"/>
  <c r="D21" i="19"/>
  <c r="F21" i="19"/>
  <c r="J21" i="19" s="1"/>
  <c r="H21" i="19"/>
  <c r="I21" i="19"/>
  <c r="F22" i="19"/>
  <c r="H22" i="19" s="1"/>
  <c r="I22" i="19"/>
  <c r="F23" i="19"/>
  <c r="I23" i="19"/>
  <c r="F24" i="19"/>
  <c r="H24" i="19"/>
  <c r="I24" i="19"/>
  <c r="J24" i="19"/>
  <c r="M24" i="19"/>
  <c r="F25" i="19"/>
  <c r="H25" i="19" s="1"/>
  <c r="I25" i="19"/>
  <c r="F26" i="19"/>
  <c r="M26" i="19" s="1"/>
  <c r="H26" i="19"/>
  <c r="I26" i="19"/>
  <c r="J26" i="19"/>
  <c r="F27" i="19"/>
  <c r="J27" i="19" s="1"/>
  <c r="H27" i="19"/>
  <c r="I27" i="19"/>
  <c r="M27" i="19"/>
  <c r="F28" i="19"/>
  <c r="M28" i="19" s="1"/>
  <c r="H28" i="19"/>
  <c r="I28" i="19"/>
  <c r="F29" i="19"/>
  <c r="H29" i="19" s="1"/>
  <c r="J29" i="19" s="1"/>
  <c r="I29" i="19"/>
  <c r="M29" i="19"/>
  <c r="F30" i="19"/>
  <c r="H30" i="19"/>
  <c r="J30" i="19" s="1"/>
  <c r="I30" i="19"/>
  <c r="M30" i="19"/>
  <c r="F31" i="19"/>
  <c r="H31" i="19" s="1"/>
  <c r="J31" i="19" s="1"/>
  <c r="I31" i="19"/>
  <c r="M31" i="19"/>
  <c r="F32" i="19"/>
  <c r="H32" i="19" s="1"/>
  <c r="I32" i="19"/>
  <c r="F33" i="19"/>
  <c r="H33" i="19"/>
  <c r="I33" i="19"/>
  <c r="Q45" i="19"/>
  <c r="B46" i="19"/>
  <c r="D46" i="19"/>
  <c r="F46" i="19"/>
  <c r="H46" i="19"/>
  <c r="J46" i="19" s="1"/>
  <c r="I46" i="19"/>
  <c r="M46" i="19"/>
  <c r="Q46" i="19"/>
  <c r="A47" i="19"/>
  <c r="Q47" i="19" s="1"/>
  <c r="B47" i="19"/>
  <c r="D47" i="19"/>
  <c r="F47" i="19"/>
  <c r="H47" i="19"/>
  <c r="J47" i="19" s="1"/>
  <c r="I47" i="19"/>
  <c r="M47" i="19"/>
  <c r="B48" i="19"/>
  <c r="D48" i="19"/>
  <c r="F48" i="19"/>
  <c r="F57" i="19" s="1"/>
  <c r="H48" i="19"/>
  <c r="I48" i="19"/>
  <c r="B49" i="19"/>
  <c r="D49" i="19"/>
  <c r="F49" i="19"/>
  <c r="H49" i="19"/>
  <c r="I49" i="19"/>
  <c r="J49" i="19"/>
  <c r="M49" i="19"/>
  <c r="B50" i="19"/>
  <c r="D50" i="19"/>
  <c r="F50" i="19"/>
  <c r="H50" i="19"/>
  <c r="J50" i="19" s="1"/>
  <c r="I50" i="19"/>
  <c r="M50" i="19"/>
  <c r="B51" i="19"/>
  <c r="D51" i="19"/>
  <c r="F51" i="19"/>
  <c r="H51" i="19"/>
  <c r="J51" i="19" s="1"/>
  <c r="I51" i="19"/>
  <c r="M51" i="19"/>
  <c r="B52" i="19"/>
  <c r="D52" i="19"/>
  <c r="F52" i="19"/>
  <c r="H52" i="19"/>
  <c r="I52" i="19"/>
  <c r="B53" i="19"/>
  <c r="D53" i="19"/>
  <c r="F53" i="19"/>
  <c r="H53" i="19"/>
  <c r="I53" i="19"/>
  <c r="J53" i="19"/>
  <c r="M53" i="19"/>
  <c r="B54" i="19"/>
  <c r="D54" i="19"/>
  <c r="F54" i="19"/>
  <c r="H54" i="19"/>
  <c r="J54" i="19" s="1"/>
  <c r="I54" i="19"/>
  <c r="M54" i="19"/>
  <c r="B55" i="19"/>
  <c r="D55" i="19"/>
  <c r="F55" i="19"/>
  <c r="H55" i="19"/>
  <c r="J55" i="19" s="1"/>
  <c r="I55" i="19"/>
  <c r="M55" i="19"/>
  <c r="Q62" i="19"/>
  <c r="Q63" i="19"/>
  <c r="A64" i="19"/>
  <c r="Q64" i="19"/>
  <c r="A65" i="19"/>
  <c r="Q65" i="19" s="1"/>
  <c r="A66" i="19"/>
  <c r="Q66" i="19"/>
  <c r="A67" i="19"/>
  <c r="AC2" i="18"/>
  <c r="AD13" i="18"/>
  <c r="AB14" i="18"/>
  <c r="AD14" i="18"/>
  <c r="A15" i="18"/>
  <c r="AB15" i="18"/>
  <c r="AD15" i="18"/>
  <c r="A16" i="18"/>
  <c r="AD16" i="18" s="1"/>
  <c r="C16" i="18"/>
  <c r="D16" i="18"/>
  <c r="E16" i="18"/>
  <c r="F16" i="18"/>
  <c r="G16" i="18"/>
  <c r="H16" i="18"/>
  <c r="I16" i="18"/>
  <c r="J16" i="18"/>
  <c r="K16" i="18"/>
  <c r="L16" i="18"/>
  <c r="M16" i="18"/>
  <c r="N16" i="18"/>
  <c r="O16" i="18"/>
  <c r="P16" i="18"/>
  <c r="Q16" i="18"/>
  <c r="R16" i="18"/>
  <c r="S16" i="18"/>
  <c r="T16" i="18"/>
  <c r="U16" i="18"/>
  <c r="V16" i="18"/>
  <c r="W16" i="18"/>
  <c r="X16" i="18"/>
  <c r="Y16" i="18"/>
  <c r="Z16" i="18"/>
  <c r="AA16" i="18"/>
  <c r="AB16" i="18"/>
  <c r="F98" i="18" s="1"/>
  <c r="AD27" i="18"/>
  <c r="B28" i="18"/>
  <c r="AD28" i="18"/>
  <c r="AD43" i="18"/>
  <c r="C44" i="18"/>
  <c r="D44" i="18"/>
  <c r="D78" i="18" s="1"/>
  <c r="E44" i="18"/>
  <c r="AC44" i="18" s="1"/>
  <c r="F44" i="18"/>
  <c r="G44" i="18"/>
  <c r="H44" i="18"/>
  <c r="I44" i="18"/>
  <c r="J44" i="18"/>
  <c r="K44" i="18"/>
  <c r="L44" i="18"/>
  <c r="M44" i="18"/>
  <c r="N44" i="18"/>
  <c r="O44" i="18"/>
  <c r="P44" i="18"/>
  <c r="Q44" i="18"/>
  <c r="R44" i="18"/>
  <c r="S44" i="18"/>
  <c r="T44" i="18"/>
  <c r="U44" i="18"/>
  <c r="V44" i="18"/>
  <c r="W44" i="18"/>
  <c r="X44" i="18"/>
  <c r="Y44" i="18"/>
  <c r="Z44" i="18"/>
  <c r="AA44" i="18"/>
  <c r="AB44" i="18"/>
  <c r="AD44" i="18"/>
  <c r="A45" i="18"/>
  <c r="AD45" i="18" s="1"/>
  <c r="C45" i="18"/>
  <c r="D45" i="18"/>
  <c r="AC45" i="18" s="1"/>
  <c r="E45" i="18"/>
  <c r="F45" i="18"/>
  <c r="G45" i="18"/>
  <c r="H45" i="18"/>
  <c r="I45" i="18"/>
  <c r="J45" i="18"/>
  <c r="K45" i="18"/>
  <c r="L45" i="18"/>
  <c r="M45" i="18"/>
  <c r="N45" i="18"/>
  <c r="O45" i="18"/>
  <c r="P45" i="18"/>
  <c r="Q45" i="18"/>
  <c r="R45" i="18"/>
  <c r="S45" i="18"/>
  <c r="T45" i="18"/>
  <c r="U45" i="18"/>
  <c r="V45" i="18"/>
  <c r="W45" i="18"/>
  <c r="X45" i="18"/>
  <c r="Y45" i="18"/>
  <c r="Z45" i="18"/>
  <c r="AA45" i="18"/>
  <c r="AB45" i="18"/>
  <c r="C46" i="18"/>
  <c r="D46" i="18"/>
  <c r="E46" i="18"/>
  <c r="F46" i="18"/>
  <c r="AC46" i="18" s="1"/>
  <c r="G46" i="18"/>
  <c r="H46" i="18"/>
  <c r="I46" i="18"/>
  <c r="J46" i="18"/>
  <c r="K46" i="18"/>
  <c r="L46" i="18"/>
  <c r="M46" i="18"/>
  <c r="N46" i="18"/>
  <c r="O46" i="18"/>
  <c r="P46" i="18"/>
  <c r="Q46" i="18"/>
  <c r="R46" i="18"/>
  <c r="S46" i="18"/>
  <c r="T46" i="18"/>
  <c r="U46" i="18"/>
  <c r="V46" i="18"/>
  <c r="W46" i="18"/>
  <c r="X46" i="18"/>
  <c r="Y46" i="18"/>
  <c r="Z46" i="18"/>
  <c r="AA46" i="18"/>
  <c r="AB46" i="18"/>
  <c r="C47" i="18"/>
  <c r="D47" i="18"/>
  <c r="AC47" i="18" s="1"/>
  <c r="E47" i="18"/>
  <c r="F47" i="18"/>
  <c r="G47" i="18"/>
  <c r="H47" i="18"/>
  <c r="I47" i="18"/>
  <c r="J47" i="18"/>
  <c r="K47" i="18"/>
  <c r="L47" i="18"/>
  <c r="M47" i="18"/>
  <c r="N47" i="18"/>
  <c r="O47" i="18"/>
  <c r="P47" i="18"/>
  <c r="Q47" i="18"/>
  <c r="R47" i="18"/>
  <c r="S47" i="18"/>
  <c r="T47" i="18"/>
  <c r="U47" i="18"/>
  <c r="V47" i="18"/>
  <c r="W47" i="18"/>
  <c r="X47" i="18"/>
  <c r="Y47" i="18"/>
  <c r="Z47" i="18"/>
  <c r="AA47" i="18"/>
  <c r="AB47" i="18"/>
  <c r="C48" i="18"/>
  <c r="D48" i="18"/>
  <c r="E48" i="18"/>
  <c r="F48" i="18"/>
  <c r="AC48" i="18" s="1"/>
  <c r="G48" i="18"/>
  <c r="H48" i="18"/>
  <c r="I48" i="18"/>
  <c r="J48" i="18"/>
  <c r="K48" i="18"/>
  <c r="L48" i="18"/>
  <c r="M48" i="18"/>
  <c r="N48" i="18"/>
  <c r="O48" i="18"/>
  <c r="P48" i="18"/>
  <c r="Q48" i="18"/>
  <c r="R48" i="18"/>
  <c r="S48" i="18"/>
  <c r="T48" i="18"/>
  <c r="U48" i="18"/>
  <c r="V48" i="18"/>
  <c r="W48" i="18"/>
  <c r="X48" i="18"/>
  <c r="Y48" i="18"/>
  <c r="Z48" i="18"/>
  <c r="AA48" i="18"/>
  <c r="AB48" i="18"/>
  <c r="C49" i="18"/>
  <c r="D49" i="18"/>
  <c r="AC49" i="18" s="1"/>
  <c r="E49" i="18"/>
  <c r="F49" i="18"/>
  <c r="G49" i="18"/>
  <c r="H49" i="18"/>
  <c r="I49" i="18"/>
  <c r="J49" i="18"/>
  <c r="K49" i="18"/>
  <c r="L49" i="18"/>
  <c r="M49" i="18"/>
  <c r="N49" i="18"/>
  <c r="O49" i="18"/>
  <c r="P49" i="18"/>
  <c r="Q49" i="18"/>
  <c r="R49" i="18"/>
  <c r="S49" i="18"/>
  <c r="T49" i="18"/>
  <c r="U49" i="18"/>
  <c r="V49" i="18"/>
  <c r="W49" i="18"/>
  <c r="X49" i="18"/>
  <c r="Y49" i="18"/>
  <c r="Z49" i="18"/>
  <c r="AA49" i="18"/>
  <c r="AB49" i="18"/>
  <c r="C50" i="18"/>
  <c r="D50" i="18"/>
  <c r="AC50" i="18" s="1"/>
  <c r="E50" i="18"/>
  <c r="F50" i="18"/>
  <c r="G50" i="18"/>
  <c r="H50" i="18"/>
  <c r="I50" i="18"/>
  <c r="J50" i="18"/>
  <c r="K50" i="18"/>
  <c r="L50" i="18"/>
  <c r="M50" i="18"/>
  <c r="N50" i="18"/>
  <c r="O50" i="18"/>
  <c r="P50" i="18"/>
  <c r="Q50" i="18"/>
  <c r="R50" i="18"/>
  <c r="S50" i="18"/>
  <c r="T50" i="18"/>
  <c r="U50" i="18"/>
  <c r="V50" i="18"/>
  <c r="W50" i="18"/>
  <c r="X50" i="18"/>
  <c r="Y50" i="18"/>
  <c r="Z50" i="18"/>
  <c r="AA50" i="18"/>
  <c r="AB50" i="18"/>
  <c r="C51" i="18"/>
  <c r="D51" i="18"/>
  <c r="E51" i="18"/>
  <c r="F51" i="18"/>
  <c r="AC51" i="18" s="1"/>
  <c r="G51" i="18"/>
  <c r="H51" i="18"/>
  <c r="I51" i="18"/>
  <c r="J51" i="18"/>
  <c r="K51" i="18"/>
  <c r="L51" i="18"/>
  <c r="M51" i="18"/>
  <c r="N51" i="18"/>
  <c r="O51" i="18"/>
  <c r="P51" i="18"/>
  <c r="Q51" i="18"/>
  <c r="R51" i="18"/>
  <c r="S51" i="18"/>
  <c r="T51" i="18"/>
  <c r="U51" i="18"/>
  <c r="V51" i="18"/>
  <c r="W51" i="18"/>
  <c r="X51" i="18"/>
  <c r="Y51" i="18"/>
  <c r="Z51" i="18"/>
  <c r="AA51" i="18"/>
  <c r="AB51" i="18"/>
  <c r="C52" i="18"/>
  <c r="D52" i="18"/>
  <c r="E52" i="18"/>
  <c r="F52" i="18"/>
  <c r="G52" i="18"/>
  <c r="H52" i="18"/>
  <c r="I52" i="18"/>
  <c r="J52" i="18"/>
  <c r="AC52" i="18" s="1"/>
  <c r="K52" i="18"/>
  <c r="L52" i="18"/>
  <c r="M52" i="18"/>
  <c r="N52" i="18"/>
  <c r="O52" i="18"/>
  <c r="P52" i="18"/>
  <c r="Q52" i="18"/>
  <c r="R52" i="18"/>
  <c r="S52" i="18"/>
  <c r="T52" i="18"/>
  <c r="U52" i="18"/>
  <c r="V52" i="18"/>
  <c r="W52" i="18"/>
  <c r="X52" i="18"/>
  <c r="Y52" i="18"/>
  <c r="Z52" i="18"/>
  <c r="AA52" i="18"/>
  <c r="AB52" i="18"/>
  <c r="C53" i="18"/>
  <c r="D53" i="18"/>
  <c r="E53" i="18"/>
  <c r="F53" i="18"/>
  <c r="AC53" i="18" s="1"/>
  <c r="G53" i="18"/>
  <c r="H53" i="18"/>
  <c r="I53" i="18"/>
  <c r="J53" i="18"/>
  <c r="K53" i="18"/>
  <c r="L53" i="18"/>
  <c r="M53" i="18"/>
  <c r="N53" i="18"/>
  <c r="O53" i="18"/>
  <c r="P53" i="18"/>
  <c r="Q53" i="18"/>
  <c r="R53" i="18"/>
  <c r="S53" i="18"/>
  <c r="T53" i="18"/>
  <c r="U53" i="18"/>
  <c r="V53" i="18"/>
  <c r="W53" i="18"/>
  <c r="X53" i="18"/>
  <c r="Y53" i="18"/>
  <c r="Z53" i="18"/>
  <c r="AA53" i="18"/>
  <c r="AB53" i="18"/>
  <c r="C54" i="18"/>
  <c r="D54" i="18"/>
  <c r="E54" i="18"/>
  <c r="F54" i="18"/>
  <c r="G54" i="18"/>
  <c r="AC54" i="18" s="1"/>
  <c r="H54" i="18"/>
  <c r="I54" i="18"/>
  <c r="J54" i="18"/>
  <c r="K54" i="18"/>
  <c r="L54" i="18"/>
  <c r="M54" i="18"/>
  <c r="N54" i="18"/>
  <c r="O54" i="18"/>
  <c r="P54" i="18"/>
  <c r="Q54" i="18"/>
  <c r="R54" i="18"/>
  <c r="S54" i="18"/>
  <c r="T54" i="18"/>
  <c r="U54" i="18"/>
  <c r="V54" i="18"/>
  <c r="W54" i="18"/>
  <c r="X54" i="18"/>
  <c r="Y54" i="18"/>
  <c r="Z54" i="18"/>
  <c r="AA54" i="18"/>
  <c r="AB54" i="18"/>
  <c r="C55" i="18"/>
  <c r="D55" i="18"/>
  <c r="E55" i="18"/>
  <c r="F55" i="18"/>
  <c r="AC55" i="18" s="1"/>
  <c r="G55" i="18"/>
  <c r="H55" i="18"/>
  <c r="I55" i="18"/>
  <c r="J55" i="18"/>
  <c r="K55" i="18"/>
  <c r="L55" i="18"/>
  <c r="M55" i="18"/>
  <c r="N55" i="18"/>
  <c r="O55" i="18"/>
  <c r="P55" i="18"/>
  <c r="Q55" i="18"/>
  <c r="R55" i="18"/>
  <c r="S55" i="18"/>
  <c r="T55" i="18"/>
  <c r="U55" i="18"/>
  <c r="V55" i="18"/>
  <c r="W55" i="18"/>
  <c r="X55" i="18"/>
  <c r="Y55" i="18"/>
  <c r="Z55" i="18"/>
  <c r="AA55" i="18"/>
  <c r="AB55" i="18"/>
  <c r="AD65" i="18"/>
  <c r="E66" i="18"/>
  <c r="F66" i="18"/>
  <c r="F78" i="18" s="1"/>
  <c r="G66" i="18"/>
  <c r="G85" i="18" s="1"/>
  <c r="AD66" i="18"/>
  <c r="AD76" i="18"/>
  <c r="C78" i="18"/>
  <c r="AD78" i="18"/>
  <c r="A79" i="18"/>
  <c r="AD79" i="18" s="1"/>
  <c r="C79" i="18"/>
  <c r="A80" i="18"/>
  <c r="AD80" i="18" s="1"/>
  <c r="C80" i="18"/>
  <c r="D80" i="18"/>
  <c r="C81" i="18"/>
  <c r="D81" i="18"/>
  <c r="C82" i="18"/>
  <c r="D82" i="18"/>
  <c r="F82" i="18"/>
  <c r="C83" i="18"/>
  <c r="C84" i="18"/>
  <c r="D84" i="18"/>
  <c r="C85" i="18"/>
  <c r="D85" i="18"/>
  <c r="C86" i="18"/>
  <c r="D86" i="18"/>
  <c r="C87" i="18"/>
  <c r="D87" i="18"/>
  <c r="F87" i="18"/>
  <c r="C88" i="18"/>
  <c r="D88" i="18"/>
  <c r="C89" i="18"/>
  <c r="D89" i="18"/>
  <c r="AD96" i="18"/>
  <c r="AD97" i="18"/>
  <c r="A98" i="18"/>
  <c r="AD98" i="18"/>
  <c r="A99" i="18"/>
  <c r="AD99" i="18"/>
  <c r="AD2" i="17"/>
  <c r="AE14" i="17"/>
  <c r="C15" i="17"/>
  <c r="D15" i="17"/>
  <c r="AC15" i="17" s="1"/>
  <c r="E15" i="17"/>
  <c r="F15" i="17"/>
  <c r="F28" i="17" s="1"/>
  <c r="G15" i="17"/>
  <c r="H15" i="17"/>
  <c r="H28" i="17" s="1"/>
  <c r="I15" i="17"/>
  <c r="I28" i="17" s="1"/>
  <c r="J15" i="17"/>
  <c r="J28" i="17" s="1"/>
  <c r="K15" i="17"/>
  <c r="L15" i="17"/>
  <c r="L28" i="17" s="1"/>
  <c r="M15" i="17"/>
  <c r="N15" i="17"/>
  <c r="O15" i="17"/>
  <c r="P15" i="17"/>
  <c r="Q15" i="17"/>
  <c r="R15" i="17"/>
  <c r="R28" i="17" s="1"/>
  <c r="S15" i="17"/>
  <c r="T15" i="17"/>
  <c r="T28" i="17" s="1"/>
  <c r="U15" i="17"/>
  <c r="U28" i="17" s="1"/>
  <c r="V15" i="17"/>
  <c r="V28" i="17" s="1"/>
  <c r="W15" i="17"/>
  <c r="X15" i="17"/>
  <c r="X28" i="17" s="1"/>
  <c r="Y15" i="17"/>
  <c r="Z15" i="17"/>
  <c r="AA15" i="17"/>
  <c r="AB15" i="17"/>
  <c r="AD15" i="17"/>
  <c r="AE15" i="17"/>
  <c r="A16" i="17"/>
  <c r="AE16" i="17" s="1"/>
  <c r="C16" i="17"/>
  <c r="D16" i="17"/>
  <c r="D28" i="17" s="1"/>
  <c r="E16" i="17"/>
  <c r="F16" i="17"/>
  <c r="G16" i="17"/>
  <c r="H16" i="17"/>
  <c r="I16" i="17"/>
  <c r="J16" i="17"/>
  <c r="K16" i="17"/>
  <c r="L16" i="17"/>
  <c r="M16" i="17"/>
  <c r="N16" i="17"/>
  <c r="N28" i="17" s="1"/>
  <c r="O16" i="17"/>
  <c r="O28" i="17" s="1"/>
  <c r="P16" i="17"/>
  <c r="P28" i="17" s="1"/>
  <c r="Q16" i="17"/>
  <c r="R16" i="17"/>
  <c r="S16" i="17"/>
  <c r="T16" i="17"/>
  <c r="U16" i="17"/>
  <c r="V16" i="17"/>
  <c r="W16" i="17"/>
  <c r="X16" i="17"/>
  <c r="Y16" i="17"/>
  <c r="Z16" i="17"/>
  <c r="Z28" i="17" s="1"/>
  <c r="AA16" i="17"/>
  <c r="AA28" i="17" s="1"/>
  <c r="AB16" i="17"/>
  <c r="AB28" i="17" s="1"/>
  <c r="C17" i="17"/>
  <c r="D17" i="17"/>
  <c r="AC17" i="17" s="1"/>
  <c r="E17" i="17"/>
  <c r="F17" i="17"/>
  <c r="G17" i="17"/>
  <c r="H17" i="17"/>
  <c r="I17" i="17"/>
  <c r="J17" i="17"/>
  <c r="K17" i="17"/>
  <c r="L17" i="17"/>
  <c r="M17" i="17"/>
  <c r="N17" i="17"/>
  <c r="O17" i="17"/>
  <c r="P17" i="17"/>
  <c r="Q17" i="17"/>
  <c r="R17" i="17"/>
  <c r="S17" i="17"/>
  <c r="T17" i="17"/>
  <c r="U17" i="17"/>
  <c r="V17" i="17"/>
  <c r="W17" i="17"/>
  <c r="X17" i="17"/>
  <c r="Y17" i="17"/>
  <c r="Z17" i="17"/>
  <c r="AA17" i="17"/>
  <c r="AB17" i="17"/>
  <c r="C18" i="17"/>
  <c r="D18" i="17"/>
  <c r="AC18" i="17" s="1"/>
  <c r="E18" i="17"/>
  <c r="F18" i="17"/>
  <c r="G18" i="17"/>
  <c r="H18" i="17"/>
  <c r="I18" i="17"/>
  <c r="J18" i="17"/>
  <c r="K18" i="17"/>
  <c r="L18" i="17"/>
  <c r="M18" i="17"/>
  <c r="N18" i="17"/>
  <c r="O18" i="17"/>
  <c r="P18" i="17"/>
  <c r="Q18" i="17"/>
  <c r="R18" i="17"/>
  <c r="S18" i="17"/>
  <c r="T18" i="17"/>
  <c r="U18" i="17"/>
  <c r="V18" i="17"/>
  <c r="W18" i="17"/>
  <c r="X18" i="17"/>
  <c r="Y18" i="17"/>
  <c r="Z18" i="17"/>
  <c r="AA18" i="17"/>
  <c r="AB18" i="17"/>
  <c r="C19" i="17"/>
  <c r="D19" i="17"/>
  <c r="AC19" i="17" s="1"/>
  <c r="E19" i="17"/>
  <c r="F19" i="17"/>
  <c r="G19" i="17"/>
  <c r="H19" i="17"/>
  <c r="I19" i="17"/>
  <c r="J19" i="17"/>
  <c r="K19" i="17"/>
  <c r="L19" i="17"/>
  <c r="M19" i="17"/>
  <c r="N19" i="17"/>
  <c r="O19" i="17"/>
  <c r="P19" i="17"/>
  <c r="Q19" i="17"/>
  <c r="R19" i="17"/>
  <c r="S19" i="17"/>
  <c r="T19" i="17"/>
  <c r="U19" i="17"/>
  <c r="V19" i="17"/>
  <c r="W19" i="17"/>
  <c r="X19" i="17"/>
  <c r="Y19" i="17"/>
  <c r="Z19" i="17"/>
  <c r="AA19" i="17"/>
  <c r="AB19" i="17"/>
  <c r="C20" i="17"/>
  <c r="D20" i="17"/>
  <c r="AC20" i="17" s="1"/>
  <c r="E20" i="17"/>
  <c r="F20" i="17"/>
  <c r="G20" i="17"/>
  <c r="H20" i="17"/>
  <c r="I20" i="17"/>
  <c r="J20" i="17"/>
  <c r="K20" i="17"/>
  <c r="L20" i="17"/>
  <c r="M20" i="17"/>
  <c r="N20" i="17"/>
  <c r="O20" i="17"/>
  <c r="P20" i="17"/>
  <c r="Q20" i="17"/>
  <c r="R20" i="17"/>
  <c r="S20" i="17"/>
  <c r="T20" i="17"/>
  <c r="U20" i="17"/>
  <c r="V20" i="17"/>
  <c r="W20" i="17"/>
  <c r="X20" i="17"/>
  <c r="Y20" i="17"/>
  <c r="Z20" i="17"/>
  <c r="AA20" i="17"/>
  <c r="AB20" i="17"/>
  <c r="C21" i="17"/>
  <c r="D21" i="17"/>
  <c r="AC21" i="17" s="1"/>
  <c r="E21" i="17"/>
  <c r="F21" i="17"/>
  <c r="G21" i="17"/>
  <c r="H21" i="17"/>
  <c r="I21" i="17"/>
  <c r="J21" i="17"/>
  <c r="K21" i="17"/>
  <c r="L21" i="17"/>
  <c r="M21" i="17"/>
  <c r="N21" i="17"/>
  <c r="O21" i="17"/>
  <c r="P21" i="17"/>
  <c r="Q21" i="17"/>
  <c r="R21" i="17"/>
  <c r="S21" i="17"/>
  <c r="T21" i="17"/>
  <c r="U21" i="17"/>
  <c r="V21" i="17"/>
  <c r="W21" i="17"/>
  <c r="X21" i="17"/>
  <c r="Y21" i="17"/>
  <c r="Z21" i="17"/>
  <c r="AA21" i="17"/>
  <c r="AB21" i="17"/>
  <c r="C22" i="17"/>
  <c r="D22" i="17"/>
  <c r="AC22" i="17" s="1"/>
  <c r="E22" i="17"/>
  <c r="F22" i="17"/>
  <c r="G22" i="17"/>
  <c r="H22" i="17"/>
  <c r="I22" i="17"/>
  <c r="J22" i="17"/>
  <c r="K22" i="17"/>
  <c r="L22" i="17"/>
  <c r="M22" i="17"/>
  <c r="N22" i="17"/>
  <c r="O22" i="17"/>
  <c r="P22" i="17"/>
  <c r="Q22" i="17"/>
  <c r="R22" i="17"/>
  <c r="S22" i="17"/>
  <c r="T22" i="17"/>
  <c r="U22" i="17"/>
  <c r="V22" i="17"/>
  <c r="W22" i="17"/>
  <c r="X22" i="17"/>
  <c r="Y22" i="17"/>
  <c r="Z22" i="17"/>
  <c r="AA22" i="17"/>
  <c r="AB22" i="17"/>
  <c r="C23" i="17"/>
  <c r="D23" i="17"/>
  <c r="AC23" i="17" s="1"/>
  <c r="E23" i="17"/>
  <c r="F23" i="17"/>
  <c r="G23" i="17"/>
  <c r="H23" i="17"/>
  <c r="I23" i="17"/>
  <c r="J23" i="17"/>
  <c r="K23" i="17"/>
  <c r="L23" i="17"/>
  <c r="M23" i="17"/>
  <c r="N23" i="17"/>
  <c r="O23" i="17"/>
  <c r="P23" i="17"/>
  <c r="Q23" i="17"/>
  <c r="R23" i="17"/>
  <c r="S23" i="17"/>
  <c r="T23" i="17"/>
  <c r="U23" i="17"/>
  <c r="V23" i="17"/>
  <c r="W23" i="17"/>
  <c r="X23" i="17"/>
  <c r="Y23" i="17"/>
  <c r="Z23" i="17"/>
  <c r="AA23" i="17"/>
  <c r="AB23" i="17"/>
  <c r="C24" i="17"/>
  <c r="D24" i="17"/>
  <c r="AC24" i="17" s="1"/>
  <c r="E24" i="17"/>
  <c r="F24" i="17"/>
  <c r="G24" i="17"/>
  <c r="H24" i="17"/>
  <c r="I24" i="17"/>
  <c r="J24" i="17"/>
  <c r="K24" i="17"/>
  <c r="L24" i="17"/>
  <c r="M24" i="17"/>
  <c r="N24" i="17"/>
  <c r="O24" i="17"/>
  <c r="P24" i="17"/>
  <c r="Q24" i="17"/>
  <c r="R24" i="17"/>
  <c r="S24" i="17"/>
  <c r="T24" i="17"/>
  <c r="U24" i="17"/>
  <c r="V24" i="17"/>
  <c r="W24" i="17"/>
  <c r="X24" i="17"/>
  <c r="Y24" i="17"/>
  <c r="Z24" i="17"/>
  <c r="AA24" i="17"/>
  <c r="AB24" i="17"/>
  <c r="C25" i="17"/>
  <c r="D25" i="17"/>
  <c r="AC25" i="17" s="1"/>
  <c r="E25" i="17"/>
  <c r="F25" i="17"/>
  <c r="G25" i="17"/>
  <c r="H25" i="17"/>
  <c r="I25" i="17"/>
  <c r="J25" i="17"/>
  <c r="K25" i="17"/>
  <c r="L25" i="17"/>
  <c r="M25" i="17"/>
  <c r="N25" i="17"/>
  <c r="O25" i="17"/>
  <c r="P25" i="17"/>
  <c r="Q25" i="17"/>
  <c r="R25" i="17"/>
  <c r="S25" i="17"/>
  <c r="T25" i="17"/>
  <c r="U25" i="17"/>
  <c r="V25" i="17"/>
  <c r="W25" i="17"/>
  <c r="X25" i="17"/>
  <c r="Y25" i="17"/>
  <c r="Z25" i="17"/>
  <c r="AA25" i="17"/>
  <c r="AB25" i="17"/>
  <c r="C26" i="17"/>
  <c r="D26" i="17"/>
  <c r="AC26" i="17" s="1"/>
  <c r="E26" i="17"/>
  <c r="F26" i="17"/>
  <c r="G26" i="17"/>
  <c r="H26" i="17"/>
  <c r="I26" i="17"/>
  <c r="J26" i="17"/>
  <c r="K26" i="17"/>
  <c r="L26" i="17"/>
  <c r="M26" i="17"/>
  <c r="N26" i="17"/>
  <c r="O26" i="17"/>
  <c r="P26" i="17"/>
  <c r="Q26" i="17"/>
  <c r="R26" i="17"/>
  <c r="S26" i="17"/>
  <c r="T26" i="17"/>
  <c r="U26" i="17"/>
  <c r="V26" i="17"/>
  <c r="W26" i="17"/>
  <c r="X26" i="17"/>
  <c r="Y26" i="17"/>
  <c r="Z26" i="17"/>
  <c r="AA26" i="17"/>
  <c r="AB26" i="17"/>
  <c r="C27" i="17"/>
  <c r="D27" i="17"/>
  <c r="AC27" i="17" s="1"/>
  <c r="E27" i="17"/>
  <c r="F27" i="17"/>
  <c r="G27" i="17"/>
  <c r="H27" i="17"/>
  <c r="I27" i="17"/>
  <c r="J27" i="17"/>
  <c r="K27" i="17"/>
  <c r="L27" i="17"/>
  <c r="M27" i="17"/>
  <c r="N27" i="17"/>
  <c r="O27" i="17"/>
  <c r="P27" i="17"/>
  <c r="Q27" i="17"/>
  <c r="R27" i="17"/>
  <c r="S27" i="17"/>
  <c r="T27" i="17"/>
  <c r="U27" i="17"/>
  <c r="V27" i="17"/>
  <c r="W27" i="17"/>
  <c r="X27" i="17"/>
  <c r="Y27" i="17"/>
  <c r="Z27" i="17"/>
  <c r="AA27" i="17"/>
  <c r="AB27" i="17"/>
  <c r="E28" i="17"/>
  <c r="G28" i="17"/>
  <c r="K28" i="17"/>
  <c r="M28" i="17"/>
  <c r="Q28" i="17"/>
  <c r="S28" i="17"/>
  <c r="W28" i="17"/>
  <c r="Y28" i="17"/>
  <c r="AE39" i="17"/>
  <c r="C40" i="17"/>
  <c r="AC40" i="17"/>
  <c r="AE40" i="17"/>
  <c r="A41" i="17"/>
  <c r="C41" i="17"/>
  <c r="AC41" i="17"/>
  <c r="AE41" i="17"/>
  <c r="A42" i="17"/>
  <c r="C42" i="17"/>
  <c r="AC42" i="17"/>
  <c r="AC53" i="17" s="1"/>
  <c r="C43" i="17"/>
  <c r="AC43" i="17"/>
  <c r="C44" i="17"/>
  <c r="AC44" i="17"/>
  <c r="C45" i="17"/>
  <c r="AC45" i="17"/>
  <c r="C46" i="17"/>
  <c r="AC46" i="17"/>
  <c r="C47" i="17"/>
  <c r="AC47" i="17"/>
  <c r="C48" i="17"/>
  <c r="AC48" i="17"/>
  <c r="C49" i="17"/>
  <c r="AC49" i="17"/>
  <c r="C50" i="17"/>
  <c r="AC50" i="17"/>
  <c r="C51" i="17"/>
  <c r="AC51" i="17"/>
  <c r="C52" i="17"/>
  <c r="AC52" i="17"/>
  <c r="D53" i="17"/>
  <c r="E53" i="17"/>
  <c r="F53" i="17"/>
  <c r="G53" i="17"/>
  <c r="H53" i="17"/>
  <c r="I53" i="17"/>
  <c r="J53" i="17"/>
  <c r="K53" i="17"/>
  <c r="L53" i="17"/>
  <c r="M53" i="17"/>
  <c r="N53" i="17"/>
  <c r="O53" i="17"/>
  <c r="P53" i="17"/>
  <c r="Q53" i="17"/>
  <c r="R53" i="17"/>
  <c r="S53" i="17"/>
  <c r="T53" i="17"/>
  <c r="U53" i="17"/>
  <c r="V53" i="17"/>
  <c r="W53" i="17"/>
  <c r="X53" i="17"/>
  <c r="Y53" i="17"/>
  <c r="Z53" i="17"/>
  <c r="AA53" i="17"/>
  <c r="AB53" i="17"/>
  <c r="AE64" i="17"/>
  <c r="C65" i="17"/>
  <c r="AC65" i="17"/>
  <c r="AC78" i="17" s="1"/>
  <c r="AE65" i="17"/>
  <c r="A66" i="17"/>
  <c r="AE66" i="17" s="1"/>
  <c r="C66" i="17"/>
  <c r="AC66" i="17"/>
  <c r="C67" i="17"/>
  <c r="AC67" i="17"/>
  <c r="C68" i="17"/>
  <c r="AC68" i="17"/>
  <c r="C69" i="17"/>
  <c r="AC69" i="17"/>
  <c r="C70" i="17"/>
  <c r="AC70" i="17"/>
  <c r="C71" i="17"/>
  <c r="AC71" i="17"/>
  <c r="C72" i="17"/>
  <c r="AC72" i="17"/>
  <c r="C73" i="17"/>
  <c r="AC73" i="17"/>
  <c r="C74" i="17"/>
  <c r="AC74" i="17"/>
  <c r="C75" i="17"/>
  <c r="AC75" i="17"/>
  <c r="C76" i="17"/>
  <c r="AC76" i="17"/>
  <c r="C77" i="17"/>
  <c r="AC77" i="17"/>
  <c r="D78" i="17"/>
  <c r="E78" i="17"/>
  <c r="F78" i="17"/>
  <c r="G78" i="17"/>
  <c r="H78" i="17"/>
  <c r="I78" i="17"/>
  <c r="J78" i="17"/>
  <c r="K78" i="17"/>
  <c r="L78" i="17"/>
  <c r="M78" i="17"/>
  <c r="N78" i="17"/>
  <c r="O78" i="17"/>
  <c r="P78" i="17"/>
  <c r="Q78" i="17"/>
  <c r="R78" i="17"/>
  <c r="S78" i="17"/>
  <c r="T78" i="17"/>
  <c r="U78" i="17"/>
  <c r="V78" i="17"/>
  <c r="W78" i="17"/>
  <c r="X78" i="17"/>
  <c r="Y78" i="17"/>
  <c r="Z78" i="17"/>
  <c r="AA78" i="17"/>
  <c r="AB78" i="17"/>
  <c r="AE89" i="17"/>
  <c r="C90" i="17"/>
  <c r="D90" i="17"/>
  <c r="AE90" i="17"/>
  <c r="A91" i="17"/>
  <c r="A92" i="17" s="1"/>
  <c r="AE92" i="17" s="1"/>
  <c r="C91" i="17"/>
  <c r="AE91" i="17"/>
  <c r="D92" i="17"/>
  <c r="I2" i="16"/>
  <c r="J15" i="16"/>
  <c r="B16" i="16"/>
  <c r="C16" i="16"/>
  <c r="D16" i="16"/>
  <c r="G16" i="16"/>
  <c r="J16" i="16"/>
  <c r="A17" i="16"/>
  <c r="B17" i="16"/>
  <c r="C17" i="16"/>
  <c r="D17" i="16"/>
  <c r="G17" i="16"/>
  <c r="J17" i="16"/>
  <c r="A18" i="16"/>
  <c r="B18" i="16"/>
  <c r="C18" i="16"/>
  <c r="D18" i="16"/>
  <c r="G18" i="16"/>
  <c r="B19" i="16"/>
  <c r="C19" i="16"/>
  <c r="D19" i="16"/>
  <c r="G19" i="16"/>
  <c r="B20" i="16"/>
  <c r="C20" i="16"/>
  <c r="D20" i="16"/>
  <c r="G20" i="16"/>
  <c r="B21" i="16"/>
  <c r="C21" i="16"/>
  <c r="D21" i="16"/>
  <c r="G21" i="16"/>
  <c r="B22" i="16"/>
  <c r="C22" i="16"/>
  <c r="D22" i="16"/>
  <c r="G22" i="16"/>
  <c r="B23" i="16"/>
  <c r="C23" i="16"/>
  <c r="D23" i="16"/>
  <c r="G23" i="16"/>
  <c r="B24" i="16"/>
  <c r="C24" i="16"/>
  <c r="D24" i="16"/>
  <c r="G24" i="16"/>
  <c r="B25" i="16"/>
  <c r="C25" i="16"/>
  <c r="D25" i="16"/>
  <c r="G25" i="16"/>
  <c r="B26" i="16"/>
  <c r="C26" i="16"/>
  <c r="D26" i="16"/>
  <c r="G26" i="16"/>
  <c r="B27" i="16"/>
  <c r="C27" i="16"/>
  <c r="D27" i="16"/>
  <c r="G27" i="16"/>
  <c r="B28" i="16"/>
  <c r="C28" i="16"/>
  <c r="D28" i="16"/>
  <c r="G28" i="16"/>
  <c r="B29" i="16"/>
  <c r="C29" i="16"/>
  <c r="D29" i="16"/>
  <c r="G29" i="16"/>
  <c r="B30" i="16"/>
  <c r="C30" i="16"/>
  <c r="D30" i="16"/>
  <c r="G30" i="16"/>
  <c r="B31" i="16"/>
  <c r="C31" i="16"/>
  <c r="D31" i="16"/>
  <c r="G31" i="16"/>
  <c r="B32" i="16"/>
  <c r="C32" i="16"/>
  <c r="D32" i="16"/>
  <c r="G32" i="16"/>
  <c r="B33" i="16"/>
  <c r="C33" i="16"/>
  <c r="D33" i="16"/>
  <c r="G33" i="16"/>
  <c r="B34" i="16"/>
  <c r="C34" i="16"/>
  <c r="D34" i="16"/>
  <c r="G34" i="16"/>
  <c r="B35" i="16"/>
  <c r="C35" i="16"/>
  <c r="D35" i="16"/>
  <c r="G35" i="16"/>
  <c r="B36" i="16"/>
  <c r="C36" i="16"/>
  <c r="D36" i="16"/>
  <c r="G36" i="16"/>
  <c r="B37" i="16"/>
  <c r="C37" i="16"/>
  <c r="D37" i="16"/>
  <c r="G37" i="16"/>
  <c r="B38" i="16"/>
  <c r="C38" i="16"/>
  <c r="D38" i="16"/>
  <c r="G38" i="16"/>
  <c r="B39" i="16"/>
  <c r="C39" i="16"/>
  <c r="D39" i="16"/>
  <c r="G39" i="16"/>
  <c r="B51" i="16"/>
  <c r="B52" i="16"/>
  <c r="C52" i="16"/>
  <c r="J52" i="16"/>
  <c r="C53" i="16"/>
  <c r="E53" i="16"/>
  <c r="J53" i="16"/>
  <c r="A54" i="16"/>
  <c r="J54" i="16" s="1"/>
  <c r="C54" i="16"/>
  <c r="A55" i="16"/>
  <c r="J55" i="16" s="1"/>
  <c r="C55" i="16"/>
  <c r="C56" i="16"/>
  <c r="C57" i="16"/>
  <c r="C58" i="16"/>
  <c r="C59" i="16"/>
  <c r="C60" i="16"/>
  <c r="C61" i="16"/>
  <c r="C62" i="16"/>
  <c r="C63" i="16"/>
  <c r="C64" i="16"/>
  <c r="C65" i="16"/>
  <c r="C66" i="16"/>
  <c r="C67" i="16"/>
  <c r="C68" i="16"/>
  <c r="C69" i="16"/>
  <c r="C70" i="16"/>
  <c r="C71" i="16"/>
  <c r="C72" i="16"/>
  <c r="C73" i="16"/>
  <c r="C74" i="16"/>
  <c r="C75" i="16"/>
  <c r="C76" i="16"/>
  <c r="B87" i="16"/>
  <c r="B88" i="16"/>
  <c r="C88" i="16"/>
  <c r="J88" i="16"/>
  <c r="B89" i="16"/>
  <c r="C89" i="16"/>
  <c r="E89" i="16"/>
  <c r="E90" i="16" s="1"/>
  <c r="J89" i="16"/>
  <c r="A90" i="16"/>
  <c r="B90" i="16"/>
  <c r="C90" i="16"/>
  <c r="J90" i="16"/>
  <c r="A91" i="16"/>
  <c r="B91" i="16"/>
  <c r="C91" i="16"/>
  <c r="B92" i="16"/>
  <c r="C92" i="16"/>
  <c r="B93" i="16"/>
  <c r="C93" i="16"/>
  <c r="B94" i="16"/>
  <c r="C94" i="16"/>
  <c r="B95" i="16"/>
  <c r="C95" i="16"/>
  <c r="B96" i="16"/>
  <c r="C96" i="16"/>
  <c r="B97" i="16"/>
  <c r="C97" i="16"/>
  <c r="B98" i="16"/>
  <c r="C98" i="16"/>
  <c r="B99" i="16"/>
  <c r="C99" i="16"/>
  <c r="B100" i="16"/>
  <c r="C100" i="16"/>
  <c r="B101" i="16"/>
  <c r="C101" i="16"/>
  <c r="B102" i="16"/>
  <c r="C102" i="16"/>
  <c r="B103" i="16"/>
  <c r="C103" i="16"/>
  <c r="B104" i="16"/>
  <c r="C104" i="16"/>
  <c r="B105" i="16"/>
  <c r="C105" i="16"/>
  <c r="B106" i="16"/>
  <c r="C106" i="16"/>
  <c r="B107" i="16"/>
  <c r="C107" i="16"/>
  <c r="B108" i="16"/>
  <c r="C108" i="16"/>
  <c r="B109" i="16"/>
  <c r="C109" i="16"/>
  <c r="B110" i="16"/>
  <c r="C110" i="16"/>
  <c r="B111" i="16"/>
  <c r="C111" i="16"/>
  <c r="B112" i="16"/>
  <c r="C112" i="16"/>
  <c r="P2" i="15"/>
  <c r="Q12" i="15"/>
  <c r="J13" i="15"/>
  <c r="Q13" i="15"/>
  <c r="A14" i="15"/>
  <c r="J14" i="15"/>
  <c r="Q14" i="15"/>
  <c r="A15" i="15"/>
  <c r="Q15" i="15"/>
  <c r="A18" i="15"/>
  <c r="Q18" i="15" s="1"/>
  <c r="K18" i="15"/>
  <c r="K19" i="15"/>
  <c r="K14" i="15" s="1"/>
  <c r="K20" i="15"/>
  <c r="L20" i="15"/>
  <c r="M20" i="15" s="1"/>
  <c r="AD2" i="14"/>
  <c r="AE12" i="14"/>
  <c r="C13" i="14"/>
  <c r="D13" i="14"/>
  <c r="D26" i="14" s="1"/>
  <c r="E13" i="14"/>
  <c r="F13" i="14"/>
  <c r="AC13" i="14" s="1"/>
  <c r="G13" i="14"/>
  <c r="H13" i="14"/>
  <c r="I13" i="14"/>
  <c r="J13" i="14"/>
  <c r="J26" i="14" s="1"/>
  <c r="K13" i="14"/>
  <c r="L13" i="14"/>
  <c r="M13" i="14"/>
  <c r="N13" i="14"/>
  <c r="O13" i="14"/>
  <c r="P13" i="14"/>
  <c r="P26" i="14" s="1"/>
  <c r="Q13" i="14"/>
  <c r="R13" i="14"/>
  <c r="R26" i="14" s="1"/>
  <c r="S13" i="14"/>
  <c r="T13" i="14"/>
  <c r="U13" i="14"/>
  <c r="V13" i="14"/>
  <c r="V26" i="14" s="1"/>
  <c r="W13" i="14"/>
  <c r="X13" i="14"/>
  <c r="Y13" i="14"/>
  <c r="Z13" i="14"/>
  <c r="AA13" i="14"/>
  <c r="AB13" i="14"/>
  <c r="AB26" i="14" s="1"/>
  <c r="AD13" i="14"/>
  <c r="AE13" i="14"/>
  <c r="A14" i="14"/>
  <c r="C14" i="14"/>
  <c r="D14" i="14"/>
  <c r="AC14" i="14" s="1"/>
  <c r="E14" i="14"/>
  <c r="F14" i="14"/>
  <c r="G14" i="14"/>
  <c r="G26" i="14" s="1"/>
  <c r="H14" i="14"/>
  <c r="I14" i="14"/>
  <c r="J14" i="14"/>
  <c r="K14" i="14"/>
  <c r="L14" i="14"/>
  <c r="L26" i="14" s="1"/>
  <c r="M14" i="14"/>
  <c r="N14" i="14"/>
  <c r="O14" i="14"/>
  <c r="P14" i="14"/>
  <c r="Q14" i="14"/>
  <c r="R14" i="14"/>
  <c r="S14" i="14"/>
  <c r="S26" i="14" s="1"/>
  <c r="T14" i="14"/>
  <c r="U14" i="14"/>
  <c r="V14" i="14"/>
  <c r="W14" i="14"/>
  <c r="X14" i="14"/>
  <c r="X26" i="14" s="1"/>
  <c r="Y14" i="14"/>
  <c r="Z14" i="14"/>
  <c r="AA14" i="14"/>
  <c r="AB14" i="14"/>
  <c r="AE14" i="14"/>
  <c r="A15" i="14"/>
  <c r="AE15" i="14" s="1"/>
  <c r="C15" i="14"/>
  <c r="D15" i="14"/>
  <c r="E15" i="14"/>
  <c r="F15" i="14"/>
  <c r="AC15" i="14" s="1"/>
  <c r="G15" i="14"/>
  <c r="H15" i="14"/>
  <c r="I15" i="14"/>
  <c r="J15" i="14"/>
  <c r="K15" i="14"/>
  <c r="L15" i="14"/>
  <c r="M15" i="14"/>
  <c r="N15" i="14"/>
  <c r="N26" i="14" s="1"/>
  <c r="O15" i="14"/>
  <c r="P15" i="14"/>
  <c r="Q15" i="14"/>
  <c r="R15" i="14"/>
  <c r="S15" i="14"/>
  <c r="T15" i="14"/>
  <c r="U15" i="14"/>
  <c r="V15" i="14"/>
  <c r="W15" i="14"/>
  <c r="X15" i="14"/>
  <c r="Y15" i="14"/>
  <c r="Z15" i="14"/>
  <c r="Z26" i="14" s="1"/>
  <c r="AA15" i="14"/>
  <c r="AB15" i="14"/>
  <c r="C16" i="14"/>
  <c r="D16" i="14"/>
  <c r="AC16" i="14" s="1"/>
  <c r="E16" i="14"/>
  <c r="F16" i="14"/>
  <c r="G16" i="14"/>
  <c r="H16" i="14"/>
  <c r="I16" i="14"/>
  <c r="J16" i="14"/>
  <c r="K16" i="14"/>
  <c r="L16" i="14"/>
  <c r="M16" i="14"/>
  <c r="N16" i="14"/>
  <c r="O16" i="14"/>
  <c r="P16" i="14"/>
  <c r="Q16" i="14"/>
  <c r="R16" i="14"/>
  <c r="S16" i="14"/>
  <c r="T16" i="14"/>
  <c r="U16" i="14"/>
  <c r="V16" i="14"/>
  <c r="W16" i="14"/>
  <c r="X16" i="14"/>
  <c r="Y16" i="14"/>
  <c r="Z16" i="14"/>
  <c r="AA16" i="14"/>
  <c r="AB16" i="14"/>
  <c r="C17" i="14"/>
  <c r="D17" i="14"/>
  <c r="E17" i="14"/>
  <c r="F17" i="14"/>
  <c r="AC17" i="14" s="1"/>
  <c r="G17" i="14"/>
  <c r="H17" i="14"/>
  <c r="I17" i="14"/>
  <c r="J17" i="14"/>
  <c r="K17" i="14"/>
  <c r="L17" i="14"/>
  <c r="M17" i="14"/>
  <c r="N17" i="14"/>
  <c r="O17" i="14"/>
  <c r="P17" i="14"/>
  <c r="Q17" i="14"/>
  <c r="R17" i="14"/>
  <c r="S17" i="14"/>
  <c r="T17" i="14"/>
  <c r="U17" i="14"/>
  <c r="V17" i="14"/>
  <c r="W17" i="14"/>
  <c r="X17" i="14"/>
  <c r="Y17" i="14"/>
  <c r="Z17" i="14"/>
  <c r="AA17" i="14"/>
  <c r="AB17" i="14"/>
  <c r="C18" i="14"/>
  <c r="D18" i="14"/>
  <c r="AC18" i="14" s="1"/>
  <c r="E18" i="14"/>
  <c r="F18" i="14"/>
  <c r="G18" i="14"/>
  <c r="H18" i="14"/>
  <c r="I18" i="14"/>
  <c r="J18" i="14"/>
  <c r="K18" i="14"/>
  <c r="L18" i="14"/>
  <c r="M18" i="14"/>
  <c r="N18" i="14"/>
  <c r="O18" i="14"/>
  <c r="P18" i="14"/>
  <c r="Q18" i="14"/>
  <c r="R18" i="14"/>
  <c r="S18" i="14"/>
  <c r="T18" i="14"/>
  <c r="U18" i="14"/>
  <c r="V18" i="14"/>
  <c r="W18" i="14"/>
  <c r="X18" i="14"/>
  <c r="Y18" i="14"/>
  <c r="Z18" i="14"/>
  <c r="AA18" i="14"/>
  <c r="AB18" i="14"/>
  <c r="C19" i="14"/>
  <c r="D19" i="14"/>
  <c r="E19" i="14"/>
  <c r="F19" i="14"/>
  <c r="AC19" i="14" s="1"/>
  <c r="G19" i="14"/>
  <c r="H19" i="14"/>
  <c r="I19" i="14"/>
  <c r="J19" i="14"/>
  <c r="K19" i="14"/>
  <c r="L19" i="14"/>
  <c r="M19" i="14"/>
  <c r="N19" i="14"/>
  <c r="O19" i="14"/>
  <c r="P19" i="14"/>
  <c r="Q19" i="14"/>
  <c r="R19" i="14"/>
  <c r="S19" i="14"/>
  <c r="T19" i="14"/>
  <c r="U19" i="14"/>
  <c r="V19" i="14"/>
  <c r="W19" i="14"/>
  <c r="X19" i="14"/>
  <c r="Y19" i="14"/>
  <c r="Z19" i="14"/>
  <c r="AA19" i="14"/>
  <c r="AB19" i="14"/>
  <c r="C20" i="14"/>
  <c r="D20" i="14"/>
  <c r="AC20" i="14" s="1"/>
  <c r="E20" i="14"/>
  <c r="F20" i="14"/>
  <c r="G20" i="14"/>
  <c r="H20" i="14"/>
  <c r="I20" i="14"/>
  <c r="J20" i="14"/>
  <c r="K20" i="14"/>
  <c r="L20" i="14"/>
  <c r="M20" i="14"/>
  <c r="N20" i="14"/>
  <c r="O20" i="14"/>
  <c r="P20" i="14"/>
  <c r="Q20" i="14"/>
  <c r="R20" i="14"/>
  <c r="S20" i="14"/>
  <c r="T20" i="14"/>
  <c r="U20" i="14"/>
  <c r="V20" i="14"/>
  <c r="W20" i="14"/>
  <c r="X20" i="14"/>
  <c r="Y20" i="14"/>
  <c r="Z20" i="14"/>
  <c r="AA20" i="14"/>
  <c r="AB20" i="14"/>
  <c r="C21" i="14"/>
  <c r="D21" i="14"/>
  <c r="E21" i="14"/>
  <c r="E26" i="14" s="1"/>
  <c r="F21" i="14"/>
  <c r="AC21" i="14" s="1"/>
  <c r="G21" i="14"/>
  <c r="H21" i="14"/>
  <c r="I21" i="14"/>
  <c r="J21" i="14"/>
  <c r="K21" i="14"/>
  <c r="L21" i="14"/>
  <c r="M21" i="14"/>
  <c r="N21" i="14"/>
  <c r="O21" i="14"/>
  <c r="P21" i="14"/>
  <c r="Q21" i="14"/>
  <c r="Q26" i="14" s="1"/>
  <c r="R21" i="14"/>
  <c r="S21" i="14"/>
  <c r="T21" i="14"/>
  <c r="U21" i="14"/>
  <c r="V21" i="14"/>
  <c r="W21" i="14"/>
  <c r="X21" i="14"/>
  <c r="Y21" i="14"/>
  <c r="Z21" i="14"/>
  <c r="AA21" i="14"/>
  <c r="AB21" i="14"/>
  <c r="C22" i="14"/>
  <c r="D22" i="14"/>
  <c r="AC22" i="14" s="1"/>
  <c r="E22" i="14"/>
  <c r="F22" i="14"/>
  <c r="G22" i="14"/>
  <c r="H22" i="14"/>
  <c r="I22" i="14"/>
  <c r="J22" i="14"/>
  <c r="K22" i="14"/>
  <c r="K26" i="14" s="1"/>
  <c r="L22" i="14"/>
  <c r="M22" i="14"/>
  <c r="N22" i="14"/>
  <c r="O22" i="14"/>
  <c r="P22" i="14"/>
  <c r="Q22" i="14"/>
  <c r="R22" i="14"/>
  <c r="S22" i="14"/>
  <c r="T22" i="14"/>
  <c r="U22" i="14"/>
  <c r="V22" i="14"/>
  <c r="W22" i="14"/>
  <c r="W26" i="14" s="1"/>
  <c r="X22" i="14"/>
  <c r="Y22" i="14"/>
  <c r="Z22" i="14"/>
  <c r="AA22" i="14"/>
  <c r="AB22" i="14"/>
  <c r="C23" i="14"/>
  <c r="D23" i="14"/>
  <c r="E23" i="14"/>
  <c r="F23" i="14"/>
  <c r="AC23" i="14" s="1"/>
  <c r="G23" i="14"/>
  <c r="H23" i="14"/>
  <c r="I23" i="14"/>
  <c r="J23" i="14"/>
  <c r="K23" i="14"/>
  <c r="L23" i="14"/>
  <c r="M23" i="14"/>
  <c r="N23" i="14"/>
  <c r="O23" i="14"/>
  <c r="P23" i="14"/>
  <c r="Q23" i="14"/>
  <c r="R23" i="14"/>
  <c r="S23" i="14"/>
  <c r="T23" i="14"/>
  <c r="U23" i="14"/>
  <c r="V23" i="14"/>
  <c r="W23" i="14"/>
  <c r="X23" i="14"/>
  <c r="Y23" i="14"/>
  <c r="Z23" i="14"/>
  <c r="AA23" i="14"/>
  <c r="AB23" i="14"/>
  <c r="C24" i="14"/>
  <c r="D24" i="14"/>
  <c r="AC24" i="14" s="1"/>
  <c r="E24" i="14"/>
  <c r="F24" i="14"/>
  <c r="G24" i="14"/>
  <c r="H24" i="14"/>
  <c r="I24" i="14"/>
  <c r="J24" i="14"/>
  <c r="K24" i="14"/>
  <c r="L24" i="14"/>
  <c r="M24" i="14"/>
  <c r="N24" i="14"/>
  <c r="O24" i="14"/>
  <c r="P24" i="14"/>
  <c r="Q24" i="14"/>
  <c r="R24" i="14"/>
  <c r="S24" i="14"/>
  <c r="T24" i="14"/>
  <c r="U24" i="14"/>
  <c r="V24" i="14"/>
  <c r="W24" i="14"/>
  <c r="X24" i="14"/>
  <c r="Y24" i="14"/>
  <c r="Z24" i="14"/>
  <c r="AA24" i="14"/>
  <c r="AB24" i="14"/>
  <c r="C25" i="14"/>
  <c r="D25" i="14"/>
  <c r="G15" i="13" s="1"/>
  <c r="E25" i="14"/>
  <c r="F25" i="14"/>
  <c r="G19" i="13" s="1"/>
  <c r="I19" i="13" s="1"/>
  <c r="G25" i="14"/>
  <c r="H25" i="14"/>
  <c r="I25" i="14"/>
  <c r="J25" i="14"/>
  <c r="G21" i="13" s="1"/>
  <c r="I21" i="13" s="1"/>
  <c r="K25" i="14"/>
  <c r="L25" i="14"/>
  <c r="M25" i="14"/>
  <c r="G23" i="13" s="1"/>
  <c r="I23" i="13" s="1"/>
  <c r="N25" i="14"/>
  <c r="O25" i="14"/>
  <c r="P25" i="14"/>
  <c r="Q25" i="14"/>
  <c r="R25" i="14"/>
  <c r="G16" i="13" s="1"/>
  <c r="I16" i="13" s="1"/>
  <c r="S25" i="14"/>
  <c r="G17" i="13" s="1"/>
  <c r="I17" i="13" s="1"/>
  <c r="T25" i="14"/>
  <c r="U25" i="14"/>
  <c r="V25" i="14"/>
  <c r="W25" i="14"/>
  <c r="X25" i="14"/>
  <c r="Y25" i="14"/>
  <c r="Z25" i="14"/>
  <c r="AA25" i="14"/>
  <c r="AB25" i="14"/>
  <c r="H26" i="14"/>
  <c r="I26" i="14"/>
  <c r="M26" i="14"/>
  <c r="O26" i="14"/>
  <c r="T26" i="14"/>
  <c r="U26" i="14"/>
  <c r="Y26" i="14"/>
  <c r="AA26" i="14"/>
  <c r="AE37" i="14"/>
  <c r="C38" i="14"/>
  <c r="AC38" i="14"/>
  <c r="AE38" i="14"/>
  <c r="A39" i="14"/>
  <c r="A40" i="14" s="1"/>
  <c r="C39" i="14"/>
  <c r="AC39" i="14"/>
  <c r="AE39" i="14"/>
  <c r="C40" i="14"/>
  <c r="AC40" i="14"/>
  <c r="C41" i="14"/>
  <c r="AC41" i="14"/>
  <c r="C42" i="14"/>
  <c r="AC42" i="14"/>
  <c r="C43" i="14"/>
  <c r="AC43" i="14"/>
  <c r="C44" i="14"/>
  <c r="AC44" i="14"/>
  <c r="C45" i="14"/>
  <c r="AC45" i="14"/>
  <c r="AC51" i="14" s="1"/>
  <c r="C46" i="14"/>
  <c r="AC46" i="14"/>
  <c r="C47" i="14"/>
  <c r="AC47" i="14"/>
  <c r="C48" i="14"/>
  <c r="AC48" i="14"/>
  <c r="C49" i="14"/>
  <c r="AC49" i="14"/>
  <c r="C50" i="14"/>
  <c r="AC50" i="14"/>
  <c r="D51" i="14"/>
  <c r="E51" i="14"/>
  <c r="F51" i="14"/>
  <c r="G51" i="14"/>
  <c r="H51" i="14"/>
  <c r="I51" i="14"/>
  <c r="J51" i="14"/>
  <c r="K51" i="14"/>
  <c r="L51" i="14"/>
  <c r="M51" i="14"/>
  <c r="N51" i="14"/>
  <c r="O51" i="14"/>
  <c r="P51" i="14"/>
  <c r="Q51" i="14"/>
  <c r="R51" i="14"/>
  <c r="S51" i="14"/>
  <c r="T51" i="14"/>
  <c r="U51" i="14"/>
  <c r="V51" i="14"/>
  <c r="W51" i="14"/>
  <c r="X51" i="14"/>
  <c r="Y51" i="14"/>
  <c r="Z51" i="14"/>
  <c r="AA51" i="14"/>
  <c r="AB51" i="14"/>
  <c r="AE62" i="14"/>
  <c r="C63" i="14"/>
  <c r="AC63" i="14"/>
  <c r="AE63" i="14"/>
  <c r="A64" i="14"/>
  <c r="AE64" i="14" s="1"/>
  <c r="C64" i="14"/>
  <c r="AC64" i="14"/>
  <c r="A65" i="14"/>
  <c r="A66" i="14" s="1"/>
  <c r="C65" i="14"/>
  <c r="AC65" i="14"/>
  <c r="AC76" i="14" s="1"/>
  <c r="AE65" i="14"/>
  <c r="C66" i="14"/>
  <c r="AC66" i="14"/>
  <c r="C67" i="14"/>
  <c r="AC67" i="14"/>
  <c r="C68" i="14"/>
  <c r="AC68" i="14"/>
  <c r="C69" i="14"/>
  <c r="AC69" i="14"/>
  <c r="C70" i="14"/>
  <c r="AC70" i="14"/>
  <c r="C71" i="14"/>
  <c r="AC71" i="14"/>
  <c r="C72" i="14"/>
  <c r="AC72" i="14"/>
  <c r="C73" i="14"/>
  <c r="AC73" i="14"/>
  <c r="C74" i="14"/>
  <c r="AC74" i="14"/>
  <c r="C75" i="14"/>
  <c r="AC75" i="14"/>
  <c r="D76" i="14"/>
  <c r="E76" i="14"/>
  <c r="F76" i="14"/>
  <c r="G76" i="14"/>
  <c r="H76" i="14"/>
  <c r="I76" i="14"/>
  <c r="J76" i="14"/>
  <c r="K76" i="14"/>
  <c r="L76" i="14"/>
  <c r="M76" i="14"/>
  <c r="N76" i="14"/>
  <c r="O76" i="14"/>
  <c r="P76" i="14"/>
  <c r="Q76" i="14"/>
  <c r="R76" i="14"/>
  <c r="S76" i="14"/>
  <c r="T76" i="14"/>
  <c r="U76" i="14"/>
  <c r="V76" i="14"/>
  <c r="W76" i="14"/>
  <c r="X76" i="14"/>
  <c r="Y76" i="14"/>
  <c r="Z76" i="14"/>
  <c r="AA76" i="14"/>
  <c r="AB76" i="14"/>
  <c r="AE90" i="14"/>
  <c r="C91" i="14"/>
  <c r="D91" i="14"/>
  <c r="AE91" i="14"/>
  <c r="A92" i="14"/>
  <c r="C92" i="14"/>
  <c r="AE92" i="14"/>
  <c r="A93" i="14"/>
  <c r="AE93" i="14" s="1"/>
  <c r="I2" i="13"/>
  <c r="J14" i="13"/>
  <c r="J15" i="13"/>
  <c r="A16" i="13"/>
  <c r="J16" i="13"/>
  <c r="A17" i="13"/>
  <c r="J17" i="13" s="1"/>
  <c r="A18" i="13"/>
  <c r="J18" i="13" s="1"/>
  <c r="G18" i="13"/>
  <c r="I18" i="13" s="1"/>
  <c r="G20" i="13"/>
  <c r="I20" i="13" s="1"/>
  <c r="G22" i="13"/>
  <c r="I22" i="13" s="1"/>
  <c r="G24" i="13"/>
  <c r="I24" i="13" s="1"/>
  <c r="G25" i="13"/>
  <c r="I25" i="13" s="1"/>
  <c r="G26" i="13"/>
  <c r="I26" i="13" s="1"/>
  <c r="I27" i="13"/>
  <c r="D28" i="13"/>
  <c r="F28" i="13"/>
  <c r="R10" i="12"/>
  <c r="D11" i="12"/>
  <c r="E11" i="12"/>
  <c r="F11" i="12"/>
  <c r="G11" i="12"/>
  <c r="H11" i="12"/>
  <c r="I11" i="12"/>
  <c r="J11" i="12"/>
  <c r="K11" i="12"/>
  <c r="L11" i="12"/>
  <c r="M11" i="12"/>
  <c r="N11" i="12"/>
  <c r="O11" i="12"/>
  <c r="P11" i="12"/>
  <c r="R11" i="12"/>
  <c r="A12" i="12"/>
  <c r="C12" i="12"/>
  <c r="C11" i="12" s="1"/>
  <c r="R12" i="12"/>
  <c r="A13" i="12"/>
  <c r="C13" i="12"/>
  <c r="R13" i="12"/>
  <c r="C16" i="12"/>
  <c r="R16" i="12"/>
  <c r="C19" i="12"/>
  <c r="E10" i="10" s="1"/>
  <c r="R19" i="12"/>
  <c r="C22" i="12"/>
  <c r="E11" i="10" s="1"/>
  <c r="R22" i="12"/>
  <c r="C25" i="12"/>
  <c r="R25" i="12"/>
  <c r="C28" i="12"/>
  <c r="C84" i="12" s="1"/>
  <c r="D28" i="12"/>
  <c r="E28" i="12"/>
  <c r="F28" i="12"/>
  <c r="G28" i="12"/>
  <c r="H28" i="12"/>
  <c r="I28" i="12"/>
  <c r="J28" i="12"/>
  <c r="K28" i="12"/>
  <c r="L28" i="12"/>
  <c r="M28" i="12"/>
  <c r="N28" i="12"/>
  <c r="O28" i="12"/>
  <c r="P28" i="12"/>
  <c r="R28" i="12"/>
  <c r="A29" i="12"/>
  <c r="A30" i="12" s="1"/>
  <c r="R30" i="12" s="1"/>
  <c r="C29" i="12"/>
  <c r="C30" i="12"/>
  <c r="C33" i="12"/>
  <c r="C85" i="12" s="1"/>
  <c r="R33" i="12"/>
  <c r="C36" i="12"/>
  <c r="R36" i="12"/>
  <c r="C39" i="12"/>
  <c r="R39" i="12"/>
  <c r="C42" i="12"/>
  <c r="D16" i="9" s="1"/>
  <c r="R42" i="12"/>
  <c r="C45" i="12"/>
  <c r="R45" i="12"/>
  <c r="C48" i="12"/>
  <c r="R48" i="12"/>
  <c r="C51" i="12"/>
  <c r="R57" i="12"/>
  <c r="A58" i="12"/>
  <c r="C58" i="12"/>
  <c r="C57" i="12" s="1"/>
  <c r="E19" i="10" s="1"/>
  <c r="R58" i="12"/>
  <c r="A59" i="12"/>
  <c r="R59" i="12" s="1"/>
  <c r="C62" i="12"/>
  <c r="E20" i="10" s="1"/>
  <c r="R62" i="12"/>
  <c r="A63" i="12"/>
  <c r="R63" i="12"/>
  <c r="A64" i="12"/>
  <c r="R64" i="12" s="1"/>
  <c r="R69" i="12"/>
  <c r="R72" i="12"/>
  <c r="R75" i="12"/>
  <c r="R79" i="12"/>
  <c r="C80" i="12"/>
  <c r="R80" i="12"/>
  <c r="R81" i="12"/>
  <c r="R82" i="12"/>
  <c r="C83" i="12"/>
  <c r="R83" i="12"/>
  <c r="R84" i="12"/>
  <c r="R85" i="12"/>
  <c r="R86" i="12"/>
  <c r="C98" i="12"/>
  <c r="J2" i="11"/>
  <c r="K6" i="11"/>
  <c r="K7" i="11"/>
  <c r="A8" i="11"/>
  <c r="K8" i="11"/>
  <c r="A9" i="11"/>
  <c r="A11" i="11" s="1"/>
  <c r="F9" i="11"/>
  <c r="E12" i="11"/>
  <c r="K22" i="11"/>
  <c r="I23" i="11"/>
  <c r="I31" i="11" s="1"/>
  <c r="J23" i="11"/>
  <c r="J31" i="11" s="1"/>
  <c r="E7" i="11" s="1"/>
  <c r="E9" i="11" s="1"/>
  <c r="E15" i="11" s="1"/>
  <c r="E43" i="5" s="1"/>
  <c r="E58" i="5" s="1"/>
  <c r="E66" i="5" s="1"/>
  <c r="E43" i="7" s="1"/>
  <c r="E47" i="7" s="1"/>
  <c r="E69" i="7" s="1"/>
  <c r="K23" i="11"/>
  <c r="A24" i="11"/>
  <c r="A25" i="11" s="1"/>
  <c r="I24" i="11"/>
  <c r="J24" i="11"/>
  <c r="I25" i="11"/>
  <c r="J25" i="11"/>
  <c r="I26" i="11"/>
  <c r="J26" i="11"/>
  <c r="I27" i="11"/>
  <c r="J27" i="11"/>
  <c r="I28" i="11"/>
  <c r="J28" i="11"/>
  <c r="I29" i="11"/>
  <c r="J29" i="11"/>
  <c r="I30" i="11"/>
  <c r="J30" i="11"/>
  <c r="F31" i="11"/>
  <c r="E11" i="11" s="1"/>
  <c r="E13" i="11" s="1"/>
  <c r="G31" i="11"/>
  <c r="H31" i="11"/>
  <c r="K37" i="11"/>
  <c r="K38" i="11"/>
  <c r="A39" i="11"/>
  <c r="K39" i="11"/>
  <c r="A40" i="11"/>
  <c r="K40" i="11" s="1"/>
  <c r="E43" i="11"/>
  <c r="G43" i="11"/>
  <c r="E8" i="11" s="1"/>
  <c r="G2" i="10"/>
  <c r="H8" i="10"/>
  <c r="A9" i="10"/>
  <c r="E9" i="10"/>
  <c r="H9" i="10"/>
  <c r="A10" i="10"/>
  <c r="H10" i="10"/>
  <c r="A11" i="10"/>
  <c r="A12" i="10" s="1"/>
  <c r="H11" i="10"/>
  <c r="E12" i="10"/>
  <c r="E13" i="10"/>
  <c r="E14" i="10"/>
  <c r="E21" i="10"/>
  <c r="E22" i="10"/>
  <c r="E23" i="10"/>
  <c r="F2" i="9"/>
  <c r="G6" i="9"/>
  <c r="G8" i="9"/>
  <c r="A9" i="9"/>
  <c r="G9" i="9" s="1"/>
  <c r="D9" i="9"/>
  <c r="A10" i="9"/>
  <c r="A11" i="9" s="1"/>
  <c r="D10" i="9"/>
  <c r="G10" i="9"/>
  <c r="D14" i="9"/>
  <c r="D15" i="9"/>
  <c r="D20" i="9"/>
  <c r="D22" i="9"/>
  <c r="D23" i="9"/>
  <c r="K2" i="8"/>
  <c r="K3" i="8"/>
  <c r="L13" i="8"/>
  <c r="J14" i="8"/>
  <c r="J26" i="8" s="1"/>
  <c r="L14" i="8"/>
  <c r="A15" i="8"/>
  <c r="J15" i="8"/>
  <c r="L15" i="8"/>
  <c r="A16" i="8"/>
  <c r="L16" i="8" s="1"/>
  <c r="J16" i="8"/>
  <c r="A17" i="8"/>
  <c r="A18" i="8" s="1"/>
  <c r="J17" i="8"/>
  <c r="L17" i="8"/>
  <c r="J18" i="8"/>
  <c r="J19" i="8"/>
  <c r="J20" i="8"/>
  <c r="J21" i="8"/>
  <c r="J22" i="8"/>
  <c r="J23" i="8"/>
  <c r="J24" i="8"/>
  <c r="J25" i="8"/>
  <c r="C26" i="8"/>
  <c r="D26" i="8"/>
  <c r="E26" i="8"/>
  <c r="F26" i="8"/>
  <c r="G26" i="8"/>
  <c r="H26" i="8"/>
  <c r="I26" i="8"/>
  <c r="L35" i="8"/>
  <c r="C36" i="8"/>
  <c r="L36" i="8"/>
  <c r="F39" i="8"/>
  <c r="K39" i="8"/>
  <c r="A44" i="8"/>
  <c r="B32" i="8" s="1"/>
  <c r="C44" i="8"/>
  <c r="K44" i="8"/>
  <c r="L44" i="8"/>
  <c r="A45" i="8"/>
  <c r="A46" i="8" s="1"/>
  <c r="C45" i="8"/>
  <c r="E45" i="8"/>
  <c r="C46" i="8"/>
  <c r="C117" i="8" s="1"/>
  <c r="E46" i="8"/>
  <c r="C47" i="8"/>
  <c r="E47" i="8"/>
  <c r="C48" i="8"/>
  <c r="C119" i="8" s="1"/>
  <c r="E48" i="8"/>
  <c r="C49" i="8"/>
  <c r="C120" i="8" s="1"/>
  <c r="E49" i="8"/>
  <c r="C50" i="8"/>
  <c r="E50" i="8"/>
  <c r="C51" i="8"/>
  <c r="E51" i="8"/>
  <c r="C52" i="8"/>
  <c r="C123" i="8" s="1"/>
  <c r="E52" i="8"/>
  <c r="C53" i="8"/>
  <c r="E53" i="8"/>
  <c r="C54" i="8"/>
  <c r="C125" i="8" s="1"/>
  <c r="E54" i="8"/>
  <c r="C55" i="8"/>
  <c r="C126" i="8" s="1"/>
  <c r="E55" i="8"/>
  <c r="C56" i="8"/>
  <c r="C57" i="8" s="1"/>
  <c r="E56" i="8"/>
  <c r="F75" i="8"/>
  <c r="I75" i="8"/>
  <c r="L78" i="8"/>
  <c r="C79" i="8"/>
  <c r="E79" i="8"/>
  <c r="H79" i="8"/>
  <c r="L79" i="8"/>
  <c r="A80" i="8"/>
  <c r="C80" i="8"/>
  <c r="E80" i="8"/>
  <c r="H80" i="8"/>
  <c r="L80" i="8"/>
  <c r="A81" i="8"/>
  <c r="A82" i="8" s="1"/>
  <c r="C81" i="8"/>
  <c r="E81" i="8"/>
  <c r="H81" i="8"/>
  <c r="C82" i="8"/>
  <c r="E82" i="8"/>
  <c r="H82" i="8"/>
  <c r="C83" i="8"/>
  <c r="E83" i="8"/>
  <c r="H83" i="8"/>
  <c r="C84" i="8"/>
  <c r="E84" i="8"/>
  <c r="H84" i="8"/>
  <c r="C85" i="8"/>
  <c r="E85" i="8"/>
  <c r="H85" i="8"/>
  <c r="C86" i="8"/>
  <c r="E86" i="8"/>
  <c r="H86" i="8"/>
  <c r="C87" i="8"/>
  <c r="E87" i="8"/>
  <c r="H87" i="8"/>
  <c r="C88" i="8"/>
  <c r="E88" i="8"/>
  <c r="H88" i="8"/>
  <c r="C89" i="8"/>
  <c r="E89" i="8"/>
  <c r="H89" i="8"/>
  <c r="C90" i="8"/>
  <c r="E90" i="8"/>
  <c r="H90" i="8"/>
  <c r="L94" i="8"/>
  <c r="B95" i="8"/>
  <c r="L95" i="8"/>
  <c r="A96" i="8"/>
  <c r="A97" i="8" s="1"/>
  <c r="L96" i="8"/>
  <c r="B97" i="8"/>
  <c r="B103" i="8" s="1"/>
  <c r="C97" i="8"/>
  <c r="B107" i="8"/>
  <c r="B108" i="8"/>
  <c r="L109" i="8"/>
  <c r="L110" i="8"/>
  <c r="A116" i="8"/>
  <c r="L116" i="8" s="1"/>
  <c r="C116" i="8"/>
  <c r="C118" i="8"/>
  <c r="C121" i="8"/>
  <c r="C122" i="8"/>
  <c r="C124" i="8"/>
  <c r="D126" i="8"/>
  <c r="C127" i="8"/>
  <c r="E128" i="8"/>
  <c r="D118" i="8" s="1"/>
  <c r="B147" i="8"/>
  <c r="G2" i="7"/>
  <c r="H6" i="7"/>
  <c r="H8" i="7"/>
  <c r="A9" i="7"/>
  <c r="H9" i="7"/>
  <c r="A10" i="7"/>
  <c r="F11" i="7" s="1"/>
  <c r="H10" i="7"/>
  <c r="A11" i="7"/>
  <c r="H25" i="7"/>
  <c r="H26" i="7"/>
  <c r="E27" i="7"/>
  <c r="C28" i="7"/>
  <c r="H38" i="7"/>
  <c r="H39" i="7"/>
  <c r="A42" i="7"/>
  <c r="F42" i="7"/>
  <c r="H42" i="7"/>
  <c r="A43" i="7"/>
  <c r="A44" i="7" s="1"/>
  <c r="F43" i="7"/>
  <c r="H43" i="7"/>
  <c r="E44" i="7"/>
  <c r="F44" i="7"/>
  <c r="E48" i="7"/>
  <c r="F48" i="7"/>
  <c r="H58" i="7"/>
  <c r="E59" i="7"/>
  <c r="E61" i="7" s="1"/>
  <c r="E70" i="7" s="1"/>
  <c r="H59" i="7"/>
  <c r="A60" i="7"/>
  <c r="F61" i="7" s="1"/>
  <c r="E60" i="7"/>
  <c r="H60" i="7"/>
  <c r="A61" i="7"/>
  <c r="F71" i="7"/>
  <c r="F72" i="7"/>
  <c r="H80" i="7"/>
  <c r="F82" i="7"/>
  <c r="H82" i="7"/>
  <c r="A83" i="7"/>
  <c r="F83" i="7"/>
  <c r="H83" i="7"/>
  <c r="A84" i="7"/>
  <c r="E84" i="7"/>
  <c r="F84" i="7"/>
  <c r="H84" i="7"/>
  <c r="A85" i="7"/>
  <c r="F85" i="7"/>
  <c r="F88" i="7"/>
  <c r="F91" i="7"/>
  <c r="F92" i="7"/>
  <c r="H98" i="7"/>
  <c r="E99" i="7"/>
  <c r="E102" i="7"/>
  <c r="F102" i="7"/>
  <c r="F103" i="7"/>
  <c r="F114" i="7"/>
  <c r="F2" i="6"/>
  <c r="F3" i="6"/>
  <c r="G6" i="6"/>
  <c r="G7" i="6"/>
  <c r="A10" i="6"/>
  <c r="G10" i="6"/>
  <c r="A11" i="6"/>
  <c r="A12" i="6" s="1"/>
  <c r="G11" i="6"/>
  <c r="E12" i="6"/>
  <c r="E15" i="6"/>
  <c r="G16" i="6"/>
  <c r="E17" i="6"/>
  <c r="G23" i="6"/>
  <c r="G24" i="6"/>
  <c r="A25" i="6"/>
  <c r="G25" i="6"/>
  <c r="A27" i="6"/>
  <c r="A28" i="6" s="1"/>
  <c r="E27" i="6"/>
  <c r="G27" i="6"/>
  <c r="E28" i="6"/>
  <c r="E32" i="6"/>
  <c r="E33" i="6"/>
  <c r="G3" i="5"/>
  <c r="H6" i="5"/>
  <c r="H8" i="5"/>
  <c r="A9" i="5"/>
  <c r="H9" i="5"/>
  <c r="A10" i="5"/>
  <c r="A11" i="5" s="1"/>
  <c r="H10" i="5"/>
  <c r="F11" i="5"/>
  <c r="E14" i="5"/>
  <c r="H25" i="5"/>
  <c r="H26" i="5"/>
  <c r="E27" i="5"/>
  <c r="E30" i="5"/>
  <c r="D32" i="35" s="1"/>
  <c r="H35" i="5"/>
  <c r="H37" i="5"/>
  <c r="A38" i="5"/>
  <c r="F39" i="5" s="1"/>
  <c r="H38" i="5"/>
  <c r="A39" i="5"/>
  <c r="H39" i="5" s="1"/>
  <c r="F57" i="5"/>
  <c r="E60" i="5"/>
  <c r="E67" i="5" s="1"/>
  <c r="E71" i="5"/>
  <c r="H78" i="5"/>
  <c r="H80" i="5"/>
  <c r="A81" i="5"/>
  <c r="H81" i="5"/>
  <c r="A82" i="5"/>
  <c r="H82" i="5" s="1"/>
  <c r="F82" i="5"/>
  <c r="E90" i="5"/>
  <c r="H98" i="5"/>
  <c r="E99" i="5"/>
  <c r="E101" i="5" s="1"/>
  <c r="E139" i="5" s="1"/>
  <c r="H129" i="21" s="1"/>
  <c r="H99" i="5"/>
  <c r="A100" i="5"/>
  <c r="A101" i="5" s="1"/>
  <c r="E100" i="5"/>
  <c r="F101" i="5"/>
  <c r="H105" i="5"/>
  <c r="I105" i="5"/>
  <c r="H106" i="5"/>
  <c r="I106" i="5"/>
  <c r="F107" i="5"/>
  <c r="H107" i="5"/>
  <c r="I107" i="5"/>
  <c r="H108" i="5"/>
  <c r="I108" i="5"/>
  <c r="H109" i="5"/>
  <c r="I109" i="5"/>
  <c r="F110" i="5"/>
  <c r="H110" i="5"/>
  <c r="I110" i="5"/>
  <c r="F111" i="5"/>
  <c r="H111" i="5"/>
  <c r="I111" i="5"/>
  <c r="F112" i="5"/>
  <c r="I116" i="5"/>
  <c r="I117" i="5"/>
  <c r="I118" i="5"/>
  <c r="I119" i="5"/>
  <c r="I120" i="5"/>
  <c r="I121" i="5"/>
  <c r="I122" i="5"/>
  <c r="I123" i="5"/>
  <c r="I124" i="5"/>
  <c r="I127" i="5"/>
  <c r="I128" i="5"/>
  <c r="H145" i="5"/>
  <c r="H147" i="5"/>
  <c r="A148" i="5"/>
  <c r="F16" i="5" s="1"/>
  <c r="H148" i="5"/>
  <c r="A149" i="5"/>
  <c r="H149" i="5" s="1"/>
  <c r="E149" i="5"/>
  <c r="E162" i="5"/>
  <c r="D32" i="6" s="1"/>
  <c r="E163" i="5"/>
  <c r="D33" i="6" s="1"/>
  <c r="H169" i="5"/>
  <c r="E170" i="5"/>
  <c r="E172" i="5"/>
  <c r="H172" i="5"/>
  <c r="H179" i="5"/>
  <c r="H180" i="5"/>
  <c r="H181" i="5"/>
  <c r="A182" i="5"/>
  <c r="A183" i="5" s="1"/>
  <c r="H182" i="5"/>
  <c r="H187" i="5"/>
  <c r="E188" i="5"/>
  <c r="E114" i="7" s="1"/>
  <c r="H188" i="5"/>
  <c r="A190" i="5"/>
  <c r="E32" i="35" l="1"/>
  <c r="F32" i="35" s="1"/>
  <c r="N14" i="42"/>
  <c r="N18" i="42" s="1"/>
  <c r="H14" i="42"/>
  <c r="H18" i="42" s="1"/>
  <c r="G14" i="42"/>
  <c r="G18" i="42" s="1"/>
  <c r="F14" i="42"/>
  <c r="F18" i="42" s="1"/>
  <c r="E37" i="41"/>
  <c r="A38" i="41"/>
  <c r="E36" i="41"/>
  <c r="A14" i="41"/>
  <c r="A18" i="40"/>
  <c r="M17" i="40"/>
  <c r="K21" i="40"/>
  <c r="K28" i="40" s="1"/>
  <c r="G55" i="39"/>
  <c r="I43" i="39"/>
  <c r="K25" i="39" s="1"/>
  <c r="L25" i="39"/>
  <c r="K27" i="39"/>
  <c r="L27" i="39"/>
  <c r="A19" i="39"/>
  <c r="N17" i="39"/>
  <c r="L41" i="39"/>
  <c r="N15" i="39"/>
  <c r="F43" i="39"/>
  <c r="H32" i="38"/>
  <c r="L50" i="38"/>
  <c r="A16" i="38"/>
  <c r="A11" i="37"/>
  <c r="D46" i="35"/>
  <c r="F46" i="35" s="1"/>
  <c r="D38" i="35"/>
  <c r="D26" i="35"/>
  <c r="A14" i="35"/>
  <c r="A42" i="35"/>
  <c r="E20" i="35"/>
  <c r="E21" i="35" s="1"/>
  <c r="E103" i="7"/>
  <c r="N17" i="27"/>
  <c r="O17" i="27"/>
  <c r="F14" i="20"/>
  <c r="F18" i="20"/>
  <c r="F19" i="20"/>
  <c r="F17" i="20"/>
  <c r="F21" i="20"/>
  <c r="F25" i="20"/>
  <c r="F22" i="20"/>
  <c r="F26" i="20"/>
  <c r="F16" i="20"/>
  <c r="F20" i="20"/>
  <c r="F24" i="20"/>
  <c r="F15" i="20"/>
  <c r="F23" i="20"/>
  <c r="G14" i="20"/>
  <c r="G17" i="20"/>
  <c r="G21" i="20"/>
  <c r="G25" i="20"/>
  <c r="G19" i="20"/>
  <c r="G16" i="20"/>
  <c r="G20" i="20"/>
  <c r="G24" i="20"/>
  <c r="G18" i="20"/>
  <c r="G22" i="20"/>
  <c r="G26" i="20"/>
  <c r="G15" i="20"/>
  <c r="G23" i="20"/>
  <c r="C18" i="33"/>
  <c r="C21" i="33"/>
  <c r="F11" i="33"/>
  <c r="A13" i="33"/>
  <c r="P13" i="27"/>
  <c r="P32" i="27"/>
  <c r="N35" i="27"/>
  <c r="P35" i="27" s="1"/>
  <c r="N22" i="27"/>
  <c r="M12" i="27"/>
  <c r="M18" i="27"/>
  <c r="M31" i="27"/>
  <c r="M26" i="27"/>
  <c r="O13" i="27"/>
  <c r="F99" i="21"/>
  <c r="F100" i="21" s="1"/>
  <c r="M21" i="27"/>
  <c r="N21" i="27" s="1"/>
  <c r="M15" i="27"/>
  <c r="N12" i="27"/>
  <c r="P12" i="27" s="1"/>
  <c r="C51" i="33"/>
  <c r="O22" i="27"/>
  <c r="M36" i="27"/>
  <c r="M29" i="27"/>
  <c r="M25" i="27"/>
  <c r="M23" i="27"/>
  <c r="N23" i="27" s="1"/>
  <c r="P23" i="27" s="1"/>
  <c r="M27" i="27"/>
  <c r="N20" i="27"/>
  <c r="P20" i="27" s="1"/>
  <c r="M14" i="27"/>
  <c r="O12" i="27"/>
  <c r="O36" i="27"/>
  <c r="M19" i="27"/>
  <c r="M33" i="27"/>
  <c r="M28" i="27"/>
  <c r="N36" i="27"/>
  <c r="P36" i="27" s="1"/>
  <c r="M34" i="27"/>
  <c r="M30" i="27"/>
  <c r="O23" i="27"/>
  <c r="M16" i="27"/>
  <c r="G50" i="32"/>
  <c r="H49" i="32"/>
  <c r="I49" i="32" s="1"/>
  <c r="I48" i="32"/>
  <c r="J48" i="32" s="1"/>
  <c r="J49" i="32" s="1"/>
  <c r="H48" i="32"/>
  <c r="A18" i="32"/>
  <c r="F37" i="32"/>
  <c r="A49" i="32"/>
  <c r="A37" i="32"/>
  <c r="E25" i="32"/>
  <c r="N20" i="15"/>
  <c r="H144" i="21"/>
  <c r="J144" i="21" s="1"/>
  <c r="H138" i="21"/>
  <c r="J138" i="21" s="1"/>
  <c r="H135" i="21"/>
  <c r="J135" i="21" s="1"/>
  <c r="H133" i="21"/>
  <c r="L19" i="15"/>
  <c r="M19" i="15" s="1"/>
  <c r="M14" i="15" s="1"/>
  <c r="E14" i="35" s="1"/>
  <c r="E15" i="35" s="1"/>
  <c r="L18" i="15"/>
  <c r="H13" i="15" s="1"/>
  <c r="H143" i="21"/>
  <c r="J143" i="21" s="1"/>
  <c r="H137" i="21"/>
  <c r="J137" i="21" s="1"/>
  <c r="H140" i="21"/>
  <c r="J140" i="21" s="1"/>
  <c r="A17" i="31"/>
  <c r="F17" i="31" s="1"/>
  <c r="H134" i="21"/>
  <c r="J134" i="21" s="1"/>
  <c r="C30" i="30"/>
  <c r="C32" i="30" s="1"/>
  <c r="C37" i="30" s="1"/>
  <c r="H142" i="21"/>
  <c r="J142" i="21" s="1"/>
  <c r="C38" i="30"/>
  <c r="C39" i="30" s="1"/>
  <c r="C33" i="30"/>
  <c r="C40" i="30" s="1"/>
  <c r="A31" i="30"/>
  <c r="A40" i="30"/>
  <c r="G40" i="30" s="1"/>
  <c r="A21" i="30"/>
  <c r="K82" i="29"/>
  <c r="A83" i="29"/>
  <c r="K83" i="29" s="1"/>
  <c r="E90" i="7"/>
  <c r="E156" i="5"/>
  <c r="K22" i="29"/>
  <c r="A23" i="29"/>
  <c r="K77" i="29"/>
  <c r="A78" i="29"/>
  <c r="K78" i="29" s="1"/>
  <c r="A32" i="29"/>
  <c r="K81" i="29"/>
  <c r="A73" i="29"/>
  <c r="K73" i="29" s="1"/>
  <c r="A47" i="29"/>
  <c r="A39" i="29"/>
  <c r="A18" i="29"/>
  <c r="K18" i="29" s="1"/>
  <c r="A92" i="29"/>
  <c r="K92" i="29" s="1"/>
  <c r="E71" i="28"/>
  <c r="O33" i="28"/>
  <c r="A34" i="28"/>
  <c r="O11" i="28"/>
  <c r="A12" i="28"/>
  <c r="O52" i="28"/>
  <c r="A53" i="28"/>
  <c r="K11" i="27"/>
  <c r="J11" i="27"/>
  <c r="L36" i="27"/>
  <c r="L21" i="27"/>
  <c r="L22" i="27"/>
  <c r="L11" i="27" s="1"/>
  <c r="A13" i="27"/>
  <c r="BJ16" i="26"/>
  <c r="A17" i="26"/>
  <c r="BB74" i="26"/>
  <c r="BF74" i="26" s="1"/>
  <c r="BH74" i="26" s="1"/>
  <c r="AR74" i="26"/>
  <c r="BB116" i="26"/>
  <c r="BB17" i="26" s="1"/>
  <c r="AR72" i="26"/>
  <c r="BF62" i="26"/>
  <c r="BH62" i="26" s="1"/>
  <c r="AL43" i="26"/>
  <c r="AL15" i="26" s="1"/>
  <c r="BJ15" i="26"/>
  <c r="Z100" i="26"/>
  <c r="AN100" i="26"/>
  <c r="Z97" i="26"/>
  <c r="AN97" i="26"/>
  <c r="AR90" i="26"/>
  <c r="AR85" i="26"/>
  <c r="BB85" i="26"/>
  <c r="BF85" i="26" s="1"/>
  <c r="BH85" i="26" s="1"/>
  <c r="Z64" i="26"/>
  <c r="AN64" i="26"/>
  <c r="AR59" i="26"/>
  <c r="AZ59" i="26"/>
  <c r="BF59" i="26" s="1"/>
  <c r="BH59" i="26" s="1"/>
  <c r="BF57" i="26"/>
  <c r="BH57" i="26" s="1"/>
  <c r="AZ23" i="26"/>
  <c r="AR23" i="26"/>
  <c r="BF128" i="26"/>
  <c r="BH128" i="26" s="1"/>
  <c r="AZ124" i="26"/>
  <c r="BF125" i="26"/>
  <c r="T116" i="26"/>
  <c r="T17" i="26" s="1"/>
  <c r="Z17" i="26" s="1"/>
  <c r="Z117" i="26"/>
  <c r="AL117" i="26"/>
  <c r="AR113" i="26"/>
  <c r="AZ88" i="26"/>
  <c r="BF88" i="26" s="1"/>
  <c r="BH88" i="26" s="1"/>
  <c r="AR88" i="26"/>
  <c r="BF78" i="26"/>
  <c r="BH78" i="26" s="1"/>
  <c r="BF45" i="26"/>
  <c r="BH45" i="26" s="1"/>
  <c r="AN44" i="26"/>
  <c r="AR44" i="26" s="1"/>
  <c r="Z44" i="26"/>
  <c r="V43" i="26"/>
  <c r="V15" i="26" s="1"/>
  <c r="Z15" i="26" s="1"/>
  <c r="BF31" i="26"/>
  <c r="BH31" i="26" s="1"/>
  <c r="Z13" i="26"/>
  <c r="AP124" i="26"/>
  <c r="AP21" i="26" s="1"/>
  <c r="BD21" i="26" s="1"/>
  <c r="BB57" i="26"/>
  <c r="AR57" i="26"/>
  <c r="AR29" i="26"/>
  <c r="AZ29" i="26"/>
  <c r="BD125" i="26"/>
  <c r="AP22" i="26"/>
  <c r="BD22" i="26" s="1"/>
  <c r="AN124" i="26"/>
  <c r="AN21" i="26" s="1"/>
  <c r="BB21" i="26" s="1"/>
  <c r="BF21" i="26" s="1"/>
  <c r="BF86" i="26"/>
  <c r="BH86" i="26" s="1"/>
  <c r="BF76" i="26"/>
  <c r="BH76" i="26" s="1"/>
  <c r="AR69" i="26"/>
  <c r="BB69" i="26"/>
  <c r="BF52" i="26"/>
  <c r="BH52" i="26" s="1"/>
  <c r="BB45" i="26"/>
  <c r="AR45" i="26"/>
  <c r="BF129" i="26"/>
  <c r="BH129" i="26" s="1"/>
  <c r="AN22" i="26"/>
  <c r="BB22" i="26" s="1"/>
  <c r="BB125" i="26"/>
  <c r="BB124" i="26" s="1"/>
  <c r="Z98" i="26"/>
  <c r="AN98" i="26"/>
  <c r="BF91" i="26"/>
  <c r="BH91" i="26" s="1"/>
  <c r="AZ83" i="26"/>
  <c r="BF83" i="26" s="1"/>
  <c r="BH83" i="26" s="1"/>
  <c r="AR83" i="26"/>
  <c r="Z78" i="26"/>
  <c r="AN78" i="26"/>
  <c r="BB78" i="26" s="1"/>
  <c r="AR73" i="26"/>
  <c r="AZ73" i="26"/>
  <c r="BF73" i="26" s="1"/>
  <c r="BH73" i="26" s="1"/>
  <c r="AR66" i="26"/>
  <c r="AZ66" i="26"/>
  <c r="BF66" i="26" s="1"/>
  <c r="BH66" i="26" s="1"/>
  <c r="BD43" i="26"/>
  <c r="BD15" i="26" s="1"/>
  <c r="AL40" i="26"/>
  <c r="Z40" i="26"/>
  <c r="BD36" i="26"/>
  <c r="AP35" i="26"/>
  <c r="AP14" i="26" s="1"/>
  <c r="J18" i="26"/>
  <c r="J24" i="26" s="1"/>
  <c r="AR109" i="26"/>
  <c r="AZ109" i="26"/>
  <c r="BF109" i="26" s="1"/>
  <c r="BH109" i="26" s="1"/>
  <c r="A106" i="26"/>
  <c r="AN35" i="26"/>
  <c r="AN14" i="26" s="1"/>
  <c r="AP23" i="26"/>
  <c r="BD23" i="26" s="1"/>
  <c r="BD126" i="26"/>
  <c r="BF126" i="26" s="1"/>
  <c r="BH126" i="26" s="1"/>
  <c r="BH22" i="26" s="1"/>
  <c r="AP104" i="26"/>
  <c r="Z104" i="26"/>
  <c r="Z103" i="26" s="1"/>
  <c r="Z99" i="26"/>
  <c r="AN99" i="26"/>
  <c r="Z96" i="26"/>
  <c r="AN96" i="26"/>
  <c r="AZ87" i="26"/>
  <c r="BF87" i="26" s="1"/>
  <c r="BH87" i="26" s="1"/>
  <c r="AR87" i="26"/>
  <c r="AZ72" i="26"/>
  <c r="BF72" i="26" s="1"/>
  <c r="BH72" i="26" s="1"/>
  <c r="AR61" i="26"/>
  <c r="AR49" i="26"/>
  <c r="AP27" i="26"/>
  <c r="AP13" i="26" s="1"/>
  <c r="BD28" i="26"/>
  <c r="BD27" i="26" s="1"/>
  <c r="BD13" i="26" s="1"/>
  <c r="AL27" i="26"/>
  <c r="AL13" i="26" s="1"/>
  <c r="AL22" i="26"/>
  <c r="AT18" i="26"/>
  <c r="AT24" i="26" s="1"/>
  <c r="Z119" i="26"/>
  <c r="AL119" i="26"/>
  <c r="BB108" i="26"/>
  <c r="AZ90" i="26"/>
  <c r="BF90" i="26" s="1"/>
  <c r="BH90" i="26" s="1"/>
  <c r="AR81" i="26"/>
  <c r="AR68" i="26"/>
  <c r="AZ56" i="26"/>
  <c r="BF56" i="26" s="1"/>
  <c r="BH56" i="26" s="1"/>
  <c r="AR50" i="26"/>
  <c r="AP43" i="26"/>
  <c r="AP15" i="26" s="1"/>
  <c r="T35" i="26"/>
  <c r="T14" i="26" s="1"/>
  <c r="Z14" i="26" s="1"/>
  <c r="AN27" i="26"/>
  <c r="AN13" i="26" s="1"/>
  <c r="BB28" i="26"/>
  <c r="BB27" i="26" s="1"/>
  <c r="BB13" i="26" s="1"/>
  <c r="AH18" i="26"/>
  <c r="AH24" i="26" s="1"/>
  <c r="BF127" i="26"/>
  <c r="BH127" i="26" s="1"/>
  <c r="BH23" i="26" s="1"/>
  <c r="BD116" i="26"/>
  <c r="BD17" i="26" s="1"/>
  <c r="AN116" i="26"/>
  <c r="AN17" i="26" s="1"/>
  <c r="AZ113" i="26"/>
  <c r="BF113" i="26" s="1"/>
  <c r="AR110" i="26"/>
  <c r="AZ110" i="26"/>
  <c r="BF110" i="26" s="1"/>
  <c r="BH110" i="26" s="1"/>
  <c r="BF108" i="26"/>
  <c r="BH108" i="26" s="1"/>
  <c r="X103" i="26"/>
  <c r="X16" i="26" s="1"/>
  <c r="X18" i="26" s="1"/>
  <c r="X24" i="26" s="1"/>
  <c r="AR93" i="26"/>
  <c r="AN80" i="26"/>
  <c r="Z80" i="26"/>
  <c r="AN68" i="26"/>
  <c r="BB68" i="26" s="1"/>
  <c r="Z68" i="26"/>
  <c r="AR51" i="26"/>
  <c r="AZ44" i="26"/>
  <c r="AL37" i="26"/>
  <c r="Z37" i="26"/>
  <c r="AR31" i="26"/>
  <c r="Z118" i="26"/>
  <c r="AL118" i="26"/>
  <c r="A118" i="26"/>
  <c r="BB104" i="26"/>
  <c r="AN103" i="26"/>
  <c r="AN16" i="26" s="1"/>
  <c r="AL103" i="26"/>
  <c r="AL16" i="26" s="1"/>
  <c r="AN84" i="26"/>
  <c r="BB84" i="26" s="1"/>
  <c r="BF84" i="26" s="1"/>
  <c r="BH84" i="26" s="1"/>
  <c r="Z70" i="26"/>
  <c r="AN70" i="26"/>
  <c r="AN67" i="26"/>
  <c r="BB67" i="26" s="1"/>
  <c r="BF67" i="26" s="1"/>
  <c r="BH67" i="26" s="1"/>
  <c r="BF60" i="26"/>
  <c r="BH60" i="26" s="1"/>
  <c r="AN58" i="26"/>
  <c r="BB58" i="26" s="1"/>
  <c r="BF53" i="26"/>
  <c r="BH53" i="26" s="1"/>
  <c r="A45" i="26"/>
  <c r="Z120" i="26"/>
  <c r="AL120" i="26"/>
  <c r="BF111" i="26"/>
  <c r="BH111" i="26" s="1"/>
  <c r="H18" i="26"/>
  <c r="H24" i="26" s="1"/>
  <c r="AR126" i="26"/>
  <c r="AR124" i="26" s="1"/>
  <c r="AZ107" i="26"/>
  <c r="BF107" i="26" s="1"/>
  <c r="BH107" i="26" s="1"/>
  <c r="AR107" i="26"/>
  <c r="BF89" i="26"/>
  <c r="BH89" i="26" s="1"/>
  <c r="AR67" i="26"/>
  <c r="AZ58" i="26"/>
  <c r="BJ36" i="26"/>
  <c r="A37" i="26"/>
  <c r="AR30" i="26"/>
  <c r="AZ30" i="26"/>
  <c r="BF30" i="26" s="1"/>
  <c r="BH30" i="26" s="1"/>
  <c r="AR28" i="26"/>
  <c r="AR122" i="26"/>
  <c r="AR105" i="26"/>
  <c r="AR39" i="26"/>
  <c r="BF77" i="26"/>
  <c r="BH77" i="26" s="1"/>
  <c r="A126" i="26"/>
  <c r="AR94" i="26"/>
  <c r="AR78" i="26"/>
  <c r="BF69" i="26"/>
  <c r="BH69" i="26" s="1"/>
  <c r="AZ68" i="26"/>
  <c r="BF68" i="26" s="1"/>
  <c r="BH68" i="26" s="1"/>
  <c r="Z36" i="26"/>
  <c r="AN82" i="26"/>
  <c r="BB82" i="26" s="1"/>
  <c r="BF82" i="26" s="1"/>
  <c r="BH82" i="26" s="1"/>
  <c r="BD48" i="25"/>
  <c r="BF48" i="25" s="1"/>
  <c r="BH16" i="25"/>
  <c r="A17" i="25"/>
  <c r="BD64" i="25"/>
  <c r="BF64" i="25" s="1"/>
  <c r="AX56" i="25"/>
  <c r="BD56" i="25" s="1"/>
  <c r="BF56" i="25" s="1"/>
  <c r="AP56" i="25"/>
  <c r="AP67" i="25"/>
  <c r="AX67" i="25"/>
  <c r="BD67" i="25" s="1"/>
  <c r="BF67" i="25" s="1"/>
  <c r="AP82" i="25"/>
  <c r="AP78" i="25"/>
  <c r="AZ78" i="25"/>
  <c r="BD78" i="25" s="1"/>
  <c r="BF78" i="25" s="1"/>
  <c r="AX51" i="25"/>
  <c r="BH127" i="25"/>
  <c r="A128" i="25"/>
  <c r="AZ100" i="25"/>
  <c r="BD100" i="25" s="1"/>
  <c r="BF100" i="25" s="1"/>
  <c r="AP100" i="25"/>
  <c r="X77" i="25"/>
  <c r="AL77" i="25"/>
  <c r="AZ77" i="25" s="1"/>
  <c r="BD77" i="25" s="1"/>
  <c r="BF77" i="25" s="1"/>
  <c r="X62" i="25"/>
  <c r="AL62" i="25"/>
  <c r="BD111" i="25"/>
  <c r="BF111" i="25" s="1"/>
  <c r="T125" i="25"/>
  <c r="T21" i="25" s="1"/>
  <c r="X21" i="25" s="1"/>
  <c r="AP94" i="25"/>
  <c r="AX94" i="25"/>
  <c r="BD94" i="25" s="1"/>
  <c r="BF94" i="25" s="1"/>
  <c r="BD69" i="25"/>
  <c r="BF69" i="25" s="1"/>
  <c r="AP126" i="25"/>
  <c r="AP127" i="25"/>
  <c r="AP122" i="25"/>
  <c r="AL117" i="25"/>
  <c r="AL17" i="25" s="1"/>
  <c r="BH104" i="25"/>
  <c r="A105" i="25"/>
  <c r="AL87" i="25"/>
  <c r="AZ87" i="25" s="1"/>
  <c r="BD87" i="25" s="1"/>
  <c r="BF87" i="25" s="1"/>
  <c r="X87" i="25"/>
  <c r="AZ70" i="25"/>
  <c r="BD70" i="25" s="1"/>
  <c r="BF70" i="25" s="1"/>
  <c r="AP47" i="25"/>
  <c r="AX47" i="25"/>
  <c r="BD47" i="25" s="1"/>
  <c r="BF47" i="25" s="1"/>
  <c r="AX32" i="25"/>
  <c r="BD32" i="25" s="1"/>
  <c r="BF32" i="25" s="1"/>
  <c r="AP32" i="25"/>
  <c r="BD130" i="25"/>
  <c r="A119" i="25"/>
  <c r="X60" i="25"/>
  <c r="AL60" i="25"/>
  <c r="AZ60" i="25" s="1"/>
  <c r="BD45" i="25"/>
  <c r="BF45" i="25" s="1"/>
  <c r="AV18" i="25"/>
  <c r="AV24" i="25" s="1"/>
  <c r="BD86" i="25"/>
  <c r="BF86" i="25" s="1"/>
  <c r="AP80" i="25"/>
  <c r="AX80" i="25"/>
  <c r="BD80" i="25" s="1"/>
  <c r="BF80" i="25" s="1"/>
  <c r="T43" i="25"/>
  <c r="T15" i="25" s="1"/>
  <c r="X15" i="25" s="1"/>
  <c r="AP130" i="25"/>
  <c r="BD126" i="25"/>
  <c r="AP121" i="25"/>
  <c r="AX121" i="25"/>
  <c r="BD121" i="25" s="1"/>
  <c r="BF121" i="25" s="1"/>
  <c r="AP61" i="25"/>
  <c r="AX61" i="25"/>
  <c r="BD61" i="25" s="1"/>
  <c r="BF61" i="25" s="1"/>
  <c r="BD122" i="25"/>
  <c r="BF122" i="25" s="1"/>
  <c r="AZ117" i="25"/>
  <c r="AZ17" i="25" s="1"/>
  <c r="AP108" i="25"/>
  <c r="AX108" i="25"/>
  <c r="BD108" i="25" s="1"/>
  <c r="BF108" i="25" s="1"/>
  <c r="X72" i="25"/>
  <c r="AL72" i="25"/>
  <c r="AZ72" i="25" s="1"/>
  <c r="AP58" i="25"/>
  <c r="AP54" i="25"/>
  <c r="AZ54" i="25"/>
  <c r="BD54" i="25" s="1"/>
  <c r="BF54" i="25" s="1"/>
  <c r="X53" i="25"/>
  <c r="AL53" i="25"/>
  <c r="BB43" i="25"/>
  <c r="BB15" i="25" s="1"/>
  <c r="AZ29" i="25"/>
  <c r="AL27" i="25"/>
  <c r="AL13" i="25" s="1"/>
  <c r="L18" i="25"/>
  <c r="L24" i="25" s="1"/>
  <c r="AL125" i="25"/>
  <c r="AL21" i="25" s="1"/>
  <c r="AP49" i="25"/>
  <c r="R35" i="25"/>
  <c r="R14" i="25" s="1"/>
  <c r="X14" i="25" s="1"/>
  <c r="X36" i="25"/>
  <c r="X35" i="25" s="1"/>
  <c r="AJ36" i="25"/>
  <c r="AT18" i="25"/>
  <c r="AT24" i="25" s="1"/>
  <c r="AP99" i="25"/>
  <c r="AX99" i="25"/>
  <c r="BD99" i="25" s="1"/>
  <c r="BF99" i="25" s="1"/>
  <c r="BD95" i="25"/>
  <c r="BF95" i="25" s="1"/>
  <c r="AP87" i="25"/>
  <c r="BD81" i="25"/>
  <c r="BF81" i="25" s="1"/>
  <c r="AN43" i="25"/>
  <c r="AN15" i="25" s="1"/>
  <c r="AP39" i="25"/>
  <c r="AR18" i="25"/>
  <c r="AR24" i="25" s="1"/>
  <c r="H18" i="25"/>
  <c r="H24" i="25" s="1"/>
  <c r="AJ125" i="25"/>
  <c r="AJ21" i="25" s="1"/>
  <c r="AX118" i="25"/>
  <c r="AN117" i="25"/>
  <c r="AN17" i="25" s="1"/>
  <c r="V103" i="25"/>
  <c r="V16" i="25" s="1"/>
  <c r="V18" i="25" s="1"/>
  <c r="V24" i="25" s="1"/>
  <c r="AX82" i="25"/>
  <c r="BD82" i="25" s="1"/>
  <c r="BF82" i="25" s="1"/>
  <c r="BD59" i="25"/>
  <c r="BF59" i="25" s="1"/>
  <c r="AJ43" i="25"/>
  <c r="AJ15" i="25" s="1"/>
  <c r="AP44" i="25"/>
  <c r="A29" i="25"/>
  <c r="AN27" i="25"/>
  <c r="AN13" i="25" s="1"/>
  <c r="AP40" i="25"/>
  <c r="AX40" i="25"/>
  <c r="BD40" i="25" s="1"/>
  <c r="BF40" i="25" s="1"/>
  <c r="X119" i="25"/>
  <c r="AJ119" i="25"/>
  <c r="AJ117" i="25" s="1"/>
  <c r="AJ17" i="25" s="1"/>
  <c r="AP17" i="25" s="1"/>
  <c r="BD83" i="25"/>
  <c r="BF83" i="25" s="1"/>
  <c r="AP63" i="25"/>
  <c r="AL51" i="25"/>
  <c r="AZ51" i="25" s="1"/>
  <c r="X51" i="25"/>
  <c r="X43" i="25" s="1"/>
  <c r="A45" i="25"/>
  <c r="BH44" i="25"/>
  <c r="A39" i="25"/>
  <c r="BD129" i="25"/>
  <c r="BD104" i="25"/>
  <c r="AP97" i="25"/>
  <c r="X28" i="25"/>
  <c r="X27" i="25" s="1"/>
  <c r="AJ28" i="25"/>
  <c r="X107" i="25"/>
  <c r="X103" i="25" s="1"/>
  <c r="AN107" i="25"/>
  <c r="R27" i="25"/>
  <c r="R13" i="25" s="1"/>
  <c r="AX72" i="25"/>
  <c r="BD72" i="25" s="1"/>
  <c r="BF72" i="25" s="1"/>
  <c r="AP72" i="25"/>
  <c r="BF44" i="25"/>
  <c r="N18" i="25"/>
  <c r="N24" i="25" s="1"/>
  <c r="BF21" i="25"/>
  <c r="AP29" i="25"/>
  <c r="AX29" i="25"/>
  <c r="BD29" i="25" s="1"/>
  <c r="BF29" i="25" s="1"/>
  <c r="J18" i="25"/>
  <c r="J24" i="25" s="1"/>
  <c r="AP129" i="25"/>
  <c r="AP128" i="25"/>
  <c r="AX128" i="25"/>
  <c r="AP114" i="25"/>
  <c r="AX96" i="25"/>
  <c r="BD96" i="25" s="1"/>
  <c r="BF96" i="25" s="1"/>
  <c r="AP96" i="25"/>
  <c r="BD93" i="25"/>
  <c r="BF93" i="25" s="1"/>
  <c r="AP85" i="25"/>
  <c r="AX85" i="25"/>
  <c r="BD85" i="25" s="1"/>
  <c r="BF85" i="25" s="1"/>
  <c r="AX74" i="25"/>
  <c r="BD74" i="25" s="1"/>
  <c r="BF74" i="25" s="1"/>
  <c r="AP74" i="25"/>
  <c r="BD71" i="25"/>
  <c r="BF71" i="25" s="1"/>
  <c r="AL67" i="25"/>
  <c r="AZ67" i="25" s="1"/>
  <c r="AX63" i="25"/>
  <c r="BD63" i="25" s="1"/>
  <c r="BF63" i="25" s="1"/>
  <c r="BD57" i="25"/>
  <c r="BF57" i="25" s="1"/>
  <c r="AZ52" i="25"/>
  <c r="BD52" i="25" s="1"/>
  <c r="BF52" i="25" s="1"/>
  <c r="AP45" i="25"/>
  <c r="AP30" i="25"/>
  <c r="AZ27" i="25"/>
  <c r="AZ13" i="25" s="1"/>
  <c r="X117" i="25"/>
  <c r="X89" i="25"/>
  <c r="AL89" i="25"/>
  <c r="AP79" i="25"/>
  <c r="X65" i="25"/>
  <c r="AL65" i="25"/>
  <c r="AX60" i="25"/>
  <c r="BD60" i="25" s="1"/>
  <c r="BF60" i="25" s="1"/>
  <c r="AP60" i="25"/>
  <c r="AJ37" i="25"/>
  <c r="X37" i="25"/>
  <c r="BB27" i="25"/>
  <c r="BB13" i="25" s="1"/>
  <c r="X38" i="25"/>
  <c r="AJ38" i="25"/>
  <c r="AP113" i="25"/>
  <c r="AP73" i="25"/>
  <c r="K35" i="24"/>
  <c r="A37" i="24"/>
  <c r="G66" i="24"/>
  <c r="A57" i="24"/>
  <c r="G63" i="23"/>
  <c r="A64" i="23"/>
  <c r="G84" i="23"/>
  <c r="A85" i="23"/>
  <c r="G16" i="23"/>
  <c r="A17" i="23"/>
  <c r="G151" i="23"/>
  <c r="A152" i="23"/>
  <c r="G150" i="23"/>
  <c r="G83" i="23"/>
  <c r="A128" i="23"/>
  <c r="A106" i="23"/>
  <c r="A40" i="23"/>
  <c r="F14" i="22"/>
  <c r="A15" i="22"/>
  <c r="D21" i="22"/>
  <c r="J133" i="21"/>
  <c r="H139" i="21"/>
  <c r="J139" i="21" s="1"/>
  <c r="H136" i="21"/>
  <c r="J136" i="21" s="1"/>
  <c r="E145" i="21"/>
  <c r="H141" i="21"/>
  <c r="J141" i="21" s="1"/>
  <c r="F145" i="21"/>
  <c r="E150" i="21"/>
  <c r="G160" i="21"/>
  <c r="E151" i="21"/>
  <c r="H151" i="21" s="1"/>
  <c r="J151" i="21" s="1"/>
  <c r="G161" i="21"/>
  <c r="H161" i="21" s="1"/>
  <c r="J161" i="21" s="1"/>
  <c r="E152" i="21"/>
  <c r="H152" i="21" s="1"/>
  <c r="J152" i="21" s="1"/>
  <c r="G150" i="21"/>
  <c r="G151" i="21"/>
  <c r="E153" i="21"/>
  <c r="H153" i="21" s="1"/>
  <c r="J153" i="21" s="1"/>
  <c r="E156" i="21"/>
  <c r="G152" i="21"/>
  <c r="E154" i="21"/>
  <c r="G153" i="21"/>
  <c r="E155" i="21"/>
  <c r="G154" i="21"/>
  <c r="G155" i="21"/>
  <c r="E157" i="21"/>
  <c r="H157" i="21" s="1"/>
  <c r="J157" i="21" s="1"/>
  <c r="D164" i="21"/>
  <c r="I162" i="21"/>
  <c r="D98" i="21"/>
  <c r="D77" i="21"/>
  <c r="D82" i="21" s="1"/>
  <c r="D56" i="21"/>
  <c r="D63" i="21" s="1"/>
  <c r="N82" i="21"/>
  <c r="E87" i="21"/>
  <c r="A83" i="21"/>
  <c r="N56" i="21"/>
  <c r="A57" i="21"/>
  <c r="N136" i="21"/>
  <c r="A137" i="21"/>
  <c r="N12" i="21"/>
  <c r="A13" i="21"/>
  <c r="G158" i="21"/>
  <c r="A113" i="21"/>
  <c r="N112" i="21"/>
  <c r="E160" i="21"/>
  <c r="H160" i="21" s="1"/>
  <c r="J160" i="21" s="1"/>
  <c r="E158" i="21"/>
  <c r="H158" i="21" s="1"/>
  <c r="J158" i="21" s="1"/>
  <c r="G156" i="21"/>
  <c r="N34" i="21"/>
  <c r="A35" i="21"/>
  <c r="G120" i="21"/>
  <c r="H159" i="21"/>
  <c r="J159" i="21" s="1"/>
  <c r="N95" i="21"/>
  <c r="A96" i="21"/>
  <c r="D162" i="21"/>
  <c r="D44" i="21"/>
  <c r="E45" i="21" s="1"/>
  <c r="N135" i="21"/>
  <c r="F152" i="21"/>
  <c r="F162" i="21" s="1"/>
  <c r="J41" i="20"/>
  <c r="A42" i="20"/>
  <c r="A17" i="20"/>
  <c r="AB88" i="18"/>
  <c r="AB85" i="18"/>
  <c r="AB82" i="18"/>
  <c r="AB87" i="18"/>
  <c r="AB80" i="18"/>
  <c r="P88" i="18"/>
  <c r="P80" i="18"/>
  <c r="P85" i="18"/>
  <c r="P87" i="18"/>
  <c r="Q12" i="19"/>
  <c r="A13" i="19"/>
  <c r="J23" i="19"/>
  <c r="M23" i="19"/>
  <c r="H23" i="19"/>
  <c r="Q67" i="19"/>
  <c r="A68" i="19"/>
  <c r="H66" i="18"/>
  <c r="Q66" i="18"/>
  <c r="I57" i="19"/>
  <c r="J52" i="19"/>
  <c r="J13" i="19"/>
  <c r="M13" i="19"/>
  <c r="F35" i="19"/>
  <c r="H13" i="19"/>
  <c r="O66" i="18"/>
  <c r="AA66" i="18"/>
  <c r="S66" i="18"/>
  <c r="S87" i="18" s="1"/>
  <c r="J17" i="19"/>
  <c r="J33" i="19"/>
  <c r="T82" i="18"/>
  <c r="I35" i="19"/>
  <c r="E83" i="18"/>
  <c r="E82" i="18"/>
  <c r="E80" i="18"/>
  <c r="E87" i="18"/>
  <c r="H82" i="18"/>
  <c r="H35" i="19"/>
  <c r="T83" i="18"/>
  <c r="H83" i="18"/>
  <c r="M52" i="19"/>
  <c r="M48" i="19"/>
  <c r="M33" i="19"/>
  <c r="J28" i="19"/>
  <c r="M21" i="19"/>
  <c r="M17" i="19"/>
  <c r="R66" i="18"/>
  <c r="R81" i="18" s="1"/>
  <c r="Y86" i="18"/>
  <c r="J48" i="19"/>
  <c r="J57" i="19" s="1"/>
  <c r="X79" i="18"/>
  <c r="Z66" i="18"/>
  <c r="N66" i="18"/>
  <c r="H57" i="19"/>
  <c r="M22" i="19"/>
  <c r="Y66" i="18"/>
  <c r="M66" i="18"/>
  <c r="M82" i="18" s="1"/>
  <c r="J85" i="18"/>
  <c r="J22" i="19"/>
  <c r="H87" i="18"/>
  <c r="X66" i="18"/>
  <c r="L66" i="18"/>
  <c r="L87" i="18" s="1"/>
  <c r="AA88" i="18"/>
  <c r="O88" i="18"/>
  <c r="A48" i="19"/>
  <c r="M32" i="19"/>
  <c r="M12" i="19"/>
  <c r="M35" i="19" s="1"/>
  <c r="N35" i="19" s="1"/>
  <c r="W66" i="18"/>
  <c r="K66" i="18"/>
  <c r="J84" i="18"/>
  <c r="J32" i="19"/>
  <c r="M25" i="19"/>
  <c r="J12" i="19"/>
  <c r="G82" i="18"/>
  <c r="V66" i="18"/>
  <c r="V85" i="18" s="1"/>
  <c r="J66" i="18"/>
  <c r="J89" i="18" s="1"/>
  <c r="Y82" i="18"/>
  <c r="J25" i="19"/>
  <c r="U66" i="18"/>
  <c r="U85" i="18" s="1"/>
  <c r="I66" i="18"/>
  <c r="I85" i="18" s="1"/>
  <c r="V89" i="18"/>
  <c r="Z81" i="18"/>
  <c r="T66" i="18"/>
  <c r="T87" i="18" s="1"/>
  <c r="Y81" i="18"/>
  <c r="M81" i="18"/>
  <c r="D90" i="18"/>
  <c r="G89" i="18"/>
  <c r="G84" i="18"/>
  <c r="Q89" i="18"/>
  <c r="E88" i="18"/>
  <c r="R83" i="18"/>
  <c r="W82" i="18"/>
  <c r="AB81" i="18"/>
  <c r="P81" i="18"/>
  <c r="G78" i="18"/>
  <c r="F85" i="18"/>
  <c r="K84" i="18"/>
  <c r="AB83" i="18"/>
  <c r="P83" i="18"/>
  <c r="D83" i="18"/>
  <c r="A81" i="18"/>
  <c r="S80" i="18"/>
  <c r="G80" i="18"/>
  <c r="Q78" i="18"/>
  <c r="E78" i="18"/>
  <c r="Q87" i="18"/>
  <c r="Q82" i="18"/>
  <c r="F84" i="18"/>
  <c r="F83" i="18"/>
  <c r="Z88" i="18"/>
  <c r="N88" i="18"/>
  <c r="G87" i="18"/>
  <c r="Q85" i="18"/>
  <c r="E85" i="18"/>
  <c r="AA83" i="18"/>
  <c r="O83" i="18"/>
  <c r="R80" i="18"/>
  <c r="F80" i="18"/>
  <c r="W79" i="18"/>
  <c r="K79" i="18"/>
  <c r="AB78" i="18"/>
  <c r="P78" i="18"/>
  <c r="F89" i="18"/>
  <c r="S84" i="18"/>
  <c r="AB89" i="18"/>
  <c r="P89" i="18"/>
  <c r="S86" i="18"/>
  <c r="G86" i="18"/>
  <c r="Q84" i="18"/>
  <c r="E84" i="18"/>
  <c r="R79" i="18"/>
  <c r="F79" i="18"/>
  <c r="W78" i="18"/>
  <c r="K78" i="18"/>
  <c r="AA89" i="18"/>
  <c r="O89" i="18"/>
  <c r="F86" i="18"/>
  <c r="K85" i="18"/>
  <c r="AB84" i="18"/>
  <c r="P84" i="18"/>
  <c r="S81" i="18"/>
  <c r="G81" i="18"/>
  <c r="Q79" i="18"/>
  <c r="E79" i="18"/>
  <c r="A46" i="18"/>
  <c r="E89" i="18"/>
  <c r="Z89" i="18"/>
  <c r="S88" i="18"/>
  <c r="G88" i="18"/>
  <c r="Q86" i="18"/>
  <c r="E86" i="18"/>
  <c r="AA84" i="18"/>
  <c r="O84" i="18"/>
  <c r="F81" i="18"/>
  <c r="K80" i="18"/>
  <c r="AB79" i="18"/>
  <c r="P79" i="18"/>
  <c r="D79" i="18"/>
  <c r="R84" i="18"/>
  <c r="P82" i="18"/>
  <c r="G79" i="18"/>
  <c r="F88" i="18"/>
  <c r="K87" i="18"/>
  <c r="AB86" i="18"/>
  <c r="P86" i="18"/>
  <c r="Z84" i="18"/>
  <c r="N84" i="18"/>
  <c r="S83" i="18"/>
  <c r="G83" i="18"/>
  <c r="Q81" i="18"/>
  <c r="E81" i="18"/>
  <c r="AA79" i="18"/>
  <c r="O79" i="18"/>
  <c r="S79" i="18"/>
  <c r="Q88" i="18"/>
  <c r="S78" i="18"/>
  <c r="J15" i="15"/>
  <c r="D11" i="6"/>
  <c r="E20" i="5"/>
  <c r="AC28" i="17"/>
  <c r="E20" i="7" s="1"/>
  <c r="A43" i="17"/>
  <c r="AD16" i="17"/>
  <c r="AE42" i="17"/>
  <c r="AC16" i="17"/>
  <c r="A67" i="17"/>
  <c r="A17" i="17"/>
  <c r="E91" i="16"/>
  <c r="J91" i="16"/>
  <c r="A92" i="16"/>
  <c r="J18" i="16"/>
  <c r="A19" i="16"/>
  <c r="A56" i="16"/>
  <c r="E54" i="16"/>
  <c r="E16" i="16"/>
  <c r="N19" i="15"/>
  <c r="N14" i="15" s="1"/>
  <c r="L14" i="15"/>
  <c r="K13" i="15"/>
  <c r="K15" i="15" s="1"/>
  <c r="I13" i="15"/>
  <c r="D44" i="35" s="1"/>
  <c r="I14" i="15"/>
  <c r="E44" i="35" s="1"/>
  <c r="A19" i="15"/>
  <c r="AD15" i="14"/>
  <c r="AE40" i="14"/>
  <c r="A41" i="14"/>
  <c r="I15" i="13"/>
  <c r="I28" i="13" s="1"/>
  <c r="G28" i="13"/>
  <c r="AE66" i="14"/>
  <c r="A67" i="14"/>
  <c r="AD14" i="14"/>
  <c r="F26" i="14"/>
  <c r="D93" i="14"/>
  <c r="A16" i="14"/>
  <c r="AC25" i="14"/>
  <c r="A19" i="13"/>
  <c r="C79" i="12"/>
  <c r="C86" i="12" s="1"/>
  <c r="D8" i="9"/>
  <c r="E8" i="10"/>
  <c r="E15" i="10" s="1"/>
  <c r="E24" i="10"/>
  <c r="R29" i="12"/>
  <c r="D11" i="9"/>
  <c r="E37" i="5" s="1"/>
  <c r="A65" i="12"/>
  <c r="C82" i="12"/>
  <c r="C81" i="12"/>
  <c r="D17" i="9"/>
  <c r="E42" i="5" s="1"/>
  <c r="E44" i="5" s="1"/>
  <c r="K11" i="11"/>
  <c r="A12" i="11"/>
  <c r="F13" i="11" s="1"/>
  <c r="K25" i="11"/>
  <c r="A26" i="11"/>
  <c r="K24" i="11"/>
  <c r="K9" i="11"/>
  <c r="E70" i="5"/>
  <c r="E138" i="5" s="1"/>
  <c r="A41" i="11"/>
  <c r="H12" i="10"/>
  <c r="A13" i="10"/>
  <c r="G11" i="9"/>
  <c r="A14" i="9"/>
  <c r="L18" i="8"/>
  <c r="A19" i="8"/>
  <c r="L82" i="8"/>
  <c r="A83" i="8"/>
  <c r="L46" i="8"/>
  <c r="A47" i="8"/>
  <c r="L97" i="8"/>
  <c r="A100" i="8"/>
  <c r="C64" i="8"/>
  <c r="C59" i="8"/>
  <c r="C66" i="8"/>
  <c r="C61" i="8"/>
  <c r="C62" i="8"/>
  <c r="C68" i="8"/>
  <c r="C63" i="8"/>
  <c r="C58" i="8"/>
  <c r="C65" i="8"/>
  <c r="C60" i="8"/>
  <c r="C67" i="8"/>
  <c r="D123" i="8"/>
  <c r="D120" i="8"/>
  <c r="D117" i="8"/>
  <c r="L45" i="8"/>
  <c r="A117" i="8"/>
  <c r="L81" i="8"/>
  <c r="D125" i="8"/>
  <c r="D122" i="8"/>
  <c r="D119" i="8"/>
  <c r="D116" i="8"/>
  <c r="D127" i="8"/>
  <c r="D124" i="8"/>
  <c r="D121" i="8"/>
  <c r="A45" i="7"/>
  <c r="H44" i="7"/>
  <c r="F45" i="7"/>
  <c r="H85" i="7"/>
  <c r="A86" i="7"/>
  <c r="H11" i="7"/>
  <c r="A14" i="7"/>
  <c r="H61" i="7"/>
  <c r="A63" i="7"/>
  <c r="F70" i="7"/>
  <c r="F47" i="7"/>
  <c r="A29" i="6"/>
  <c r="G28" i="6"/>
  <c r="A15" i="6"/>
  <c r="G12" i="6"/>
  <c r="H190" i="5"/>
  <c r="A191" i="5"/>
  <c r="H101" i="5"/>
  <c r="F139" i="5"/>
  <c r="A104" i="5"/>
  <c r="H11" i="5"/>
  <c r="A14" i="5"/>
  <c r="H183" i="5"/>
  <c r="A184" i="5"/>
  <c r="F184" i="5"/>
  <c r="A42" i="5"/>
  <c r="A85" i="5"/>
  <c r="H100" i="5"/>
  <c r="A150" i="5"/>
  <c r="A15" i="41" l="1"/>
  <c r="E14" i="41"/>
  <c r="E38" i="41"/>
  <c r="A39" i="41"/>
  <c r="K25" i="40"/>
  <c r="K26" i="40" s="1"/>
  <c r="M18" i="40"/>
  <c r="A19" i="40"/>
  <c r="K41" i="39"/>
  <c r="K13" i="39"/>
  <c r="I55" i="39"/>
  <c r="L13" i="39"/>
  <c r="L15" i="39"/>
  <c r="K33" i="39"/>
  <c r="K15" i="39"/>
  <c r="N19" i="39"/>
  <c r="A21" i="39"/>
  <c r="L33" i="39"/>
  <c r="N16" i="38"/>
  <c r="A18" i="38"/>
  <c r="F11" i="37"/>
  <c r="A12" i="37"/>
  <c r="F44" i="35"/>
  <c r="D20" i="35"/>
  <c r="F38" i="35"/>
  <c r="E34" i="35"/>
  <c r="E45" i="35" s="1"/>
  <c r="H42" i="35"/>
  <c r="A43" i="35"/>
  <c r="H14" i="35"/>
  <c r="G15" i="35"/>
  <c r="A15" i="35"/>
  <c r="N34" i="27"/>
  <c r="O34" i="27"/>
  <c r="O21" i="27"/>
  <c r="P21" i="27" s="1"/>
  <c r="O26" i="27"/>
  <c r="N26" i="27"/>
  <c r="P26" i="27" s="1"/>
  <c r="N28" i="27"/>
  <c r="O28" i="27"/>
  <c r="O25" i="27"/>
  <c r="N25" i="27"/>
  <c r="F27" i="20"/>
  <c r="N16" i="27"/>
  <c r="O16" i="27"/>
  <c r="N14" i="27"/>
  <c r="O14" i="27"/>
  <c r="O11" i="27" s="1"/>
  <c r="F13" i="33"/>
  <c r="A14" i="33"/>
  <c r="N30" i="27"/>
  <c r="O30" i="27"/>
  <c r="N27" i="27"/>
  <c r="O27" i="27"/>
  <c r="G27" i="20"/>
  <c r="N33" i="27"/>
  <c r="P33" i="27" s="1"/>
  <c r="O33" i="27"/>
  <c r="O29" i="27"/>
  <c r="N29" i="27"/>
  <c r="O18" i="27"/>
  <c r="N18" i="27"/>
  <c r="P18" i="27" s="1"/>
  <c r="N19" i="27"/>
  <c r="O19" i="27"/>
  <c r="N15" i="27"/>
  <c r="N11" i="27" s="1"/>
  <c r="C22" i="33" s="1"/>
  <c r="O15" i="27"/>
  <c r="O31" i="27"/>
  <c r="N31" i="27"/>
  <c r="P31" i="27" s="1"/>
  <c r="C52" i="33"/>
  <c r="C53" i="33" s="1"/>
  <c r="F90" i="29" s="1"/>
  <c r="F91" i="29" s="1"/>
  <c r="C54" i="33"/>
  <c r="G90" i="29" s="1"/>
  <c r="G91" i="29" s="1"/>
  <c r="P22" i="27"/>
  <c r="P17" i="27"/>
  <c r="K49" i="32"/>
  <c r="A50" i="32"/>
  <c r="K18" i="32"/>
  <c r="A23" i="32"/>
  <c r="A39" i="32"/>
  <c r="K39" i="32" s="1"/>
  <c r="K37" i="32"/>
  <c r="F39" i="32"/>
  <c r="G51" i="32"/>
  <c r="H50" i="32"/>
  <c r="I50" i="32" s="1"/>
  <c r="J50" i="32" s="1"/>
  <c r="N18" i="15"/>
  <c r="N13" i="15" s="1"/>
  <c r="N15" i="15" s="1"/>
  <c r="H14" i="15"/>
  <c r="H15" i="15" s="1"/>
  <c r="M18" i="15"/>
  <c r="M13" i="15" s="1"/>
  <c r="L13" i="15"/>
  <c r="L15" i="15" s="1"/>
  <c r="G21" i="30"/>
  <c r="A22" i="30"/>
  <c r="A32" i="30"/>
  <c r="G31" i="30"/>
  <c r="D32" i="30"/>
  <c r="K47" i="29"/>
  <c r="A48" i="29"/>
  <c r="K32" i="29"/>
  <c r="A33" i="29"/>
  <c r="K23" i="29"/>
  <c r="A24" i="29"/>
  <c r="K39" i="29"/>
  <c r="A40" i="29"/>
  <c r="O53" i="28"/>
  <c r="A54" i="28"/>
  <c r="O12" i="28"/>
  <c r="A13" i="28"/>
  <c r="O34" i="28"/>
  <c r="A35" i="28"/>
  <c r="Q13" i="27"/>
  <c r="A14" i="27"/>
  <c r="AR80" i="26"/>
  <c r="BB80" i="26"/>
  <c r="BF80" i="26" s="1"/>
  <c r="BH80" i="26" s="1"/>
  <c r="BF124" i="26"/>
  <c r="BH125" i="26"/>
  <c r="AR98" i="26"/>
  <c r="BB98" i="26"/>
  <c r="BF98" i="26" s="1"/>
  <c r="BH98" i="26" s="1"/>
  <c r="BF28" i="26"/>
  <c r="Z35" i="26"/>
  <c r="T18" i="26"/>
  <c r="T24" i="26" s="1"/>
  <c r="AR13" i="26"/>
  <c r="AL18" i="26"/>
  <c r="AL24" i="26" s="1"/>
  <c r="BB70" i="26"/>
  <c r="BF70" i="26" s="1"/>
  <c r="BH70" i="26" s="1"/>
  <c r="AR70" i="26"/>
  <c r="AR27" i="26"/>
  <c r="AR37" i="26"/>
  <c r="AZ37" i="26"/>
  <c r="V18" i="26"/>
  <c r="V24" i="26" s="1"/>
  <c r="AR120" i="26"/>
  <c r="AZ120" i="26"/>
  <c r="BF120" i="26" s="1"/>
  <c r="BH120" i="26" s="1"/>
  <c r="AZ43" i="26"/>
  <c r="AZ15" i="26" s="1"/>
  <c r="BF44" i="26"/>
  <c r="A107" i="26"/>
  <c r="BJ106" i="26"/>
  <c r="AR84" i="26"/>
  <c r="A38" i="26"/>
  <c r="BJ37" i="26"/>
  <c r="BB103" i="26"/>
  <c r="BB16" i="26" s="1"/>
  <c r="Z16" i="26"/>
  <c r="Z18" i="26" s="1"/>
  <c r="Z24" i="26" s="1"/>
  <c r="AL35" i="26"/>
  <c r="AL14" i="26" s="1"/>
  <c r="AR14" i="26" s="1"/>
  <c r="A119" i="26"/>
  <c r="BJ118" i="26"/>
  <c r="AZ118" i="26"/>
  <c r="BF118" i="26" s="1"/>
  <c r="BH118" i="26" s="1"/>
  <c r="AR118" i="26"/>
  <c r="AR99" i="26"/>
  <c r="BB99" i="26"/>
  <c r="BF99" i="26" s="1"/>
  <c r="BH99" i="26" s="1"/>
  <c r="AR22" i="26"/>
  <c r="AZ22" i="26"/>
  <c r="BF22" i="26" s="1"/>
  <c r="BD35" i="26"/>
  <c r="BD14" i="26" s="1"/>
  <c r="BF36" i="26"/>
  <c r="BD104" i="26"/>
  <c r="BD103" i="26" s="1"/>
  <c r="BD16" i="26" s="1"/>
  <c r="BD18" i="26" s="1"/>
  <c r="BD24" i="26" s="1"/>
  <c r="AP103" i="26"/>
  <c r="AP16" i="26" s="1"/>
  <c r="AP18" i="26" s="1"/>
  <c r="AP24" i="26" s="1"/>
  <c r="AR40" i="26"/>
  <c r="AZ40" i="26"/>
  <c r="BF40" i="26" s="1"/>
  <c r="BH40" i="26" s="1"/>
  <c r="Z43" i="26"/>
  <c r="BB97" i="26"/>
  <c r="BF97" i="26" s="1"/>
  <c r="BH97" i="26" s="1"/>
  <c r="AR97" i="26"/>
  <c r="AZ103" i="26"/>
  <c r="AZ16" i="26" s="1"/>
  <c r="BB44" i="26"/>
  <c r="AN43" i="26"/>
  <c r="AN15" i="26" s="1"/>
  <c r="AR15" i="26" s="1"/>
  <c r="BD124" i="26"/>
  <c r="BF23" i="26"/>
  <c r="BF29" i="26"/>
  <c r="BH29" i="26" s="1"/>
  <c r="AZ27" i="26"/>
  <c r="AZ13" i="26" s="1"/>
  <c r="BB100" i="26"/>
  <c r="BF100" i="26" s="1"/>
  <c r="BH100" i="26" s="1"/>
  <c r="AR100" i="26"/>
  <c r="AR104" i="26"/>
  <c r="AR103" i="26" s="1"/>
  <c r="BF58" i="26"/>
  <c r="BH58" i="26" s="1"/>
  <c r="BJ45" i="26"/>
  <c r="A46" i="26"/>
  <c r="AR119" i="26"/>
  <c r="AZ119" i="26"/>
  <c r="BF119" i="26" s="1"/>
  <c r="BH119" i="26" s="1"/>
  <c r="AR96" i="26"/>
  <c r="BB96" i="26"/>
  <c r="BF96" i="26" s="1"/>
  <c r="BH96" i="26" s="1"/>
  <c r="AR21" i="26"/>
  <c r="AR82" i="26"/>
  <c r="AL116" i="26"/>
  <c r="AL17" i="26" s="1"/>
  <c r="AR17" i="26" s="1"/>
  <c r="AR117" i="26"/>
  <c r="AZ117" i="26"/>
  <c r="BB64" i="26"/>
  <c r="BF64" i="26" s="1"/>
  <c r="BH64" i="26" s="1"/>
  <c r="AR64" i="26"/>
  <c r="A18" i="26"/>
  <c r="BJ17" i="26"/>
  <c r="A127" i="26"/>
  <c r="BJ126" i="26"/>
  <c r="AR58" i="26"/>
  <c r="AR43" i="26" s="1"/>
  <c r="Z116" i="26"/>
  <c r="BH45" i="25"/>
  <c r="A46" i="25"/>
  <c r="A120" i="25"/>
  <c r="BH119" i="25"/>
  <c r="X13" i="25"/>
  <c r="X18" i="25" s="1"/>
  <c r="X24" i="25" s="1"/>
  <c r="R18" i="25"/>
  <c r="R24" i="25" s="1"/>
  <c r="AX43" i="25"/>
  <c r="AX15" i="25" s="1"/>
  <c r="AP89" i="25"/>
  <c r="AZ89" i="25"/>
  <c r="BD89" i="25" s="1"/>
  <c r="BF89" i="25" s="1"/>
  <c r="AX28" i="25"/>
  <c r="AJ27" i="25"/>
  <c r="AJ13" i="25" s="1"/>
  <c r="AP28" i="25"/>
  <c r="AP27" i="25" s="1"/>
  <c r="A129" i="25"/>
  <c r="BH128" i="25"/>
  <c r="AP38" i="25"/>
  <c r="AX38" i="25"/>
  <c r="BD38" i="25" s="1"/>
  <c r="BF38" i="25" s="1"/>
  <c r="AP77" i="25"/>
  <c r="BD51" i="25"/>
  <c r="BF51" i="25" s="1"/>
  <c r="BF43" i="25" s="1"/>
  <c r="BF15" i="25" s="1"/>
  <c r="BD128" i="25"/>
  <c r="BD125" i="25" s="1"/>
  <c r="AX125" i="25"/>
  <c r="AX21" i="25" s="1"/>
  <c r="BD21" i="25" s="1"/>
  <c r="T18" i="25"/>
  <c r="T24" i="25" s="1"/>
  <c r="BF104" i="25"/>
  <c r="AP51" i="25"/>
  <c r="BH17" i="25"/>
  <c r="A18" i="25"/>
  <c r="AP65" i="25"/>
  <c r="AZ65" i="25"/>
  <c r="BD65" i="25" s="1"/>
  <c r="BF65" i="25" s="1"/>
  <c r="AP107" i="25"/>
  <c r="AP103" i="25" s="1"/>
  <c r="BB107" i="25"/>
  <c r="AN103" i="25"/>
  <c r="AN16" i="25" s="1"/>
  <c r="AP16" i="25" s="1"/>
  <c r="AP125" i="25"/>
  <c r="AP21" i="25"/>
  <c r="AP62" i="25"/>
  <c r="AZ62" i="25"/>
  <c r="BD62" i="25" s="1"/>
  <c r="BF62" i="25" s="1"/>
  <c r="AL43" i="25"/>
  <c r="AL15" i="25" s="1"/>
  <c r="AP15" i="25" s="1"/>
  <c r="AP119" i="25"/>
  <c r="AP117" i="25" s="1"/>
  <c r="AX119" i="25"/>
  <c r="BD119" i="25" s="1"/>
  <c r="BF119" i="25" s="1"/>
  <c r="AX117" i="25"/>
  <c r="AX17" i="25" s="1"/>
  <c r="BD17" i="25" s="1"/>
  <c r="BD118" i="25"/>
  <c r="BD43" i="25"/>
  <c r="AN18" i="25"/>
  <c r="AN24" i="25" s="1"/>
  <c r="X16" i="25"/>
  <c r="A107" i="25"/>
  <c r="BH105" i="25"/>
  <c r="AZ53" i="25"/>
  <c r="BD53" i="25" s="1"/>
  <c r="BF53" i="25" s="1"/>
  <c r="AP53" i="25"/>
  <c r="AP43" i="25" s="1"/>
  <c r="AX103" i="25"/>
  <c r="AX16" i="25" s="1"/>
  <c r="A40" i="25"/>
  <c r="BH40" i="25" s="1"/>
  <c r="BH39" i="25"/>
  <c r="AP37" i="25"/>
  <c r="AX37" i="25"/>
  <c r="BD37" i="25" s="1"/>
  <c r="BF37" i="25" s="1"/>
  <c r="BH29" i="25"/>
  <c r="A30" i="25"/>
  <c r="AP36" i="25"/>
  <c r="AP35" i="25" s="1"/>
  <c r="AJ35" i="25"/>
  <c r="AJ14" i="25" s="1"/>
  <c r="AP14" i="25" s="1"/>
  <c r="AX36" i="25"/>
  <c r="A58" i="24"/>
  <c r="K57" i="24"/>
  <c r="G65" i="24"/>
  <c r="K37" i="24"/>
  <c r="A38" i="24"/>
  <c r="G17" i="23"/>
  <c r="A18" i="23"/>
  <c r="G106" i="23"/>
  <c r="A107" i="23"/>
  <c r="G64" i="23"/>
  <c r="A65" i="23"/>
  <c r="G85" i="23"/>
  <c r="A86" i="23"/>
  <c r="G40" i="23"/>
  <c r="A41" i="23"/>
  <c r="G152" i="23"/>
  <c r="A153" i="23"/>
  <c r="G128" i="23"/>
  <c r="A129" i="23"/>
  <c r="D14" i="22"/>
  <c r="F15" i="22"/>
  <c r="A17" i="22"/>
  <c r="A36" i="21"/>
  <c r="N35" i="21"/>
  <c r="N137" i="21"/>
  <c r="A138" i="21"/>
  <c r="G162" i="21"/>
  <c r="G164" i="21" s="1"/>
  <c r="N83" i="21"/>
  <c r="A84" i="21"/>
  <c r="I84" i="21"/>
  <c r="H155" i="21"/>
  <c r="J155" i="21" s="1"/>
  <c r="H150" i="21"/>
  <c r="E162" i="21"/>
  <c r="N57" i="21"/>
  <c r="A58" i="21"/>
  <c r="N96" i="21"/>
  <c r="A98" i="21"/>
  <c r="H145" i="21"/>
  <c r="A114" i="21"/>
  <c r="N113" i="21"/>
  <c r="H154" i="21"/>
  <c r="J154" i="21" s="1"/>
  <c r="F164" i="21"/>
  <c r="J145" i="21"/>
  <c r="J147" i="21" s="1"/>
  <c r="L147" i="21" s="1"/>
  <c r="M147" i="21" s="1"/>
  <c r="G119" i="21"/>
  <c r="A14" i="21"/>
  <c r="N13" i="21"/>
  <c r="E14" i="21"/>
  <c r="H156" i="21"/>
  <c r="J156" i="21" s="1"/>
  <c r="E164" i="21"/>
  <c r="J17" i="20"/>
  <c r="A18" i="20"/>
  <c r="A43" i="20"/>
  <c r="J42" i="20"/>
  <c r="F89" i="16"/>
  <c r="H89" i="16" s="1"/>
  <c r="I89" i="16" s="1"/>
  <c r="P35" i="19"/>
  <c r="F90" i="16"/>
  <c r="F53" i="16"/>
  <c r="N86" i="18"/>
  <c r="N79" i="18"/>
  <c r="N78" i="18"/>
  <c r="N90" i="18" s="1"/>
  <c r="N85" i="18"/>
  <c r="N82" i="18"/>
  <c r="N80" i="18"/>
  <c r="N87" i="18"/>
  <c r="N83" i="18"/>
  <c r="R88" i="18"/>
  <c r="J35" i="19"/>
  <c r="Z86" i="18"/>
  <c r="Z79" i="18"/>
  <c r="Z82" i="18"/>
  <c r="Z83" i="18"/>
  <c r="Z87" i="18"/>
  <c r="Z80" i="18"/>
  <c r="Z78" i="18"/>
  <c r="Z90" i="18" s="1"/>
  <c r="Z85" i="18"/>
  <c r="M57" i="19"/>
  <c r="N57" i="19" s="1"/>
  <c r="P57" i="19" s="1"/>
  <c r="Q13" i="19"/>
  <c r="A14" i="19"/>
  <c r="X89" i="18"/>
  <c r="X80" i="18"/>
  <c r="X88" i="18"/>
  <c r="X84" i="18"/>
  <c r="X82" i="18"/>
  <c r="X83" i="18"/>
  <c r="X85" i="18"/>
  <c r="X81" i="18"/>
  <c r="X78" i="18"/>
  <c r="I78" i="18"/>
  <c r="U83" i="18"/>
  <c r="U89" i="18"/>
  <c r="V84" i="18"/>
  <c r="U82" i="18"/>
  <c r="Q83" i="18"/>
  <c r="Q80" i="18"/>
  <c r="Q90" i="18" s="1"/>
  <c r="I83" i="18"/>
  <c r="U78" i="18"/>
  <c r="K89" i="18"/>
  <c r="K86" i="18"/>
  <c r="K81" i="18"/>
  <c r="K82" i="18"/>
  <c r="K83" i="18"/>
  <c r="K88" i="18"/>
  <c r="M86" i="18"/>
  <c r="X87" i="18"/>
  <c r="H78" i="18"/>
  <c r="H90" i="18" s="1"/>
  <c r="H81" i="18"/>
  <c r="H85" i="18"/>
  <c r="H79" i="18"/>
  <c r="H84" i="18"/>
  <c r="AC84" i="18" s="1"/>
  <c r="H86" i="18"/>
  <c r="H88" i="18"/>
  <c r="AC88" i="18" s="1"/>
  <c r="H80" i="18"/>
  <c r="AC80" i="18" s="1"/>
  <c r="H89" i="18"/>
  <c r="AC89" i="18" s="1"/>
  <c r="L78" i="18"/>
  <c r="L85" i="18"/>
  <c r="L81" i="18"/>
  <c r="L82" i="18"/>
  <c r="L83" i="18"/>
  <c r="L84" i="18"/>
  <c r="L89" i="18"/>
  <c r="L88" i="18"/>
  <c r="L80" i="18"/>
  <c r="I87" i="18"/>
  <c r="AC87" i="18" s="1"/>
  <c r="I81" i="18"/>
  <c r="AC81" i="18" s="1"/>
  <c r="I79" i="18"/>
  <c r="I84" i="18"/>
  <c r="I86" i="18"/>
  <c r="AC86" i="18" s="1"/>
  <c r="I80" i="18"/>
  <c r="I88" i="18"/>
  <c r="F90" i="18"/>
  <c r="W89" i="18"/>
  <c r="W86" i="18"/>
  <c r="W88" i="18"/>
  <c r="W83" i="18"/>
  <c r="W81" i="18"/>
  <c r="Q68" i="19"/>
  <c r="A69" i="19"/>
  <c r="N89" i="18"/>
  <c r="L79" i="18"/>
  <c r="M88" i="18"/>
  <c r="M78" i="18"/>
  <c r="M83" i="18"/>
  <c r="M85" i="18"/>
  <c r="M84" i="18"/>
  <c r="M79" i="18"/>
  <c r="M87" i="18"/>
  <c r="M89" i="18"/>
  <c r="M80" i="18"/>
  <c r="R78" i="18"/>
  <c r="R87" i="18"/>
  <c r="R82" i="18"/>
  <c r="AC82" i="18" s="1"/>
  <c r="S85" i="18"/>
  <c r="S90" i="18" s="1"/>
  <c r="S82" i="18"/>
  <c r="I89" i="18"/>
  <c r="W85" i="18"/>
  <c r="R89" i="18"/>
  <c r="W84" i="18"/>
  <c r="J78" i="18"/>
  <c r="J81" i="18"/>
  <c r="J82" i="18"/>
  <c r="J80" i="18"/>
  <c r="J83" i="18"/>
  <c r="AC83" i="18" s="1"/>
  <c r="J79" i="18"/>
  <c r="AC79" i="18" s="1"/>
  <c r="J86" i="18"/>
  <c r="J87" i="18"/>
  <c r="J88" i="18"/>
  <c r="Y83" i="18"/>
  <c r="Y87" i="18"/>
  <c r="Y89" i="18"/>
  <c r="Y80" i="18"/>
  <c r="Y88" i="18"/>
  <c r="Y85" i="18"/>
  <c r="Y79" i="18"/>
  <c r="Y84" i="18"/>
  <c r="Y78" i="18"/>
  <c r="Y90" i="18" s="1"/>
  <c r="X86" i="18"/>
  <c r="AA81" i="18"/>
  <c r="AA85" i="18"/>
  <c r="AA82" i="18"/>
  <c r="AA86" i="18"/>
  <c r="AA87" i="18"/>
  <c r="AA78" i="18"/>
  <c r="AA80" i="18"/>
  <c r="T89" i="18"/>
  <c r="T88" i="18"/>
  <c r="T80" i="18"/>
  <c r="T81" i="18"/>
  <c r="T78" i="18"/>
  <c r="T84" i="18"/>
  <c r="T79" i="18"/>
  <c r="T85" i="18"/>
  <c r="T86" i="18"/>
  <c r="V87" i="18"/>
  <c r="V78" i="18"/>
  <c r="V88" i="18"/>
  <c r="V81" i="18"/>
  <c r="V80" i="18"/>
  <c r="V79" i="18"/>
  <c r="V82" i="18"/>
  <c r="V86" i="18"/>
  <c r="V83" i="18"/>
  <c r="O81" i="18"/>
  <c r="O82" i="18"/>
  <c r="O78" i="18"/>
  <c r="O85" i="18"/>
  <c r="O90" i="18" s="1"/>
  <c r="O80" i="18"/>
  <c r="O87" i="18"/>
  <c r="O86" i="18"/>
  <c r="U87" i="18"/>
  <c r="U88" i="18"/>
  <c r="U80" i="18"/>
  <c r="U81" i="18"/>
  <c r="U86" i="18"/>
  <c r="U84" i="18"/>
  <c r="U79" i="18"/>
  <c r="I82" i="18"/>
  <c r="L86" i="18"/>
  <c r="AA90" i="18"/>
  <c r="W87" i="18"/>
  <c r="W80" i="18"/>
  <c r="W90" i="18" s="1"/>
  <c r="R86" i="18"/>
  <c r="S89" i="18"/>
  <c r="R85" i="18"/>
  <c r="N81" i="18"/>
  <c r="Q48" i="19"/>
  <c r="A49" i="19"/>
  <c r="A47" i="18"/>
  <c r="AD46" i="18"/>
  <c r="AD81" i="18"/>
  <c r="A82" i="18"/>
  <c r="I90" i="18"/>
  <c r="G90" i="18"/>
  <c r="K90" i="18"/>
  <c r="P90" i="18"/>
  <c r="E90" i="18"/>
  <c r="AB90" i="18"/>
  <c r="U90" i="18"/>
  <c r="AE43" i="17"/>
  <c r="A44" i="17"/>
  <c r="AE67" i="17"/>
  <c r="A68" i="17"/>
  <c r="AD17" i="17"/>
  <c r="AE17" i="17"/>
  <c r="A18" i="17"/>
  <c r="A93" i="16"/>
  <c r="J92" i="16"/>
  <c r="F91" i="16"/>
  <c r="E92" i="16"/>
  <c r="J19" i="16"/>
  <c r="A20" i="16"/>
  <c r="J56" i="16"/>
  <c r="A57" i="16"/>
  <c r="E55" i="16"/>
  <c r="E17" i="16"/>
  <c r="F54" i="16"/>
  <c r="F17" i="16" s="1"/>
  <c r="A20" i="15"/>
  <c r="Q20" i="15" s="1"/>
  <c r="Q19" i="15"/>
  <c r="I15" i="15"/>
  <c r="AE67" i="14"/>
  <c r="A68" i="14"/>
  <c r="AE41" i="14"/>
  <c r="A42" i="14"/>
  <c r="AD16" i="14"/>
  <c r="D10" i="6"/>
  <c r="D12" i="6" s="1"/>
  <c r="E8" i="5"/>
  <c r="AC26" i="14"/>
  <c r="E8" i="7" s="1"/>
  <c r="AE16" i="14"/>
  <c r="A17" i="14"/>
  <c r="A20" i="13"/>
  <c r="J19" i="13"/>
  <c r="E26" i="10"/>
  <c r="E38" i="5" s="1"/>
  <c r="E57" i="5" s="1"/>
  <c r="E65" i="5" s="1"/>
  <c r="R65" i="12"/>
  <c r="A66" i="12"/>
  <c r="R66" i="12" s="1"/>
  <c r="D21" i="9"/>
  <c r="D24" i="9" s="1"/>
  <c r="E47" i="5" s="1"/>
  <c r="E49" i="5" s="1"/>
  <c r="A42" i="11"/>
  <c r="K41" i="11"/>
  <c r="K26" i="11"/>
  <c r="A27" i="11"/>
  <c r="A13" i="11"/>
  <c r="K12" i="11"/>
  <c r="H13" i="10"/>
  <c r="A14" i="10"/>
  <c r="G14" i="9"/>
  <c r="A15" i="9"/>
  <c r="A84" i="8"/>
  <c r="L83" i="8"/>
  <c r="D128" i="8"/>
  <c r="L47" i="8"/>
  <c r="A48" i="8"/>
  <c r="L19" i="8"/>
  <c r="A20" i="8"/>
  <c r="L117" i="8"/>
  <c r="A118" i="8"/>
  <c r="L100" i="8"/>
  <c r="A103" i="8"/>
  <c r="C103" i="8"/>
  <c r="F89" i="7"/>
  <c r="H63" i="7"/>
  <c r="A65" i="7"/>
  <c r="H86" i="7"/>
  <c r="A87" i="7"/>
  <c r="H45" i="7"/>
  <c r="A47" i="7"/>
  <c r="H14" i="7"/>
  <c r="A15" i="7"/>
  <c r="A17" i="6"/>
  <c r="G15" i="6"/>
  <c r="G29" i="6"/>
  <c r="A30" i="6"/>
  <c r="E30" i="6"/>
  <c r="H14" i="5"/>
  <c r="A15" i="5"/>
  <c r="H42" i="5"/>
  <c r="A43" i="5"/>
  <c r="F44" i="5"/>
  <c r="H191" i="5"/>
  <c r="A192" i="5"/>
  <c r="A151" i="5"/>
  <c r="H150" i="5"/>
  <c r="A112" i="5"/>
  <c r="H104" i="5"/>
  <c r="H85" i="5"/>
  <c r="A86" i="5"/>
  <c r="H184" i="5"/>
  <c r="F192" i="5"/>
  <c r="F190" i="5"/>
  <c r="E15" i="41" l="1"/>
  <c r="A16" i="41"/>
  <c r="E39" i="41"/>
  <c r="A40" i="41"/>
  <c r="M19" i="40"/>
  <c r="A20" i="40"/>
  <c r="N21" i="39"/>
  <c r="A23" i="39"/>
  <c r="K43" i="39"/>
  <c r="N18" i="38"/>
  <c r="A20" i="38"/>
  <c r="A13" i="37"/>
  <c r="F12" i="37"/>
  <c r="D13" i="37"/>
  <c r="M15" i="15"/>
  <c r="D14" i="35"/>
  <c r="H43" i="35"/>
  <c r="A44" i="35"/>
  <c r="H15" i="35"/>
  <c r="A18" i="35"/>
  <c r="F20" i="35"/>
  <c r="F21" i="35" s="1"/>
  <c r="D21" i="35"/>
  <c r="C24" i="33"/>
  <c r="C25" i="33"/>
  <c r="P28" i="27"/>
  <c r="P19" i="27"/>
  <c r="P30" i="27"/>
  <c r="P25" i="27"/>
  <c r="P27" i="27"/>
  <c r="P29" i="27"/>
  <c r="P14" i="27"/>
  <c r="P34" i="27"/>
  <c r="P15" i="27"/>
  <c r="A15" i="33"/>
  <c r="F14" i="33"/>
  <c r="P16" i="27"/>
  <c r="H51" i="32"/>
  <c r="I51" i="32" s="1"/>
  <c r="J51" i="32" s="1"/>
  <c r="G52" i="32"/>
  <c r="K23" i="32"/>
  <c r="A24" i="32"/>
  <c r="K50" i="32"/>
  <c r="A51" i="32"/>
  <c r="E14" i="15"/>
  <c r="E13" i="15"/>
  <c r="D13" i="15"/>
  <c r="D14" i="15"/>
  <c r="D37" i="30"/>
  <c r="D33" i="30"/>
  <c r="G32" i="30"/>
  <c r="A33" i="30"/>
  <c r="A23" i="30"/>
  <c r="G22" i="30"/>
  <c r="K40" i="29"/>
  <c r="A41" i="29"/>
  <c r="A25" i="29"/>
  <c r="K24" i="29"/>
  <c r="K33" i="29"/>
  <c r="A34" i="29"/>
  <c r="K34" i="29" s="1"/>
  <c r="A49" i="29"/>
  <c r="K48" i="29"/>
  <c r="O35" i="28"/>
  <c r="A36" i="28"/>
  <c r="O13" i="28"/>
  <c r="A14" i="28"/>
  <c r="O54" i="28"/>
  <c r="A55" i="28"/>
  <c r="A15" i="27"/>
  <c r="Q14" i="27"/>
  <c r="AR16" i="26"/>
  <c r="AR18" i="26" s="1"/>
  <c r="AR24" i="26" s="1"/>
  <c r="BH36" i="26"/>
  <c r="BH28" i="26"/>
  <c r="BH27" i="26" s="1"/>
  <c r="BH13" i="26" s="1"/>
  <c r="BF27" i="26"/>
  <c r="A20" i="26"/>
  <c r="BJ18" i="26"/>
  <c r="AR116" i="26"/>
  <c r="BH44" i="26"/>
  <c r="BH43" i="26" s="1"/>
  <c r="BH15" i="26" s="1"/>
  <c r="BF43" i="26"/>
  <c r="A128" i="26"/>
  <c r="BJ127" i="26"/>
  <c r="BJ46" i="26"/>
  <c r="A47" i="26"/>
  <c r="BF16" i="26"/>
  <c r="BF104" i="26"/>
  <c r="BH124" i="26"/>
  <c r="BH21" i="26"/>
  <c r="AZ116" i="26"/>
  <c r="AZ17" i="26" s="1"/>
  <c r="BF17" i="26" s="1"/>
  <c r="BF117" i="26"/>
  <c r="AN18" i="26"/>
  <c r="AN24" i="26" s="1"/>
  <c r="BJ38" i="26"/>
  <c r="A39" i="26"/>
  <c r="A108" i="26"/>
  <c r="BJ107" i="26"/>
  <c r="BJ119" i="26"/>
  <c r="A120" i="26"/>
  <c r="BB43" i="26"/>
  <c r="BB15" i="26" s="1"/>
  <c r="BB18" i="26" s="1"/>
  <c r="BB24" i="26" s="1"/>
  <c r="BF37" i="26"/>
  <c r="BH37" i="26" s="1"/>
  <c r="AZ35" i="26"/>
  <c r="AZ14" i="26" s="1"/>
  <c r="BF14" i="26" s="1"/>
  <c r="AR35" i="26"/>
  <c r="BF13" i="26"/>
  <c r="BD107" i="25"/>
  <c r="BB103" i="25"/>
  <c r="BB16" i="25" s="1"/>
  <c r="BB18" i="25" s="1"/>
  <c r="BB24" i="25" s="1"/>
  <c r="AZ43" i="25"/>
  <c r="AZ15" i="25" s="1"/>
  <c r="AZ18" i="25" s="1"/>
  <c r="AZ24" i="25" s="1"/>
  <c r="BH107" i="25"/>
  <c r="A108" i="25"/>
  <c r="AP13" i="25"/>
  <c r="AP18" i="25" s="1"/>
  <c r="AP24" i="25" s="1"/>
  <c r="AJ18" i="25"/>
  <c r="AJ24" i="25" s="1"/>
  <c r="AX27" i="25"/>
  <c r="AX13" i="25" s="1"/>
  <c r="BD28" i="25"/>
  <c r="A20" i="25"/>
  <c r="BH18" i="25"/>
  <c r="A121" i="25"/>
  <c r="BH120" i="25"/>
  <c r="BD117" i="25"/>
  <c r="BF118" i="25"/>
  <c r="BF117" i="25" s="1"/>
  <c r="BF17" i="25" s="1"/>
  <c r="BD16" i="25"/>
  <c r="AX35" i="25"/>
  <c r="AX14" i="25" s="1"/>
  <c r="BD14" i="25" s="1"/>
  <c r="BD36" i="25"/>
  <c r="AL18" i="25"/>
  <c r="AL24" i="25" s="1"/>
  <c r="BH46" i="25"/>
  <c r="A47" i="25"/>
  <c r="BH30" i="25"/>
  <c r="A31" i="25"/>
  <c r="A130" i="25"/>
  <c r="BH130" i="25" s="1"/>
  <c r="BH129" i="25"/>
  <c r="A39" i="24"/>
  <c r="K38" i="24"/>
  <c r="G64" i="24"/>
  <c r="A59" i="24"/>
  <c r="K58" i="24"/>
  <c r="G65" i="23"/>
  <c r="A66" i="23"/>
  <c r="A108" i="23"/>
  <c r="G107" i="23"/>
  <c r="G153" i="23"/>
  <c r="A154" i="23"/>
  <c r="G41" i="23"/>
  <c r="A42" i="23"/>
  <c r="G86" i="23"/>
  <c r="A87" i="23"/>
  <c r="A130" i="23"/>
  <c r="G129" i="23"/>
  <c r="G18" i="23"/>
  <c r="A19" i="23"/>
  <c r="A18" i="22"/>
  <c r="F17" i="22"/>
  <c r="G118" i="21"/>
  <c r="N98" i="21"/>
  <c r="A99" i="21"/>
  <c r="E103" i="21"/>
  <c r="N114" i="21"/>
  <c r="A115" i="21"/>
  <c r="H147" i="21"/>
  <c r="N58" i="21"/>
  <c r="A59" i="21"/>
  <c r="N138" i="21"/>
  <c r="A139" i="21"/>
  <c r="H162" i="21"/>
  <c r="H164" i="21" s="1"/>
  <c r="J150" i="21"/>
  <c r="N36" i="21"/>
  <c r="A37" i="21"/>
  <c r="N14" i="21"/>
  <c r="A18" i="21"/>
  <c r="A87" i="21"/>
  <c r="N87" i="21" s="1"/>
  <c r="N84" i="21"/>
  <c r="E12" i="21"/>
  <c r="A44" i="20"/>
  <c r="J43" i="20"/>
  <c r="J18" i="20"/>
  <c r="A19" i="20"/>
  <c r="R90" i="18"/>
  <c r="M90" i="18"/>
  <c r="V90" i="18"/>
  <c r="Q69" i="19"/>
  <c r="A70" i="19"/>
  <c r="L90" i="18"/>
  <c r="AC78" i="18"/>
  <c r="AC85" i="18"/>
  <c r="A50" i="19"/>
  <c r="Q49" i="19"/>
  <c r="J90" i="18"/>
  <c r="A15" i="19"/>
  <c r="Q14" i="19"/>
  <c r="F16" i="16"/>
  <c r="H53" i="16"/>
  <c r="H90" i="16"/>
  <c r="T90" i="18"/>
  <c r="X90" i="18"/>
  <c r="AD47" i="18"/>
  <c r="A48" i="18"/>
  <c r="A83" i="18"/>
  <c r="AD82" i="18"/>
  <c r="AE68" i="17"/>
  <c r="A69" i="17"/>
  <c r="AD19" i="17"/>
  <c r="AE44" i="17"/>
  <c r="A45" i="17"/>
  <c r="AE18" i="17"/>
  <c r="A19" i="17"/>
  <c r="AD18" i="17"/>
  <c r="J57" i="16"/>
  <c r="A58" i="16"/>
  <c r="J93" i="16"/>
  <c r="A94" i="16"/>
  <c r="J20" i="16"/>
  <c r="A21" i="16"/>
  <c r="E93" i="16"/>
  <c r="F92" i="16"/>
  <c r="E18" i="16"/>
  <c r="F55" i="16"/>
  <c r="F18" i="16" s="1"/>
  <c r="E56" i="16"/>
  <c r="H54" i="16"/>
  <c r="AE17" i="14"/>
  <c r="A18" i="14"/>
  <c r="AE68" i="14"/>
  <c r="A69" i="14"/>
  <c r="AD17" i="14"/>
  <c r="AE42" i="14"/>
  <c r="A43" i="14"/>
  <c r="J20" i="13"/>
  <c r="A21" i="13"/>
  <c r="E39" i="5"/>
  <c r="E68" i="5"/>
  <c r="E42" i="7"/>
  <c r="E45" i="7" s="1"/>
  <c r="A15" i="11"/>
  <c r="K15" i="11" s="1"/>
  <c r="K13" i="11"/>
  <c r="F15" i="11"/>
  <c r="A28" i="11"/>
  <c r="K27" i="11"/>
  <c r="A43" i="11"/>
  <c r="K42" i="11"/>
  <c r="H14" i="10"/>
  <c r="A15" i="10"/>
  <c r="F15" i="10"/>
  <c r="G15" i="9"/>
  <c r="A16" i="9"/>
  <c r="A85" i="8"/>
  <c r="L84" i="8"/>
  <c r="F183" i="5"/>
  <c r="L103" i="8"/>
  <c r="L118" i="8"/>
  <c r="A119" i="8"/>
  <c r="A21" i="8"/>
  <c r="L20" i="8"/>
  <c r="L48" i="8"/>
  <c r="A49" i="8"/>
  <c r="A48" i="7"/>
  <c r="F69" i="7"/>
  <c r="H47" i="7"/>
  <c r="A88" i="7"/>
  <c r="H87" i="7"/>
  <c r="H15" i="7"/>
  <c r="A16" i="7"/>
  <c r="A68" i="7"/>
  <c r="F63" i="7"/>
  <c r="H65" i="7"/>
  <c r="G30" i="6"/>
  <c r="A32" i="6"/>
  <c r="G17" i="6"/>
  <c r="A18" i="6"/>
  <c r="F141" i="5"/>
  <c r="H112" i="5"/>
  <c r="A115" i="5"/>
  <c r="H15" i="5"/>
  <c r="A16" i="5"/>
  <c r="A152" i="5"/>
  <c r="H151" i="5"/>
  <c r="A193" i="5"/>
  <c r="H193" i="5" s="1"/>
  <c r="H192" i="5"/>
  <c r="F193" i="5"/>
  <c r="A44" i="5"/>
  <c r="H43" i="5"/>
  <c r="F58" i="5"/>
  <c r="H86" i="5"/>
  <c r="A87" i="5"/>
  <c r="A41" i="41" l="1"/>
  <c r="D41" i="41"/>
  <c r="E40" i="41"/>
  <c r="A18" i="41"/>
  <c r="E16" i="41"/>
  <c r="A23" i="40"/>
  <c r="M20" i="40"/>
  <c r="N23" i="39"/>
  <c r="A25" i="39"/>
  <c r="N20" i="38"/>
  <c r="A22" i="38"/>
  <c r="F13" i="37"/>
  <c r="D13" i="36"/>
  <c r="D8" i="36"/>
  <c r="A19" i="35"/>
  <c r="H18" i="35"/>
  <c r="H44" i="35"/>
  <c r="A45" i="35"/>
  <c r="F14" i="35"/>
  <c r="F15" i="35" s="1"/>
  <c r="F34" i="35" s="1"/>
  <c r="D15" i="35"/>
  <c r="D34" i="35" s="1"/>
  <c r="D45" i="35" s="1"/>
  <c r="E15" i="15"/>
  <c r="P11" i="27"/>
  <c r="F5" i="27" s="1"/>
  <c r="F15" i="33"/>
  <c r="A16" i="33"/>
  <c r="F35" i="28"/>
  <c r="F36" i="28" s="1"/>
  <c r="J52" i="32"/>
  <c r="K51" i="32"/>
  <c r="A52" i="32"/>
  <c r="A25" i="32"/>
  <c r="K24" i="32"/>
  <c r="G53" i="32"/>
  <c r="H52" i="32"/>
  <c r="I52" i="32" s="1"/>
  <c r="G23" i="30"/>
  <c r="A24" i="30"/>
  <c r="G33" i="30"/>
  <c r="D40" i="30"/>
  <c r="K49" i="29"/>
  <c r="A50" i="29"/>
  <c r="K25" i="29"/>
  <c r="A26" i="29"/>
  <c r="K41" i="29"/>
  <c r="A42" i="29"/>
  <c r="K42" i="29" s="1"/>
  <c r="O55" i="28"/>
  <c r="A56" i="28"/>
  <c r="O14" i="28"/>
  <c r="A15" i="28"/>
  <c r="A37" i="28"/>
  <c r="O36" i="28"/>
  <c r="Q15" i="27"/>
  <c r="A16" i="27"/>
  <c r="BJ20" i="26"/>
  <c r="A21" i="26"/>
  <c r="BH104" i="26"/>
  <c r="BH103" i="26" s="1"/>
  <c r="BH16" i="26" s="1"/>
  <c r="BF103" i="26"/>
  <c r="BJ120" i="26"/>
  <c r="A121" i="26"/>
  <c r="BJ121" i="26" s="1"/>
  <c r="A109" i="26"/>
  <c r="BJ108" i="26"/>
  <c r="BF15" i="26"/>
  <c r="BJ39" i="26"/>
  <c r="A40" i="26"/>
  <c r="BJ40" i="26" s="1"/>
  <c r="A129" i="26"/>
  <c r="BJ129" i="26" s="1"/>
  <c r="BJ128" i="26"/>
  <c r="BF18" i="26"/>
  <c r="BF24" i="26" s="1"/>
  <c r="AZ18" i="26"/>
  <c r="AZ24" i="26" s="1"/>
  <c r="BH117" i="26"/>
  <c r="BH116" i="26" s="1"/>
  <c r="BH17" i="26" s="1"/>
  <c r="BH18" i="26" s="1"/>
  <c r="BH24" i="26" s="1"/>
  <c r="BF116" i="26"/>
  <c r="C47" i="24"/>
  <c r="E56" i="24" s="1"/>
  <c r="A48" i="26"/>
  <c r="BJ47" i="26"/>
  <c r="BH35" i="26"/>
  <c r="BH14" i="26" s="1"/>
  <c r="BF35" i="26"/>
  <c r="A122" i="25"/>
  <c r="BH122" i="25" s="1"/>
  <c r="BH121" i="25"/>
  <c r="BF107" i="25"/>
  <c r="BF103" i="25" s="1"/>
  <c r="BF16" i="25" s="1"/>
  <c r="BD103" i="25"/>
  <c r="BH31" i="25"/>
  <c r="A32" i="25"/>
  <c r="BH32" i="25" s="1"/>
  <c r="BH20" i="25"/>
  <c r="A21" i="25"/>
  <c r="A48" i="25"/>
  <c r="BH47" i="25"/>
  <c r="BD27" i="25"/>
  <c r="BF28" i="25"/>
  <c r="BF27" i="25" s="1"/>
  <c r="BF13" i="25" s="1"/>
  <c r="BF18" i="25" s="1"/>
  <c r="BF24" i="25" s="1"/>
  <c r="AX18" i="25"/>
  <c r="AX24" i="25" s="1"/>
  <c r="BD13" i="25"/>
  <c r="BF36" i="25"/>
  <c r="BF35" i="25" s="1"/>
  <c r="BF14" i="25" s="1"/>
  <c r="BD35" i="25"/>
  <c r="A109" i="25"/>
  <c r="BH108" i="25"/>
  <c r="BD15" i="25"/>
  <c r="G63" i="24"/>
  <c r="K59" i="24"/>
  <c r="A60" i="24"/>
  <c r="K39" i="24"/>
  <c r="A40" i="24"/>
  <c r="K40" i="24" s="1"/>
  <c r="A88" i="23"/>
  <c r="G87" i="23"/>
  <c r="A155" i="23"/>
  <c r="G154" i="23"/>
  <c r="A109" i="23"/>
  <c r="G108" i="23"/>
  <c r="G130" i="23"/>
  <c r="A131" i="23"/>
  <c r="G42" i="23"/>
  <c r="A43" i="23"/>
  <c r="G19" i="23"/>
  <c r="A20" i="23"/>
  <c r="G66" i="23"/>
  <c r="A67" i="23"/>
  <c r="A19" i="22"/>
  <c r="F18" i="22"/>
  <c r="A140" i="21"/>
  <c r="N139" i="21"/>
  <c r="G117" i="21"/>
  <c r="N99" i="21"/>
  <c r="A100" i="21"/>
  <c r="I100" i="21"/>
  <c r="A38" i="21"/>
  <c r="N37" i="21"/>
  <c r="N115" i="21"/>
  <c r="A116" i="21"/>
  <c r="N18" i="21"/>
  <c r="A22" i="21"/>
  <c r="N59" i="21"/>
  <c r="A60" i="21"/>
  <c r="J162" i="21"/>
  <c r="J44" i="20"/>
  <c r="A45" i="20"/>
  <c r="A20" i="20"/>
  <c r="J19" i="20"/>
  <c r="A51" i="19"/>
  <c r="Q50" i="19"/>
  <c r="A16" i="19"/>
  <c r="Q15" i="19"/>
  <c r="AC90" i="18"/>
  <c r="F97" i="18" s="1"/>
  <c r="F99" i="18" s="1"/>
  <c r="Q70" i="19"/>
  <c r="A71" i="19"/>
  <c r="I53" i="16"/>
  <c r="I16" i="16" s="1"/>
  <c r="H16" i="16"/>
  <c r="I90" i="16"/>
  <c r="H91" i="16"/>
  <c r="I91" i="16" s="1"/>
  <c r="A84" i="18"/>
  <c r="AD83" i="18"/>
  <c r="AD48" i="18"/>
  <c r="A49" i="18"/>
  <c r="AE69" i="17"/>
  <c r="A70" i="17"/>
  <c r="AE19" i="17"/>
  <c r="A20" i="17"/>
  <c r="AE45" i="17"/>
  <c r="AD20" i="17"/>
  <c r="A46" i="17"/>
  <c r="J21" i="16"/>
  <c r="A22" i="16"/>
  <c r="J94" i="16"/>
  <c r="A95" i="16"/>
  <c r="J58" i="16"/>
  <c r="A59" i="16"/>
  <c r="F93" i="16"/>
  <c r="E94" i="16"/>
  <c r="H55" i="16"/>
  <c r="H17" i="16"/>
  <c r="I54" i="16"/>
  <c r="I17" i="16" s="1"/>
  <c r="E57" i="16"/>
  <c r="E19" i="16"/>
  <c r="F56" i="16"/>
  <c r="F19" i="16" s="1"/>
  <c r="AE43" i="14"/>
  <c r="AD18" i="14"/>
  <c r="A44" i="14"/>
  <c r="AE69" i="14"/>
  <c r="A70" i="14"/>
  <c r="AE18" i="14"/>
  <c r="A19" i="14"/>
  <c r="J21" i="13"/>
  <c r="A22" i="13"/>
  <c r="K43" i="11"/>
  <c r="F8" i="11"/>
  <c r="K28" i="11"/>
  <c r="A29" i="11"/>
  <c r="H15" i="10"/>
  <c r="A19" i="10"/>
  <c r="G16" i="9"/>
  <c r="A17" i="9"/>
  <c r="A86" i="8"/>
  <c r="L85" i="8"/>
  <c r="L49" i="8"/>
  <c r="A50" i="8"/>
  <c r="A22" i="8"/>
  <c r="L21" i="8"/>
  <c r="L119" i="8"/>
  <c r="A120" i="8"/>
  <c r="H16" i="7"/>
  <c r="A17" i="7"/>
  <c r="F17" i="7"/>
  <c r="A50" i="7"/>
  <c r="H48" i="7"/>
  <c r="F51" i="7"/>
  <c r="A69" i="7"/>
  <c r="H68" i="7"/>
  <c r="A89" i="7"/>
  <c r="H88" i="7"/>
  <c r="G18" i="6"/>
  <c r="A19" i="6"/>
  <c r="E19" i="6"/>
  <c r="A33" i="6"/>
  <c r="G32" i="6"/>
  <c r="A153" i="5"/>
  <c r="H152" i="5"/>
  <c r="H16" i="5"/>
  <c r="A17" i="5"/>
  <c r="F17" i="5"/>
  <c r="H44" i="5"/>
  <c r="A47" i="5"/>
  <c r="H87" i="5"/>
  <c r="A88" i="5"/>
  <c r="A119" i="5"/>
  <c r="H119" i="5" s="1"/>
  <c r="H115" i="5"/>
  <c r="A116" i="5"/>
  <c r="A123" i="5"/>
  <c r="H123" i="5" s="1"/>
  <c r="A120" i="5"/>
  <c r="H120" i="5" s="1"/>
  <c r="A117" i="5"/>
  <c r="H117" i="5" s="1"/>
  <c r="A124" i="5"/>
  <c r="H124" i="5" s="1"/>
  <c r="A126" i="5"/>
  <c r="A122" i="5"/>
  <c r="H122" i="5" s="1"/>
  <c r="A121" i="5"/>
  <c r="H121" i="5" s="1"/>
  <c r="E18" i="41" l="1"/>
  <c r="A19" i="41"/>
  <c r="E41" i="41"/>
  <c r="A42" i="41"/>
  <c r="D43" i="41"/>
  <c r="M23" i="40"/>
  <c r="A25" i="40"/>
  <c r="N25" i="39"/>
  <c r="A27" i="39"/>
  <c r="N22" i="38"/>
  <c r="A24" i="38"/>
  <c r="F45" i="35"/>
  <c r="H45" i="35"/>
  <c r="A46" i="35"/>
  <c r="H19" i="35"/>
  <c r="A20" i="35"/>
  <c r="A18" i="33"/>
  <c r="D18" i="33"/>
  <c r="F16" i="33"/>
  <c r="D21" i="33"/>
  <c r="G54" i="32"/>
  <c r="H53" i="32"/>
  <c r="I53" i="32" s="1"/>
  <c r="K25" i="32"/>
  <c r="A26" i="32"/>
  <c r="K52" i="32"/>
  <c r="A53" i="32"/>
  <c r="J53" i="32"/>
  <c r="A25" i="30"/>
  <c r="G25" i="30" s="1"/>
  <c r="G24" i="30"/>
  <c r="K26" i="29"/>
  <c r="A27" i="29"/>
  <c r="K50" i="29"/>
  <c r="A51" i="29"/>
  <c r="O37" i="28"/>
  <c r="A38" i="28"/>
  <c r="O15" i="28"/>
  <c r="A16" i="28"/>
  <c r="A57" i="28"/>
  <c r="O56" i="28"/>
  <c r="A17" i="27"/>
  <c r="Q16" i="27"/>
  <c r="BJ109" i="26"/>
  <c r="A110" i="26"/>
  <c r="BJ48" i="26"/>
  <c r="A49" i="26"/>
  <c r="BJ21" i="26"/>
  <c r="A22" i="26"/>
  <c r="BH48" i="25"/>
  <c r="A49" i="25"/>
  <c r="A22" i="25"/>
  <c r="BH21" i="25"/>
  <c r="BH109" i="25"/>
  <c r="A110" i="25"/>
  <c r="J56" i="24"/>
  <c r="BD18" i="25"/>
  <c r="BD24" i="25" s="1"/>
  <c r="C48" i="24" s="1"/>
  <c r="K60" i="24"/>
  <c r="A61" i="24"/>
  <c r="G62" i="24"/>
  <c r="G131" i="23"/>
  <c r="A132" i="23"/>
  <c r="G109" i="23"/>
  <c r="A110" i="23"/>
  <c r="G20" i="23"/>
  <c r="A21" i="23"/>
  <c r="G67" i="23"/>
  <c r="A68" i="23"/>
  <c r="G43" i="23"/>
  <c r="A44" i="23"/>
  <c r="G155" i="23"/>
  <c r="A156" i="23"/>
  <c r="G88" i="23"/>
  <c r="A89" i="23"/>
  <c r="F19" i="22"/>
  <c r="A21" i="22"/>
  <c r="F21" i="22" s="1"/>
  <c r="D18" i="22"/>
  <c r="A117" i="21"/>
  <c r="N116" i="21"/>
  <c r="N38" i="21"/>
  <c r="A39" i="21"/>
  <c r="N100" i="21"/>
  <c r="A103" i="21"/>
  <c r="N103" i="21" s="1"/>
  <c r="E13" i="21"/>
  <c r="N60" i="21"/>
  <c r="A61" i="21"/>
  <c r="G116" i="21"/>
  <c r="N22" i="21"/>
  <c r="A23" i="21"/>
  <c r="A141" i="21"/>
  <c r="N140" i="21"/>
  <c r="J45" i="20"/>
  <c r="A46" i="20"/>
  <c r="A21" i="20"/>
  <c r="J20" i="20"/>
  <c r="A72" i="19"/>
  <c r="Q71" i="19"/>
  <c r="Q16" i="19"/>
  <c r="A17" i="19"/>
  <c r="H92" i="16"/>
  <c r="I92" i="16" s="1"/>
  <c r="Q51" i="19"/>
  <c r="A52" i="19"/>
  <c r="A50" i="18"/>
  <c r="AD49" i="18"/>
  <c r="AD84" i="18"/>
  <c r="A85" i="18"/>
  <c r="AE46" i="17"/>
  <c r="A47" i="17"/>
  <c r="AE20" i="17"/>
  <c r="A21" i="17"/>
  <c r="AE70" i="17"/>
  <c r="A71" i="17"/>
  <c r="F94" i="16"/>
  <c r="E95" i="16"/>
  <c r="H18" i="16"/>
  <c r="H56" i="16"/>
  <c r="I55" i="16"/>
  <c r="I18" i="16" s="1"/>
  <c r="J22" i="16"/>
  <c r="A23" i="16"/>
  <c r="F57" i="16"/>
  <c r="F20" i="16" s="1"/>
  <c r="E58" i="16"/>
  <c r="E20" i="16"/>
  <c r="A60" i="16"/>
  <c r="J59" i="16"/>
  <c r="A96" i="16"/>
  <c r="J95" i="16"/>
  <c r="AE19" i="14"/>
  <c r="A20" i="14"/>
  <c r="AE70" i="14"/>
  <c r="A71" i="14"/>
  <c r="AE44" i="14"/>
  <c r="A45" i="14"/>
  <c r="AD19" i="14"/>
  <c r="J22" i="13"/>
  <c r="A23" i="13"/>
  <c r="K29" i="11"/>
  <c r="A30" i="11"/>
  <c r="H19" i="10"/>
  <c r="A20" i="10"/>
  <c r="G17" i="9"/>
  <c r="A20" i="9"/>
  <c r="L50" i="8"/>
  <c r="A51" i="8"/>
  <c r="L86" i="8"/>
  <c r="A87" i="8"/>
  <c r="L120" i="8"/>
  <c r="A121" i="8"/>
  <c r="L22" i="8"/>
  <c r="A23" i="8"/>
  <c r="H89" i="7"/>
  <c r="A90" i="7"/>
  <c r="H17" i="7"/>
  <c r="A20" i="7"/>
  <c r="H69" i="7"/>
  <c r="A70" i="7"/>
  <c r="H50" i="7"/>
  <c r="A51" i="7"/>
  <c r="G19" i="6"/>
  <c r="A20" i="6"/>
  <c r="E20" i="6"/>
  <c r="G33" i="6"/>
  <c r="A34" i="6"/>
  <c r="E34" i="6"/>
  <c r="H17" i="5"/>
  <c r="A20" i="5"/>
  <c r="H116" i="5"/>
  <c r="A118" i="5"/>
  <c r="H118" i="5" s="1"/>
  <c r="H88" i="5"/>
  <c r="A89" i="5"/>
  <c r="H47" i="5"/>
  <c r="A49" i="5"/>
  <c r="F49" i="5"/>
  <c r="H153" i="5"/>
  <c r="A154" i="5"/>
  <c r="A127" i="5"/>
  <c r="H127" i="5" s="1"/>
  <c r="A128" i="5"/>
  <c r="H128" i="5" s="1"/>
  <c r="A130" i="5"/>
  <c r="H126" i="5"/>
  <c r="E42" i="41" l="1"/>
  <c r="A43" i="41"/>
  <c r="A20" i="41"/>
  <c r="E19" i="41"/>
  <c r="D20" i="41"/>
  <c r="A26" i="40"/>
  <c r="M26" i="40" s="1"/>
  <c r="M25" i="40"/>
  <c r="N27" i="39"/>
  <c r="A29" i="39"/>
  <c r="N24" i="38"/>
  <c r="A26" i="38"/>
  <c r="H46" i="35"/>
  <c r="A47" i="35"/>
  <c r="A21" i="35"/>
  <c r="H20" i="35"/>
  <c r="G21" i="35"/>
  <c r="F18" i="33"/>
  <c r="A21" i="33"/>
  <c r="K53" i="32"/>
  <c r="A54" i="32"/>
  <c r="A27" i="32"/>
  <c r="K27" i="32" s="1"/>
  <c r="K26" i="32"/>
  <c r="G55" i="32"/>
  <c r="H54" i="32"/>
  <c r="I54" i="32" s="1"/>
  <c r="J54" i="32" s="1"/>
  <c r="K51" i="29"/>
  <c r="A52" i="29"/>
  <c r="K27" i="29"/>
  <c r="A28" i="29"/>
  <c r="K28" i="29" s="1"/>
  <c r="O57" i="28"/>
  <c r="A58" i="28"/>
  <c r="O16" i="28"/>
  <c r="A17" i="28"/>
  <c r="O38" i="28"/>
  <c r="A39" i="28"/>
  <c r="G40" i="28"/>
  <c r="Q17" i="27"/>
  <c r="A18" i="27"/>
  <c r="BJ22" i="26"/>
  <c r="A23" i="26"/>
  <c r="BJ49" i="26"/>
  <c r="A50" i="26"/>
  <c r="A111" i="26"/>
  <c r="A113" i="26"/>
  <c r="BJ113" i="26" s="1"/>
  <c r="BJ110" i="26"/>
  <c r="BH22" i="25"/>
  <c r="A23" i="25"/>
  <c r="E25" i="5"/>
  <c r="E69" i="24"/>
  <c r="D62" i="24"/>
  <c r="D65" i="24"/>
  <c r="D61" i="24"/>
  <c r="D58" i="24"/>
  <c r="D68" i="24"/>
  <c r="D59" i="24"/>
  <c r="D67" i="24"/>
  <c r="D60" i="24"/>
  <c r="D63" i="24"/>
  <c r="D64" i="24"/>
  <c r="D57" i="24"/>
  <c r="E57" i="24" s="1"/>
  <c r="D66" i="24"/>
  <c r="A111" i="25"/>
  <c r="BH110" i="25"/>
  <c r="A50" i="25"/>
  <c r="BH49" i="25"/>
  <c r="A62" i="24"/>
  <c r="K61" i="24"/>
  <c r="G61" i="24"/>
  <c r="G44" i="23"/>
  <c r="A45" i="23"/>
  <c r="G68" i="23"/>
  <c r="A69" i="23"/>
  <c r="G21" i="23"/>
  <c r="A22" i="23"/>
  <c r="G110" i="23"/>
  <c r="A111" i="23"/>
  <c r="G156" i="23"/>
  <c r="A157" i="23"/>
  <c r="G89" i="23"/>
  <c r="A90" i="23"/>
  <c r="A133" i="23"/>
  <c r="G132" i="23"/>
  <c r="N61" i="21"/>
  <c r="A63" i="21"/>
  <c r="N141" i="21"/>
  <c r="A142" i="21"/>
  <c r="A24" i="21"/>
  <c r="N24" i="21" s="1"/>
  <c r="N23" i="21"/>
  <c r="A118" i="21"/>
  <c r="N117" i="21"/>
  <c r="G115" i="21"/>
  <c r="N39" i="21"/>
  <c r="A40" i="21"/>
  <c r="J21" i="20"/>
  <c r="A22" i="20"/>
  <c r="A47" i="20"/>
  <c r="J46" i="20"/>
  <c r="Q52" i="19"/>
  <c r="A53" i="19"/>
  <c r="Q17" i="19"/>
  <c r="A18" i="19"/>
  <c r="H93" i="16"/>
  <c r="Q72" i="19"/>
  <c r="A73" i="19"/>
  <c r="AD50" i="18"/>
  <c r="A51" i="18"/>
  <c r="A86" i="18"/>
  <c r="AD85" i="18"/>
  <c r="AE71" i="17"/>
  <c r="A72" i="17"/>
  <c r="AE21" i="17"/>
  <c r="A22" i="17"/>
  <c r="AD21" i="17"/>
  <c r="AE47" i="17"/>
  <c r="AD22" i="17"/>
  <c r="A48" i="17"/>
  <c r="E59" i="16"/>
  <c r="E21" i="16"/>
  <c r="F58" i="16"/>
  <c r="F21" i="16" s="1"/>
  <c r="J23" i="16"/>
  <c r="A24" i="16"/>
  <c r="H19" i="16"/>
  <c r="H57" i="16"/>
  <c r="I56" i="16"/>
  <c r="I19" i="16" s="1"/>
  <c r="J96" i="16"/>
  <c r="A97" i="16"/>
  <c r="E96" i="16"/>
  <c r="F95" i="16"/>
  <c r="J60" i="16"/>
  <c r="A61" i="16"/>
  <c r="AE45" i="14"/>
  <c r="A46" i="14"/>
  <c r="AD20" i="14"/>
  <c r="AE71" i="14"/>
  <c r="A72" i="14"/>
  <c r="AE20" i="14"/>
  <c r="A21" i="14"/>
  <c r="J23" i="13"/>
  <c r="A24" i="13"/>
  <c r="A31" i="11"/>
  <c r="K30" i="11"/>
  <c r="A21" i="10"/>
  <c r="H20" i="10"/>
  <c r="G20" i="9"/>
  <c r="A21" i="9"/>
  <c r="L23" i="8"/>
  <c r="A24" i="8"/>
  <c r="L121" i="8"/>
  <c r="A122" i="8"/>
  <c r="A88" i="8"/>
  <c r="L87" i="8"/>
  <c r="A52" i="8"/>
  <c r="L51" i="8"/>
  <c r="A52" i="7"/>
  <c r="F73" i="7"/>
  <c r="H51" i="7"/>
  <c r="H90" i="7"/>
  <c r="A91" i="7"/>
  <c r="F52" i="7"/>
  <c r="H70" i="7"/>
  <c r="A71" i="7"/>
  <c r="H20" i="7"/>
  <c r="A21" i="7"/>
  <c r="F22" i="7"/>
  <c r="G34" i="6"/>
  <c r="A36" i="6"/>
  <c r="E36" i="6"/>
  <c r="E25" i="6"/>
  <c r="G20" i="6"/>
  <c r="A132" i="5"/>
  <c r="H130" i="5"/>
  <c r="F140" i="5"/>
  <c r="H20" i="5"/>
  <c r="A21" i="5"/>
  <c r="F22" i="5"/>
  <c r="H154" i="5"/>
  <c r="A155" i="5"/>
  <c r="H49" i="5"/>
  <c r="A52" i="5"/>
  <c r="H89" i="5"/>
  <c r="A90" i="5"/>
  <c r="F90" i="5"/>
  <c r="A21" i="41" l="1"/>
  <c r="E20" i="41"/>
  <c r="E43" i="41"/>
  <c r="A44" i="41"/>
  <c r="D44" i="41"/>
  <c r="A31" i="39"/>
  <c r="N29" i="39"/>
  <c r="N26" i="38"/>
  <c r="A28" i="38"/>
  <c r="H21" i="35"/>
  <c r="A24" i="35"/>
  <c r="H47" i="35"/>
  <c r="A48" i="35"/>
  <c r="F21" i="33"/>
  <c r="A22" i="33"/>
  <c r="H55" i="32"/>
  <c r="I55" i="32" s="1"/>
  <c r="J55" i="32" s="1"/>
  <c r="G56" i="32"/>
  <c r="K54" i="32"/>
  <c r="A55" i="32"/>
  <c r="K52" i="29"/>
  <c r="A53" i="29"/>
  <c r="O58" i="28"/>
  <c r="A59" i="28"/>
  <c r="O17" i="28"/>
  <c r="A18" i="28"/>
  <c r="O39" i="28"/>
  <c r="A40" i="28"/>
  <c r="Q18" i="27"/>
  <c r="A19" i="27"/>
  <c r="BJ111" i="26"/>
  <c r="A112" i="26"/>
  <c r="BJ112" i="26" s="1"/>
  <c r="BJ50" i="26"/>
  <c r="A51" i="26"/>
  <c r="BJ23" i="26"/>
  <c r="A24" i="26"/>
  <c r="BJ24" i="26" s="1"/>
  <c r="A51" i="25"/>
  <c r="BH50" i="25"/>
  <c r="BH111" i="25"/>
  <c r="A112" i="25"/>
  <c r="E58" i="24"/>
  <c r="E59" i="24" s="1"/>
  <c r="E60" i="24" s="1"/>
  <c r="E61" i="24" s="1"/>
  <c r="E62" i="24" s="1"/>
  <c r="E63" i="24" s="1"/>
  <c r="E64" i="24" s="1"/>
  <c r="E65" i="24" s="1"/>
  <c r="E66" i="24" s="1"/>
  <c r="E67" i="24" s="1"/>
  <c r="E68" i="24" s="1"/>
  <c r="BH23" i="25"/>
  <c r="A24" i="25"/>
  <c r="BH24" i="25" s="1"/>
  <c r="G60" i="24"/>
  <c r="K62" i="24"/>
  <c r="A63" i="24"/>
  <c r="G90" i="23"/>
  <c r="A91" i="23"/>
  <c r="A158" i="23"/>
  <c r="G157" i="23"/>
  <c r="A112" i="23"/>
  <c r="G111" i="23"/>
  <c r="G22" i="23"/>
  <c r="A23" i="23"/>
  <c r="G69" i="23"/>
  <c r="A70" i="23"/>
  <c r="G45" i="23"/>
  <c r="A46" i="23"/>
  <c r="A134" i="23"/>
  <c r="G133" i="23"/>
  <c r="A64" i="21"/>
  <c r="E70" i="21"/>
  <c r="I65" i="21"/>
  <c r="N63" i="21"/>
  <c r="A41" i="21"/>
  <c r="N40" i="21"/>
  <c r="G114" i="21"/>
  <c r="N118" i="21"/>
  <c r="A119" i="21"/>
  <c r="A143" i="21"/>
  <c r="N142" i="21"/>
  <c r="J47" i="20"/>
  <c r="A48" i="20"/>
  <c r="J22" i="20"/>
  <c r="A23" i="20"/>
  <c r="H94" i="16"/>
  <c r="I93" i="16"/>
  <c r="A19" i="19"/>
  <c r="Q18" i="19"/>
  <c r="Q73" i="19"/>
  <c r="A74" i="19"/>
  <c r="A54" i="19"/>
  <c r="Q53" i="19"/>
  <c r="AD86" i="18"/>
  <c r="A87" i="18"/>
  <c r="AD51" i="18"/>
  <c r="A52" i="18"/>
  <c r="AD23" i="17"/>
  <c r="AE48" i="17"/>
  <c r="A49" i="17"/>
  <c r="AE72" i="17"/>
  <c r="A73" i="17"/>
  <c r="AE22" i="17"/>
  <c r="A23" i="17"/>
  <c r="F96" i="16"/>
  <c r="E97" i="16"/>
  <c r="J97" i="16"/>
  <c r="A98" i="16"/>
  <c r="H20" i="16"/>
  <c r="H58" i="16"/>
  <c r="I57" i="16"/>
  <c r="J24" i="16"/>
  <c r="A25" i="16"/>
  <c r="A62" i="16"/>
  <c r="J61" i="16"/>
  <c r="E60" i="16"/>
  <c r="E22" i="16"/>
  <c r="F59" i="16"/>
  <c r="F22" i="16" s="1"/>
  <c r="AE21" i="14"/>
  <c r="A22" i="14"/>
  <c r="AE72" i="14"/>
  <c r="A73" i="14"/>
  <c r="AD21" i="14"/>
  <c r="AE46" i="14"/>
  <c r="A47" i="14"/>
  <c r="J24" i="13"/>
  <c r="A25" i="13"/>
  <c r="F7" i="11"/>
  <c r="F11" i="11"/>
  <c r="K31" i="11"/>
  <c r="F12" i="11"/>
  <c r="H21" i="10"/>
  <c r="A22" i="10"/>
  <c r="G21" i="9"/>
  <c r="A22" i="9"/>
  <c r="L52" i="8"/>
  <c r="A53" i="8"/>
  <c r="A89" i="8"/>
  <c r="L88" i="8"/>
  <c r="A123" i="8"/>
  <c r="L122" i="8"/>
  <c r="A25" i="8"/>
  <c r="L24" i="8"/>
  <c r="H52" i="7"/>
  <c r="F87" i="7"/>
  <c r="A72" i="7"/>
  <c r="H71" i="7"/>
  <c r="H21" i="7"/>
  <c r="A22" i="7"/>
  <c r="H91" i="7"/>
  <c r="A92" i="7"/>
  <c r="F182" i="5"/>
  <c r="G36" i="6"/>
  <c r="H21" i="5"/>
  <c r="A22" i="5"/>
  <c r="A92" i="5"/>
  <c r="H90" i="5"/>
  <c r="H52" i="5"/>
  <c r="A53" i="5"/>
  <c r="H155" i="5"/>
  <c r="A156" i="5"/>
  <c r="H132" i="5"/>
  <c r="A134" i="5"/>
  <c r="F155" i="5"/>
  <c r="E21" i="41" l="1"/>
  <c r="A22" i="41"/>
  <c r="E44" i="41"/>
  <c r="D8" i="41"/>
  <c r="N31" i="39"/>
  <c r="A33" i="39"/>
  <c r="N28" i="38"/>
  <c r="A30" i="38"/>
  <c r="A49" i="35"/>
  <c r="H48" i="35"/>
  <c r="H24" i="35"/>
  <c r="A25" i="35"/>
  <c r="D24" i="33"/>
  <c r="D25" i="33"/>
  <c r="F22" i="33"/>
  <c r="A24" i="33"/>
  <c r="K55" i="32"/>
  <c r="A56" i="32"/>
  <c r="G57" i="32"/>
  <c r="H56" i="32"/>
  <c r="I56" i="32" s="1"/>
  <c r="J56" i="32" s="1"/>
  <c r="K53" i="29"/>
  <c r="A54" i="29"/>
  <c r="A41" i="28"/>
  <c r="O40" i="28"/>
  <c r="A19" i="28"/>
  <c r="O18" i="28"/>
  <c r="O59" i="28"/>
  <c r="A60" i="28"/>
  <c r="Q19" i="27"/>
  <c r="A20" i="27"/>
  <c r="BJ51" i="26"/>
  <c r="A52" i="26"/>
  <c r="A113" i="25"/>
  <c r="BH112" i="25"/>
  <c r="BH51" i="25"/>
  <c r="A52" i="25"/>
  <c r="A64" i="24"/>
  <c r="K63" i="24"/>
  <c r="G59" i="24"/>
  <c r="G70" i="23"/>
  <c r="A71" i="23"/>
  <c r="G23" i="23"/>
  <c r="A24" i="23"/>
  <c r="A113" i="23"/>
  <c r="G112" i="23"/>
  <c r="A159" i="23"/>
  <c r="G158" i="23"/>
  <c r="G134" i="23"/>
  <c r="A135" i="23"/>
  <c r="G46" i="23"/>
  <c r="A47" i="23"/>
  <c r="A92" i="23"/>
  <c r="G91" i="23"/>
  <c r="A65" i="21"/>
  <c r="N64" i="21"/>
  <c r="N143" i="21"/>
  <c r="A144" i="21"/>
  <c r="N119" i="21"/>
  <c r="A120" i="21"/>
  <c r="G113" i="21"/>
  <c r="N41" i="21"/>
  <c r="A42" i="21"/>
  <c r="J48" i="20"/>
  <c r="A49" i="20"/>
  <c r="J23" i="20"/>
  <c r="A24" i="20"/>
  <c r="Q74" i="19"/>
  <c r="A75" i="19"/>
  <c r="I20" i="16"/>
  <c r="Q54" i="19"/>
  <c r="A55" i="19"/>
  <c r="A20" i="19"/>
  <c r="Q19" i="19"/>
  <c r="I94" i="16"/>
  <c r="H95" i="16"/>
  <c r="AD52" i="18"/>
  <c r="A53" i="18"/>
  <c r="A88" i="18"/>
  <c r="AD87" i="18"/>
  <c r="A24" i="17"/>
  <c r="AE23" i="17"/>
  <c r="AE73" i="17"/>
  <c r="A74" i="17"/>
  <c r="AE49" i="17"/>
  <c r="A50" i="17"/>
  <c r="AD24" i="17"/>
  <c r="J62" i="16"/>
  <c r="A63" i="16"/>
  <c r="A99" i="16"/>
  <c r="J98" i="16"/>
  <c r="J25" i="16"/>
  <c r="A26" i="16"/>
  <c r="H59" i="16"/>
  <c r="H21" i="16"/>
  <c r="I58" i="16"/>
  <c r="F97" i="16"/>
  <c r="E98" i="16"/>
  <c r="F60" i="16"/>
  <c r="F23" i="16" s="1"/>
  <c r="E23" i="16"/>
  <c r="E61" i="16"/>
  <c r="AE47" i="14"/>
  <c r="A48" i="14"/>
  <c r="AD22" i="14"/>
  <c r="AE73" i="14"/>
  <c r="A74" i="14"/>
  <c r="AE22" i="14"/>
  <c r="A23" i="14"/>
  <c r="J25" i="13"/>
  <c r="A26" i="13"/>
  <c r="H22" i="10"/>
  <c r="A23" i="10"/>
  <c r="F24" i="10" s="1"/>
  <c r="G22" i="9"/>
  <c r="A23" i="9"/>
  <c r="A26" i="8"/>
  <c r="L25" i="8"/>
  <c r="B141" i="8"/>
  <c r="A124" i="8"/>
  <c r="L123" i="8"/>
  <c r="L89" i="8"/>
  <c r="A90" i="8"/>
  <c r="L53" i="8"/>
  <c r="A54" i="8"/>
  <c r="H92" i="7"/>
  <c r="A93" i="7"/>
  <c r="F93" i="7"/>
  <c r="H22" i="7"/>
  <c r="A24" i="7"/>
  <c r="H72" i="7"/>
  <c r="A73" i="7"/>
  <c r="H73" i="7" s="1"/>
  <c r="F132" i="5"/>
  <c r="A137" i="5"/>
  <c r="H134" i="5"/>
  <c r="H156" i="5"/>
  <c r="A157" i="5"/>
  <c r="A54" i="5"/>
  <c r="H53" i="5"/>
  <c r="H92" i="5"/>
  <c r="A93" i="5"/>
  <c r="F93" i="5"/>
  <c r="A24" i="5"/>
  <c r="H22" i="5"/>
  <c r="A23" i="41" l="1"/>
  <c r="E22" i="41"/>
  <c r="D23" i="41"/>
  <c r="N33" i="39"/>
  <c r="A35" i="39"/>
  <c r="N30" i="38"/>
  <c r="A32" i="38"/>
  <c r="H25" i="35"/>
  <c r="A26" i="35"/>
  <c r="G26" i="35"/>
  <c r="H49" i="35"/>
  <c r="A50" i="35"/>
  <c r="F24" i="33"/>
  <c r="A25" i="33"/>
  <c r="G58" i="32"/>
  <c r="H57" i="32"/>
  <c r="I57" i="32" s="1"/>
  <c r="J57" i="32" s="1"/>
  <c r="K56" i="32"/>
  <c r="A57" i="32"/>
  <c r="K54" i="29"/>
  <c r="A55" i="29"/>
  <c r="A61" i="28"/>
  <c r="O60" i="28"/>
  <c r="O19" i="28"/>
  <c r="A20" i="28"/>
  <c r="O41" i="28"/>
  <c r="A42" i="28"/>
  <c r="Q20" i="27"/>
  <c r="A21" i="27"/>
  <c r="BJ52" i="26"/>
  <c r="A53" i="26"/>
  <c r="BH113" i="25"/>
  <c r="A114" i="25"/>
  <c r="BH114" i="25" s="1"/>
  <c r="A53" i="25"/>
  <c r="BH52" i="25"/>
  <c r="G58" i="24"/>
  <c r="K64" i="24"/>
  <c r="A65" i="24"/>
  <c r="G135" i="23"/>
  <c r="A136" i="23"/>
  <c r="G47" i="23"/>
  <c r="A48" i="23"/>
  <c r="G159" i="23"/>
  <c r="A160" i="23"/>
  <c r="G113" i="23"/>
  <c r="A114" i="23"/>
  <c r="G24" i="23"/>
  <c r="A25" i="23"/>
  <c r="G71" i="23"/>
  <c r="A72" i="23"/>
  <c r="G92" i="23"/>
  <c r="A93" i="23"/>
  <c r="A68" i="21"/>
  <c r="E11" i="21"/>
  <c r="N65" i="21"/>
  <c r="N42" i="21"/>
  <c r="A44" i="21"/>
  <c r="G112" i="21"/>
  <c r="A121" i="21"/>
  <c r="N120" i="21"/>
  <c r="N144" i="21"/>
  <c r="A145" i="21"/>
  <c r="J24" i="20"/>
  <c r="A25" i="20"/>
  <c r="A50" i="20"/>
  <c r="J49" i="20"/>
  <c r="H96" i="16"/>
  <c r="I96" i="16" s="1"/>
  <c r="I95" i="16"/>
  <c r="H97" i="16"/>
  <c r="Q20" i="19"/>
  <c r="A21" i="19"/>
  <c r="I21" i="16"/>
  <c r="Q55" i="19"/>
  <c r="A57" i="19"/>
  <c r="Q57" i="19" s="1"/>
  <c r="Q75" i="19"/>
  <c r="A76" i="19"/>
  <c r="AD88" i="18"/>
  <c r="A89" i="18"/>
  <c r="AD53" i="18"/>
  <c r="A54" i="18"/>
  <c r="AE50" i="17"/>
  <c r="A51" i="17"/>
  <c r="AE74" i="17"/>
  <c r="A75" i="17"/>
  <c r="AE24" i="17"/>
  <c r="A25" i="17"/>
  <c r="I97" i="16"/>
  <c r="H60" i="16"/>
  <c r="H22" i="16"/>
  <c r="I59" i="16"/>
  <c r="I22" i="16" s="1"/>
  <c r="J26" i="16"/>
  <c r="A27" i="16"/>
  <c r="E24" i="16"/>
  <c r="E62" i="16"/>
  <c r="F61" i="16"/>
  <c r="F24" i="16" s="1"/>
  <c r="J99" i="16"/>
  <c r="A100" i="16"/>
  <c r="J63" i="16"/>
  <c r="A64" i="16"/>
  <c r="E99" i="16"/>
  <c r="F98" i="16"/>
  <c r="H98" i="16" s="1"/>
  <c r="AE23" i="14"/>
  <c r="A24" i="14"/>
  <c r="AE74" i="14"/>
  <c r="A75" i="14"/>
  <c r="AD23" i="14"/>
  <c r="AE48" i="14"/>
  <c r="A49" i="14"/>
  <c r="J26" i="13"/>
  <c r="A27" i="13"/>
  <c r="H23" i="10"/>
  <c r="A24" i="10"/>
  <c r="G23" i="9"/>
  <c r="A24" i="9"/>
  <c r="G24" i="9" s="1"/>
  <c r="L54" i="8"/>
  <c r="A55" i="8"/>
  <c r="L124" i="8"/>
  <c r="A125" i="8"/>
  <c r="L90" i="8"/>
  <c r="A91" i="8"/>
  <c r="L26" i="8"/>
  <c r="A28" i="8"/>
  <c r="H93" i="7"/>
  <c r="A96" i="7"/>
  <c r="F26" i="7"/>
  <c r="H24" i="7"/>
  <c r="A27" i="7"/>
  <c r="H24" i="5"/>
  <c r="F26" i="5"/>
  <c r="A27" i="5"/>
  <c r="H93" i="5"/>
  <c r="A95" i="5"/>
  <c r="F95" i="5"/>
  <c r="H54" i="5"/>
  <c r="A57" i="5"/>
  <c r="H157" i="5"/>
  <c r="A158" i="5"/>
  <c r="H137" i="5"/>
  <c r="A138" i="5"/>
  <c r="E23" i="41" l="1"/>
  <c r="A25" i="41"/>
  <c r="D25" i="41"/>
  <c r="N35" i="39"/>
  <c r="A37" i="39"/>
  <c r="N32" i="38"/>
  <c r="A34" i="38"/>
  <c r="H26" i="35"/>
  <c r="A28" i="35"/>
  <c r="G51" i="35"/>
  <c r="A51" i="35"/>
  <c r="H50" i="35"/>
  <c r="E28" i="23"/>
  <c r="E73" i="23"/>
  <c r="A28" i="33"/>
  <c r="F25" i="33"/>
  <c r="K57" i="32"/>
  <c r="A58" i="32"/>
  <c r="G59" i="32"/>
  <c r="H59" i="32" s="1"/>
  <c r="I59" i="32" s="1"/>
  <c r="H58" i="32"/>
  <c r="I58" i="32" s="1"/>
  <c r="J58" i="32" s="1"/>
  <c r="J59" i="32" s="1"/>
  <c r="J61" i="32" s="1"/>
  <c r="E10" i="32" s="1"/>
  <c r="K55" i="29"/>
  <c r="A56" i="29"/>
  <c r="O20" i="28"/>
  <c r="A21" i="28"/>
  <c r="O42" i="28"/>
  <c r="A43" i="28"/>
  <c r="G44" i="28"/>
  <c r="O61" i="28"/>
  <c r="A62" i="28"/>
  <c r="Q21" i="27"/>
  <c r="A22" i="27"/>
  <c r="BJ53" i="26"/>
  <c r="A54" i="26"/>
  <c r="BH53" i="25"/>
  <c r="A54" i="25"/>
  <c r="G57" i="24"/>
  <c r="A66" i="24"/>
  <c r="K65" i="24"/>
  <c r="G25" i="23"/>
  <c r="A26" i="23"/>
  <c r="E164" i="23"/>
  <c r="G160" i="23"/>
  <c r="A161" i="23"/>
  <c r="E162" i="23"/>
  <c r="E76" i="23"/>
  <c r="G72" i="23"/>
  <c r="A73" i="23"/>
  <c r="E74" i="23"/>
  <c r="G114" i="23"/>
  <c r="A115" i="23"/>
  <c r="G48" i="23"/>
  <c r="A49" i="23"/>
  <c r="G93" i="23"/>
  <c r="A94" i="23"/>
  <c r="G136" i="23"/>
  <c r="A137" i="23"/>
  <c r="I46" i="21"/>
  <c r="N44" i="21"/>
  <c r="A45" i="21"/>
  <c r="E49" i="21"/>
  <c r="N68" i="21"/>
  <c r="A69" i="21"/>
  <c r="N145" i="21"/>
  <c r="A147" i="21"/>
  <c r="A122" i="21"/>
  <c r="N121" i="21"/>
  <c r="G111" i="21"/>
  <c r="C60" i="20"/>
  <c r="J50" i="20"/>
  <c r="A55" i="20"/>
  <c r="C57" i="20"/>
  <c r="J25" i="20"/>
  <c r="A26" i="20"/>
  <c r="Q76" i="19"/>
  <c r="A77" i="19"/>
  <c r="Q21" i="19"/>
  <c r="A22" i="19"/>
  <c r="AD54" i="18"/>
  <c r="A55" i="18"/>
  <c r="AD55" i="18" s="1"/>
  <c r="AD89" i="18"/>
  <c r="A90" i="18"/>
  <c r="AD90" i="18" s="1"/>
  <c r="AE25" i="17"/>
  <c r="A26" i="17"/>
  <c r="AE75" i="17"/>
  <c r="A76" i="17"/>
  <c r="AE51" i="17"/>
  <c r="AD26" i="17"/>
  <c r="A52" i="17"/>
  <c r="AD25" i="17"/>
  <c r="I98" i="16"/>
  <c r="F62" i="16"/>
  <c r="F25" i="16" s="1"/>
  <c r="E25" i="16"/>
  <c r="E63" i="16"/>
  <c r="J27" i="16"/>
  <c r="A28" i="16"/>
  <c r="F99" i="16"/>
  <c r="H99" i="16" s="1"/>
  <c r="E100" i="16"/>
  <c r="A65" i="16"/>
  <c r="J64" i="16"/>
  <c r="H23" i="16"/>
  <c r="H61" i="16"/>
  <c r="I60" i="16"/>
  <c r="I23" i="16" s="1"/>
  <c r="J100" i="16"/>
  <c r="A101" i="16"/>
  <c r="AE49" i="14"/>
  <c r="AD24" i="14"/>
  <c r="A50" i="14"/>
  <c r="AE75" i="14"/>
  <c r="A76" i="14"/>
  <c r="AE76" i="14" s="1"/>
  <c r="A25" i="14"/>
  <c r="AE24" i="14"/>
  <c r="J27" i="13"/>
  <c r="A28" i="13"/>
  <c r="J28" i="13" s="1"/>
  <c r="A26" i="10"/>
  <c r="H26" i="10" s="1"/>
  <c r="H24" i="10"/>
  <c r="F26" i="10"/>
  <c r="B72" i="8"/>
  <c r="L91" i="8"/>
  <c r="C95" i="8"/>
  <c r="L125" i="8"/>
  <c r="A126" i="8"/>
  <c r="B8" i="8"/>
  <c r="L28" i="8"/>
  <c r="L55" i="8"/>
  <c r="A56" i="8"/>
  <c r="A28" i="7"/>
  <c r="H27" i="7"/>
  <c r="H96" i="7"/>
  <c r="A97" i="7"/>
  <c r="F159" i="5"/>
  <c r="A159" i="5"/>
  <c r="H158" i="5"/>
  <c r="H57" i="5"/>
  <c r="A58" i="5"/>
  <c r="F65" i="5"/>
  <c r="F154" i="5"/>
  <c r="H95" i="5"/>
  <c r="A28" i="5"/>
  <c r="H27" i="5"/>
  <c r="H138" i="5"/>
  <c r="A139" i="5"/>
  <c r="E183" i="5"/>
  <c r="A26" i="41" l="1"/>
  <c r="D26" i="41"/>
  <c r="E25" i="41"/>
  <c r="N37" i="39"/>
  <c r="A39" i="39"/>
  <c r="N34" i="38"/>
  <c r="A36" i="38"/>
  <c r="H51" i="35"/>
  <c r="A53" i="35"/>
  <c r="A29" i="35"/>
  <c r="H28" i="35"/>
  <c r="A29" i="33"/>
  <c r="F28" i="33"/>
  <c r="E23" i="32"/>
  <c r="E18" i="32" s="1"/>
  <c r="E39" i="32" s="1"/>
  <c r="E37" i="32"/>
  <c r="K58" i="32"/>
  <c r="A59" i="32"/>
  <c r="A57" i="29"/>
  <c r="K56" i="29"/>
  <c r="O43" i="28"/>
  <c r="A44" i="28"/>
  <c r="O21" i="28"/>
  <c r="A22" i="28"/>
  <c r="O62" i="28"/>
  <c r="A63" i="28"/>
  <c r="Q22" i="27"/>
  <c r="A23" i="27"/>
  <c r="BJ54" i="26"/>
  <c r="A55" i="26"/>
  <c r="A55" i="25"/>
  <c r="BH54" i="25"/>
  <c r="K66" i="24"/>
  <c r="A67" i="24"/>
  <c r="G56" i="24"/>
  <c r="G115" i="23"/>
  <c r="A116" i="23"/>
  <c r="G73" i="23"/>
  <c r="A74" i="23"/>
  <c r="A138" i="23"/>
  <c r="G137" i="23"/>
  <c r="G161" i="23"/>
  <c r="A162" i="23"/>
  <c r="E96" i="23"/>
  <c r="E98" i="23"/>
  <c r="G94" i="23"/>
  <c r="A95" i="23"/>
  <c r="G49" i="23"/>
  <c r="A50" i="23"/>
  <c r="A27" i="23"/>
  <c r="G26" i="23"/>
  <c r="H123" i="21"/>
  <c r="H122" i="21"/>
  <c r="H121" i="21"/>
  <c r="H120" i="21"/>
  <c r="H119" i="21"/>
  <c r="H118" i="21"/>
  <c r="H117" i="21"/>
  <c r="H116" i="21"/>
  <c r="H115" i="21"/>
  <c r="H114" i="21"/>
  <c r="H113" i="21"/>
  <c r="H112" i="21"/>
  <c r="N122" i="21"/>
  <c r="A123" i="21"/>
  <c r="N147" i="21"/>
  <c r="A150" i="21"/>
  <c r="N69" i="21"/>
  <c r="A70" i="21"/>
  <c r="N70" i="21" s="1"/>
  <c r="A46" i="21"/>
  <c r="N45" i="21"/>
  <c r="J26" i="20"/>
  <c r="A27" i="20"/>
  <c r="J27" i="20" s="1"/>
  <c r="A57" i="20"/>
  <c r="C58" i="20"/>
  <c r="J55" i="20"/>
  <c r="Q22" i="19"/>
  <c r="A23" i="19"/>
  <c r="A78" i="19"/>
  <c r="Q77" i="19"/>
  <c r="AE52" i="17"/>
  <c r="A53" i="17"/>
  <c r="AE53" i="17" s="1"/>
  <c r="AE76" i="17"/>
  <c r="A77" i="17"/>
  <c r="AE26" i="17"/>
  <c r="A27" i="17"/>
  <c r="I99" i="16"/>
  <c r="F100" i="16"/>
  <c r="H100" i="16" s="1"/>
  <c r="E101" i="16"/>
  <c r="J65" i="16"/>
  <c r="A66" i="16"/>
  <c r="J28" i="16"/>
  <c r="A29" i="16"/>
  <c r="A102" i="16"/>
  <c r="J101" i="16"/>
  <c r="E64" i="16"/>
  <c r="F63" i="16"/>
  <c r="F26" i="16" s="1"/>
  <c r="E26" i="16"/>
  <c r="H24" i="16"/>
  <c r="H62" i="16"/>
  <c r="I61" i="16"/>
  <c r="I24" i="16" s="1"/>
  <c r="AE25" i="14"/>
  <c r="A26" i="14"/>
  <c r="AE26" i="14" s="1"/>
  <c r="AE50" i="14"/>
  <c r="A51" i="14"/>
  <c r="AE51" i="14" s="1"/>
  <c r="AD25" i="14"/>
  <c r="E106" i="5"/>
  <c r="E107" i="5" s="1"/>
  <c r="E118" i="5"/>
  <c r="E119" i="5" s="1"/>
  <c r="L56" i="8"/>
  <c r="A57" i="8"/>
  <c r="L126" i="8"/>
  <c r="A127" i="8"/>
  <c r="A99" i="7"/>
  <c r="H97" i="7"/>
  <c r="F99" i="7"/>
  <c r="A29" i="7"/>
  <c r="H28" i="7"/>
  <c r="H139" i="5"/>
  <c r="A140" i="5"/>
  <c r="H28" i="5"/>
  <c r="A29" i="5"/>
  <c r="H58" i="5"/>
  <c r="A60" i="5"/>
  <c r="F66" i="5"/>
  <c r="H159" i="5"/>
  <c r="A162" i="5"/>
  <c r="E86" i="7"/>
  <c r="A27" i="41" l="1"/>
  <c r="E26" i="41"/>
  <c r="D27" i="41"/>
  <c r="N39" i="39"/>
  <c r="A41" i="39"/>
  <c r="N36" i="38"/>
  <c r="A38" i="38"/>
  <c r="H29" i="35"/>
  <c r="A30" i="35"/>
  <c r="H53" i="35"/>
  <c r="A55" i="35"/>
  <c r="A30" i="33"/>
  <c r="F29" i="33"/>
  <c r="D30" i="33"/>
  <c r="K59" i="32"/>
  <c r="A60" i="32"/>
  <c r="K57" i="29"/>
  <c r="A58" i="29"/>
  <c r="O22" i="28"/>
  <c r="A23" i="28"/>
  <c r="O63" i="28"/>
  <c r="A64" i="28"/>
  <c r="A45" i="28"/>
  <c r="O44" i="28"/>
  <c r="G46" i="28"/>
  <c r="Q23" i="27"/>
  <c r="A24" i="27"/>
  <c r="A56" i="26"/>
  <c r="BJ55" i="26"/>
  <c r="BH55" i="25"/>
  <c r="A56" i="25"/>
  <c r="H68" i="24"/>
  <c r="I68" i="24" s="1"/>
  <c r="H67" i="24"/>
  <c r="I67" i="24" s="1"/>
  <c r="H66" i="24"/>
  <c r="I66" i="24" s="1"/>
  <c r="H65" i="24"/>
  <c r="I65" i="24" s="1"/>
  <c r="H64" i="24"/>
  <c r="I64" i="24" s="1"/>
  <c r="H63" i="24"/>
  <c r="I63" i="24" s="1"/>
  <c r="H62" i="24"/>
  <c r="I62" i="24" s="1"/>
  <c r="H61" i="24"/>
  <c r="I61" i="24" s="1"/>
  <c r="H60" i="24"/>
  <c r="I60" i="24" s="1"/>
  <c r="H59" i="24"/>
  <c r="I59" i="24" s="1"/>
  <c r="H58" i="24"/>
  <c r="I58" i="24" s="1"/>
  <c r="H57" i="24"/>
  <c r="I57" i="24" s="1"/>
  <c r="J57" i="24" s="1"/>
  <c r="J58" i="24" s="1"/>
  <c r="K67" i="24"/>
  <c r="A68" i="24"/>
  <c r="G95" i="23"/>
  <c r="A96" i="23"/>
  <c r="A164" i="23"/>
  <c r="G162" i="23"/>
  <c r="G138" i="23"/>
  <c r="A139" i="23"/>
  <c r="E140" i="23"/>
  <c r="E142" i="23"/>
  <c r="A76" i="23"/>
  <c r="G74" i="23"/>
  <c r="G27" i="23"/>
  <c r="A28" i="23"/>
  <c r="E54" i="23"/>
  <c r="G50" i="23"/>
  <c r="A51" i="23"/>
  <c r="A117" i="23"/>
  <c r="E118" i="23"/>
  <c r="E120" i="23"/>
  <c r="G116" i="23"/>
  <c r="K137" i="21"/>
  <c r="K135" i="21"/>
  <c r="K138" i="21"/>
  <c r="K139" i="21"/>
  <c r="N46" i="21"/>
  <c r="E10" i="21"/>
  <c r="A49" i="21"/>
  <c r="N49" i="21" s="1"/>
  <c r="K140" i="21"/>
  <c r="A151" i="21"/>
  <c r="N150" i="21"/>
  <c r="K141" i="21"/>
  <c r="K133" i="21"/>
  <c r="K136" i="21"/>
  <c r="K134" i="21"/>
  <c r="K142" i="21"/>
  <c r="N123" i="21"/>
  <c r="A124" i="21"/>
  <c r="K143" i="21"/>
  <c r="K144" i="21"/>
  <c r="J57" i="20"/>
  <c r="A58" i="20"/>
  <c r="Q78" i="19"/>
  <c r="A79" i="19"/>
  <c r="Q23" i="19"/>
  <c r="A24" i="19"/>
  <c r="AE27" i="17"/>
  <c r="A28" i="17"/>
  <c r="AE28" i="17" s="1"/>
  <c r="AE77" i="17"/>
  <c r="A78" i="17"/>
  <c r="AE78" i="17" s="1"/>
  <c r="AD27" i="17"/>
  <c r="I100" i="16"/>
  <c r="J102" i="16"/>
  <c r="A103" i="16"/>
  <c r="J29" i="16"/>
  <c r="A30" i="16"/>
  <c r="H25" i="16"/>
  <c r="H63" i="16"/>
  <c r="I62" i="16"/>
  <c r="I25" i="16" s="1"/>
  <c r="E102" i="16"/>
  <c r="F101" i="16"/>
  <c r="H101" i="16" s="1"/>
  <c r="J66" i="16"/>
  <c r="A67" i="16"/>
  <c r="F64" i="16"/>
  <c r="F27" i="16" s="1"/>
  <c r="E27" i="16"/>
  <c r="E65" i="16"/>
  <c r="L127" i="8"/>
  <c r="A128" i="8"/>
  <c r="L128" i="8" s="1"/>
  <c r="B140" i="8"/>
  <c r="A58" i="8"/>
  <c r="L57" i="8"/>
  <c r="H29" i="7"/>
  <c r="A30" i="7"/>
  <c r="H99" i="7"/>
  <c r="A102" i="7"/>
  <c r="E152" i="5"/>
  <c r="D16" i="6" s="1"/>
  <c r="H60" i="5"/>
  <c r="A61" i="5"/>
  <c r="F67" i="5"/>
  <c r="H29" i="5"/>
  <c r="A30" i="5"/>
  <c r="H162" i="5"/>
  <c r="A163" i="5"/>
  <c r="H140" i="5"/>
  <c r="A141" i="5"/>
  <c r="E157" i="5"/>
  <c r="E91" i="7" s="1"/>
  <c r="E27" i="41" l="1"/>
  <c r="A28" i="41"/>
  <c r="N41" i="39"/>
  <c r="A43" i="39"/>
  <c r="N38" i="38"/>
  <c r="A40" i="38"/>
  <c r="H55" i="35"/>
  <c r="A56" i="35"/>
  <c r="H30" i="35"/>
  <c r="A31" i="35"/>
  <c r="A32" i="33"/>
  <c r="F30" i="33"/>
  <c r="D57" i="33"/>
  <c r="K60" i="32"/>
  <c r="A61" i="32"/>
  <c r="K58" i="29"/>
  <c r="A59" i="29"/>
  <c r="O45" i="28"/>
  <c r="A46" i="28"/>
  <c r="A65" i="28"/>
  <c r="O64" i="28"/>
  <c r="O23" i="28"/>
  <c r="A24" i="28"/>
  <c r="Q24" i="27"/>
  <c r="A25" i="27"/>
  <c r="A57" i="26"/>
  <c r="BJ56" i="26"/>
  <c r="J59" i="24"/>
  <c r="J60" i="24" s="1"/>
  <c r="J61" i="24" s="1"/>
  <c r="J62" i="24" s="1"/>
  <c r="J63" i="24" s="1"/>
  <c r="J64" i="24" s="1"/>
  <c r="J65" i="24" s="1"/>
  <c r="J66" i="24" s="1"/>
  <c r="J67" i="24" s="1"/>
  <c r="J68" i="24" s="1"/>
  <c r="J70" i="24" s="1"/>
  <c r="C49" i="24" s="1"/>
  <c r="E25" i="7" s="1"/>
  <c r="A57" i="25"/>
  <c r="BH56" i="25"/>
  <c r="K68" i="24"/>
  <c r="A69" i="24"/>
  <c r="G117" i="23"/>
  <c r="A118" i="23"/>
  <c r="G28" i="23"/>
  <c r="A29" i="23"/>
  <c r="G51" i="23"/>
  <c r="A52" i="23"/>
  <c r="E52" i="23"/>
  <c r="G164" i="23"/>
  <c r="A165" i="23"/>
  <c r="G165" i="23" s="1"/>
  <c r="G76" i="23"/>
  <c r="A77" i="23"/>
  <c r="G77" i="23" s="1"/>
  <c r="G96" i="23"/>
  <c r="A98" i="23"/>
  <c r="G139" i="23"/>
  <c r="A140" i="23"/>
  <c r="E29" i="23"/>
  <c r="K153" i="21"/>
  <c r="L153" i="21" s="1"/>
  <c r="L136" i="21"/>
  <c r="K160" i="21"/>
  <c r="L160" i="21" s="1"/>
  <c r="L143" i="21"/>
  <c r="K158" i="21"/>
  <c r="L158" i="21" s="1"/>
  <c r="L141" i="21"/>
  <c r="N124" i="21"/>
  <c r="A125" i="21"/>
  <c r="N151" i="21"/>
  <c r="A152" i="21"/>
  <c r="K154" i="21"/>
  <c r="L154" i="21" s="1"/>
  <c r="L137" i="21"/>
  <c r="K159" i="21"/>
  <c r="L159" i="21" s="1"/>
  <c r="L142" i="21"/>
  <c r="K157" i="21"/>
  <c r="L157" i="21" s="1"/>
  <c r="L140" i="21"/>
  <c r="K156" i="21"/>
  <c r="L156" i="21" s="1"/>
  <c r="L139" i="21"/>
  <c r="K161" i="21"/>
  <c r="L161" i="21" s="1"/>
  <c r="L144" i="21"/>
  <c r="K150" i="21"/>
  <c r="L150" i="21" s="1"/>
  <c r="M150" i="21" s="1"/>
  <c r="L133" i="21"/>
  <c r="M133" i="21" s="1"/>
  <c r="K151" i="21"/>
  <c r="L151" i="21" s="1"/>
  <c r="M151" i="21" s="1"/>
  <c r="L134" i="21"/>
  <c r="K155" i="21"/>
  <c r="L155" i="21" s="1"/>
  <c r="L138" i="21"/>
  <c r="K152" i="21"/>
  <c r="L152" i="21" s="1"/>
  <c r="L135" i="21"/>
  <c r="J58" i="20"/>
  <c r="A60" i="20"/>
  <c r="A25" i="19"/>
  <c r="Q24" i="19"/>
  <c r="Q79" i="19"/>
  <c r="A80" i="19"/>
  <c r="I101" i="16"/>
  <c r="H26" i="16"/>
  <c r="H64" i="16"/>
  <c r="I63" i="16"/>
  <c r="I26" i="16" s="1"/>
  <c r="F65" i="16"/>
  <c r="F28" i="16" s="1"/>
  <c r="E28" i="16"/>
  <c r="E66" i="16"/>
  <c r="A31" i="16"/>
  <c r="J30" i="16"/>
  <c r="F102" i="16"/>
  <c r="H102" i="16" s="1"/>
  <c r="E103" i="16"/>
  <c r="J103" i="16"/>
  <c r="A104" i="16"/>
  <c r="J67" i="16"/>
  <c r="A68" i="16"/>
  <c r="L58" i="8"/>
  <c r="A59" i="8"/>
  <c r="A103" i="7"/>
  <c r="H102" i="7"/>
  <c r="H30" i="7"/>
  <c r="A32" i="7"/>
  <c r="F32" i="7"/>
  <c r="H141" i="5"/>
  <c r="A142" i="5"/>
  <c r="H142" i="5" s="1"/>
  <c r="H30" i="5"/>
  <c r="A32" i="5"/>
  <c r="F32" i="5"/>
  <c r="H163" i="5"/>
  <c r="A164" i="5"/>
  <c r="F164" i="5"/>
  <c r="A62" i="5"/>
  <c r="H61" i="5"/>
  <c r="E191" i="5"/>
  <c r="E10" i="7"/>
  <c r="E10" i="5"/>
  <c r="E28" i="41" l="1"/>
  <c r="D30" i="41"/>
  <c r="A29" i="41"/>
  <c r="D29" i="41"/>
  <c r="A46" i="39"/>
  <c r="N43" i="39"/>
  <c r="N40" i="38"/>
  <c r="A42" i="38"/>
  <c r="H31" i="35"/>
  <c r="A32" i="35"/>
  <c r="H56" i="35"/>
  <c r="A57" i="35"/>
  <c r="F32" i="33"/>
  <c r="A33" i="33"/>
  <c r="K61" i="32"/>
  <c r="F10" i="32"/>
  <c r="K59" i="29"/>
  <c r="A60" i="29"/>
  <c r="O24" i="28"/>
  <c r="A25" i="28"/>
  <c r="O65" i="28"/>
  <c r="A66" i="28"/>
  <c r="O46" i="28"/>
  <c r="G49" i="28"/>
  <c r="A26" i="27"/>
  <c r="Q25" i="27"/>
  <c r="BJ57" i="26"/>
  <c r="A58" i="26"/>
  <c r="BH57" i="25"/>
  <c r="A58" i="25"/>
  <c r="K69" i="24"/>
  <c r="A70" i="24"/>
  <c r="K70" i="24" s="1"/>
  <c r="G52" i="23"/>
  <c r="A54" i="23"/>
  <c r="G140" i="23"/>
  <c r="A142" i="23"/>
  <c r="G29" i="23"/>
  <c r="A31" i="23"/>
  <c r="G98" i="23"/>
  <c r="A99" i="23"/>
  <c r="G99" i="23" s="1"/>
  <c r="G118" i="23"/>
  <c r="A120" i="23"/>
  <c r="A153" i="21"/>
  <c r="N152" i="21"/>
  <c r="E22" i="21"/>
  <c r="N125" i="21"/>
  <c r="M152" i="21"/>
  <c r="M153" i="21" s="1"/>
  <c r="M154" i="21" s="1"/>
  <c r="M155" i="21" s="1"/>
  <c r="M156" i="21" s="1"/>
  <c r="M157" i="21" s="1"/>
  <c r="M158" i="21" s="1"/>
  <c r="M159" i="21" s="1"/>
  <c r="M160" i="21" s="1"/>
  <c r="M161" i="21" s="1"/>
  <c r="M164" i="21" s="1"/>
  <c r="M165" i="21" s="1"/>
  <c r="M134" i="21"/>
  <c r="M135" i="21" s="1"/>
  <c r="M136" i="21" s="1"/>
  <c r="M137" i="21" s="1"/>
  <c r="M138" i="21" s="1"/>
  <c r="M139" i="21" s="1"/>
  <c r="M140" i="21" s="1"/>
  <c r="M141" i="21" s="1"/>
  <c r="M142" i="21" s="1"/>
  <c r="M143" i="21" s="1"/>
  <c r="M144" i="21" s="1"/>
  <c r="J60" i="20"/>
  <c r="A61" i="20"/>
  <c r="J61" i="20" s="1"/>
  <c r="C61" i="20"/>
  <c r="Q80" i="19"/>
  <c r="A81" i="19"/>
  <c r="Q25" i="19"/>
  <c r="A26" i="19"/>
  <c r="I102" i="16"/>
  <c r="J31" i="16"/>
  <c r="A32" i="16"/>
  <c r="J68" i="16"/>
  <c r="A69" i="16"/>
  <c r="E67" i="16"/>
  <c r="E29" i="16"/>
  <c r="F66" i="16"/>
  <c r="F29" i="16" s="1"/>
  <c r="A105" i="16"/>
  <c r="J104" i="16"/>
  <c r="H65" i="16"/>
  <c r="H27" i="16"/>
  <c r="I64" i="16"/>
  <c r="F103" i="16"/>
  <c r="H103" i="16" s="1"/>
  <c r="E104" i="16"/>
  <c r="L59" i="8"/>
  <c r="A60" i="8"/>
  <c r="H32" i="7"/>
  <c r="F68" i="7"/>
  <c r="F50" i="7"/>
  <c r="E51" i="7"/>
  <c r="E73" i="7" s="1"/>
  <c r="A104" i="7"/>
  <c r="H103" i="7"/>
  <c r="F104" i="7"/>
  <c r="H62" i="5"/>
  <c r="A65" i="5"/>
  <c r="F71" i="5"/>
  <c r="E74" i="5"/>
  <c r="E142" i="5" s="1"/>
  <c r="H164" i="5"/>
  <c r="A166" i="5"/>
  <c r="F166" i="5"/>
  <c r="H32" i="5"/>
  <c r="F137" i="5"/>
  <c r="E151" i="5"/>
  <c r="E147" i="5"/>
  <c r="E29" i="41" l="1"/>
  <c r="A30" i="41"/>
  <c r="A48" i="39"/>
  <c r="N46" i="39"/>
  <c r="A44" i="38"/>
  <c r="N42" i="38"/>
  <c r="A59" i="35"/>
  <c r="H57" i="35"/>
  <c r="G59" i="35"/>
  <c r="H32" i="35"/>
  <c r="A34" i="35"/>
  <c r="H34" i="35" s="1"/>
  <c r="G34" i="35"/>
  <c r="F33" i="33"/>
  <c r="A34" i="33"/>
  <c r="D34" i="33"/>
  <c r="K60" i="29"/>
  <c r="A61" i="29"/>
  <c r="O66" i="28"/>
  <c r="A67" i="28"/>
  <c r="O25" i="28"/>
  <c r="A26" i="28"/>
  <c r="E92" i="5"/>
  <c r="E93" i="5" s="1"/>
  <c r="H45" i="21"/>
  <c r="H46" i="21" s="1"/>
  <c r="I55" i="20"/>
  <c r="E90" i="17"/>
  <c r="F90" i="17" s="1"/>
  <c r="D28" i="23"/>
  <c r="H83" i="21"/>
  <c r="H84" i="21" s="1"/>
  <c r="E91" i="17"/>
  <c r="F91" i="17" s="1"/>
  <c r="C61" i="33" s="1"/>
  <c r="D73" i="23"/>
  <c r="H64" i="21"/>
  <c r="H65" i="21" s="1"/>
  <c r="H99" i="21"/>
  <c r="H100" i="21" s="1"/>
  <c r="D28" i="18"/>
  <c r="E28" i="18" s="1"/>
  <c r="Q26" i="27"/>
  <c r="A27" i="27"/>
  <c r="BJ58" i="26"/>
  <c r="A59" i="26"/>
  <c r="A59" i="25"/>
  <c r="BH58" i="25"/>
  <c r="G120" i="23"/>
  <c r="A121" i="23"/>
  <c r="G121" i="23" s="1"/>
  <c r="G31" i="23"/>
  <c r="A32" i="23"/>
  <c r="G142" i="23"/>
  <c r="A143" i="23"/>
  <c r="G143" i="23" s="1"/>
  <c r="G54" i="23"/>
  <c r="A55" i="23"/>
  <c r="G55" i="23" s="1"/>
  <c r="N153" i="21"/>
  <c r="A154" i="21"/>
  <c r="A27" i="19"/>
  <c r="Q26" i="19"/>
  <c r="Q81" i="19"/>
  <c r="A82" i="19"/>
  <c r="I103" i="16"/>
  <c r="E30" i="16"/>
  <c r="F67" i="16"/>
  <c r="F30" i="16" s="1"/>
  <c r="E68" i="16"/>
  <c r="E105" i="16"/>
  <c r="F104" i="16"/>
  <c r="H104" i="16" s="1"/>
  <c r="J69" i="16"/>
  <c r="A70" i="16"/>
  <c r="I27" i="16"/>
  <c r="J32" i="16"/>
  <c r="A33" i="16"/>
  <c r="H66" i="16"/>
  <c r="H28" i="16"/>
  <c r="I65" i="16"/>
  <c r="I28" i="16" s="1"/>
  <c r="J105" i="16"/>
  <c r="A106" i="16"/>
  <c r="E91" i="14"/>
  <c r="F91" i="14" s="1"/>
  <c r="E92" i="14"/>
  <c r="F92" i="14" s="1"/>
  <c r="E82" i="7"/>
  <c r="E127" i="5"/>
  <c r="E128" i="5" s="1"/>
  <c r="L60" i="8"/>
  <c r="A61" i="8"/>
  <c r="H104" i="7"/>
  <c r="A106" i="7"/>
  <c r="F106" i="7"/>
  <c r="H166" i="5"/>
  <c r="A170" i="5"/>
  <c r="F180" i="5"/>
  <c r="A66" i="5"/>
  <c r="H65" i="5"/>
  <c r="D7" i="41" l="1"/>
  <c r="E30" i="41"/>
  <c r="A50" i="39"/>
  <c r="N48" i="39"/>
  <c r="N44" i="38"/>
  <c r="A46" i="38"/>
  <c r="H59" i="35"/>
  <c r="A60" i="35"/>
  <c r="C32" i="33"/>
  <c r="C28" i="33"/>
  <c r="C30" i="33" s="1"/>
  <c r="C57" i="33" s="1"/>
  <c r="F34" i="33"/>
  <c r="A36" i="33"/>
  <c r="D58" i="33"/>
  <c r="K61" i="29"/>
  <c r="A62" i="29"/>
  <c r="A27" i="28"/>
  <c r="O27" i="28" s="1"/>
  <c r="O26" i="28"/>
  <c r="O67" i="28"/>
  <c r="A68" i="28"/>
  <c r="D74" i="23"/>
  <c r="D77" i="23"/>
  <c r="G91" i="17"/>
  <c r="H91" i="17"/>
  <c r="G90" i="17"/>
  <c r="H90" i="17"/>
  <c r="F92" i="17"/>
  <c r="E21" i="7" s="1"/>
  <c r="E22" i="7" s="1"/>
  <c r="F28" i="18"/>
  <c r="G28" i="18"/>
  <c r="I58" i="20"/>
  <c r="I61" i="20"/>
  <c r="D33" i="23"/>
  <c r="D29" i="23"/>
  <c r="A28" i="27"/>
  <c r="Q27" i="27"/>
  <c r="A60" i="26"/>
  <c r="BJ59" i="26"/>
  <c r="A60" i="25"/>
  <c r="BH59" i="25"/>
  <c r="G32" i="23"/>
  <c r="A33" i="23"/>
  <c r="G33" i="23" s="1"/>
  <c r="E33" i="23"/>
  <c r="N154" i="21"/>
  <c r="A155" i="21"/>
  <c r="Q82" i="19"/>
  <c r="A83" i="19"/>
  <c r="Q27" i="19"/>
  <c r="A28" i="19"/>
  <c r="I104" i="16"/>
  <c r="H67" i="16"/>
  <c r="H29" i="16"/>
  <c r="I66" i="16"/>
  <c r="I29" i="16" s="1"/>
  <c r="F105" i="16"/>
  <c r="H105" i="16" s="1"/>
  <c r="E106" i="16"/>
  <c r="E69" i="16"/>
  <c r="E31" i="16"/>
  <c r="F68" i="16"/>
  <c r="F31" i="16" s="1"/>
  <c r="J33" i="16"/>
  <c r="A34" i="16"/>
  <c r="J70" i="16"/>
  <c r="A71" i="16"/>
  <c r="J106" i="16"/>
  <c r="A107" i="16"/>
  <c r="G92" i="14"/>
  <c r="H92" i="14"/>
  <c r="G91" i="14"/>
  <c r="G93" i="14" s="1"/>
  <c r="F93" i="14"/>
  <c r="E9" i="7" s="1"/>
  <c r="E11" i="7" s="1"/>
  <c r="H91" i="14"/>
  <c r="E21" i="5"/>
  <c r="E22" i="5" s="1"/>
  <c r="E150" i="5"/>
  <c r="E9" i="5"/>
  <c r="E11" i="5" s="1"/>
  <c r="C22" i="41" s="1"/>
  <c r="L61" i="8"/>
  <c r="A62" i="8"/>
  <c r="F111" i="7"/>
  <c r="H106" i="7"/>
  <c r="A109" i="7"/>
  <c r="H66" i="5"/>
  <c r="F70" i="5"/>
  <c r="A67" i="5"/>
  <c r="H170" i="5"/>
  <c r="A171" i="5"/>
  <c r="D29" i="6"/>
  <c r="N50" i="39" l="1"/>
  <c r="A52" i="39"/>
  <c r="A48" i="38"/>
  <c r="N46" i="38"/>
  <c r="H60" i="35"/>
  <c r="A61" i="35"/>
  <c r="F36" i="33"/>
  <c r="A37" i="33"/>
  <c r="D38" i="33"/>
  <c r="C34" i="33"/>
  <c r="C63" i="33"/>
  <c r="C65" i="33" s="1"/>
  <c r="E81" i="5" s="1"/>
  <c r="E82" i="5" s="1"/>
  <c r="E95" i="5" s="1"/>
  <c r="E154" i="5" s="1"/>
  <c r="E88" i="7" s="1"/>
  <c r="K62" i="29"/>
  <c r="A63" i="29"/>
  <c r="A69" i="28"/>
  <c r="O68" i="28"/>
  <c r="G55" i="20"/>
  <c r="G83" i="21"/>
  <c r="G84" i="21" s="1"/>
  <c r="D84" i="21" s="1"/>
  <c r="D12" i="21" s="1"/>
  <c r="G64" i="21"/>
  <c r="G65" i="21" s="1"/>
  <c r="D65" i="21" s="1"/>
  <c r="D11" i="21" s="1"/>
  <c r="G99" i="21"/>
  <c r="G100" i="21" s="1"/>
  <c r="D100" i="21" s="1"/>
  <c r="D13" i="21" s="1"/>
  <c r="H92" i="17"/>
  <c r="H93" i="14"/>
  <c r="G92" i="17"/>
  <c r="Q28" i="27"/>
  <c r="A29" i="27"/>
  <c r="BJ60" i="26"/>
  <c r="A61" i="26"/>
  <c r="A61" i="25"/>
  <c r="BH60" i="25"/>
  <c r="N155" i="21"/>
  <c r="A156" i="21"/>
  <c r="Q28" i="19"/>
  <c r="A29" i="19"/>
  <c r="Q83" i="19"/>
  <c r="A84" i="19"/>
  <c r="I105" i="16"/>
  <c r="F69" i="16"/>
  <c r="F32" i="16" s="1"/>
  <c r="E70" i="16"/>
  <c r="E32" i="16"/>
  <c r="A108" i="16"/>
  <c r="J107" i="16"/>
  <c r="F106" i="16"/>
  <c r="H106" i="16" s="1"/>
  <c r="E107" i="16"/>
  <c r="A72" i="16"/>
  <c r="J71" i="16"/>
  <c r="H30" i="16"/>
  <c r="H68" i="16"/>
  <c r="I67" i="16"/>
  <c r="I30" i="16" s="1"/>
  <c r="J34" i="16"/>
  <c r="A35" i="16"/>
  <c r="E121" i="5"/>
  <c r="E122" i="5" s="1"/>
  <c r="E124" i="5" s="1"/>
  <c r="E130" i="5" s="1"/>
  <c r="E109" i="5"/>
  <c r="E110" i="5" s="1"/>
  <c r="E111" i="5" s="1"/>
  <c r="E112" i="5" s="1"/>
  <c r="E85" i="7"/>
  <c r="D17" i="6"/>
  <c r="L62" i="8"/>
  <c r="A63" i="8"/>
  <c r="C77" i="7"/>
  <c r="A111" i="7"/>
  <c r="H109" i="7"/>
  <c r="A173" i="5"/>
  <c r="H171" i="5"/>
  <c r="A68" i="5"/>
  <c r="H67" i="5"/>
  <c r="F68" i="5"/>
  <c r="N52" i="39" l="1"/>
  <c r="A55" i="39"/>
  <c r="N48" i="38"/>
  <c r="A50" i="38"/>
  <c r="N50" i="38" s="1"/>
  <c r="H61" i="35"/>
  <c r="A63" i="35"/>
  <c r="H63" i="35" s="1"/>
  <c r="G63" i="35"/>
  <c r="F39" i="28"/>
  <c r="F40" i="28" s="1"/>
  <c r="C58" i="33"/>
  <c r="F43" i="28" s="1"/>
  <c r="F44" i="28" s="1"/>
  <c r="F46" i="28" s="1"/>
  <c r="F49" i="28" s="1"/>
  <c r="G45" i="21"/>
  <c r="G46" i="21" s="1"/>
  <c r="D46" i="21" s="1"/>
  <c r="D10" i="21" s="1"/>
  <c r="A38" i="33"/>
  <c r="F37" i="33"/>
  <c r="K63" i="29"/>
  <c r="A64" i="29"/>
  <c r="O69" i="28"/>
  <c r="A70" i="28"/>
  <c r="H55" i="20"/>
  <c r="D51" i="23"/>
  <c r="D14" i="21"/>
  <c r="Q29" i="27"/>
  <c r="A30" i="27"/>
  <c r="G61" i="20"/>
  <c r="G58" i="20"/>
  <c r="BJ61" i="26"/>
  <c r="A62" i="26"/>
  <c r="A62" i="25"/>
  <c r="BH61" i="25"/>
  <c r="N156" i="21"/>
  <c r="A157" i="21"/>
  <c r="Q84" i="19"/>
  <c r="A85" i="19"/>
  <c r="Q29" i="19"/>
  <c r="A30" i="19"/>
  <c r="I106" i="16"/>
  <c r="E108" i="16"/>
  <c r="F107" i="16"/>
  <c r="H107" i="16" s="1"/>
  <c r="A36" i="16"/>
  <c r="J35" i="16"/>
  <c r="A109" i="16"/>
  <c r="J108" i="16"/>
  <c r="H31" i="16"/>
  <c r="H69" i="16"/>
  <c r="I68" i="16"/>
  <c r="I31" i="16" s="1"/>
  <c r="E33" i="16"/>
  <c r="E71" i="16"/>
  <c r="F70" i="16"/>
  <c r="F33" i="16" s="1"/>
  <c r="J72" i="16"/>
  <c r="A73" i="16"/>
  <c r="E141" i="5"/>
  <c r="E72" i="7"/>
  <c r="E140" i="5"/>
  <c r="E71" i="7"/>
  <c r="A64" i="8"/>
  <c r="L63" i="8"/>
  <c r="H111" i="7"/>
  <c r="A114" i="7"/>
  <c r="F115" i="7" s="1"/>
  <c r="F73" i="5"/>
  <c r="A70" i="5"/>
  <c r="H68" i="5"/>
  <c r="H173" i="5"/>
  <c r="A175" i="5"/>
  <c r="F175" i="5"/>
  <c r="E148" i="5"/>
  <c r="N55" i="39" l="1"/>
  <c r="A57" i="39"/>
  <c r="N57" i="39" s="1"/>
  <c r="F38" i="33"/>
  <c r="A41" i="33"/>
  <c r="K64" i="29"/>
  <c r="A65" i="29"/>
  <c r="O70" i="28"/>
  <c r="A71" i="28"/>
  <c r="O71" i="28" s="1"/>
  <c r="Q30" i="27"/>
  <c r="A31" i="27"/>
  <c r="D117" i="21"/>
  <c r="I117" i="21" s="1"/>
  <c r="D112" i="21"/>
  <c r="D121" i="21"/>
  <c r="I121" i="21" s="1"/>
  <c r="D118" i="21"/>
  <c r="I118" i="21" s="1"/>
  <c r="D122" i="21"/>
  <c r="I122" i="21" s="1"/>
  <c r="E124" i="21"/>
  <c r="D113" i="21"/>
  <c r="I113" i="21" s="1"/>
  <c r="D116" i="21"/>
  <c r="I116" i="21" s="1"/>
  <c r="D120" i="21"/>
  <c r="I120" i="21" s="1"/>
  <c r="D115" i="21"/>
  <c r="I115" i="21" s="1"/>
  <c r="D119" i="21"/>
  <c r="I119" i="21" s="1"/>
  <c r="D123" i="21"/>
  <c r="I123" i="21" s="1"/>
  <c r="D114" i="21"/>
  <c r="I114" i="21" s="1"/>
  <c r="E24" i="5"/>
  <c r="E26" i="5" s="1"/>
  <c r="D18" i="6" s="1"/>
  <c r="D52" i="23"/>
  <c r="D8" i="23" s="1"/>
  <c r="E28" i="5" s="1"/>
  <c r="D55" i="23"/>
  <c r="D7" i="23" s="1"/>
  <c r="E28" i="7" s="1"/>
  <c r="H58" i="20"/>
  <c r="F58" i="20" s="1"/>
  <c r="E15" i="7" s="1"/>
  <c r="H61" i="20"/>
  <c r="F61" i="20" s="1"/>
  <c r="E15" i="5" s="1"/>
  <c r="BJ62" i="26"/>
  <c r="A63" i="26"/>
  <c r="BH62" i="25"/>
  <c r="A63" i="25"/>
  <c r="A158" i="21"/>
  <c r="N157" i="21"/>
  <c r="Q30" i="19"/>
  <c r="A31" i="19"/>
  <c r="Q85" i="19"/>
  <c r="A86" i="19"/>
  <c r="I107" i="16"/>
  <c r="H32" i="16"/>
  <c r="H70" i="16"/>
  <c r="I69" i="16"/>
  <c r="A74" i="16"/>
  <c r="J73" i="16"/>
  <c r="J109" i="16"/>
  <c r="A110" i="16"/>
  <c r="J36" i="16"/>
  <c r="A37" i="16"/>
  <c r="E72" i="16"/>
  <c r="E34" i="16"/>
  <c r="F71" i="16"/>
  <c r="F34" i="16" s="1"/>
  <c r="F108" i="16"/>
  <c r="H108" i="16" s="1"/>
  <c r="E109" i="16"/>
  <c r="E83" i="7"/>
  <c r="E16" i="5"/>
  <c r="L64" i="8"/>
  <c r="A65" i="8"/>
  <c r="H114" i="7"/>
  <c r="A115" i="7"/>
  <c r="H70" i="5"/>
  <c r="A71" i="5"/>
  <c r="F138" i="5"/>
  <c r="A176" i="5"/>
  <c r="H175" i="5"/>
  <c r="F41" i="33" l="1"/>
  <c r="A42" i="33"/>
  <c r="K65" i="29"/>
  <c r="A66" i="29"/>
  <c r="E112" i="21"/>
  <c r="E113" i="21" s="1"/>
  <c r="E114" i="21" s="1"/>
  <c r="E115" i="21" s="1"/>
  <c r="E116" i="21" s="1"/>
  <c r="E117" i="21" s="1"/>
  <c r="E118" i="21" s="1"/>
  <c r="E119" i="21" s="1"/>
  <c r="E120" i="21" s="1"/>
  <c r="E121" i="21" s="1"/>
  <c r="E122" i="21" s="1"/>
  <c r="E123" i="21" s="1"/>
  <c r="I112" i="21"/>
  <c r="J112" i="21" s="1"/>
  <c r="J113" i="21" s="1"/>
  <c r="J114" i="21" s="1"/>
  <c r="J115" i="21" s="1"/>
  <c r="J116" i="21" s="1"/>
  <c r="J117" i="21" s="1"/>
  <c r="J118" i="21" s="1"/>
  <c r="J119" i="21" s="1"/>
  <c r="J120" i="21" s="1"/>
  <c r="J121" i="21" s="1"/>
  <c r="J122" i="21" s="1"/>
  <c r="J123" i="21" s="1"/>
  <c r="J125" i="21" s="1"/>
  <c r="D22" i="21" s="1"/>
  <c r="D24" i="21" s="1"/>
  <c r="E24" i="7" s="1"/>
  <c r="E26" i="7" s="1"/>
  <c r="Q31" i="27"/>
  <c r="A32" i="27"/>
  <c r="BJ63" i="26"/>
  <c r="A64" i="26"/>
  <c r="BH63" i="25"/>
  <c r="A64" i="25"/>
  <c r="A159" i="21"/>
  <c r="N158" i="21"/>
  <c r="Q86" i="19"/>
  <c r="A87" i="19"/>
  <c r="Q31" i="19"/>
  <c r="A32" i="19"/>
  <c r="I108" i="16"/>
  <c r="F72" i="16"/>
  <c r="F35" i="16" s="1"/>
  <c r="E35" i="16"/>
  <c r="E73" i="16"/>
  <c r="J37" i="16"/>
  <c r="A38" i="16"/>
  <c r="A111" i="16"/>
  <c r="J110" i="16"/>
  <c r="F109" i="16"/>
  <c r="H109" i="16" s="1"/>
  <c r="E110" i="16"/>
  <c r="J74" i="16"/>
  <c r="A75" i="16"/>
  <c r="I32" i="16"/>
  <c r="H33" i="16"/>
  <c r="H71" i="16"/>
  <c r="I70" i="16"/>
  <c r="I33" i="16" s="1"/>
  <c r="E17" i="5"/>
  <c r="E32" i="5" s="1"/>
  <c r="E16" i="7"/>
  <c r="E17" i="7" s="1"/>
  <c r="E32" i="7" s="1"/>
  <c r="L65" i="8"/>
  <c r="A66" i="8"/>
  <c r="H115" i="7"/>
  <c r="A116" i="7"/>
  <c r="F118" i="7"/>
  <c r="H71" i="5"/>
  <c r="A73" i="5"/>
  <c r="F74" i="5"/>
  <c r="F181" i="5"/>
  <c r="H176" i="5"/>
  <c r="F42" i="33" l="1"/>
  <c r="D44" i="33"/>
  <c r="A43" i="33"/>
  <c r="K66" i="29"/>
  <c r="A67" i="29"/>
  <c r="Q32" i="27"/>
  <c r="A33" i="27"/>
  <c r="BJ64" i="26"/>
  <c r="A65" i="26"/>
  <c r="A65" i="25"/>
  <c r="BH64" i="25"/>
  <c r="N159" i="21"/>
  <c r="A160" i="21"/>
  <c r="Q32" i="19"/>
  <c r="A33" i="19"/>
  <c r="Q87" i="19"/>
  <c r="A88" i="19"/>
  <c r="I109" i="16"/>
  <c r="J111" i="16"/>
  <c r="A112" i="16"/>
  <c r="J38" i="16"/>
  <c r="A39" i="16"/>
  <c r="H72" i="16"/>
  <c r="H34" i="16"/>
  <c r="I71" i="16"/>
  <c r="I34" i="16" s="1"/>
  <c r="E36" i="16"/>
  <c r="E74" i="16"/>
  <c r="F73" i="16"/>
  <c r="F36" i="16" s="1"/>
  <c r="J75" i="16"/>
  <c r="A76" i="16"/>
  <c r="E111" i="16"/>
  <c r="F110" i="16"/>
  <c r="H110" i="16" s="1"/>
  <c r="E171" i="5"/>
  <c r="E173" i="5" s="1"/>
  <c r="E175" i="5" s="1"/>
  <c r="E176" i="5" s="1"/>
  <c r="E68" i="7"/>
  <c r="E63" i="7" s="1"/>
  <c r="E89" i="7" s="1"/>
  <c r="E50" i="7"/>
  <c r="E52" i="7" s="1"/>
  <c r="E87" i="7" s="1"/>
  <c r="E137" i="5"/>
  <c r="E132" i="5" s="1"/>
  <c r="E155" i="5" s="1"/>
  <c r="E73" i="5"/>
  <c r="E75" i="5" s="1"/>
  <c r="E153" i="5" s="1"/>
  <c r="L66" i="8"/>
  <c r="A67" i="8"/>
  <c r="H116" i="7"/>
  <c r="A118" i="7"/>
  <c r="A74" i="5"/>
  <c r="H73" i="5"/>
  <c r="F75" i="5"/>
  <c r="E116" i="7"/>
  <c r="C19" i="41" l="1"/>
  <c r="C40" i="41"/>
  <c r="C39" i="41"/>
  <c r="C18" i="41"/>
  <c r="C20" i="41" s="1"/>
  <c r="C23" i="41" s="1"/>
  <c r="C25" i="41" s="1"/>
  <c r="E181" i="5"/>
  <c r="E55" i="35"/>
  <c r="D55" i="35"/>
  <c r="F55" i="35" s="1"/>
  <c r="E47" i="35"/>
  <c r="E51" i="35" s="1"/>
  <c r="D47" i="35"/>
  <c r="F43" i="33"/>
  <c r="D45" i="33"/>
  <c r="A44" i="33"/>
  <c r="A68" i="29"/>
  <c r="K68" i="29" s="1"/>
  <c r="K67" i="29"/>
  <c r="Q33" i="27"/>
  <c r="A34" i="27"/>
  <c r="BJ65" i="26"/>
  <c r="A66" i="26"/>
  <c r="BH65" i="25"/>
  <c r="A66" i="25"/>
  <c r="E159" i="5"/>
  <c r="E164" i="5" s="1"/>
  <c r="E166" i="5" s="1"/>
  <c r="E180" i="5" s="1"/>
  <c r="E93" i="7"/>
  <c r="E104" i="7" s="1"/>
  <c r="E106" i="7" s="1"/>
  <c r="E111" i="7" s="1"/>
  <c r="E115" i="7" s="1"/>
  <c r="N160" i="21"/>
  <c r="A161" i="21"/>
  <c r="Q88" i="19"/>
  <c r="A89" i="19"/>
  <c r="Q33" i="19"/>
  <c r="A35" i="19"/>
  <c r="Q35" i="19" s="1"/>
  <c r="I110" i="16"/>
  <c r="F74" i="16"/>
  <c r="F37" i="16" s="1"/>
  <c r="E37" i="16"/>
  <c r="E75" i="16"/>
  <c r="H35" i="16"/>
  <c r="H73" i="16"/>
  <c r="I72" i="16"/>
  <c r="I35" i="16" s="1"/>
  <c r="J39" i="16"/>
  <c r="A40" i="16"/>
  <c r="J40" i="16" s="1"/>
  <c r="F111" i="16"/>
  <c r="H111" i="16" s="1"/>
  <c r="E112" i="16"/>
  <c r="J112" i="16"/>
  <c r="A113" i="16"/>
  <c r="J113" i="16" s="1"/>
  <c r="A77" i="16"/>
  <c r="J77" i="16" s="1"/>
  <c r="J76" i="16"/>
  <c r="L67" i="8"/>
  <c r="A68" i="8"/>
  <c r="H118" i="7"/>
  <c r="H74" i="5"/>
  <c r="F142" i="5"/>
  <c r="A75" i="5"/>
  <c r="C26" i="41" l="1"/>
  <c r="C27" i="41" s="1"/>
  <c r="C29" i="41" s="1"/>
  <c r="C30" i="41" s="1"/>
  <c r="C7" i="41" s="1"/>
  <c r="C41" i="41"/>
  <c r="C43" i="41" s="1"/>
  <c r="C44" i="41" s="1"/>
  <c r="C8" i="41" s="1"/>
  <c r="F47" i="35"/>
  <c r="D51" i="35"/>
  <c r="E53" i="35"/>
  <c r="A45" i="33"/>
  <c r="F44" i="33"/>
  <c r="Q34" i="27"/>
  <c r="A35" i="27"/>
  <c r="BJ66" i="26"/>
  <c r="A67" i="26"/>
  <c r="D15" i="6"/>
  <c r="D19" i="6" s="1"/>
  <c r="D20" i="6" s="1"/>
  <c r="D25" i="6" s="1"/>
  <c r="A67" i="25"/>
  <c r="BH66" i="25"/>
  <c r="E118" i="7"/>
  <c r="B36" i="8" s="1"/>
  <c r="D47" i="8" s="1"/>
  <c r="F47" i="8" s="1"/>
  <c r="A162" i="21"/>
  <c r="N161" i="21"/>
  <c r="A90" i="19"/>
  <c r="Q89" i="19"/>
  <c r="I111" i="16"/>
  <c r="H36" i="16"/>
  <c r="H74" i="16"/>
  <c r="I73" i="16"/>
  <c r="I36" i="16" s="1"/>
  <c r="E76" i="16"/>
  <c r="F75" i="16"/>
  <c r="F38" i="16" s="1"/>
  <c r="E38" i="16"/>
  <c r="F112" i="16"/>
  <c r="H112" i="16" s="1"/>
  <c r="I112" i="16" s="1"/>
  <c r="I113" i="16" s="1"/>
  <c r="E113" i="16"/>
  <c r="L68" i="8"/>
  <c r="B148" i="8"/>
  <c r="B146" i="8"/>
  <c r="F153" i="5"/>
  <c r="H75" i="5"/>
  <c r="F51" i="35" l="1"/>
  <c r="D53" i="35"/>
  <c r="F53" i="35" s="1"/>
  <c r="A48" i="33"/>
  <c r="F45" i="33"/>
  <c r="Q35" i="27"/>
  <c r="A36" i="27"/>
  <c r="Q36" i="27" s="1"/>
  <c r="BJ67" i="26"/>
  <c r="A68" i="26"/>
  <c r="BH67" i="25"/>
  <c r="A68" i="25"/>
  <c r="D52" i="8"/>
  <c r="F52" i="8" s="1"/>
  <c r="D54" i="8"/>
  <c r="F54" i="8" s="1"/>
  <c r="D53" i="8"/>
  <c r="F53" i="8" s="1"/>
  <c r="D56" i="8"/>
  <c r="F56" i="8" s="1"/>
  <c r="D55" i="8"/>
  <c r="F55" i="8" s="1"/>
  <c r="D45" i="8"/>
  <c r="F45" i="8" s="1"/>
  <c r="I45" i="8" s="1"/>
  <c r="J45" i="8" s="1"/>
  <c r="D51" i="8"/>
  <c r="F51" i="8" s="1"/>
  <c r="D48" i="8"/>
  <c r="F48" i="8" s="1"/>
  <c r="D46" i="8"/>
  <c r="F46" i="8" s="1"/>
  <c r="D50" i="8"/>
  <c r="F50" i="8" s="1"/>
  <c r="D49" i="8"/>
  <c r="F49" i="8" s="1"/>
  <c r="N162" i="21"/>
  <c r="A164" i="21"/>
  <c r="Q90" i="19"/>
  <c r="A91" i="19"/>
  <c r="F76" i="16"/>
  <c r="F39" i="16" s="1"/>
  <c r="F41" i="16" s="1"/>
  <c r="E39" i="16"/>
  <c r="E40" i="16" s="1"/>
  <c r="E77" i="16"/>
  <c r="H37" i="16"/>
  <c r="H75" i="16"/>
  <c r="I74" i="16"/>
  <c r="I37" i="16" s="1"/>
  <c r="A49" i="33" l="1"/>
  <c r="F48" i="33"/>
  <c r="D50" i="33"/>
  <c r="BJ68" i="26"/>
  <c r="A69" i="26"/>
  <c r="A69" i="25"/>
  <c r="BH68" i="25"/>
  <c r="G45" i="8"/>
  <c r="G46" i="8" s="1"/>
  <c r="D69" i="8"/>
  <c r="N164" i="21"/>
  <c r="A165" i="21"/>
  <c r="Q91" i="19"/>
  <c r="A92" i="19"/>
  <c r="H38" i="16"/>
  <c r="H76" i="16"/>
  <c r="I75" i="16"/>
  <c r="I38" i="16" s="1"/>
  <c r="A50" i="33" l="1"/>
  <c r="F49" i="33"/>
  <c r="D51" i="33"/>
  <c r="K45" i="8"/>
  <c r="I46" i="8" s="1"/>
  <c r="J46" i="8" s="1"/>
  <c r="K46" i="8" s="1"/>
  <c r="I47" i="8" s="1"/>
  <c r="J47" i="8" s="1"/>
  <c r="A70" i="26"/>
  <c r="BJ69" i="26"/>
  <c r="BH69" i="25"/>
  <c r="A70" i="25"/>
  <c r="A169" i="21"/>
  <c r="N165" i="21"/>
  <c r="E29" i="6"/>
  <c r="Q92" i="19"/>
  <c r="A93" i="19"/>
  <c r="H39" i="16"/>
  <c r="I76" i="16"/>
  <c r="G47" i="8"/>
  <c r="F50" i="33" l="1"/>
  <c r="A51" i="33"/>
  <c r="D52" i="33"/>
  <c r="BJ70" i="26"/>
  <c r="A71" i="26"/>
  <c r="BH70" i="25"/>
  <c r="A71" i="25"/>
  <c r="N169" i="21"/>
  <c r="A170" i="21"/>
  <c r="Q93" i="19"/>
  <c r="A94" i="19"/>
  <c r="I39" i="16"/>
  <c r="I40" i="16" s="1"/>
  <c r="I77" i="16"/>
  <c r="K47" i="8"/>
  <c r="I48" i="8" s="1"/>
  <c r="J48" i="8" s="1"/>
  <c r="G48" i="8"/>
  <c r="F51" i="33" l="1"/>
  <c r="A52" i="33"/>
  <c r="A72" i="26"/>
  <c r="BJ71" i="26"/>
  <c r="BH71" i="25"/>
  <c r="A72" i="25"/>
  <c r="N170" i="21"/>
  <c r="A171" i="21"/>
  <c r="Q94" i="19"/>
  <c r="A95" i="19"/>
  <c r="K48" i="8"/>
  <c r="I49" i="8" s="1"/>
  <c r="J49" i="8" s="1"/>
  <c r="G49" i="8"/>
  <c r="A53" i="33" l="1"/>
  <c r="F52" i="33"/>
  <c r="D53" i="33"/>
  <c r="D54" i="33"/>
  <c r="BJ72" i="26"/>
  <c r="A73" i="26"/>
  <c r="BH72" i="25"/>
  <c r="A73" i="25"/>
  <c r="N171" i="21"/>
  <c r="A172" i="21"/>
  <c r="A96" i="19"/>
  <c r="Q95" i="19"/>
  <c r="K49" i="8"/>
  <c r="I50" i="8" s="1"/>
  <c r="J50" i="8" s="1"/>
  <c r="G50" i="8"/>
  <c r="F53" i="33" l="1"/>
  <c r="A54" i="33"/>
  <c r="BJ73" i="26"/>
  <c r="A74" i="26"/>
  <c r="BH73" i="25"/>
  <c r="A74" i="25"/>
  <c r="A173" i="21"/>
  <c r="N172" i="21"/>
  <c r="Q96" i="19"/>
  <c r="A97" i="19"/>
  <c r="K50" i="8"/>
  <c r="I51" i="8" s="1"/>
  <c r="J51" i="8" s="1"/>
  <c r="G51" i="8"/>
  <c r="F54" i="33" l="1"/>
  <c r="A57" i="33"/>
  <c r="BJ74" i="26"/>
  <c r="A75" i="26"/>
  <c r="BH74" i="25"/>
  <c r="A75" i="25"/>
  <c r="N173" i="21"/>
  <c r="A174" i="21"/>
  <c r="Q97" i="19"/>
  <c r="A98" i="19"/>
  <c r="K51" i="8"/>
  <c r="I52" i="8" s="1"/>
  <c r="J52" i="8" s="1"/>
  <c r="G52" i="8"/>
  <c r="A58" i="33" l="1"/>
  <c r="E51" i="23"/>
  <c r="F57" i="33"/>
  <c r="A76" i="26"/>
  <c r="BJ75" i="26"/>
  <c r="BH75" i="25"/>
  <c r="A76" i="25"/>
  <c r="N174" i="21"/>
  <c r="A175" i="21"/>
  <c r="Q98" i="19"/>
  <c r="A99" i="19"/>
  <c r="K52" i="8"/>
  <c r="I53" i="8" s="1"/>
  <c r="J53" i="8" s="1"/>
  <c r="G53" i="8"/>
  <c r="F58" i="33" l="1"/>
  <c r="A61" i="33"/>
  <c r="BJ76" i="26"/>
  <c r="A77" i="26"/>
  <c r="A77" i="25"/>
  <c r="BH76" i="25"/>
  <c r="N175" i="21"/>
  <c r="A176" i="21"/>
  <c r="Q99" i="19"/>
  <c r="A100" i="19"/>
  <c r="K53" i="8"/>
  <c r="I54" i="8" s="1"/>
  <c r="J54" i="8" s="1"/>
  <c r="G54" i="8"/>
  <c r="D28" i="6"/>
  <c r="F61" i="33" l="1"/>
  <c r="A62" i="33"/>
  <c r="BJ77" i="26"/>
  <c r="A78" i="26"/>
  <c r="BH77" i="25"/>
  <c r="A78" i="25"/>
  <c r="N176" i="21"/>
  <c r="A177" i="21"/>
  <c r="Q100" i="19"/>
  <c r="A101" i="19"/>
  <c r="K54" i="8"/>
  <c r="I55" i="8" s="1"/>
  <c r="J55" i="8" s="1"/>
  <c r="G55" i="8"/>
  <c r="A63" i="33" l="1"/>
  <c r="F62" i="33"/>
  <c r="A79" i="26"/>
  <c r="BJ78" i="26"/>
  <c r="A79" i="25"/>
  <c r="BH78" i="25"/>
  <c r="N177" i="21"/>
  <c r="A178" i="21"/>
  <c r="A102" i="19"/>
  <c r="Q101" i="19"/>
  <c r="K55" i="8"/>
  <c r="I56" i="8" s="1"/>
  <c r="J56" i="8" s="1"/>
  <c r="G56" i="8"/>
  <c r="A64" i="33" l="1"/>
  <c r="F63" i="33"/>
  <c r="BJ79" i="26"/>
  <c r="A80" i="26"/>
  <c r="BH79" i="25"/>
  <c r="A80" i="25"/>
  <c r="N178" i="21"/>
  <c r="A179" i="21"/>
  <c r="Q102" i="19"/>
  <c r="A103" i="19"/>
  <c r="G57" i="8"/>
  <c r="K56" i="8"/>
  <c r="I57" i="8" s="1"/>
  <c r="J57" i="8" s="1"/>
  <c r="F64" i="33" l="1"/>
  <c r="A65" i="33"/>
  <c r="F65" i="33" s="1"/>
  <c r="A81" i="26"/>
  <c r="BJ80" i="26"/>
  <c r="A81" i="25"/>
  <c r="BH80" i="25"/>
  <c r="N179" i="21"/>
  <c r="A180" i="21"/>
  <c r="Q103" i="19"/>
  <c r="A104" i="19"/>
  <c r="K57" i="8"/>
  <c r="I58" i="8" s="1"/>
  <c r="J58" i="8" s="1"/>
  <c r="G58" i="8"/>
  <c r="A82" i="26" l="1"/>
  <c r="BJ81" i="26"/>
  <c r="BH81" i="25"/>
  <c r="A82" i="25"/>
  <c r="N180" i="21"/>
  <c r="A181" i="21"/>
  <c r="Q104" i="19"/>
  <c r="A105" i="19"/>
  <c r="G59" i="8"/>
  <c r="K58" i="8"/>
  <c r="I59" i="8" s="1"/>
  <c r="J59" i="8" s="1"/>
  <c r="D24" i="6"/>
  <c r="D27" i="6" s="1"/>
  <c r="D30" i="6" s="1"/>
  <c r="D34" i="6" s="1"/>
  <c r="D36" i="6" s="1"/>
  <c r="A83" i="26" l="1"/>
  <c r="BJ82" i="26"/>
  <c r="BH82" i="25"/>
  <c r="A83" i="25"/>
  <c r="N181" i="21"/>
  <c r="A182" i="21"/>
  <c r="Q105" i="19"/>
  <c r="A106" i="19"/>
  <c r="G60" i="8"/>
  <c r="K59" i="8"/>
  <c r="I60" i="8" s="1"/>
  <c r="J60" i="8" s="1"/>
  <c r="E182" i="5"/>
  <c r="E184" i="5" l="1"/>
  <c r="E190" i="5" s="1"/>
  <c r="E56" i="35"/>
  <c r="E59" i="35" s="1"/>
  <c r="D56" i="35"/>
  <c r="A84" i="26"/>
  <c r="BJ83" i="26"/>
  <c r="A84" i="25"/>
  <c r="BH83" i="25"/>
  <c r="A183" i="21"/>
  <c r="N182" i="21"/>
  <c r="Q106" i="19"/>
  <c r="A107" i="19"/>
  <c r="K60" i="8"/>
  <c r="I61" i="8" s="1"/>
  <c r="J61" i="8" s="1"/>
  <c r="G61" i="8"/>
  <c r="E192" i="5"/>
  <c r="F56" i="35" l="1"/>
  <c r="D59" i="35"/>
  <c r="F59" i="35" s="1"/>
  <c r="BJ84" i="26"/>
  <c r="A85" i="26"/>
  <c r="BH84" i="25"/>
  <c r="A85" i="25"/>
  <c r="N183" i="21"/>
  <c r="A184" i="21"/>
  <c r="N184" i="21" s="1"/>
  <c r="Q107" i="19"/>
  <c r="A108" i="19"/>
  <c r="E193" i="5"/>
  <c r="M57" i="39" s="1"/>
  <c r="G62" i="8"/>
  <c r="K61" i="8"/>
  <c r="I62" i="8" s="1"/>
  <c r="J62" i="8" s="1"/>
  <c r="M52" i="39" l="1"/>
  <c r="M43" i="39"/>
  <c r="M41" i="39"/>
  <c r="M25" i="39"/>
  <c r="M27" i="39"/>
  <c r="M15" i="39"/>
  <c r="M33" i="39"/>
  <c r="F32" i="38" s="1"/>
  <c r="J32" i="38" s="1"/>
  <c r="M13" i="39"/>
  <c r="BJ85" i="26"/>
  <c r="A86" i="26"/>
  <c r="A86" i="25"/>
  <c r="BH85" i="25"/>
  <c r="Q108" i="19"/>
  <c r="A109" i="19"/>
  <c r="K62" i="8"/>
  <c r="I63" i="8" s="1"/>
  <c r="J63" i="8" s="1"/>
  <c r="G63" i="8"/>
  <c r="M55" i="39" l="1"/>
  <c r="M28" i="38"/>
  <c r="M30" i="38"/>
  <c r="BJ86" i="26"/>
  <c r="A87" i="26"/>
  <c r="A87" i="25"/>
  <c r="BH86" i="25"/>
  <c r="Q109" i="19"/>
  <c r="A110" i="19"/>
  <c r="G64" i="8"/>
  <c r="K63" i="8"/>
  <c r="I64" i="8" s="1"/>
  <c r="J64" i="8" s="1"/>
  <c r="F40" i="38"/>
  <c r="J40" i="38" s="1"/>
  <c r="F26" i="38"/>
  <c r="F48" i="38"/>
  <c r="F24" i="38"/>
  <c r="J24" i="38" s="1"/>
  <c r="F12" i="38"/>
  <c r="F14" i="38"/>
  <c r="J26" i="38" l="1"/>
  <c r="M26" i="38"/>
  <c r="M36" i="38"/>
  <c r="M34" i="38"/>
  <c r="M38" i="38"/>
  <c r="M14" i="38"/>
  <c r="J14" i="38"/>
  <c r="J12" i="38"/>
  <c r="F50" i="38"/>
  <c r="M50" i="38" s="1"/>
  <c r="M12" i="38"/>
  <c r="M20" i="38"/>
  <c r="M16" i="38"/>
  <c r="M22" i="38"/>
  <c r="M18" i="38"/>
  <c r="J47" i="38"/>
  <c r="J45" i="38"/>
  <c r="E61" i="35"/>
  <c r="E63" i="35" s="1"/>
  <c r="C12" i="36" s="1"/>
  <c r="C14" i="36" s="1"/>
  <c r="D61" i="35"/>
  <c r="BJ87" i="26"/>
  <c r="A88" i="26"/>
  <c r="A88" i="25"/>
  <c r="BH87" i="25"/>
  <c r="Q110" i="19"/>
  <c r="A111" i="19"/>
  <c r="Q111" i="19" s="1"/>
  <c r="K64" i="8"/>
  <c r="I65" i="8" s="1"/>
  <c r="J65" i="8" s="1"/>
  <c r="G65" i="8"/>
  <c r="M44" i="38" l="1"/>
  <c r="M46" i="38"/>
  <c r="M42" i="38"/>
  <c r="M48" i="38"/>
  <c r="F61" i="35"/>
  <c r="F63" i="35" s="1"/>
  <c r="D63" i="35"/>
  <c r="C7" i="36" s="1"/>
  <c r="C9" i="36" s="1"/>
  <c r="BJ88" i="26"/>
  <c r="A89" i="26"/>
  <c r="A89" i="25"/>
  <c r="BH88" i="25"/>
  <c r="K65" i="8"/>
  <c r="I66" i="8" s="1"/>
  <c r="J66" i="8" s="1"/>
  <c r="G66" i="8"/>
  <c r="BJ89" i="26" l="1"/>
  <c r="A90" i="26"/>
  <c r="A90" i="25"/>
  <c r="BH89" i="25"/>
  <c r="G67" i="8"/>
  <c r="K66" i="8"/>
  <c r="I67" i="8" s="1"/>
  <c r="J67" i="8" s="1"/>
  <c r="A91" i="26" l="1"/>
  <c r="BJ90" i="26"/>
  <c r="A91" i="25"/>
  <c r="BH90" i="25"/>
  <c r="K67" i="8"/>
  <c r="I68" i="8" s="1"/>
  <c r="J68" i="8" s="1"/>
  <c r="G68" i="8"/>
  <c r="A92" i="26" l="1"/>
  <c r="BJ91" i="26"/>
  <c r="BH91" i="25"/>
  <c r="A92" i="25"/>
  <c r="K68" i="8"/>
  <c r="D79" i="8" s="1"/>
  <c r="F79" i="8" s="1"/>
  <c r="G79" i="8" s="1"/>
  <c r="I79" i="8" s="1"/>
  <c r="D80" i="8" s="1"/>
  <c r="BJ92" i="26" l="1"/>
  <c r="A93" i="26"/>
  <c r="A93" i="25"/>
  <c r="BH92" i="25"/>
  <c r="F80" i="8"/>
  <c r="G80" i="8" s="1"/>
  <c r="I80" i="8" s="1"/>
  <c r="D81" i="8" s="1"/>
  <c r="BJ93" i="26" l="1"/>
  <c r="A94" i="26"/>
  <c r="BH93" i="25"/>
  <c r="A94" i="25"/>
  <c r="F81" i="8"/>
  <c r="G81" i="8" s="1"/>
  <c r="I81" i="8" s="1"/>
  <c r="D82" i="8" s="1"/>
  <c r="BJ94" i="26" l="1"/>
  <c r="A95" i="26"/>
  <c r="A95" i="25"/>
  <c r="BH94" i="25"/>
  <c r="F82" i="8"/>
  <c r="G82" i="8" s="1"/>
  <c r="I82" i="8" s="1"/>
  <c r="D83" i="8" s="1"/>
  <c r="A96" i="26" l="1"/>
  <c r="BJ95" i="26"/>
  <c r="BH95" i="25"/>
  <c r="A96" i="25"/>
  <c r="F83" i="8"/>
  <c r="G83" i="8" s="1"/>
  <c r="I83" i="8" s="1"/>
  <c r="D84" i="8" s="1"/>
  <c r="BJ96" i="26" l="1"/>
  <c r="A97" i="26"/>
  <c r="A97" i="25"/>
  <c r="BH96" i="25"/>
  <c r="F84" i="8"/>
  <c r="G84" i="8" s="1"/>
  <c r="I84" i="8" s="1"/>
  <c r="D85" i="8" s="1"/>
  <c r="BJ97" i="26" l="1"/>
  <c r="A98" i="26"/>
  <c r="BH97" i="25"/>
  <c r="A98" i="25"/>
  <c r="F85" i="8"/>
  <c r="G85" i="8" s="1"/>
  <c r="I85" i="8" s="1"/>
  <c r="D86" i="8" s="1"/>
  <c r="BJ98" i="26" l="1"/>
  <c r="A99" i="26"/>
  <c r="A99" i="25"/>
  <c r="BH98" i="25"/>
  <c r="F86" i="8"/>
  <c r="G86" i="8" s="1"/>
  <c r="I86" i="8" s="1"/>
  <c r="D87" i="8" s="1"/>
  <c r="BJ99" i="26" l="1"/>
  <c r="A100" i="26"/>
  <c r="BJ100" i="26" s="1"/>
  <c r="BH99" i="25"/>
  <c r="A100" i="25"/>
  <c r="BH100" i="25" s="1"/>
  <c r="F87" i="8"/>
  <c r="G87" i="8" s="1"/>
  <c r="I87" i="8" s="1"/>
  <c r="D88" i="8" s="1"/>
  <c r="F88" i="8" l="1"/>
  <c r="G88" i="8" s="1"/>
  <c r="I88" i="8" s="1"/>
  <c r="D89" i="8" s="1"/>
  <c r="F89" i="8" l="1"/>
  <c r="G89" i="8" s="1"/>
  <c r="I89" i="8" s="1"/>
  <c r="D90" i="8" s="1"/>
  <c r="F90" i="8" l="1"/>
  <c r="G90" i="8" s="1"/>
  <c r="I90" i="8" s="1"/>
  <c r="J90" i="8" s="1"/>
</calcChain>
</file>

<file path=xl/sharedStrings.xml><?xml version="1.0" encoding="utf-8"?>
<sst xmlns="http://schemas.openxmlformats.org/spreadsheetml/2006/main" count="6255" uniqueCount="2455">
  <si>
    <t>Attachment 2: Model</t>
  </si>
  <si>
    <t>Appendix VIII: Formula Rate</t>
  </si>
  <si>
    <t>Transmission Owner Tariff</t>
  </si>
  <si>
    <t>Pacific Gas and Electric Company</t>
  </si>
  <si>
    <t>CWIP Incentive - Recorded CWIP for Projects Approved for CWIP Incentive</t>
  </si>
  <si>
    <t>32-CWIPIncentive</t>
  </si>
  <si>
    <t>Cost of Ownership Rates</t>
  </si>
  <si>
    <t>31-COO</t>
  </si>
  <si>
    <t>Wildfire Self-Insurance</t>
  </si>
  <si>
    <t>30-WFSelfInsurance</t>
  </si>
  <si>
    <t>Proposed Allocations &amp; Revenues</t>
  </si>
  <si>
    <t>29-RetailRates-2</t>
  </si>
  <si>
    <t>Proposed Retail Rates</t>
  </si>
  <si>
    <t>29-RetailRates-1</t>
  </si>
  <si>
    <t>Calculation of Gross Load at the CAISO Interface (Area Out)</t>
  </si>
  <si>
    <t>28-GrossLoad</t>
  </si>
  <si>
    <t>Calculation of PG&amp;E Wholesale Rates</t>
  </si>
  <si>
    <t>27-WholesaleRates</t>
  </si>
  <si>
    <t>High and Low Voltage Wholesale Revenue Requirement</t>
  </si>
  <si>
    <t>26-WholesaleTRRs</t>
  </si>
  <si>
    <t>Revenue Fees and Uncollectible Factors</t>
  </si>
  <si>
    <t>25-RFandUFactors</t>
  </si>
  <si>
    <t>Calculation of Allocation Factors</t>
  </si>
  <si>
    <t>24-Allocators</t>
  </si>
  <si>
    <t>Retail "South Georgia" Taxes</t>
  </si>
  <si>
    <t>23-RetailSGTax</t>
  </si>
  <si>
    <t>Income Tax Rates</t>
  </si>
  <si>
    <t>22-TaxRates</t>
  </si>
  <si>
    <t>Revenue Sharing for Non-Tariff New Products &amp; Services</t>
  </si>
  <si>
    <t>21-NPandS</t>
  </si>
  <si>
    <t>Revenue Credits</t>
  </si>
  <si>
    <t>20-RevenueCredits</t>
  </si>
  <si>
    <t>Administrative and General Expenses</t>
  </si>
  <si>
    <t>19-AandG</t>
  </si>
  <si>
    <t>Operations and Maintenance Expense</t>
  </si>
  <si>
    <t>18-OandM</t>
  </si>
  <si>
    <t>Amortization of (Excess)/Deficient Deferred Federal and State Income Taxes</t>
  </si>
  <si>
    <t>17-RegAssets-3</t>
  </si>
  <si>
    <t>17-RegAssets-2</t>
  </si>
  <si>
    <t>Regulatory Assets and Liabilities and Associated Amortization and Regulatory Debits and Credits</t>
  </si>
  <si>
    <t>17-RegAssets-1</t>
  </si>
  <si>
    <t>Unfunded Reserves</t>
  </si>
  <si>
    <t>16-Unfunded Reserves</t>
  </si>
  <si>
    <t>Network Upgrade Credit and Interest Expense</t>
  </si>
  <si>
    <t>15-NUC</t>
  </si>
  <si>
    <t xml:space="preserve">Accumulated Deferred Income Taxes </t>
  </si>
  <si>
    <t>14-ADIT</t>
  </si>
  <si>
    <t>Calculation of Components of Working Capital</t>
  </si>
  <si>
    <t>13-WorkCap</t>
  </si>
  <si>
    <t>Depreciation Rates</t>
  </si>
  <si>
    <t>12-DepRates</t>
  </si>
  <si>
    <t>Network Transmission Depreciation Expense</t>
  </si>
  <si>
    <t>11-Depreciation</t>
  </si>
  <si>
    <t>Accumulated Depreciation for Network Transmission Assets</t>
  </si>
  <si>
    <t>10-AccDep</t>
  </si>
  <si>
    <t>Forecast Net Plant Additions for Network Transmission Plant</t>
  </si>
  <si>
    <t>9-PlantAdditions</t>
  </si>
  <si>
    <t xml:space="preserve">Significant Abandoned or Cancelled Projects Balance and Amortization </t>
  </si>
  <si>
    <t>8-AbandonedProject</t>
  </si>
  <si>
    <t>Network Transmission Plant In Service</t>
  </si>
  <si>
    <t>7-PlantInService</t>
  </si>
  <si>
    <t>Transmission Plant Jurisdiction</t>
  </si>
  <si>
    <t>6-PlantJurisdiction</t>
  </si>
  <si>
    <t>Calculation of 13-Month Average Capitalization Balances</t>
  </si>
  <si>
    <t>5-CostofCap-4</t>
  </si>
  <si>
    <t>Preferred Stock Cost Percentage</t>
  </si>
  <si>
    <t>5-CostofCap-3</t>
  </si>
  <si>
    <t xml:space="preserve">Long Term Debt Cost Percentage </t>
  </si>
  <si>
    <r>
      <t>5-CostofCap-</t>
    </r>
    <r>
      <rPr>
        <sz val="11"/>
        <rFont val="Calibri"/>
        <family val="2"/>
      </rPr>
      <t>2</t>
    </r>
  </si>
  <si>
    <t>Calculation of Components of Cost of Capital Rate</t>
  </si>
  <si>
    <t>5-CostofCap-1</t>
  </si>
  <si>
    <t>Annual True-up Adjustment</t>
  </si>
  <si>
    <t>4-ATA</t>
  </si>
  <si>
    <t>True-up Transmission Revenue Requirement</t>
  </si>
  <si>
    <t>3-True-upTRR</t>
  </si>
  <si>
    <t>Incremental Transmission Revenue Requirement</t>
  </si>
  <si>
    <t>2-ITRR</t>
  </si>
  <si>
    <t>Base Transmission Revenue Requirements</t>
  </si>
  <si>
    <t>1-BaseTRR</t>
  </si>
  <si>
    <t>Description</t>
  </si>
  <si>
    <t>Schedule</t>
  </si>
  <si>
    <t>Table of Contents</t>
  </si>
  <si>
    <t>Some Schedules have a"…" row.  These rows are intended for new data to be added in a future update.</t>
  </si>
  <si>
    <t>…</t>
  </si>
  <si>
    <t>Line for extra data</t>
  </si>
  <si>
    <t>WP_28-GrossLoad 2, L. 115, col 6</t>
  </si>
  <si>
    <t>Nothing precedes the tab number.</t>
  </si>
  <si>
    <t>WP_29-RetailRates-2 4</t>
  </si>
  <si>
    <t>(tab #)</t>
  </si>
  <si>
    <t>Tabs</t>
  </si>
  <si>
    <t>Nothing precedes the schedule name</t>
  </si>
  <si>
    <t>(schedule name)</t>
  </si>
  <si>
    <t>337.2, L. 10, col k</t>
  </si>
  <si>
    <t>Nothing precedes the page number(s).</t>
  </si>
  <si>
    <t>337.2 or 2-24</t>
  </si>
  <si>
    <t>(page #)</t>
  </si>
  <si>
    <t>Page</t>
  </si>
  <si>
    <t>FF1 450.1, Notes</t>
  </si>
  <si>
    <t>14-ADIT, Note 1</t>
  </si>
  <si>
    <t>Note 1</t>
  </si>
  <si>
    <t>Note(s) (note #, if provided)</t>
  </si>
  <si>
    <t>Note</t>
  </si>
  <si>
    <t>(external reference)</t>
  </si>
  <si>
    <t>External reference – source outside the Schedule or Workpaper sheet</t>
  </si>
  <si>
    <t>L. 25</t>
  </si>
  <si>
    <t>L. (line #)</t>
  </si>
  <si>
    <t>Line</t>
  </si>
  <si>
    <t>(internal reference)</t>
  </si>
  <si>
    <t>Internal reference – source within the same Schedule or Workpaper sheet</t>
  </si>
  <si>
    <t>Line 25</t>
  </si>
  <si>
    <t>Line (line #)</t>
  </si>
  <si>
    <t>FF1 234, Note(s)</t>
  </si>
  <si>
    <t>FF1 337.2, L. 20, col k</t>
  </si>
  <si>
    <t>FF1</t>
  </si>
  <si>
    <t>FERC Form No. 1</t>
  </si>
  <si>
    <t>col k or col 6</t>
  </si>
  <si>
    <t>col (column # or letter)</t>
  </si>
  <si>
    <t>Column</t>
  </si>
  <si>
    <t>NOTES</t>
  </si>
  <si>
    <t>EXAMPLE</t>
  </si>
  <si>
    <t>FORM OF REFERENCE</t>
  </si>
  <si>
    <t>REFERENCE</t>
  </si>
  <si>
    <t>REFERENCES:</t>
  </si>
  <si>
    <t>The first sheet of a workpaper with multiple sheets is a Table of Contents.  The tab for the Table of Contents sheet is named “TOC”.  The TOC sheet lists the tab number and the description of the workpaper contents taken from the workpaper heading.</t>
  </si>
  <si>
    <t>Workpaper tabs are numbered and do not have names or otherwise attempt to describe the contents of the workpaper with the exception of the Table of Contents sheet.</t>
  </si>
  <si>
    <t>Workpaper Tabs and Structure</t>
  </si>
  <si>
    <t>If workpapers in support of a Schedule come from different sources or support distinctly different sections of a Schedule, the workpaper name includes a short description suffix  (e.g.:  WP_25-RFandUFactors_FF, where FF describes Franchise Fees).</t>
  </si>
  <si>
    <t>Workpaper names are prefaced with “WP_” followed by the schedule name to which it corresponds (e.g.:  WP_18-O&amp;M).</t>
  </si>
  <si>
    <t>Workpaper Naming Conventions</t>
  </si>
  <si>
    <t>Reference order: page (or tab) number, line number, column number, note number.  A comma separates each reference element.  Notes contained in the FERC Form 1 are not numbered (see example below).</t>
  </si>
  <si>
    <t>Reference Order</t>
  </si>
  <si>
    <t>Excel “Currency” number format is used.</t>
  </si>
  <si>
    <t>Number Format</t>
  </si>
  <si>
    <t>In the Schedules and Workpapers, those cells shaded in gold are inputs to the Formula Rate Model.</t>
  </si>
  <si>
    <t>Shading</t>
  </si>
  <si>
    <t>FORMATTING:</t>
  </si>
  <si>
    <t>Formatting and References</t>
  </si>
  <si>
    <t>(3) depreciation expense including fleet depreciation expense charged to FERC accounts other than Account 403; and (4) any other non-cash accruals included in Lines 500 and 501.</t>
  </si>
  <si>
    <t xml:space="preserve">4) PG&amp;E does not include non-cash accruals in its cash working capital calculation for the Formula Rate Model.  Non-cash accruals include accruals for: (1) Accounts 182.3 and 186; (2) funding of wildfire self-insurance; </t>
  </si>
  <si>
    <t xml:space="preserve"> In TO21, Schedule 4-ATA, Line 404, formula is set up to pick up the appropriate annual true-up amount based on the prior year for Line 602 of this schedule.</t>
  </si>
  <si>
    <t xml:space="preserve">The Annual True-up Adjustments for Prior Year 2024 and after are calculated in this TO21 Model, Schedule 4-ATA.  The Annual True-up Adjustments for Prior Year 2024 and after will be shown on this model, Schedule 4-ATA, Lines 400-402. </t>
  </si>
  <si>
    <r>
      <rPr>
        <sz val="11"/>
        <rFont val="Calibri"/>
        <family val="2"/>
      </rPr>
      <t xml:space="preserve">3) </t>
    </r>
    <r>
      <rPr>
        <sz val="11"/>
        <rFont val="Aptos Narrow"/>
        <family val="2"/>
        <scheme val="minor"/>
      </rPr>
      <t xml:space="preserve">The Annual True-up Adjustments for Prior Year 2022 and 2023 are calculated in the TO20 Model, Schedule 4-ATA and will be included in this TO21 Model, Schedule 4-ATA, Line 403. </t>
    </r>
  </si>
  <si>
    <r>
      <rPr>
        <sz val="11"/>
        <rFont val="Calibri"/>
        <family val="2"/>
      </rPr>
      <t xml:space="preserve">2) </t>
    </r>
    <r>
      <rPr>
        <sz val="11"/>
        <rFont val="Aptos Narrow"/>
        <family val="2"/>
        <scheme val="minor"/>
      </rPr>
      <t>For FERC authorized Other Regulatory Assets in Section 1 of Schedule 17-RegAssets1, which are not otherwise recovered in O&amp;M or A&amp;G expenses.</t>
    </r>
  </si>
  <si>
    <t xml:space="preserve">The amount shown equals protected and unprotected amortization.  </t>
  </si>
  <si>
    <r>
      <rPr>
        <sz val="11"/>
        <rFont val="Calibri"/>
        <family val="2"/>
      </rPr>
      <t xml:space="preserve">1) </t>
    </r>
    <r>
      <rPr>
        <sz val="11"/>
        <rFont val="Aptos Narrow"/>
        <family val="2"/>
        <scheme val="minor"/>
      </rPr>
      <t>The 'Amortization of Excess Deferred Tax Liability' amount was included in the TO19 Settlement filed on September 21, 2018 and approved by the Commission on December 20, 2018 in 165 FERC ¶ 61,244 (2018).</t>
    </r>
  </si>
  <si>
    <t>Notes:</t>
  </si>
  <si>
    <t>Retail Base Transmission Revenue Requirement</t>
  </si>
  <si>
    <t>Wholesale Base Transmission Revenue Requirement</t>
  </si>
  <si>
    <t>23-RetailSGTax, L. 305, col 3</t>
  </si>
  <si>
    <t>Retail (South Georgia) Tax Adjustment</t>
  </si>
  <si>
    <t>Uncollectibles Expense</t>
  </si>
  <si>
    <t>25-RFandUFactors, L. 402</t>
  </si>
  <si>
    <t>Uncollectibles Factor</t>
  </si>
  <si>
    <t>Notes</t>
  </si>
  <si>
    <t>Source</t>
  </si>
  <si>
    <t>Values</t>
  </si>
  <si>
    <t>7) Base Transmission Revenue Requirement</t>
  </si>
  <si>
    <t>Note 3</t>
  </si>
  <si>
    <t>ITRR</t>
  </si>
  <si>
    <t>a</t>
  </si>
  <si>
    <t>Rate Year Self-Insurance</t>
  </si>
  <si>
    <t>Prior Year TRR</t>
  </si>
  <si>
    <t>6) Wholesale Base Transmission Revenue Requirement</t>
  </si>
  <si>
    <t>Line 519 + Line 520</t>
  </si>
  <si>
    <t>Total Rate Year Self-Insurance</t>
  </si>
  <si>
    <t>Total Self-Insurance SFGR Tax and Franchise Fees</t>
  </si>
  <si>
    <t>Line 517 + Line 518a + Line 518b</t>
  </si>
  <si>
    <t>Total Self-Insurance Funding</t>
  </si>
  <si>
    <t>b</t>
  </si>
  <si>
    <t>30-WFSelfInsurance, L. 302, col 2</t>
  </si>
  <si>
    <t>Wildfire Self-Insurance Refund</t>
  </si>
  <si>
    <t>30-WFSelfInsurance, L. 209, col 2</t>
  </si>
  <si>
    <t>Wildfire Self-Insurance Replenishment Funding</t>
  </si>
  <si>
    <t>30-WFSelfInsurance, L. 100, col 2</t>
  </si>
  <si>
    <t>Wildfire Self-Insurance Initial Funding</t>
  </si>
  <si>
    <t>5a) Self-Insurance Funding</t>
  </si>
  <si>
    <t>Total SFGR Tax and Franchise Fees</t>
  </si>
  <si>
    <t>25-RFandUFactors, L. 401</t>
  </si>
  <si>
    <t>SFGR Tax Factor</t>
  </si>
  <si>
    <t>25-RFandUFactors, L. 400</t>
  </si>
  <si>
    <t>Franchise Fees Factor</t>
  </si>
  <si>
    <t>SFGR Tax and Franchise Fees</t>
  </si>
  <si>
    <t>Total without FF, Uncollectibles, and South Georgia</t>
  </si>
  <si>
    <t>Note 2</t>
  </si>
  <si>
    <t>17-RegAssets-1, L. 102</t>
  </si>
  <si>
    <t>Amortization and Regulatory Debits/Credits</t>
  </si>
  <si>
    <t>Negative Value</t>
  </si>
  <si>
    <t>21-NPandS, L. 403</t>
  </si>
  <si>
    <t>NP&amp;S Credit</t>
  </si>
  <si>
    <t>20-RevenueCredits, L. 100, col 7 + L. 1001, col 5</t>
  </si>
  <si>
    <t>Income Taxes</t>
  </si>
  <si>
    <t>Other Taxes</t>
  </si>
  <si>
    <t>Return on Capital</t>
  </si>
  <si>
    <t>8-AbandonedProject, L. 102, col 7</t>
  </si>
  <si>
    <r>
      <t xml:space="preserve">Abandoned </t>
    </r>
    <r>
      <rPr>
        <sz val="11"/>
        <rFont val="Calibri"/>
        <family val="2"/>
      </rPr>
      <t xml:space="preserve">or Cancelled Projects </t>
    </r>
    <r>
      <rPr>
        <sz val="11"/>
        <rFont val="Aptos Narrow"/>
        <family val="2"/>
        <scheme val="minor"/>
      </rPr>
      <t>Amortization Expense</t>
    </r>
  </si>
  <si>
    <t>11-Depreciation, L. 602</t>
  </si>
  <si>
    <t>Depreciation Expense - Rate Adjustment</t>
  </si>
  <si>
    <t>11-Depreciation, L. 102, col 26 + L. 200, col 3</t>
  </si>
  <si>
    <t>Depreciation Expense (incl. Common + General + Intangible)</t>
  </si>
  <si>
    <t>15-NUC, L. 106</t>
  </si>
  <si>
    <t>Network Upgrade Interest Expense</t>
  </si>
  <si>
    <t>19-AandG, L. 219</t>
  </si>
  <si>
    <t>A&amp;G Expense</t>
  </si>
  <si>
    <t>18-OandM, L. 100, col 15</t>
  </si>
  <si>
    <t>O&amp;M Expense</t>
  </si>
  <si>
    <t>Prior Year TRR Components</t>
  </si>
  <si>
    <t>5) Prior Year Transmission Revenue Requirement</t>
  </si>
  <si>
    <r>
      <t xml:space="preserve">RAP = Return on </t>
    </r>
    <r>
      <rPr>
        <sz val="11"/>
        <rFont val="Calibri"/>
        <family val="2"/>
      </rPr>
      <t xml:space="preserve">Abandoned or Cancelled Projects </t>
    </r>
    <r>
      <rPr>
        <sz val="11"/>
        <rFont val="Aptos Narrow"/>
        <family val="2"/>
        <scheme val="minor"/>
      </rPr>
      <t>From CAISO Participation Incentive</t>
    </r>
  </si>
  <si>
    <t>FPD = Flowback and Permanent Tax Deductions</t>
  </si>
  <si>
    <t>CO = Credits and Other</t>
  </si>
  <si>
    <t>CTR = Composite Tax Rate</t>
  </si>
  <si>
    <t>ER = Equity Rate of Return Including Common and Preferred Stock</t>
  </si>
  <si>
    <t>RB = Rate Base</t>
  </si>
  <si>
    <t>Where:</t>
  </si>
  <si>
    <t>Income Taxes = [((RB * ER) + FPD - RAP) * (CTR/(1 – CTR))]  + CO/(1 – CTR)]</t>
  </si>
  <si>
    <t>Income Taxes:</t>
  </si>
  <si>
    <t>Line 405i + Line 406b</t>
  </si>
  <si>
    <t>Credits and Other</t>
  </si>
  <si>
    <t>Line 406 * Line 406a</t>
  </si>
  <si>
    <t xml:space="preserve">Federal and State Tax Credits after Allocation </t>
  </si>
  <si>
    <t>24-Allocators, L. 113</t>
  </si>
  <si>
    <t>Network Transmission Labor Factor (Total Company)</t>
  </si>
  <si>
    <t>WP_1-BaseTRR_Tax 2, L. 101</t>
  </si>
  <si>
    <r>
      <t xml:space="preserve">Federal and State Tax Credits </t>
    </r>
    <r>
      <rPr>
        <sz val="11"/>
        <rFont val="Calibri"/>
        <family val="2"/>
      </rPr>
      <t xml:space="preserve">before Allocation </t>
    </r>
  </si>
  <si>
    <t>Line 405a + Line 405d + Line 405g + Line 405h</t>
  </si>
  <si>
    <t>Total Protected (ARAM) and Non-Protected</t>
  </si>
  <si>
    <t>i</t>
  </si>
  <si>
    <t>WP_1-BaseTRR_Tax 3, L. 125</t>
  </si>
  <si>
    <t>Amortization of Excess Deferred Tax Asset - NOL (Protected)</t>
  </si>
  <si>
    <t>h</t>
  </si>
  <si>
    <t>Line 405e *  Line 405f</t>
  </si>
  <si>
    <t xml:space="preserve">Total Allocated Common </t>
  </si>
  <si>
    <t>g</t>
  </si>
  <si>
    <t>24-Allocators, L. 116</t>
  </si>
  <si>
    <t>Network Transmission Plant Factor (Total Company)</t>
  </si>
  <si>
    <t>f</t>
  </si>
  <si>
    <t>WP_1-BaseTRR_Tax 3, L. 122</t>
  </si>
  <si>
    <t>Common Function Group</t>
  </si>
  <si>
    <t>e</t>
  </si>
  <si>
    <t>Line 405b * Line 405c</t>
  </si>
  <si>
    <t>Total Allocated Direct Plant</t>
  </si>
  <si>
    <t>d</t>
  </si>
  <si>
    <t>24-Allocators, L. 122</t>
  </si>
  <si>
    <t>Network Electric Transmission Plant Factor (Total Transmission)</t>
  </si>
  <si>
    <t>c</t>
  </si>
  <si>
    <t>WP_1-BaseTRR_Tax 3, L. 106</t>
  </si>
  <si>
    <t>Amortization of Excess Deferred Tax Liability - Protected</t>
  </si>
  <si>
    <t>WP_1-BaseTRR_Tax 3, L. 101</t>
  </si>
  <si>
    <t xml:space="preserve">Amortization of Excess Deferred Tax Liability - Non Protected </t>
  </si>
  <si>
    <r>
      <t xml:space="preserve">Amortization of (Excess) </t>
    </r>
    <r>
      <rPr>
        <sz val="11"/>
        <rFont val="Calibri"/>
        <family val="2"/>
      </rPr>
      <t>Deficient</t>
    </r>
    <r>
      <rPr>
        <sz val="11"/>
        <rFont val="Aptos Narrow"/>
        <family val="2"/>
        <scheme val="minor"/>
      </rPr>
      <t xml:space="preserve"> Deferred Tax Liability</t>
    </r>
  </si>
  <si>
    <t>Calculation of Credits and Other (CO):</t>
  </si>
  <si>
    <t>Flowthrough and Permanent Tax Deductions</t>
  </si>
  <si>
    <t xml:space="preserve">Total Allocated Direct and Common </t>
  </si>
  <si>
    <t>Total Allocated Common Plant</t>
  </si>
  <si>
    <t>WP_1-BaseTRR_Tax 1, L. 117</t>
  </si>
  <si>
    <t>AFUDC Equity Book Depreciation - Total Common</t>
  </si>
  <si>
    <t xml:space="preserve">Total Allocated Direct Plant </t>
  </si>
  <si>
    <t>WP_1-BaseTRR_Tax 1, L. 103</t>
  </si>
  <si>
    <t xml:space="preserve">AFUDC Equity Book Depreciation - Total Direct </t>
  </si>
  <si>
    <t>Book Depreciation of AFUDC Equity Book Basis</t>
  </si>
  <si>
    <t>Calculation of Flowthrough and Permanent Tax Deductions (FPD):</t>
  </si>
  <si>
    <t>Composite Tax Rate</t>
  </si>
  <si>
    <t>22-TaxRates, L. 101</t>
  </si>
  <si>
    <t>State Income Tax Rate</t>
  </si>
  <si>
    <t>22-TaxRates, L. 100</t>
  </si>
  <si>
    <t>Federal Income Tax Rate</t>
  </si>
  <si>
    <t>4) Income Taxes</t>
  </si>
  <si>
    <t>Total Other Taxes</t>
  </si>
  <si>
    <t>Total Transmission Payroll Tax Expense</t>
  </si>
  <si>
    <t>24-Allocators, L. 112</t>
  </si>
  <si>
    <t>Network Transmission Labor Factor (Total Electric)</t>
  </si>
  <si>
    <t>Total Electric Payroll Tax Expense</t>
  </si>
  <si>
    <t>Portion of FF1, 262-263, L11, col l Total</t>
  </si>
  <si>
    <t>WP_1-BaseTRR_Pyrl_Tax 1, L. 108</t>
  </si>
  <si>
    <t xml:space="preserve">SF Pyrl Exp Tx </t>
  </si>
  <si>
    <t>WP_1-BaseTRR_Pyrl_Tax 1, L. 107b</t>
  </si>
  <si>
    <t>Business Taxes</t>
  </si>
  <si>
    <t>FF1 262-263, L. 1, col l</t>
  </si>
  <si>
    <t>Fed Unemp Tax Act- Current</t>
  </si>
  <si>
    <t>FF1 262-263, L. 2, col l</t>
  </si>
  <si>
    <t>CA SUI Current</t>
  </si>
  <si>
    <t>FF1 262-263, L. 8, col l</t>
  </si>
  <si>
    <t>Fed Ins Cont Amt -- Current</t>
  </si>
  <si>
    <t>Payroll Tax Expense</t>
  </si>
  <si>
    <t>Total Transmission Property Taxes</t>
  </si>
  <si>
    <t>24-Allocators, L. 141</t>
  </si>
  <si>
    <r>
      <rPr>
        <sz val="11"/>
        <rFont val="Calibri"/>
        <family val="2"/>
      </rPr>
      <t xml:space="preserve">Net Plant </t>
    </r>
    <r>
      <rPr>
        <sz val="11"/>
        <rFont val="Aptos Narrow"/>
        <family val="2"/>
        <scheme val="minor"/>
      </rPr>
      <t>Property Tax Allocation Factor</t>
    </r>
  </si>
  <si>
    <t xml:space="preserve">FF1 262-263, L. 13, col l </t>
  </si>
  <si>
    <t>Sub-Total Local Taxes</t>
  </si>
  <si>
    <t>Property Taxes</t>
  </si>
  <si>
    <t>3) Other Taxes</t>
  </si>
  <si>
    <t>Total Return on Capital</t>
  </si>
  <si>
    <t xml:space="preserve">Remove Return on Abandoned or Cancelled Projects from FERC Participation Incentive </t>
  </si>
  <si>
    <t>Return on Capital: Rate Base times Cost of Capital Rate</t>
  </si>
  <si>
    <t xml:space="preserve">FERC Participation Incentive Rate of Return </t>
  </si>
  <si>
    <t xml:space="preserve">Equity Rate of Return Including Common and Preferred Stock </t>
  </si>
  <si>
    <t>Cost of Capital Rate</t>
  </si>
  <si>
    <t>Weighted Cost of Common Stock</t>
  </si>
  <si>
    <t>Weighted Cost of Preferred Stock</t>
  </si>
  <si>
    <t>Weighted Cost of Long Term Debt</t>
  </si>
  <si>
    <t>Calculation of Cost of Capital Rate</t>
  </si>
  <si>
    <t>FERC ISO Participation Incentive Adder</t>
  </si>
  <si>
    <t>Fixed per Settlement</t>
  </si>
  <si>
    <t>PG&amp;E Return on Common Equity</t>
  </si>
  <si>
    <t>Sum Lines 214 and 215</t>
  </si>
  <si>
    <t>Total Return on Common Equity</t>
  </si>
  <si>
    <t>Long Term Debt Cost Percentage</t>
  </si>
  <si>
    <t>Annual Cost of Capital Components</t>
  </si>
  <si>
    <t>Common Stock Capital Percentage</t>
  </si>
  <si>
    <t>Preferred Stock Capital Percentage</t>
  </si>
  <si>
    <t>Long Term Debt Capital Percentage</t>
  </si>
  <si>
    <t>Capital Percentages</t>
  </si>
  <si>
    <t>Total Capital</t>
  </si>
  <si>
    <t>13-month average</t>
  </si>
  <si>
    <t>5-CostofCap-1, L. 112</t>
  </si>
  <si>
    <t>Common Stock Equity Amount</t>
  </si>
  <si>
    <t>Equity</t>
  </si>
  <si>
    <t>Cost of Preferred Stock</t>
  </si>
  <si>
    <t>5-CostofCap-3, L. 106</t>
  </si>
  <si>
    <t>5-CostofCap-1, L. 107</t>
  </si>
  <si>
    <t>Preferred Stock Amount</t>
  </si>
  <si>
    <t>Preferred Stock</t>
  </si>
  <si>
    <t>Cost of Long Term Debt</t>
  </si>
  <si>
    <t>5-CostofCap-2, L. 114</t>
  </si>
  <si>
    <t>5-CostofCap-1, L. 103</t>
  </si>
  <si>
    <t>Long Term Debt Amount</t>
  </si>
  <si>
    <t>Debt</t>
  </si>
  <si>
    <t>2) ROE and Capitalization Calculations</t>
  </si>
  <si>
    <t>Rate Base</t>
  </si>
  <si>
    <t>End of Year Value</t>
  </si>
  <si>
    <t>32-CWIPIncentive, L. 100, col 16</t>
  </si>
  <si>
    <t>CWIP Incentive</t>
  </si>
  <si>
    <t>17-RegAssets-1, L. 100</t>
  </si>
  <si>
    <t>Other Regulatory Assets or Liabilities</t>
  </si>
  <si>
    <t>16-UnfundedReserves, L. 101</t>
  </si>
  <si>
    <t>Negative End of Year Value</t>
  </si>
  <si>
    <t>15-NUC, L. 103</t>
  </si>
  <si>
    <t>Network Upgrade Credits (Customer Advances)</t>
  </si>
  <si>
    <r>
      <t>Total (Excess)</t>
    </r>
    <r>
      <rPr>
        <b/>
        <sz val="9.35"/>
        <rFont val="Calibri"/>
        <family val="2"/>
      </rPr>
      <t>/</t>
    </r>
    <r>
      <rPr>
        <b/>
        <sz val="11"/>
        <rFont val="Calibri"/>
        <family val="2"/>
      </rPr>
      <t>Deficient</t>
    </r>
    <r>
      <rPr>
        <b/>
        <sz val="9.35"/>
        <rFont val="Calibri"/>
        <family val="2"/>
      </rPr>
      <t xml:space="preserve"> </t>
    </r>
    <r>
      <rPr>
        <b/>
        <sz val="11"/>
        <rFont val="Aptos Narrow"/>
        <family val="2"/>
        <scheme val="minor"/>
      </rPr>
      <t>and Accumulated Deferred Income Taxes</t>
    </r>
  </si>
  <si>
    <t>17-RegAssets-1, L. 201</t>
  </si>
  <si>
    <r>
      <t>(Excess)</t>
    </r>
    <r>
      <rPr>
        <b/>
        <sz val="9.35"/>
        <rFont val="Calibri"/>
        <family val="2"/>
      </rPr>
      <t>/</t>
    </r>
    <r>
      <rPr>
        <b/>
        <sz val="11"/>
        <rFont val="Calibri"/>
        <family val="2"/>
      </rPr>
      <t>Deficient</t>
    </r>
    <r>
      <rPr>
        <b/>
        <sz val="11"/>
        <rFont val="Aptos Narrow"/>
        <family val="2"/>
        <scheme val="minor"/>
      </rPr>
      <t xml:space="preserve"> Accumulated Deferred Income Taxes</t>
    </r>
  </si>
  <si>
    <t>14-ADIT, L. 104, col 2</t>
  </si>
  <si>
    <t>Accumulated Deferred Income Taxes</t>
  </si>
  <si>
    <t>Total Accumulated Depreciation Reserve</t>
  </si>
  <si>
    <t>10-AccDep, L. 401, col 3</t>
  </si>
  <si>
    <t>Common + General + Intangible Depreciation Reserve</t>
  </si>
  <si>
    <t>10-AccDep, L. 112, col 26</t>
  </si>
  <si>
    <r>
      <t xml:space="preserve">Transmission </t>
    </r>
    <r>
      <rPr>
        <sz val="11"/>
        <rFont val="Calibri"/>
        <family val="2"/>
      </rPr>
      <t xml:space="preserve">Functional </t>
    </r>
    <r>
      <rPr>
        <sz val="11"/>
        <rFont val="Aptos Narrow"/>
        <family val="2"/>
        <scheme val="minor"/>
      </rPr>
      <t>Depreciation Reserve</t>
    </r>
  </si>
  <si>
    <t>Accumulated Depreciation Reserve</t>
  </si>
  <si>
    <t>Total Working Capital</t>
  </si>
  <si>
    <t>Note 4</t>
  </si>
  <si>
    <t>Cash Working Capital</t>
  </si>
  <si>
    <t>13-WorkCap, L. 217, col 5</t>
  </si>
  <si>
    <t>Prepayments</t>
  </si>
  <si>
    <t>13-WorkCap, L. 112, col 2</t>
  </si>
  <si>
    <t>Materials and Supplies</t>
  </si>
  <si>
    <t>Working Capital</t>
  </si>
  <si>
    <t>Total Plant</t>
  </si>
  <si>
    <t>8-AbandonedProject, L. 102, col 11</t>
  </si>
  <si>
    <r>
      <rPr>
        <sz val="11"/>
        <rFont val="Calibri"/>
        <family val="2"/>
      </rPr>
      <t xml:space="preserve">Abandoned </t>
    </r>
    <r>
      <rPr>
        <sz val="11"/>
        <rFont val="Aptos Narrow"/>
        <family val="2"/>
        <scheme val="minor"/>
      </rPr>
      <t>or Cancelled Projects</t>
    </r>
  </si>
  <si>
    <t>7-PlantInService, L. 401, col 3</t>
  </si>
  <si>
    <t>Common + General + Intangible Plant</t>
  </si>
  <si>
    <t>7-PlantInService, L. 112, col 26</t>
  </si>
  <si>
    <r>
      <t xml:space="preserve">Transmission </t>
    </r>
    <r>
      <rPr>
        <sz val="11"/>
        <rFont val="Calibri"/>
        <family val="2"/>
      </rPr>
      <t>Functional</t>
    </r>
    <r>
      <rPr>
        <sz val="11"/>
        <rFont val="Aptos Narrow"/>
        <family val="2"/>
        <scheme val="minor"/>
      </rPr>
      <t xml:space="preserve"> Plant</t>
    </r>
  </si>
  <si>
    <t>Plant</t>
  </si>
  <si>
    <t>1) Rate Base</t>
  </si>
  <si>
    <t>Prior Year:</t>
  </si>
  <si>
    <t>Input cells are shaded gold</t>
  </si>
  <si>
    <t>Rate Year:</t>
  </si>
  <si>
    <t>Base Transmission Revenue Requirement</t>
  </si>
  <si>
    <t>Schedule 1-BaseTRR</t>
  </si>
  <si>
    <t>Incremental Forecast Period TRR:</t>
  </si>
  <si>
    <t>ITRR without RF&amp;U:</t>
  </si>
  <si>
    <t>Add: Impact of ADIT</t>
  </si>
  <si>
    <t>Add: Depreciation Expense</t>
  </si>
  <si>
    <t>AFCR prior to Depreciation &amp; ADIT Impacts</t>
  </si>
  <si>
    <t>AFCR:</t>
  </si>
  <si>
    <t>9-PlantAdditions, L. 124, col 6</t>
  </si>
  <si>
    <t>Forecast Net Plant Additions Balance:</t>
  </si>
  <si>
    <t>2) Calculation of ITRR</t>
  </si>
  <si>
    <t>AFCR Applicable TRR</t>
  </si>
  <si>
    <t>Negative</t>
  </si>
  <si>
    <r>
      <t>(1-BaseTRR, L. 111c x 1-BaseTRR, L. 220) x (1+</t>
    </r>
    <r>
      <rPr>
        <sz val="11"/>
        <rFont val="Calibri"/>
        <family val="2"/>
      </rPr>
      <t>(</t>
    </r>
    <r>
      <rPr>
        <sz val="11"/>
        <rFont val="Aptos Narrow"/>
        <family val="2"/>
        <scheme val="minor"/>
      </rPr>
      <t>1-BaseTRR, L. 402)/(1 - 1-BaseTRR, L. 402)) + (1-BaseTRR, L. 111c x 1-BaseTRR, L 216)</t>
    </r>
  </si>
  <si>
    <t>Less: Impact of ADIT</t>
  </si>
  <si>
    <t>Less: Depreciation Expense</t>
  </si>
  <si>
    <t>1-BaseTRR, L. 505</t>
  </si>
  <si>
    <t>Less: Abandoned or Cancelled Projects Amortization Expense</t>
  </si>
  <si>
    <t>104a</t>
  </si>
  <si>
    <t>Prior Year TRR without RF&amp;U:</t>
  </si>
  <si>
    <t>Determination of AFCR:</t>
  </si>
  <si>
    <t>Net Plant:</t>
  </si>
  <si>
    <t>Transmission Functional Accumulated Depreciation:</t>
  </si>
  <si>
    <t>Transmission Functional Plant:</t>
  </si>
  <si>
    <t>Determination of Net Plant:</t>
  </si>
  <si>
    <t>AFCR = Prior Year TRR / Net Plant</t>
  </si>
  <si>
    <t>1) Annual Fixed Charge Rate ("AFCR") Calculation</t>
  </si>
  <si>
    <t>Schedule 2-ITRR</t>
  </si>
  <si>
    <t xml:space="preserve"> For example, for Prior Year 2024 true up in Rate Year 2026 Annual Update, the values shall be sourced from Schedule 1-BaseTRR, line 517, 518a and 518b in the Rate Year 2024 filing.</t>
  </si>
  <si>
    <t>2) The source for line 412, 413a and 413b will be from Schedule 1-BaseTRR, line 517, 518a and 518b respectively in the Annual Update which the rates are set for the Prior Year.</t>
  </si>
  <si>
    <t>The True-up Transmission Revenue Requirement for prior year 2022 and 2023 will be calculated in TO20 Model.</t>
  </si>
  <si>
    <t xml:space="preserve">1) The True-up Transmission Revenue Requirement calculated in this schedule is only applicable for Prior Year 2024 and after. </t>
  </si>
  <si>
    <t>23-RetailSGTax, L. 305, col 4</t>
  </si>
  <si>
    <t>Uncollectibles and Retail (South Georgia) Tax Adjustment</t>
  </si>
  <si>
    <t>Total with ATA</t>
  </si>
  <si>
    <t>RY2025 TO21 Model Schedule 1-BaseTRR, L. 602</t>
  </si>
  <si>
    <t>ATA that was included in the Prior Year's Rates</t>
  </si>
  <si>
    <t>Total with SFGR Tax and Franchise Fees</t>
  </si>
  <si>
    <t>Total Wildfire Self-Insurance Funding</t>
  </si>
  <si>
    <t>N/A</t>
  </si>
  <si>
    <t>RY2025 TO21 Model Schedule 1-BaseTRR, L.518</t>
  </si>
  <si>
    <t>RY2025 TO21 Model Schedule 1-BaseTRR, L.517</t>
  </si>
  <si>
    <t>20-RevenueCredits, L.100, col 7 + L. 1002, col 5</t>
  </si>
  <si>
    <t>(For example,  if the Prior Year is 2022, then the ATA that was included in the 2022 rates was the ATA for 2020.)</t>
  </si>
  <si>
    <t>Instructions:</t>
  </si>
  <si>
    <t>4) True-up Transmission Revenue Requirement</t>
  </si>
  <si>
    <r>
      <rPr>
        <sz val="11"/>
        <rFont val="Calibri"/>
        <family val="2"/>
      </rPr>
      <t xml:space="preserve">RAP = Return on Abandoned </t>
    </r>
    <r>
      <rPr>
        <sz val="11"/>
        <rFont val="Aptos Narrow"/>
        <family val="2"/>
        <scheme val="minor"/>
      </rPr>
      <t>or Cancelled Projects From FERC Participation Incentive</t>
    </r>
  </si>
  <si>
    <t>Income Taxes = [((RB * ER) + FPD - RAP) * (CTR/(1 – CTR))]  + CO/(1 – CTR]</t>
  </si>
  <si>
    <t>22-TaxRates, L. 201</t>
  </si>
  <si>
    <t>22-TaxRates, L. 200</t>
  </si>
  <si>
    <t>1) Input the Prior Year Federal and State Income Tax Rates if they are different from the Rate Year Tax Rates.</t>
  </si>
  <si>
    <t>3) Income Taxes</t>
  </si>
  <si>
    <r>
      <rPr>
        <sz val="11"/>
        <rFont val="Calibri"/>
        <family val="2"/>
      </rPr>
      <t>Remove Return on Abandoned</t>
    </r>
    <r>
      <rPr>
        <sz val="11"/>
        <rFont val="Aptos Narrow"/>
        <family val="2"/>
        <scheme val="minor"/>
      </rPr>
      <t xml:space="preserve"> or Cancelled Projects from FERC Participation Incentive </t>
    </r>
  </si>
  <si>
    <t>Source will be ‘1-Base TRR, L.213’ unless there are mid-year changes in ROE in which case the Source will identify the workpaper that will demonstrate the derivation of the Value.</t>
  </si>
  <si>
    <t>1-Base TRR, L.213</t>
  </si>
  <si>
    <t>Prior Year Return on Common Equity</t>
  </si>
  <si>
    <t xml:space="preserve">1) Input the ROE for the Prior Year on Line 200. </t>
  </si>
  <si>
    <t>13-Month Avg</t>
  </si>
  <si>
    <t>32-CWIPIncentive, L. 100, col 17</t>
  </si>
  <si>
    <t>BOY EOY Avg</t>
  </si>
  <si>
    <t>17-RegAssets, L. 101</t>
  </si>
  <si>
    <t>16-UnfundedReserves, L. 100</t>
  </si>
  <si>
    <t>Negative BOY EOY Avg</t>
  </si>
  <si>
    <t>15-NUC, L. 109</t>
  </si>
  <si>
    <r>
      <t>Network Upgrade Credits (</t>
    </r>
    <r>
      <rPr>
        <b/>
        <sz val="11"/>
        <rFont val="Calibri"/>
        <family val="2"/>
      </rPr>
      <t>Customer Advances</t>
    </r>
    <r>
      <rPr>
        <b/>
        <sz val="11"/>
        <rFont val="Aptos Narrow"/>
        <family val="2"/>
        <scheme val="minor"/>
      </rPr>
      <t>)</t>
    </r>
  </si>
  <si>
    <t>Weighted Average</t>
  </si>
  <si>
    <t>17-RegAssets-1, L. 202</t>
  </si>
  <si>
    <t>14-ADIT, L. 108, col 2</t>
  </si>
  <si>
    <t>10-AccDep, L. 402, col 3</t>
  </si>
  <si>
    <t>Negative 13-Month Avg</t>
  </si>
  <si>
    <t>10-AccDep, L. 113, col 26</t>
  </si>
  <si>
    <t>Transmission Functional Depreciation Reserve</t>
  </si>
  <si>
    <t>1-BaseTRR, L. 106</t>
  </si>
  <si>
    <t>13-WorkCap, L. 215, col 5</t>
  </si>
  <si>
    <t>13-WorkCap, L. 113, col 2</t>
  </si>
  <si>
    <t>8-AbandonedProject, L. 102, col 12</t>
  </si>
  <si>
    <t>Abandoned or Cancelled Projects</t>
  </si>
  <si>
    <t>7-PlantInService, L. 402, col 3</t>
  </si>
  <si>
    <t>7-PlantInService, L. 113, col 26</t>
  </si>
  <si>
    <t>Transmission Functional Plant</t>
  </si>
  <si>
    <t>Schedule 3-True-upTRR</t>
  </si>
  <si>
    <t>16) Line 201, Col 5 and 8, please refer to WP_PY_Model_TO21 2024 True-Up_RY2027, 4-ATA.</t>
  </si>
  <si>
    <t>15) Line 403 is to record the ATA for Prior Year 2022 and 2023 to be trued up in Rate Year 2024 and 2025 which are calculated through TO20-RY2024 and TO20-RY2025 Annual Update.</t>
  </si>
  <si>
    <t>14) Line 401 is to record the ATA for Prior Years under TO21 Formula Rate while Line 402 is to record the incremental ATA for Prior Years under TO20 Formula Rate.</t>
  </si>
  <si>
    <t>13) Data is PG&amp;E's monthly Gross Load as measured by the CASIO monthly settlements of PG&amp;E's Gross Load.</t>
  </si>
  <si>
    <t>12) To calculate the monthly allocation factor, take the corresponding month's Gross Load in Col 3 and divide by the total Gross Load in L. 513, Col 3.</t>
  </si>
  <si>
    <t>8) Accumulated Interest is the sum of the current month's "Monthly Interest" with last month's "Accumulated Interest".</t>
  </si>
  <si>
    <t xml:space="preserve">7) Monthly Interest is calculated by summing half of the current month's "Excess or Shortfall in Revenue" with last month's "Cumulative Excess or Shortfall in Revenue with Interest" and multiplying by one-twelve (1/12) of the current month's FERC annual interest rate.  </t>
  </si>
  <si>
    <t>6) The FERC interest rate as stated in Instruction 2.</t>
  </si>
  <si>
    <r>
      <t>5) Corrections or Adjustments applied to Line 201 from previously-filed Annual Updates are outlined in</t>
    </r>
    <r>
      <rPr>
        <sz val="11"/>
        <rFont val="Calibri"/>
        <family val="2"/>
      </rPr>
      <t xml:space="preserve"> Section 4.7.6</t>
    </r>
    <r>
      <rPr>
        <sz val="11"/>
        <rFont val="Aptos Narrow"/>
        <family val="2"/>
        <scheme val="minor"/>
      </rPr>
      <t xml:space="preserve"> of the Protocols. </t>
    </r>
  </si>
  <si>
    <t>revenues, and the Transmission Access Charge Balancing Account Adjustment (TACBAA) revenues.</t>
  </si>
  <si>
    <t>2) Other Transmission Revenues includes: the Transmission Revenue Balancing Account Adjustment (TRBAA) revenues, the Reliability Services Balancing Account Adjustment (RSBAA) revenues, the End-use Customer Refund Balancing Account Adjustment (ECRBAA)</t>
  </si>
  <si>
    <t xml:space="preserve">1) Data for cols 1 through 7 are Prior Year revenues from PG&amp;E's Revenue Reporting System, Report R646BRESU.  Col 1 only includes Base Retail Transmission Revenues.  Any other retail transmission revenues are included in the "Other" Category. </t>
  </si>
  <si>
    <t>2) The Final True Up Adjustment shall be calculated using the same methodology as above, with interest through the date of the termination of the Formula Rate.</t>
  </si>
  <si>
    <t>1) PG&amp;E shall calculate the Final True-up Adjustment for the period spanning the day after the period covered by the most recent ATA that was included in the Base TRR to the expiration of the Formula Rate.</t>
  </si>
  <si>
    <r>
      <rPr>
        <b/>
        <u/>
        <sz val="11"/>
        <rFont val="Aptos Narrow"/>
        <family val="2"/>
        <scheme val="minor"/>
      </rPr>
      <t>Instructions:</t>
    </r>
    <r>
      <rPr>
        <u/>
        <sz val="11"/>
        <rFont val="Aptos Narrow"/>
        <family val="2"/>
        <scheme val="minor"/>
      </rPr>
      <t xml:space="preserve"> </t>
    </r>
  </si>
  <si>
    <t>6) Final True-up Adjustment</t>
  </si>
  <si>
    <t>Total</t>
  </si>
  <si>
    <t>December</t>
  </si>
  <si>
    <t>November</t>
  </si>
  <si>
    <t>October</t>
  </si>
  <si>
    <t>September</t>
  </si>
  <si>
    <t>August</t>
  </si>
  <si>
    <t>July</t>
  </si>
  <si>
    <t xml:space="preserve">June </t>
  </si>
  <si>
    <t>May</t>
  </si>
  <si>
    <t>April</t>
  </si>
  <si>
    <t>March</t>
  </si>
  <si>
    <t>February</t>
  </si>
  <si>
    <t>January</t>
  </si>
  <si>
    <t>Effective?</t>
  </si>
  <si>
    <t>(MWh)</t>
  </si>
  <si>
    <t>Allocation Factor</t>
  </si>
  <si>
    <t>Prior Year</t>
  </si>
  <si>
    <t>Month</t>
  </si>
  <si>
    <t>Formula Rate</t>
  </si>
  <si>
    <t xml:space="preserve">PG&amp;E Gross Load </t>
  </si>
  <si>
    <t>True-up TRR</t>
  </si>
  <si>
    <t>Note 13</t>
  </si>
  <si>
    <t>Note 12</t>
  </si>
  <si>
    <t>Col 4</t>
  </si>
  <si>
    <t>Col 3</t>
  </si>
  <si>
    <t>Col 2</t>
  </si>
  <si>
    <t>Col 1</t>
  </si>
  <si>
    <t>No</t>
  </si>
  <si>
    <t>Partial Year True-up?</t>
  </si>
  <si>
    <t>5)  Partial Year True-up and TRR Allocation Factors</t>
  </si>
  <si>
    <t>ATA</t>
  </si>
  <si>
    <t>Note 15</t>
  </si>
  <si>
    <t>ATA for Prior Year 2022 and 2023 from TO20 Model</t>
  </si>
  <si>
    <t>Note 14</t>
  </si>
  <si>
    <t>WP_PY_Model_Increm_True Up Adj_2020-2023_Summary</t>
  </si>
  <si>
    <t>ATA for Prior Year 2024 and After</t>
  </si>
  <si>
    <t>4) Annual True-up Adjustment</t>
  </si>
  <si>
    <t>Total Amortization:</t>
  </si>
  <si>
    <t>Ending Balance</t>
  </si>
  <si>
    <t>Interest Rate</t>
  </si>
  <si>
    <t>Current Month</t>
  </si>
  <si>
    <t>without Interest</t>
  </si>
  <si>
    <t>Amortization</t>
  </si>
  <si>
    <t>Balance</t>
  </si>
  <si>
    <t>Year</t>
  </si>
  <si>
    <t>FERC</t>
  </si>
  <si>
    <t>Interest for</t>
  </si>
  <si>
    <t>Beginning</t>
  </si>
  <si>
    <t>Note 11</t>
  </si>
  <si>
    <t>Note 10</t>
  </si>
  <si>
    <t>Note 9</t>
  </si>
  <si>
    <t>Col 7</t>
  </si>
  <si>
    <t>Col 6</t>
  </si>
  <si>
    <t>Col 5</t>
  </si>
  <si>
    <t>3) Amortization of the Balance of the Cumulative Excess or Shortfall in Revenue with Interest Over the Rate Year</t>
  </si>
  <si>
    <t>with Interest</t>
  </si>
  <si>
    <t>Interest</t>
  </si>
  <si>
    <t>Shortfall in Revenue</t>
  </si>
  <si>
    <t>Revenues</t>
  </si>
  <si>
    <t>Retail Revenue</t>
  </si>
  <si>
    <t>Accumulated</t>
  </si>
  <si>
    <t>Monthly</t>
  </si>
  <si>
    <t xml:space="preserve">Monthly Excess or </t>
  </si>
  <si>
    <t>Transmission</t>
  </si>
  <si>
    <t>or Shortfall in</t>
  </si>
  <si>
    <t>Retail</t>
  </si>
  <si>
    <t>Cumulative Excess</t>
  </si>
  <si>
    <t>Note 8</t>
  </si>
  <si>
    <t>Note 7</t>
  </si>
  <si>
    <t>Note 6</t>
  </si>
  <si>
    <t>Note 5</t>
  </si>
  <si>
    <t>Col 9</t>
  </si>
  <si>
    <t>Col 8</t>
  </si>
  <si>
    <t>Source:</t>
  </si>
  <si>
    <t>True Up TRR:</t>
  </si>
  <si>
    <t>2) Input the FERC interest rates (18 C.F.R. §35.19a) for the corresponding Month and Year into Col 6.</t>
  </si>
  <si>
    <t>2) Comparison of Monthly True-Up TRR to Monthly Retail Transmission Revenue</t>
  </si>
  <si>
    <t>Total Sales: FF1 300-301, L. 10, col b</t>
  </si>
  <si>
    <t>Totals:</t>
  </si>
  <si>
    <t>Dec</t>
  </si>
  <si>
    <t>Nov</t>
  </si>
  <si>
    <t>Oct</t>
  </si>
  <si>
    <t>Sep</t>
  </si>
  <si>
    <t>Aug</t>
  </si>
  <si>
    <t>Jul</t>
  </si>
  <si>
    <t>Jun</t>
  </si>
  <si>
    <t>Apr</t>
  </si>
  <si>
    <t>Mar</t>
  </si>
  <si>
    <t>Feb</t>
  </si>
  <si>
    <t>Jan</t>
  </si>
  <si>
    <t>Total Revenue</t>
  </si>
  <si>
    <t>Other</t>
  </si>
  <si>
    <t>Decommissioning</t>
  </si>
  <si>
    <t>Programs</t>
  </si>
  <si>
    <t>Generation</t>
  </si>
  <si>
    <t>Distribution</t>
  </si>
  <si>
    <t>Nuclear</t>
  </si>
  <si>
    <t>Public Purpose</t>
  </si>
  <si>
    <t>Sum of Col 1 to 7</t>
  </si>
  <si>
    <t xml:space="preserve">1) Populate the table with retail revenue data from the Prior Year.  </t>
  </si>
  <si>
    <t>1) Retail Revenues</t>
  </si>
  <si>
    <t>Schedule 4-ATA</t>
  </si>
  <si>
    <t>Sum of Lines 108 to 111</t>
  </si>
  <si>
    <t>13-month average, reverse sign</t>
  </si>
  <si>
    <t>5-CostofCap-4, L 1200, col 1</t>
  </si>
  <si>
    <r>
      <t>Less Accumulated Other Comprehensive</t>
    </r>
    <r>
      <rPr>
        <sz val="11"/>
        <rFont val="Calibri"/>
        <family val="2"/>
      </rPr>
      <t xml:space="preserve"> Income</t>
    </r>
    <r>
      <rPr>
        <sz val="11"/>
        <rFont val="Aptos Narrow"/>
        <family val="2"/>
        <scheme val="minor"/>
      </rPr>
      <t xml:space="preserve"> -- Account 219</t>
    </r>
  </si>
  <si>
    <t>5-CostofCap-4, L 1100, col 1</t>
  </si>
  <si>
    <t>Less Unappropriated Undist. Sub. Earnings -- Acct. 216.1</t>
  </si>
  <si>
    <t>Same as Line 107, but negative</t>
  </si>
  <si>
    <t>Line 107</t>
  </si>
  <si>
    <t>Less Preferred Stock Amount</t>
  </si>
  <si>
    <t>5-CostofCap-4, L 1300, col 1</t>
  </si>
  <si>
    <t>Total Proprietary Capital</t>
  </si>
  <si>
    <t>Calculation of Common Stock Equity Amount</t>
  </si>
  <si>
    <t>Sum of Lines 104 to 106</t>
  </si>
  <si>
    <t>5-CostofCap-4, L 1000, col 1</t>
  </si>
  <si>
    <t>Net Gain (Loss) From Purchase and Tender Offers</t>
  </si>
  <si>
    <t>5-CostofCap-4, L 900, col 1</t>
  </si>
  <si>
    <t>Unamortized Issuance Costs</t>
  </si>
  <si>
    <t>5-CostofCap-4, L 800, col 1</t>
  </si>
  <si>
    <t>Preferred Stock Amount -- Account 204</t>
  </si>
  <si>
    <t>Calculation of Preferred Stock Amount</t>
  </si>
  <si>
    <t>Sum of Lines 100 to 102</t>
  </si>
  <si>
    <t>5-CostofCap-4, L 300, col 1</t>
  </si>
  <si>
    <t>(Plus) Other Long-Term Debt (Acct. 224)</t>
  </si>
  <si>
    <t>13-month average, enter negative</t>
  </si>
  <si>
    <t>5-CostofCap-4, L 200, col 1</t>
  </si>
  <si>
    <t>(Less) Reacquired Bonds (Acct. 222)</t>
  </si>
  <si>
    <t>5-CostofCap-4, L 100, col 1</t>
  </si>
  <si>
    <t>Bonds -- Account 221</t>
  </si>
  <si>
    <t>Calculation of Long Term Debt Amount</t>
  </si>
  <si>
    <t>1) Return and Capitalization Calculations</t>
  </si>
  <si>
    <t>Schedule 5-CostofCap-1</t>
  </si>
  <si>
    <t>Cost of Long-Term Debt:</t>
  </si>
  <si>
    <t>LTD interest</t>
  </si>
  <si>
    <t>Year-To-Date</t>
  </si>
  <si>
    <t>5-CostofCap-4, L 1800, col 1</t>
  </si>
  <si>
    <t xml:space="preserve">(Less) Amortization of Gain on Reacquired Debt-Credit (Acct. 429.1) </t>
  </si>
  <si>
    <t>5-CostofCap-4, L 1700, col 1</t>
  </si>
  <si>
    <t>(Less) Amort. of Premium on Debt-Credit (Acct. 429)</t>
  </si>
  <si>
    <t>5-CostofCap-4, L 1600, col 1</t>
  </si>
  <si>
    <t>(Plus) Amortization of Loss on Reacquired Debt (Acct. 428.1)</t>
  </si>
  <si>
    <t>5-CostofCap-4, L 1500, col 1</t>
  </si>
  <si>
    <t>(Plus) Amort. of Debt Disc. and Expense (Acct. 428)</t>
  </si>
  <si>
    <t>5-CostofCap-4, L 1400, col 1</t>
  </si>
  <si>
    <t xml:space="preserve">(Plus) Interest on Long-Term Debt (Acct. 427) </t>
  </si>
  <si>
    <t>Long-Term Debt Component - Numerator:</t>
  </si>
  <si>
    <t>13-month Average</t>
  </si>
  <si>
    <t>LTD = Long Term Debt</t>
  </si>
  <si>
    <t>5-CostofCap-4, L 700, col 1</t>
  </si>
  <si>
    <t>(Less) Unamortized Loss on Reacquired Debt (Acct. 189)</t>
  </si>
  <si>
    <t>5-CostofCap-4, L 600, col 1</t>
  </si>
  <si>
    <t>(Less) Unamortized Debt Expenses (Acct. 181)</t>
  </si>
  <si>
    <t>5-CostofCap-4, L 500, col 1</t>
  </si>
  <si>
    <t xml:space="preserve">(Less) Unamortized Discount on Long-Term Debt-Debit (Acct. 226) </t>
  </si>
  <si>
    <t>5-CostofCap-4, L 400, col 1</t>
  </si>
  <si>
    <t xml:space="preserve">(Plus) Unamortized Premium on Long-Term Debt (Acct. 225) </t>
  </si>
  <si>
    <t>(Plus) Bonds (Acct. 221)</t>
  </si>
  <si>
    <t>Long-Term Debt Component - Denominator:</t>
  </si>
  <si>
    <t>1) Calculation of Cost of Long Term Debt</t>
  </si>
  <si>
    <t>Schedule 5-CostofCap-2</t>
  </si>
  <si>
    <t>2) Annual dividend calculation consistent with 18 CFR 35.13 (22) (iii)</t>
  </si>
  <si>
    <t>each preferred stock series, many of the original hard copy records are no longer available, and electronic records were not available at time of issuance.</t>
  </si>
  <si>
    <t xml:space="preserve">1) PG&amp;E's Treasury uses an internal monthly Excel-based report to track historical information associated with preferred stock issuances.  Due to the age of </t>
  </si>
  <si>
    <t>Total Annual Cost (sum of above):</t>
  </si>
  <si>
    <t>---</t>
  </si>
  <si>
    <t>Notes and Sources</t>
  </si>
  <si>
    <t xml:space="preserve">Issuance Amortization Cost </t>
  </si>
  <si>
    <t>Amortization Period</t>
  </si>
  <si>
    <t>Unamortized Issuance Cost</t>
  </si>
  <si>
    <t>Total Issuance Cost</t>
  </si>
  <si>
    <t>Call Date</t>
  </si>
  <si>
    <t>3) Reacquired Preferred Stock Information</t>
  </si>
  <si>
    <t>Total Amount Outstanding (sum of above):</t>
  </si>
  <si>
    <t>I</t>
  </si>
  <si>
    <t>H</t>
  </si>
  <si>
    <t>G</t>
  </si>
  <si>
    <t>E</t>
  </si>
  <si>
    <t>D</t>
  </si>
  <si>
    <t>C</t>
  </si>
  <si>
    <t>B</t>
  </si>
  <si>
    <t>A</t>
  </si>
  <si>
    <t>Annual
Dividend</t>
  </si>
  <si>
    <t>Net Proceeds at Issuance</t>
  </si>
  <si>
    <t>Shares Outstanding</t>
  </si>
  <si>
    <t>Total Premium/
Discount Cost</t>
  </si>
  <si>
    <t>Face Value/ Amount Outstanding</t>
  </si>
  <si>
    <t>Dividend</t>
  </si>
  <si>
    <t>Dividend Rate</t>
  </si>
  <si>
    <t>Issue Date</t>
  </si>
  <si>
    <t>Preferred Stock Series Name</t>
  </si>
  <si>
    <t>= Col 4 x Col 7</t>
  </si>
  <si>
    <t>= Col 5 + Col 6</t>
  </si>
  <si>
    <t>FF1 250-251, col e</t>
  </si>
  <si>
    <t>PG&amp;E Records</t>
  </si>
  <si>
    <t>FF1 250-251, col f</t>
  </si>
  <si>
    <t>FF1 250-251, col a</t>
  </si>
  <si>
    <t>2) Preferred Stock Information for each Outstanding Series</t>
  </si>
  <si>
    <t>Preferred Stock Cost Percentage:</t>
  </si>
  <si>
    <t>Total Preferred Balance:</t>
  </si>
  <si>
    <t>Total Premium/Discount</t>
  </si>
  <si>
    <t>Total Preferred Stock Amount Outstanding:</t>
  </si>
  <si>
    <t>Total Annual Cost of Preferred:</t>
  </si>
  <si>
    <t>Total Reacquired Preferred Stock Cost:</t>
  </si>
  <si>
    <t>Total Annual Cost of Preferred Stock:</t>
  </si>
  <si>
    <t>Reference</t>
  </si>
  <si>
    <t>Amount</t>
  </si>
  <si>
    <t>1) Calculation of "Preferred Stock Cost Percentage"</t>
  </si>
  <si>
    <t>Schedule 5-CostofCap-3</t>
  </si>
  <si>
    <t>Input for Line 1401</t>
  </si>
  <si>
    <t>Internal Record</t>
  </si>
  <si>
    <t>AB1054 &amp; Rate Neutral Securitization Deferred Interest</t>
  </si>
  <si>
    <t>FF1 114-117, L. 62, col c</t>
  </si>
  <si>
    <t>Amount per FF1</t>
  </si>
  <si>
    <t>Line 1401:</t>
  </si>
  <si>
    <t>included the approximately $2.5 million adjustment on Line 1401.  Therefore, the input on Line 1401 does not align with the source on Col 2.</t>
  </si>
  <si>
    <t xml:space="preserve">reflected in Account 431.  PG&amp;E will perform journal entries to reclassify 2026 year-to-date deferred interst to Account 431.  For 2025, due to limitation of the model, PG&amp;E currently </t>
  </si>
  <si>
    <t xml:space="preserve">to Account 431 instead of Account 427 beginning 2024.  PG&amp;E identified that the deferred interest related to AB1054 and Rate Neutral for period from 2025 through May 2026 was not </t>
  </si>
  <si>
    <t>In PG&amp;E's TO21 Rate Year 2026 Annual Update Transmittal Letter, PG&amp;E committed to reclassify the deferred interest related to AB1054 and Rate Neutral Securitization would be recorded</t>
  </si>
  <si>
    <t>Note 1:</t>
  </si>
  <si>
    <t>Lines ((a +c + d) - (b + e + f + g ))</t>
  </si>
  <si>
    <t>LTD = Long Term Debt (13-mo average)</t>
  </si>
  <si>
    <t>Line 700, Col 1</t>
  </si>
  <si>
    <t>Unamortized Loss on Reacquired Debt (Acct. 189)</t>
  </si>
  <si>
    <t>Line 600, Col 1</t>
  </si>
  <si>
    <t>Unamortized Debt Expenses (Acct. 181)</t>
  </si>
  <si>
    <t>Line 500, Col 1</t>
  </si>
  <si>
    <t xml:space="preserve">Unamortized Discount on Long-Term Debt-Debit (Acct. 226) </t>
  </si>
  <si>
    <t>Line 400, Col 1</t>
  </si>
  <si>
    <t xml:space="preserve">Unamortized Premium on Long-Term Debt (Acct. 225) </t>
  </si>
  <si>
    <t>Line 300, Col 1</t>
  </si>
  <si>
    <t>Other Long-Term Debt (Acct. 224)</t>
  </si>
  <si>
    <t>Line 200, Col 1</t>
  </si>
  <si>
    <t>Reacquired Bonds (Acct. 222)</t>
  </si>
  <si>
    <t>Line 100, Col 1</t>
  </si>
  <si>
    <t>Bonds (Acct. 221)</t>
  </si>
  <si>
    <t>CALCULATION OF 13-MONTH AVERAGE DEBT BALANCE</t>
  </si>
  <si>
    <t>FF1 114-117, L. 66, col c</t>
  </si>
  <si>
    <t xml:space="preserve"> Form 1 Account 429.1</t>
  </si>
  <si>
    <t xml:space="preserve">Amortization of Gain on Reacquired Debt-Credit -- Account 429.1 </t>
  </si>
  <si>
    <t>FF1 114-117, L. 65, col c</t>
  </si>
  <si>
    <t xml:space="preserve"> Form 1 Account 429</t>
  </si>
  <si>
    <t>Amortization of Premium on Debt-Credit -- Account 429</t>
  </si>
  <si>
    <t>FF1 114-117, L. 64, col c</t>
  </si>
  <si>
    <t xml:space="preserve"> Form 1 Account 428.1</t>
  </si>
  <si>
    <t>Amortization of Loss on Reacquired Debt -- Account 428.1</t>
  </si>
  <si>
    <t>Amount in Column 1 derived from PG&amp;E internal records (SAP GL account 5050110, Company Code PGE1)</t>
  </si>
  <si>
    <t xml:space="preserve">Remove SB 901 Issuance Cost Amortization </t>
  </si>
  <si>
    <t xml:space="preserve">Remove AB 1054 Issuance Cost Amortization </t>
  </si>
  <si>
    <t>Remove Wildfire Fund Trust Underwriting Fees Amortization</t>
  </si>
  <si>
    <t>FF1 114-117, L. 63, col c</t>
  </si>
  <si>
    <t xml:space="preserve"> Form 1 Account 428</t>
  </si>
  <si>
    <t>Amortization of Debt Discount and Expense -- Account 428</t>
  </si>
  <si>
    <t>Amount in Column 1 derived from PG&amp;E internal records (SAP GL account 5050010, Company Code PGE1)</t>
  </si>
  <si>
    <t>Deferral of interest pending approved recovery</t>
  </si>
  <si>
    <t>(Note 1)</t>
  </si>
  <si>
    <t xml:space="preserve"> Form 1 Account 427</t>
  </si>
  <si>
    <t xml:space="preserve">Interest on Long-Term Debt -- Account 427 </t>
  </si>
  <si>
    <t>Sources / Notes</t>
  </si>
  <si>
    <t>Amount in Column 2 from FF1 112-113, L. 16, col d, amount in Column 14 from FF1 112-113, L. 16, col c, amounts in columns 3-13 from PG&amp;E internal records (G/L account Cumulative Balance by period for SAP accounts 2010000, 2040000, 2040001, 2070000, 2070020, 2110010, 2110015, 2130020, 2140001, 2440020, Company Code PGE1)</t>
  </si>
  <si>
    <t xml:space="preserve"> Form 1 Total Proprietary Capital</t>
  </si>
  <si>
    <t>Amount in Column 2 from FF1 112-113, L. 15, col d, amount in Column 14 from FF1 112-113, L. 15, col c, amounts in columns 3-13 from PG&amp;E internal records (G/L account Cumulative Balance by period for SAP account 2190001 and 2190010, Company Code PGE1)</t>
  </si>
  <si>
    <t xml:space="preserve"> Form 1 Account 219</t>
  </si>
  <si>
    <t>Accumulated Other Comprehensive Gain -- Account 219</t>
  </si>
  <si>
    <t>Amount in Column 2 from FF1 112-113, L. 12, col d, amount in Column 14 from FF1 112-113, L. 12, col c, amounts in columns 3-13 from PG&amp;E internal records (G/L account Cumulative Balance by period for SAP account 2161001, Company Code PGE1)</t>
  </si>
  <si>
    <t xml:space="preserve"> Form 1 Account 216.1</t>
  </si>
  <si>
    <t>Unappropriated Undist. Sub. Earnings -- Acct. 216.1</t>
  </si>
  <si>
    <t>Amounts in Columns 2-14 are from PG&amp;E internal records (because of non-use, there is no SAP account)</t>
  </si>
  <si>
    <t xml:space="preserve"> PG&amp;E internal record</t>
  </si>
  <si>
    <t>Net Gain (Loss) From Purchase and Tender Offers on Preferred Stock</t>
  </si>
  <si>
    <t>Amounts in Columns 2-14 are from PG&amp;E internal records (equal to the negative sum of G/L account for SAP accounts 2070020, 2130020, and 2140020; Company Code PGE1)</t>
  </si>
  <si>
    <t>Unamortized Preferred Stock Issuance Costs</t>
  </si>
  <si>
    <t>Amount in Column 2 from FF1 112-113, L. 3, col d, amount in Column 14 from FF1 110-111, L. 3, col c, amounts in columns 3-13 are from PG&amp;E internal records (G/L account Cumulative Balance by period for SAP accounts 9204000, 9204020, Company Code PGE1)</t>
  </si>
  <si>
    <t xml:space="preserve"> Form 1 Account 204</t>
  </si>
  <si>
    <t>Amount in Column 2 from FF1 110-111, L. 81, col d, amount in Column 14 from FF1 110-111, L. 81, col c, amounts in columns 3-13 from PG&amp;E internal records (G/L account Cumulative Balance by period for SAP account 9189000, Company Code PGE1)</t>
  </si>
  <si>
    <t xml:space="preserve"> Form 1 Account 189</t>
  </si>
  <si>
    <t>Unamortized Loss on Reacquired Debt -- Account 189</t>
  </si>
  <si>
    <t>Wildfire Fund Trust underwriting fees removal</t>
  </si>
  <si>
    <t>Amount in Column 2 from FF1 110-111, L. 69, col d, amount in Column 14 from FF1 110-111, L. 69, col c, amounts in columns 3-13 from PG&amp;E internal records (G/L account Cumulative Balance by period for SAP accounts 9181000, 9181001, Company Code PGE1)</t>
  </si>
  <si>
    <t xml:space="preserve"> Form 1 Account 181</t>
  </si>
  <si>
    <t>Unamortized Debt Expenses -- Account 181</t>
  </si>
  <si>
    <t>Amount in Column 2 from FF1 112-113, L. 23, col d, amount in Column 14 from FF1 112-113, L. 23, col c, amounts in columns 3-13 from PG&amp;E internal records (G/L account Cumulative Balance by period for SAP account 9226000, Company Code PGE1)</t>
  </si>
  <si>
    <t xml:space="preserve"> Form 1 Account 226</t>
  </si>
  <si>
    <t>Unamortized Discount on Long Term Debt -- Account 226</t>
  </si>
  <si>
    <t>Amount in Column 2 from FF1 112-113, L. 22, col d, amount in Column 14 from FF1 112-113, L. 22, col c, amounts in columns 3-13 from PG&amp;E internal records (G/L account Cumulative Balance by period for SAP account 9225000, Company Code PGE1)</t>
  </si>
  <si>
    <t xml:space="preserve"> Form 1 Account 225</t>
  </si>
  <si>
    <t>Unamortized Premium on Long Term Debt -- Account 225</t>
  </si>
  <si>
    <t>Amount in Column 2 from FF1 112-113, L. 21, col d, amount in Column 14 from FF1 112-113, L. 21, col c, amounts in columns 3-13 from PG&amp;E internal records (G/L account Cumulative Balance by period for SAP account 9224000, Company Code PGE1)</t>
  </si>
  <si>
    <t xml:space="preserve"> Form 1 Account 224</t>
  </si>
  <si>
    <t>Other Long Term Debt -- Account 224</t>
  </si>
  <si>
    <t>Amount in Column 2 from FF1 112-113, L. 19, col d, amount in Column 14 from FF1 112-113, L. 19, col c, amounts in columns 3-13 from PG&amp;E internal records (G/L account Cumulative Balance by period for SAP account 9222000, Company Code PGE1)</t>
  </si>
  <si>
    <t xml:space="preserve"> Form 1 Account 222</t>
  </si>
  <si>
    <t>Reacquired Bonds -- Account 222</t>
  </si>
  <si>
    <t>DWR Loan (enter negative amount for outstanding balances)</t>
  </si>
  <si>
    <t>Amount in Column 2 from FF1 112-113, L. 18, col d, amount in Column 14 from FF1 112-113, L. 18, col c, amounts in columns 3-13 from PG&amp;E internal records (G/L account Cumulative Balance by period for SAP account 9221000, Company Code PGE1)</t>
  </si>
  <si>
    <t>Form 1 Account 221</t>
  </si>
  <si>
    <t>= Sum (Cols. 2-14)/13</t>
  </si>
  <si>
    <t>June</t>
  </si>
  <si>
    <t>13-Month Avg.</t>
  </si>
  <si>
    <t>Col 15</t>
  </si>
  <si>
    <t>Col 14</t>
  </si>
  <si>
    <t>Col 13</t>
  </si>
  <si>
    <t>Col 12</t>
  </si>
  <si>
    <t>Col 11</t>
  </si>
  <si>
    <t>Col 10</t>
  </si>
  <si>
    <t>CALCULATION OF 13-MONTH AVERAGE CAPITALIZATION BALANCES</t>
  </si>
  <si>
    <t>Schedule 5-CostofCap-4</t>
  </si>
  <si>
    <t>2) FERC sub-account 359.1 "Asset Retirement Costs for Transmission Plant" is not included in rate base for purposes of the TO rate case.</t>
  </si>
  <si>
    <t>1) For a description of the adjustments included in Col 3 and a reconciliation by FERC account to PG&amp;E's FERC Form 1, please see WP_7-PlantInService 3.</t>
  </si>
  <si>
    <t>Total Transmission Plant</t>
  </si>
  <si>
    <t xml:space="preserve">FF1 204-207, line 57, col g </t>
  </si>
  <si>
    <t>Asset Retirement Costs for Transmission Plant</t>
  </si>
  <si>
    <t>7-PlantInService, L. 112, col 13</t>
  </si>
  <si>
    <t xml:space="preserve">FF1 204-207, line 56, col g </t>
  </si>
  <si>
    <t>Roads and Trails</t>
  </si>
  <si>
    <t>7-PlantInService, L. 112, col 12</t>
  </si>
  <si>
    <t xml:space="preserve">FF1 204-207, line 55, col g </t>
  </si>
  <si>
    <t>Underground Conductor and Devices</t>
  </si>
  <si>
    <t>7-PlantInService, L. 112, col 11</t>
  </si>
  <si>
    <t xml:space="preserve">FF1 204-207, line 54, col g </t>
  </si>
  <si>
    <t>Underground Conduit</t>
  </si>
  <si>
    <t>7-PlantInService, L. 112, col 10</t>
  </si>
  <si>
    <t xml:space="preserve">FF1 204-207, line 53, col g </t>
  </si>
  <si>
    <t>Overhead Conductors and Devices</t>
  </si>
  <si>
    <t>7-PlantInService, L. 112, col 9</t>
  </si>
  <si>
    <t xml:space="preserve">FF1 204-207, line 52, col g </t>
  </si>
  <si>
    <t>Poles and Fixtures</t>
  </si>
  <si>
    <t>7-PlantInService, L. 112, col 7 + col 8</t>
  </si>
  <si>
    <t xml:space="preserve">FF1 204-207, line 51, col g </t>
  </si>
  <si>
    <t>Towers and Fixtures</t>
  </si>
  <si>
    <t>7-PlantInService, L. 112, col 5 + col 6</t>
  </si>
  <si>
    <t xml:space="preserve">FF1 204-207, line 50, col g </t>
  </si>
  <si>
    <t>Station Equipment</t>
  </si>
  <si>
    <t>7-PlantInService, L. 112, col 3 + col 4</t>
  </si>
  <si>
    <t xml:space="preserve">FF1 204-207, line 49, col g </t>
  </si>
  <si>
    <t>Structures and Improvements</t>
  </si>
  <si>
    <t>7-PlantInService, L. 112, col 19 through 25</t>
  </si>
  <si>
    <t xml:space="preserve">FF1 204-207, line 48.4, col g </t>
  </si>
  <si>
    <t>Communication Equipment</t>
  </si>
  <si>
    <t>7-PlantInService, L. 112, col 16 through 18</t>
  </si>
  <si>
    <t xml:space="preserve">FF1 204-207, line 48.3, col g </t>
  </si>
  <si>
    <t>Computer Software</t>
  </si>
  <si>
    <t>7-PlantInService, L. 112, col 14 + col 15</t>
  </si>
  <si>
    <t xml:space="preserve">FF1 204-207, line 48.2, col g </t>
  </si>
  <si>
    <t>Computer Hardware</t>
  </si>
  <si>
    <t>7-PlantInService, L. 112, col 1 + col 2</t>
  </si>
  <si>
    <t xml:space="preserve">FF1 204-207, line 48, col g </t>
  </si>
  <si>
    <t>Land and Land Rights</t>
  </si>
  <si>
    <t>Transmission Plant</t>
  </si>
  <si>
    <t>Source for Col 4</t>
  </si>
  <si>
    <t>Adjustments</t>
  </si>
  <si>
    <t>Source for Col 1</t>
  </si>
  <si>
    <t>Account Description</t>
  </si>
  <si>
    <t>FERC Account</t>
  </si>
  <si>
    <t>CPUC</t>
  </si>
  <si>
    <t>FERC Form 1</t>
  </si>
  <si>
    <t>Col 1 + Col 3 - Col 4</t>
  </si>
  <si>
    <t>CPUC Transmission Plant represents Transmission Plant not recoverable through the TO rate case.</t>
  </si>
  <si>
    <t>FERC Transmission Plant represents only Network Transmission plant that is eligible for inclusion in rate base and recoverable through the TO rate case.</t>
  </si>
  <si>
    <t xml:space="preserve">Transmission Plant balances are Prior Year ending balances from PG&amp;E's FERC Form 1. </t>
  </si>
  <si>
    <t>Transmission Plant in FERC Form 1 for Prior Year:</t>
  </si>
  <si>
    <t>Schedule 6-PlantJursidiction</t>
  </si>
  <si>
    <t>recorded  Plant balances reflecting the recorded accounting transfers for January 1, 2025 as a result of implementation of Order 898.</t>
  </si>
  <si>
    <t xml:space="preserve">2) PG&amp;E will make one-time manual adjustments to reduce the balances on Line 400, Column 1 (i.e. December 2024 balances in Rate Year 2027 Annual Update) with the </t>
  </si>
  <si>
    <t>1) CGI Plant is Plant in FERC Accounts 389-399 or 301-303.  For Prior Year amounts for CGI Plant, see WP_7-PlantInService 5 with exception of note 2 below.</t>
  </si>
  <si>
    <t>(Line 400 + Line 401)/2</t>
  </si>
  <si>
    <t>Average</t>
  </si>
  <si>
    <t>See WP_7-PlantInService 5, L. 122, col 10</t>
  </si>
  <si>
    <t>See WP_7-PlantInService 5, L. 122, col 14 (or col 10) from annual update for Prior Year minus 1</t>
  </si>
  <si>
    <t>CGI Plant</t>
  </si>
  <si>
    <t>(Total Company)</t>
  </si>
  <si>
    <t>Voltage</t>
  </si>
  <si>
    <t xml:space="preserve">Labor Factor </t>
  </si>
  <si>
    <t>Total PG&amp;E</t>
  </si>
  <si>
    <t>Total Low</t>
  </si>
  <si>
    <t>Total High</t>
  </si>
  <si>
    <t>Total Network</t>
  </si>
  <si>
    <t>Network</t>
  </si>
  <si>
    <t>Col 3 * 24-Allocators, L. 127</t>
  </si>
  <si>
    <t>Col 3 * 24-Allocators, L. 126</t>
  </si>
  <si>
    <t>Col 1 * Col 2</t>
  </si>
  <si>
    <t>24-Allocators, 
L. 113</t>
  </si>
  <si>
    <t>Network Transmission Common, General and Intangible (CGI) Plant is the portion of total PG&amp;E CGI Plant allocated to Network Transmission using O&amp;M labor allocation factors.  See Note 1.</t>
  </si>
  <si>
    <t>4) Network Transmission Common, General and Intangible (CGI) Plant</t>
  </si>
  <si>
    <t>13-Month Average</t>
  </si>
  <si>
    <t>ETP35137</t>
  </si>
  <si>
    <t>ETP35135</t>
  </si>
  <si>
    <t>ETP35134</t>
  </si>
  <si>
    <t>ETP35133</t>
  </si>
  <si>
    <t>ETP35132</t>
  </si>
  <si>
    <t>ETP35131</t>
  </si>
  <si>
    <t>ETP35130</t>
  </si>
  <si>
    <t>ETP35122</t>
  </si>
  <si>
    <t>ETP35121</t>
  </si>
  <si>
    <t>ETP35120</t>
  </si>
  <si>
    <t>ETP35111</t>
  </si>
  <si>
    <t>ETP35110</t>
  </si>
  <si>
    <t>ETP35900</t>
  </si>
  <si>
    <t>ETP35800</t>
  </si>
  <si>
    <t>ETP35700</t>
  </si>
  <si>
    <t>ETP35600</t>
  </si>
  <si>
    <t>ETP35500</t>
  </si>
  <si>
    <t>ETP35402</t>
  </si>
  <si>
    <t>ETP35400</t>
  </si>
  <si>
    <t>ETP35302</t>
  </si>
  <si>
    <t>ETP35301</t>
  </si>
  <si>
    <t>ETP35202</t>
  </si>
  <si>
    <t>ETP35201</t>
  </si>
  <si>
    <t>ETP35002</t>
  </si>
  <si>
    <t>ETP35001</t>
  </si>
  <si>
    <t>351.37</t>
  </si>
  <si>
    <t>351.35</t>
  </si>
  <si>
    <t>351.34</t>
  </si>
  <si>
    <t>351.33</t>
  </si>
  <si>
    <t>351.32</t>
  </si>
  <si>
    <t>351.31</t>
  </si>
  <si>
    <t>351.30</t>
  </si>
  <si>
    <t>351.22</t>
  </si>
  <si>
    <t>351.21</t>
  </si>
  <si>
    <t>351.20</t>
  </si>
  <si>
    <t>351.11</t>
  </si>
  <si>
    <t>351.10</t>
  </si>
  <si>
    <t>FERC Account:</t>
  </si>
  <si>
    <t>Total of Col 1-25</t>
  </si>
  <si>
    <t>Col 26</t>
  </si>
  <si>
    <t>Col 25</t>
  </si>
  <si>
    <t>Col 24</t>
  </si>
  <si>
    <t>Col 23</t>
  </si>
  <si>
    <t>Col 22</t>
  </si>
  <si>
    <t>Col 21</t>
  </si>
  <si>
    <t>Col 20</t>
  </si>
  <si>
    <t>Col 19</t>
  </si>
  <si>
    <t>Col 18</t>
  </si>
  <si>
    <t>Col 17</t>
  </si>
  <si>
    <t>Col 16</t>
  </si>
  <si>
    <t>for inclusion in rate base, and recoverable through the TO rate case (as shown in WP_7-PlantInService 1). The monthly balances in Lines 300 - 312 are the end-of-month balances for Prior Year and December of Prior Year minus 1.</t>
  </si>
  <si>
    <t xml:space="preserve">Network Transmission Low Voltage Functional Plant balances are extracted from PowerPlan, PG&amp;E's fixed asset system of record, by querying by Asset Class, FERC Account and UCC. The balances are then adjusted to include only the FERC Jurisdiction Transmission plant that is eligible </t>
  </si>
  <si>
    <t>3) Network Transmission Functional Plant - Low Voltage</t>
  </si>
  <si>
    <t>for inclusion in rate base, and recoverable through the TO rate case (as shown in WP_7-PlantInService 1). The monthly balances in Lines 200 - 212 are the end-of-month balances for Prior Year and December of Prior Year minus 1.</t>
  </si>
  <si>
    <t xml:space="preserve">Network Transmission High Voltage Functional Plant balances are extracted from PowerPlan, PG&amp;E's fixed asset system of record, by querying by Asset Class, FERC Account and UCC. The balances are then adjusted to include only the FERC Jurisdiction Transmission plant that is eligible </t>
  </si>
  <si>
    <t>2) Network Transmission Functional Plant - High Voltage</t>
  </si>
  <si>
    <t>Section 2 + 
Section 3</t>
  </si>
  <si>
    <t>Total Network Transmission Functional Plant is the total of High Voltage (Section 2) and Low Voltage (Section 3) Network Transmission Plant. The monthly balances in Lines 100 -112 are the end-of-month balances for Prior Year and December of Prior Year minus 1.</t>
  </si>
  <si>
    <t>1) Total Network Transmission Functional Plant</t>
  </si>
  <si>
    <t>Schedule 7-PlantInService</t>
  </si>
  <si>
    <t>Approved</t>
  </si>
  <si>
    <t>ER25-2238-000</t>
  </si>
  <si>
    <t>Low</t>
  </si>
  <si>
    <t>Dinuba Battery Energy Storage System</t>
  </si>
  <si>
    <t>ER24-1513-000</t>
  </si>
  <si>
    <t>High</t>
  </si>
  <si>
    <t>North of Mesa Project (formerly Midway-Andrew 230 kV)</t>
  </si>
  <si>
    <t>Totals</t>
  </si>
  <si>
    <r>
      <t xml:space="preserve">Total Low Voltage Abandoned </t>
    </r>
    <r>
      <rPr>
        <sz val="11"/>
        <rFont val="Calibri"/>
        <family val="2"/>
      </rPr>
      <t>or Cancelled</t>
    </r>
    <r>
      <rPr>
        <sz val="11"/>
        <rFont val="Aptos Narrow"/>
        <family val="2"/>
        <scheme val="minor"/>
      </rPr>
      <t xml:space="preserve"> Projects (sum from below)</t>
    </r>
  </si>
  <si>
    <r>
      <t xml:space="preserve">Total High Voltage Abandoned </t>
    </r>
    <r>
      <rPr>
        <sz val="11"/>
        <rFont val="Calibri"/>
        <family val="2"/>
      </rPr>
      <t xml:space="preserve">or Cancelled </t>
    </r>
    <r>
      <rPr>
        <sz val="11"/>
        <rFont val="Aptos Narrow"/>
        <family val="2"/>
        <scheme val="minor"/>
      </rPr>
      <t>Projects (sum from below)</t>
    </r>
  </si>
  <si>
    <t>Status</t>
  </si>
  <si>
    <t>Docket Number</t>
  </si>
  <si>
    <t>Net of ADIT</t>
  </si>
  <si>
    <t>ADIT</t>
  </si>
  <si>
    <t>BOY Balance</t>
  </si>
  <si>
    <t>Period (yrs)</t>
  </si>
  <si>
    <t>Costs</t>
  </si>
  <si>
    <t>Authorization</t>
  </si>
  <si>
    <t>Average Balance</t>
  </si>
  <si>
    <t>EOY Balance</t>
  </si>
  <si>
    <t xml:space="preserve">Average </t>
  </si>
  <si>
    <t>EOY</t>
  </si>
  <si>
    <t>Start of</t>
  </si>
  <si>
    <t xml:space="preserve">Recoverable </t>
  </si>
  <si>
    <t>Total Project</t>
  </si>
  <si>
    <t>Col 9 - Col 10</t>
  </si>
  <si>
    <t>Col 8 - Col 10</t>
  </si>
  <si>
    <t>Col 9 * Composite Tax Rate</t>
  </si>
  <si>
    <t>(Col 6 + Col 8)/2</t>
  </si>
  <si>
    <r>
      <t xml:space="preserve">1) Prior Year Abandoned </t>
    </r>
    <r>
      <rPr>
        <b/>
        <sz val="11"/>
        <rFont val="Calibri"/>
        <family val="2"/>
      </rPr>
      <t>or Cancelled Projects</t>
    </r>
  </si>
  <si>
    <r>
      <t xml:space="preserve">PG&amp;E will include recoverable costs in this </t>
    </r>
    <r>
      <rPr>
        <sz val="11"/>
        <rFont val="Calibri"/>
        <family val="2"/>
      </rPr>
      <t xml:space="preserve">Schedule </t>
    </r>
    <r>
      <rPr>
        <sz val="11"/>
        <rFont val="Aptos Narrow"/>
        <family val="2"/>
        <scheme val="minor"/>
      </rPr>
      <t>for significant abandoned or cancelled projects approved or pending approval by the Commission for rate base recovery.</t>
    </r>
  </si>
  <si>
    <r>
      <t xml:space="preserve">Significant Abandoned </t>
    </r>
    <r>
      <rPr>
        <b/>
        <sz val="11"/>
        <rFont val="Calibri"/>
        <family val="2"/>
      </rPr>
      <t xml:space="preserve">or Cancelled </t>
    </r>
    <r>
      <rPr>
        <b/>
        <sz val="11"/>
        <rFont val="Aptos Narrow"/>
        <family val="2"/>
        <scheme val="minor"/>
      </rPr>
      <t xml:space="preserve">Projects Balance and Amortization </t>
    </r>
  </si>
  <si>
    <t>Schedule 8-AbandonedProject</t>
  </si>
  <si>
    <t>3) Depreciation accruals in the forecast periods of 2023 are calculated using TO20 Authorized depreciation rates.  See Lines 200-210 in 12-DepRates.  This only applies for TO21-RY2024.</t>
  </si>
  <si>
    <t>2) For High and Low Voltage Cost of Removal see WP_9-PlantAdditions 6, L. 149-172.</t>
  </si>
  <si>
    <t>1) For High and Low Voltage Gross Plant Additions see WP_9-PlantAdditions 5, L. 149-172.</t>
  </si>
  <si>
    <t>13-Month Average:</t>
  </si>
  <si>
    <t>Plant Additions</t>
  </si>
  <si>
    <t>Reserve</t>
  </si>
  <si>
    <t>Spend</t>
  </si>
  <si>
    <t>Accrual</t>
  </si>
  <si>
    <t>Gross Plant</t>
  </si>
  <si>
    <t>Net</t>
  </si>
  <si>
    <t>Incremental</t>
  </si>
  <si>
    <t>Cost of Removal</t>
  </si>
  <si>
    <t>Depreciation</t>
  </si>
  <si>
    <t>Gross</t>
  </si>
  <si>
    <t xml:space="preserve">Col 2 - Col 5 </t>
  </si>
  <si>
    <t>Prior Month 
+ Col 3 - Col 4</t>
  </si>
  <si>
    <t>Col 2 * 
(12-DepRates, L. 123, col 9)/12
Note 3</t>
  </si>
  <si>
    <t>Prior Month 
+ Col 1</t>
  </si>
  <si>
    <t>For the calculation of forecast Gross Plant Additions and Cost of Removal by planning order, see workpaper WP_9-PlantAdditions 1-4.</t>
  </si>
  <si>
    <t>Incremental Reserve is the total of the calculated depreciation accruals related to the Incremental Gross Plant less the forecast Cost of Removal Spend.</t>
  </si>
  <si>
    <t xml:space="preserve">Low Voltage Net Plant Additions are the total of the forecasted Incremental Gross Plant less the Incremental Reserve. Incremental Gross Plant is the total of forecast Gross Plant Additions. </t>
  </si>
  <si>
    <t>3) Low Voltage Net Plant Additions</t>
  </si>
  <si>
    <t xml:space="preserve">October </t>
  </si>
  <si>
    <t>For the calculation of forecast Gross Plant Additions and Cost of Removal Spend by planning order, see workpaper WP_9-PlantAdditions 1-4.</t>
  </si>
  <si>
    <t>Incremental Reserve is the cumulative total of the calculated depreciation accruals related to the Incremental Gross Plant less the forecast Cost of Removal Spend.</t>
  </si>
  <si>
    <t xml:space="preserve">High Voltage Net Plant Additions is the total of the forecasted Incremental Gross Plant less the Incremental Reserve. Incremental Gross Plant is the total of forecast Gross Plant Additions. </t>
  </si>
  <si>
    <t>2) High Voltage Net Plant Additions</t>
  </si>
  <si>
    <t>Rate Year Depr Exp (Sum Jan - Dec of the Rate Year)</t>
  </si>
  <si>
    <t>13-Month Average (Sum Lines 111 to 123)/13:</t>
  </si>
  <si>
    <t>Plant Adds</t>
  </si>
  <si>
    <t>Forecast Period</t>
  </si>
  <si>
    <t>Section 2 +
Section 3</t>
  </si>
  <si>
    <t>Total Forecast Net Plant Additions are the total of High Voltage Net Plant Additions (Section 2) and Low Voltage Net Plant Additions (Section 3).</t>
  </si>
  <si>
    <t>1) Total Forecast Net Plant Additions</t>
  </si>
  <si>
    <t>The 13-month average (including Prior Year + 2 and December of Prior Year + 1) of Net Plant Additions balances is multiplied by the AFCR to calculate the ITRR.</t>
  </si>
  <si>
    <t>Forecast Network Transmission Net Plant Additions balances are calculated using the forecast capital expenditures for Functional Plant major work categories for the two calendar years after the Prior Year.</t>
  </si>
  <si>
    <t>Schedule 9-PlantAdditions</t>
  </si>
  <si>
    <t>recorded  Accumulated Depreciation balances reflecting the recorded accounting transfers for January 1, 2025 as a result of implementation of Order 898.</t>
  </si>
  <si>
    <t xml:space="preserve">2) PG&amp;E will make one-time manual adjustments to reduce the balances on Line 400, Column 1  (i.e. December 2024 balances in Rate Year 2027 Annual Update) with the </t>
  </si>
  <si>
    <t>1) Accumulated Depreciation for CGI Plant is related to Plant in FERC Accounts 389-399 or 301-303. For Prior Year amounts for Accumulated Depreciation for CGI Plant, see WP_10-AccDep 4 with exception of note 2 below.</t>
  </si>
  <si>
    <t>See WP_10-AccDep 4, L. 122, col 10</t>
  </si>
  <si>
    <t>See WP_10-AccDep 4, L. 122, col 14 (or col 10) from annual update for Prior Year minus 1</t>
  </si>
  <si>
    <t>Labor Factor</t>
  </si>
  <si>
    <t>Total Low Voltage CGI</t>
  </si>
  <si>
    <t>Total High Voltage CGI</t>
  </si>
  <si>
    <t>Total Network
Transmission CGI</t>
  </si>
  <si>
    <t>Network Transmission</t>
  </si>
  <si>
    <t>Total PG&amp;E CGI</t>
  </si>
  <si>
    <t>Accumulated Depreciation balances for Network Transmission CGI Plant is the portion of total PG&amp;E CGI Plant allocated to Network Transmission using O&amp;M labor allocation factors.  See Note 1.</t>
  </si>
  <si>
    <t>4) Accumulated Depreciation for Network Transmission Common, General and Intangible (CGI) Plant</t>
  </si>
  <si>
    <t>FERC Jurisdiction Transmission Plant that are eligible for inclusion in rate base and recoverable through the TO rate case. The monthly balances in Lines 300 - 312 are the end-of-month balances for Prior Year and December of Prior Year minus 1.</t>
  </si>
  <si>
    <t>Accumulated Depreciation balances for Network Transmission Low Voltage Functional Plant are extracted from PowerPlan, PG&amp;E's fixed asset system of record, by querying by Asset Class, FERC Account and UCC. The balances are then adjusted to include only the amounts related to</t>
  </si>
  <si>
    <t>3) Accumulated Depreciation for Network Transmission Functional Plant - Low Voltage</t>
  </si>
  <si>
    <t>FERC Jurisdiction Transmission Plant that are eligible for inclusion in rate base and recoverable through the TO rate case. The monthly balances in Lines 200 - 212 are the end-of-month balances for Prior Year and December of Prior Year minus 1.</t>
  </si>
  <si>
    <t>Accumulated Depreciation balances for Network Transmission High Voltage Functional Plant are extracted from PowerPlan, PG&amp;E's fixed asset system of record, by querying by Asset Class, FERC Account and UCC. The balances are then adjusted to include only the amounts related to</t>
  </si>
  <si>
    <t>2) Accumulated Depreciation for Network Transmission Functional Plant - High Voltage</t>
  </si>
  <si>
    <t>The monthly balances in Lines 100 -112 are the end-of-month balances for Prior Year and December of Prior Year - 1.</t>
  </si>
  <si>
    <t xml:space="preserve">Total Accumulated Depreciation for Network Transmission Functional Plant is the total of the Accumulated Depreciation related to High Voltage (Section 2) and Low Voltage (Section 3) Network Transmission Plant. </t>
  </si>
  <si>
    <t>1) Total Accumulated Depreciation for Network Transmission Functional Plant</t>
  </si>
  <si>
    <t>Schedule 10-AccDep</t>
  </si>
  <si>
    <t>3) ETP35002 - Land Rights is depreciated using the composite depreciation rate excluding net salvage for transmission plant, see 12-DepRates, L. 123, col 10.</t>
  </si>
  <si>
    <t>2) Account 350.01 - Land is not depreciated in the TO rate case.</t>
  </si>
  <si>
    <t>1) CGI Plant is Plant in FERC Accounts 389-399 or 301-303.  For total Prior Year Depreciation Expense for CGI Plant, see WP_11-Depreciation 3, L. 122, col 10.</t>
  </si>
  <si>
    <t>Line 600 minus Line 601</t>
  </si>
  <si>
    <t>Depreciation Expense Rate Adjustment</t>
  </si>
  <si>
    <t>Section 1, Line 102, col 26</t>
  </si>
  <si>
    <t>Total Prior Year Recorded Depreciation Expense</t>
  </si>
  <si>
    <t>Section 5, Line 512, col 26</t>
  </si>
  <si>
    <t>Calculated Depreciation Expense for Recorded Plant Using Proposed Rates</t>
  </si>
  <si>
    <t xml:space="preserve">The Depreciation Expense Rate Adjustment is the difference between the recorded Prior Year depreciation expense and the depreciation expense amount that would have resulted from using the proposed rates. </t>
  </si>
  <si>
    <r>
      <rPr>
        <b/>
        <sz val="11"/>
        <rFont val="Calibri"/>
        <family val="2"/>
      </rPr>
      <t xml:space="preserve">6) </t>
    </r>
    <r>
      <rPr>
        <b/>
        <sz val="11"/>
        <rFont val="Aptos Narrow"/>
        <family val="2"/>
        <scheme val="minor"/>
      </rPr>
      <t>Depreciation Expense Rate Adjustment</t>
    </r>
  </si>
  <si>
    <t>Section 3 * 
(Section 4)/12</t>
  </si>
  <si>
    <t xml:space="preserve">The Prior Year recorded plant balances are multiplied by the proposed depreciation rates to calculate the total Prior Year depreciation expense that would have resulted from using the proposed rates. </t>
  </si>
  <si>
    <r>
      <rPr>
        <b/>
        <sz val="11"/>
        <rFont val="Calibri"/>
        <family val="2"/>
      </rPr>
      <t>5)</t>
    </r>
    <r>
      <rPr>
        <b/>
        <sz val="11"/>
        <rFont val="Aptos Narrow"/>
        <family val="2"/>
        <scheme val="minor"/>
      </rPr>
      <t xml:space="preserve"> Calculated Depreciation Expense for Prior Year Recorded Network Transmission Functional Plant Using Proposed Rates</t>
    </r>
  </si>
  <si>
    <t>Proposed Depreciation Rates</t>
  </si>
  <si>
    <t>12-DepRates, 
L. 122</t>
  </si>
  <si>
    <t>12-DepRates, 
L. 121</t>
  </si>
  <si>
    <t>12-DepRates, 
L. 120</t>
  </si>
  <si>
    <t>12-DepRates, 
L. 119</t>
  </si>
  <si>
    <t>12-DepRates, 
L. 118</t>
  </si>
  <si>
    <t>12-DepRates, 
L. 117</t>
  </si>
  <si>
    <t>12-DepRates, 
L. 116</t>
  </si>
  <si>
    <t>12-DepRates, 
L. 115</t>
  </si>
  <si>
    <t>12-DepRates, 
L. 114</t>
  </si>
  <si>
    <t>12-DepRates, 
L. 113</t>
  </si>
  <si>
    <t>12-DepRates, 
L. 112</t>
  </si>
  <si>
    <t>12-DepRates, 
L. 111</t>
  </si>
  <si>
    <t>12-DepRates, 
L. 110</t>
  </si>
  <si>
    <t>12-DepRates, 
L. 109</t>
  </si>
  <si>
    <t>12-DepRates, 
L. 108</t>
  </si>
  <si>
    <t>12-DepRates, 
L. 107</t>
  </si>
  <si>
    <t>12-DepRates, 
L. 106</t>
  </si>
  <si>
    <t>12-DepRates, 
L. 105</t>
  </si>
  <si>
    <t>12-DepRates, 
L. 104</t>
  </si>
  <si>
    <t>12-DepRates, 
L. 103</t>
  </si>
  <si>
    <t>12-DepRates, 
L. 102</t>
  </si>
  <si>
    <t>12-DepRates, 
L. 101</t>
  </si>
  <si>
    <t>12-DepRates, 
L. 100</t>
  </si>
  <si>
    <t>The rates listed below are annual rates.</t>
  </si>
  <si>
    <t xml:space="preserve">Proposed Network Transmission Functional Plant Depreciation Rates are from Schedule 12-DepRates. The Depreciation Rates for Columns 3-25 are from Schedule 12-DepRates, L. 100 - 122. </t>
  </si>
  <si>
    <r>
      <rPr>
        <b/>
        <sz val="11"/>
        <rFont val="Calibri"/>
        <family val="2"/>
      </rPr>
      <t xml:space="preserve">4) </t>
    </r>
    <r>
      <rPr>
        <b/>
        <sz val="11"/>
        <rFont val="Aptos Narrow"/>
        <family val="2"/>
        <scheme val="minor"/>
      </rPr>
      <t>Proposed Network Transmission Functional Plant Depreciation Rates</t>
    </r>
  </si>
  <si>
    <t>Total Network Transmission Functional Plant Prior Year balances are from 7-PlantInService, L. 101-112.</t>
  </si>
  <si>
    <r>
      <rPr>
        <b/>
        <sz val="11"/>
        <rFont val="Calibri"/>
        <family val="2"/>
      </rPr>
      <t>3)</t>
    </r>
    <r>
      <rPr>
        <b/>
        <sz val="11"/>
        <rFont val="Aptos Narrow"/>
        <family val="2"/>
        <scheme val="minor"/>
      </rPr>
      <t xml:space="preserve"> Total Network Transmission Functional Plant</t>
    </r>
  </si>
  <si>
    <t>It is also included in 1-BaseTRR for each annual update to account for (i.e., remove) any journal entries not derived from the same period's ending Plant balance and authorized depreciation rates.</t>
  </si>
  <si>
    <t xml:space="preserve">The Depreciation Expense Rate Adjustment factors into the Base TRR in filings where there are proposed depreciation rates for the rate year that are different from the rates used to record depreciation expense in the Prior Year. </t>
  </si>
  <si>
    <r>
      <t xml:space="preserve">The following sections (Sections </t>
    </r>
    <r>
      <rPr>
        <sz val="11"/>
        <rFont val="Calibri"/>
        <family val="2"/>
      </rPr>
      <t>3-6</t>
    </r>
    <r>
      <rPr>
        <sz val="11"/>
        <rFont val="Aptos Narrow"/>
        <family val="2"/>
        <scheme val="minor"/>
      </rPr>
      <t>) are used to calculate the Depreciation Expense Rate Adjustment, which is a method to account for the potential difference in the Base TRR that would result from changing the depreciation rates for Network Transmission Functional Plant.</t>
    </r>
  </si>
  <si>
    <t xml:space="preserve">   Calculation of the Depreciation Expense Rate Adjustment</t>
  </si>
  <si>
    <t>Expense</t>
  </si>
  <si>
    <t>Total Network Transmission CGI</t>
  </si>
  <si>
    <t>Depreciation Expense for Network Transmission CGI Plant is the portion of total PG&amp;E CGI Plant allocated to Network Transmission using O&amp;M labor allocation factors.</t>
  </si>
  <si>
    <t>2) Depreciation Expense for Network Transmission Common, General and Intangible (CGI) Plant</t>
  </si>
  <si>
    <t>Low Voltage</t>
  </si>
  <si>
    <t>High Voltage</t>
  </si>
  <si>
    <t>The Depreciation Expense amounts by FERC Account and Asset Class in Lines 100 and 101 represent the amounts related to High Voltage and Low Voltage Network Transmission Plant.</t>
  </si>
  <si>
    <t xml:space="preserve">Prior Year recorded Depreciation Expense is extracted from PowerPlan, PG&amp;E's fixed asset system of record, by querying by Asset Class. It is then allocated to UCC and Functional Area based on Prior Year ending plant balances. </t>
  </si>
  <si>
    <t>1) Depreciation Expense for Network Transmission Functional Plant</t>
  </si>
  <si>
    <t>Schedule 11-Depreciation</t>
  </si>
  <si>
    <r>
      <t>3) Depreciation Rates in Lines 200-210 will only be used for TO21-RY2024 for forecasted periods in 2023.  It will remain presented in subsequent TO21 Annual Update Filings, but will not be used to calculate forecasted depreciation accruals in Schedule</t>
    </r>
    <r>
      <rPr>
        <sz val="11"/>
        <rFont val="Calibri"/>
        <family val="2"/>
      </rPr>
      <t xml:space="preserve"> 9 (9-PlantAdditions)</t>
    </r>
    <r>
      <rPr>
        <sz val="11"/>
        <rFont val="Aptos Narrow"/>
        <family val="2"/>
        <scheme val="minor"/>
      </rPr>
      <t>.</t>
    </r>
  </si>
  <si>
    <r>
      <t xml:space="preserve">2) Depreciation Rates in Lines 200-209, cols 9, 10, and 11 are </t>
    </r>
    <r>
      <rPr>
        <sz val="11"/>
        <rFont val="Calibri"/>
        <family val="2"/>
      </rPr>
      <t>TO20</t>
    </r>
    <r>
      <rPr>
        <sz val="11"/>
        <rFont val="Aptos Narrow"/>
        <family val="2"/>
        <scheme val="minor"/>
      </rPr>
      <t xml:space="preserve"> authorized rates. Please see the Offer of Settlement from PG&amp;E's October 15, 2020 global settlement filing.</t>
    </r>
  </si>
  <si>
    <t>1) Depreciation Rates in this Schedule cannot be changed without FERC authorization from a Section 205 or 206 filing.</t>
  </si>
  <si>
    <t>COMPUTER SOFTWARE</t>
  </si>
  <si>
    <t>EIP30303</t>
  </si>
  <si>
    <t>USBR - LIMITED TERM ELECTRIC</t>
  </si>
  <si>
    <t>EIP30301</t>
  </si>
  <si>
    <t>FRANCHISES AND CONSENTS</t>
  </si>
  <si>
    <t>EIP30201</t>
  </si>
  <si>
    <t>MISCELLANEOUS EQUIPMENT</t>
  </si>
  <si>
    <t>EGP39800</t>
  </si>
  <si>
    <t>AMI COMMUNICATION NETWORK</t>
  </si>
  <si>
    <t>EGP39708</t>
  </si>
  <si>
    <t>COMMUNICATION EQUIPMENT</t>
  </si>
  <si>
    <t>EGP39700</t>
  </si>
  <si>
    <t>POWER OPERATED EQUIPMENT</t>
  </si>
  <si>
    <t>EGP39600</t>
  </si>
  <si>
    <t>LABORATORY EQUIPMENT</t>
  </si>
  <si>
    <t>EGP39500</t>
  </si>
  <si>
    <t>TOOLS, SHOP AND WORK EQUIPMENT</t>
  </si>
  <si>
    <t>EGP39400</t>
  </si>
  <si>
    <t>OFFICE FURNITURE AND EQUIPMENT</t>
  </si>
  <si>
    <t>EGP39100</t>
  </si>
  <si>
    <t>STRUCTURES AND IMPROVEMENTS</t>
  </si>
  <si>
    <t>EGP39000</t>
  </si>
  <si>
    <t>LAND RIGHTS</t>
  </si>
  <si>
    <t>EGP38902</t>
  </si>
  <si>
    <t>LAND</t>
  </si>
  <si>
    <t>EGP38901</t>
  </si>
  <si>
    <t>OTHER TANGIBLE PROPERTY</t>
  </si>
  <si>
    <t>CMP39900</t>
  </si>
  <si>
    <t>CMP39800</t>
  </si>
  <si>
    <t>CMP39708</t>
  </si>
  <si>
    <t>COMMUNICATION EQUIPMENT - TRANSMISSION SYSTEMS, ELECTRIC AMI</t>
  </si>
  <si>
    <t>CMP39707</t>
  </si>
  <si>
    <t>COMMUNICATION EQUIPMENT - TRANSMISSION SYSTEMS, GAS AMI</t>
  </si>
  <si>
    <t>CMP39706</t>
  </si>
  <si>
    <t>COMMUNICATION EQUIPMENT - TRANSMISSION SYSTEMS</t>
  </si>
  <si>
    <t>CMP39705</t>
  </si>
  <si>
    <t>COMMUNICATION EQUIPMENT - VOICE SYSTEMS</t>
  </si>
  <si>
    <t>CMP39704</t>
  </si>
  <si>
    <t>COMMUNICATION EQUIPMENT - RADIO SYSTEMS</t>
  </si>
  <si>
    <t>CMP39703</t>
  </si>
  <si>
    <t>COMMUNICATION EQUIPMENT - COMPUTER</t>
  </si>
  <si>
    <t>CMP39702</t>
  </si>
  <si>
    <t>COMMUNICATION EQUIPMENT - NON-COMPUTER</t>
  </si>
  <si>
    <t>CMP39701</t>
  </si>
  <si>
    <t>CMP39600</t>
  </si>
  <si>
    <t>CMP39500</t>
  </si>
  <si>
    <t>TOOLS, SHOP AND GARAGE EQUIPMENT</t>
  </si>
  <si>
    <t>CMP39400</t>
  </si>
  <si>
    <t>STORES EQUIPMENT</t>
  </si>
  <si>
    <t>CMP39300</t>
  </si>
  <si>
    <t>TRANSPORTATION EQUIPMENT - TRAILERS</t>
  </si>
  <si>
    <t>CMP39209</t>
  </si>
  <si>
    <t>TRANSPORTATION EQUIPMENT - VESSELS</t>
  </si>
  <si>
    <t>CMP39208</t>
  </si>
  <si>
    <t xml:space="preserve">TRANSPORTATION EQUIPMENT - CLASS T4 </t>
  </si>
  <si>
    <t>CMP39207</t>
  </si>
  <si>
    <t>TRANSPORTATION EQUIPMENT - CLASS T3</t>
  </si>
  <si>
    <t>CMP39206</t>
  </si>
  <si>
    <t xml:space="preserve">TRANSPORTATION EQUIPMENT - CLASS T1 </t>
  </si>
  <si>
    <t>CMP39205</t>
  </si>
  <si>
    <t>TRANSPORTATION EQUIPMENT - CLASS C4</t>
  </si>
  <si>
    <t>CMP39204</t>
  </si>
  <si>
    <t>TRANSPORTATION EQUIPMENT - CLASS C2</t>
  </si>
  <si>
    <t>CMP39203</t>
  </si>
  <si>
    <t>TRANSPORTATION EQUIPMENT - CLASS P</t>
  </si>
  <si>
    <t>CMP39202</t>
  </si>
  <si>
    <t>TRANSPORTATION EQUIPMENT - AIR</t>
  </si>
  <si>
    <t>CMP39201</t>
  </si>
  <si>
    <t>OFFICE MACHINES AND COMPUTER EQUIPMENT - CIS - FULLY ACCRUED</t>
  </si>
  <si>
    <t>CMP39104</t>
  </si>
  <si>
    <t>CMP39103</t>
  </si>
  <si>
    <t>PC HARDWARE</t>
  </si>
  <si>
    <t>CMP39102</t>
  </si>
  <si>
    <t xml:space="preserve">OFFICE MACHINES </t>
  </si>
  <si>
    <t>CMP39101</t>
  </si>
  <si>
    <t>COMM PLANT: LEASEHOLD IMPR</t>
  </si>
  <si>
    <t>CMP39001</t>
  </si>
  <si>
    <t>CMP39000</t>
  </si>
  <si>
    <t>CMP38902</t>
  </si>
  <si>
    <t>LAND - COMMON PLANT</t>
  </si>
  <si>
    <t>CMP38901</t>
  </si>
  <si>
    <t>SOFTWARE CIS</t>
  </si>
  <si>
    <t>CMP30304</t>
  </si>
  <si>
    <t>SOFTWARE</t>
  </si>
  <si>
    <t>CMP30302</t>
  </si>
  <si>
    <t>MISCELLANEOUS INTANGIBLE PLANT</t>
  </si>
  <si>
    <t>CMP30301</t>
  </si>
  <si>
    <t>FRANCHISES AND CONSENTS - COMMON PLANT</t>
  </si>
  <si>
    <t>CMP30200</t>
  </si>
  <si>
    <t>ORGANIZATION - COMMON PLANT</t>
  </si>
  <si>
    <t>CMP30101</t>
  </si>
  <si>
    <t>ACCRUAL RATES</t>
  </si>
  <si>
    <t>Asset Class Description</t>
  </si>
  <si>
    <t>Asset Class</t>
  </si>
  <si>
    <t>Func</t>
  </si>
  <si>
    <t>DEPRECIATION</t>
  </si>
  <si>
    <r>
      <rPr>
        <b/>
        <sz val="11"/>
        <rFont val="Calibri"/>
        <family val="2"/>
      </rPr>
      <t xml:space="preserve">3) </t>
    </r>
    <r>
      <rPr>
        <b/>
        <sz val="11"/>
        <rFont val="Aptos Narrow"/>
        <family val="2"/>
        <scheme val="minor"/>
      </rPr>
      <t>COMMON, GENERAL AND INTANGIBLE (CGI) PLANT (Note 5)</t>
    </r>
  </si>
  <si>
    <t>TOTAL TRANSMISSION PLANT</t>
  </si>
  <si>
    <t>60 - R1.5</t>
  </si>
  <si>
    <t>ROADS AND TRAILS</t>
  </si>
  <si>
    <t>55 - R3</t>
  </si>
  <si>
    <t>UNDERGROUND CONDUCTORS AND DEVICES</t>
  </si>
  <si>
    <t>65 - R4</t>
  </si>
  <si>
    <t>UNDERGROUND CONDUIT</t>
  </si>
  <si>
    <t>65 - R2</t>
  </si>
  <si>
    <t>OVERHEAD CONDUCTORS AND DEVICES</t>
  </si>
  <si>
    <t>54 - R1.5</t>
  </si>
  <si>
    <t>POLES AND FIXTURES</t>
  </si>
  <si>
    <t>75 - R4</t>
  </si>
  <si>
    <t>TOWERS AND FIXTURES</t>
  </si>
  <si>
    <t>55 - R1.5</t>
  </si>
  <si>
    <t>STATION EQUIPMENT - STEP-UP TRANSFORMERS</t>
  </si>
  <si>
    <t>46 - R2</t>
  </si>
  <si>
    <t>STATION EQUIPMENT</t>
  </si>
  <si>
    <t>70 - R3</t>
  </si>
  <si>
    <t>STRUCTURES AND IMPROVEMENTS - EQUIPMENT</t>
  </si>
  <si>
    <t>COR RATE</t>
  </si>
  <si>
    <t>LIFE RATE</t>
  </si>
  <si>
    <t>RATE</t>
  </si>
  <si>
    <t>AMOUNT</t>
  </si>
  <si>
    <t>LIFE</t>
  </si>
  <si>
    <t>CURVE</t>
  </si>
  <si>
    <t>ACCRUALS</t>
  </si>
  <si>
    <t>RESERVE</t>
  </si>
  <si>
    <t>PCT.</t>
  </si>
  <si>
    <t>COST</t>
  </si>
  <si>
    <t>ANNUAL ACCRUAL</t>
  </si>
  <si>
    <t>REMAINING</t>
  </si>
  <si>
    <t>SURVIVOR</t>
  </si>
  <si>
    <t>FUTURE</t>
  </si>
  <si>
    <t>BOOK</t>
  </si>
  <si>
    <t>NET SALVAGE</t>
  </si>
  <si>
    <t>ORIGINAL</t>
  </si>
  <si>
    <t>Col 1 x Col 9</t>
  </si>
  <si>
    <t xml:space="preserve"> Col 1 - Col 3 - Col 4</t>
  </si>
  <si>
    <t>10-AccDep, 
L. 112, Col 3-12</t>
  </si>
  <si>
    <t>Col 1 x Col 2</t>
  </si>
  <si>
    <t>7-PlantInService, 
L. 112, Col 3-12</t>
  </si>
  <si>
    <t>Forecast periods in 2023 accrue depreciation expense from the authorized TO20 depreciation rates.  All other forecast periods beyond 2023 in Column 3 of 9-PlantAdditions will be calculated using the depreciation rates in Table 1 (above) of this tab (12-DepRates).</t>
  </si>
  <si>
    <t>The depreciation rates in this table will only be utilized for TO21-RY2024 to calculate the depreciation accruals in Column 3 of 9-PlantAdditions for the forecast periods in 2023.</t>
  </si>
  <si>
    <r>
      <t xml:space="preserve">2) ELECTRIC TRANSMISSION PLANT - TO20 AUTHORIZED DEPRECIATION RATES </t>
    </r>
    <r>
      <rPr>
        <b/>
        <sz val="11"/>
        <rFont val="Calibri"/>
        <family val="2"/>
      </rPr>
      <t>(Note 2) (Note 3)</t>
    </r>
  </si>
  <si>
    <t>15 - SQ</t>
  </si>
  <si>
    <t>NETWORK TRANSMISSION:  COMM EQUIP (FPP)</t>
  </si>
  <si>
    <t>ETP</t>
  </si>
  <si>
    <t>15- SQ</t>
  </si>
  <si>
    <t>NETWORK TRANSMISSION:  AMI COMMUNICATION NETWORK</t>
  </si>
  <si>
    <t>20 - SQ</t>
  </si>
  <si>
    <t>NETWORK TRANSMISSION:  COMM EQUIP - TRANSMISSION SYSTEMS</t>
  </si>
  <si>
    <t>7 - SQ</t>
  </si>
  <si>
    <t>NETWORK TRANSMISSION:  COMM EQUIP - VOICE SYSTEMS</t>
  </si>
  <si>
    <t>NETWORK TRANSMISSION:  COMM EQUIP - RADIO SYSTEMS</t>
  </si>
  <si>
    <t>5 - SQ</t>
  </si>
  <si>
    <t>NETWORK TRANSMISSION:  COMM EQUIP - COMPUTER BASED</t>
  </si>
  <si>
    <t>NETWORK TRANSMISSION:  COMM EQUIP - NON-COMPUTER BASED</t>
  </si>
  <si>
    <t>NETWORK TRANSMISSION:  COMPUTER SOFTWARE 5 YEARS</t>
  </si>
  <si>
    <t>13 - SQ</t>
  </si>
  <si>
    <t>NETWORK TRANSMISSION:  COMPUTER SOFTWARE 13 YEARS</t>
  </si>
  <si>
    <t>NETWORK TRANSMISSION:  PERSONAL COMPUTER</t>
  </si>
  <si>
    <t>NETWORK TRANSMISSION:  COMPUTER HARDWARE</t>
  </si>
  <si>
    <t>65 - R1.5</t>
  </si>
  <si>
    <t>56 - R1.5</t>
  </si>
  <si>
    <t>20 - S3</t>
  </si>
  <si>
    <t>TOWERS AND FIXTURES - CORROSION CONTROL</t>
  </si>
  <si>
    <t>80 - R4</t>
  </si>
  <si>
    <t>55 - R2</t>
  </si>
  <si>
    <t>47 - R2</t>
  </si>
  <si>
    <t>10-AccDep, 
L. 112, Col 3-25</t>
  </si>
  <si>
    <t>7-PlantInService, 
L. 112, Col 3-25</t>
  </si>
  <si>
    <r>
      <t xml:space="preserve">1) ELECTRIC TRANSMISSION PLANT - </t>
    </r>
    <r>
      <rPr>
        <b/>
        <sz val="11"/>
        <rFont val="Calibri"/>
        <family val="2"/>
      </rPr>
      <t>TO21 DEPRECIATION RATES</t>
    </r>
  </si>
  <si>
    <t>DEPRECIATION RATES (Note 1)</t>
  </si>
  <si>
    <t>Schedule 12-DepRates</t>
  </si>
  <si>
    <t>month-end recorded balances in col 8.</t>
  </si>
  <si>
    <r>
      <rPr>
        <sz val="11"/>
        <rFont val="Calibri"/>
        <family val="2"/>
      </rPr>
      <t xml:space="preserve">6)  </t>
    </r>
    <r>
      <rPr>
        <sz val="11"/>
        <rFont val="Aptos Narrow"/>
        <family val="2"/>
        <scheme val="minor"/>
      </rPr>
      <t>PG&amp;E conducted a query of GL Acct 165 for other prepaid amounts consisting of Acct 308.1 excise taxes, property taxes and miscellaneous and reflected the</t>
    </r>
  </si>
  <si>
    <r>
      <rPr>
        <sz val="11"/>
        <rFont val="Calibri"/>
        <family val="2"/>
      </rPr>
      <t xml:space="preserve">5)  </t>
    </r>
    <r>
      <rPr>
        <sz val="11"/>
        <rFont val="Aptos Narrow"/>
        <family val="2"/>
        <scheme val="minor"/>
      </rPr>
      <t>PG&amp;E conducted a query of GL Acct 165 for prepaid amounts related to A&amp;G account 925 general liability insurance and reflected the month-end recorded balances in col 7.</t>
    </r>
  </si>
  <si>
    <r>
      <rPr>
        <sz val="11"/>
        <rFont val="Calibri"/>
        <family val="2"/>
      </rPr>
      <t xml:space="preserve">4)  </t>
    </r>
    <r>
      <rPr>
        <sz val="11"/>
        <rFont val="Aptos Narrow"/>
        <family val="2"/>
        <scheme val="minor"/>
      </rPr>
      <t>PG&amp;E conducted a query of GL Acct 165 for prepaid amounts related to A&amp;G account 924 property insurance and reflected the month-end recorded balances in col 6.</t>
    </r>
  </si>
  <si>
    <r>
      <rPr>
        <sz val="11"/>
        <rFont val="Calibri"/>
        <family val="2"/>
      </rPr>
      <t xml:space="preserve">3)  </t>
    </r>
    <r>
      <rPr>
        <sz val="11"/>
        <rFont val="Aptos Narrow"/>
        <family val="2"/>
        <scheme val="minor"/>
      </rPr>
      <t>PG&amp;E conducted a query of the subaccounts of General Ledger (GL) Account 165 and removed all prepayments that are directly assigned to PG&amp;E's Generation department in col 4.</t>
    </r>
  </si>
  <si>
    <t>For warehouses that serve as distribution centers for multiple functional areas, PG&amp;E allocates to functional areas based on the respective warehouse's historical consumption data.</t>
  </si>
  <si>
    <r>
      <t xml:space="preserve">2)  PG&amp;E's supply chain management team uses </t>
    </r>
    <r>
      <rPr>
        <sz val="11"/>
        <rFont val="Calibri"/>
        <family val="2"/>
      </rPr>
      <t xml:space="preserve">Materials and Supplies balances at the Major Work Category level by warehouse to assign to functional areas. </t>
    </r>
    <r>
      <rPr>
        <sz val="11"/>
        <rFont val="Aptos Narrow"/>
        <family val="2"/>
        <scheme val="minor"/>
      </rPr>
      <t xml:space="preserve"> </t>
    </r>
  </si>
  <si>
    <r>
      <rPr>
        <sz val="11"/>
        <rFont val="Calibri"/>
        <family val="2"/>
      </rPr>
      <t xml:space="preserve">1) </t>
    </r>
    <r>
      <rPr>
        <sz val="11"/>
        <rFont val="Aptos Narrow"/>
        <family val="2"/>
        <scheme val="minor"/>
      </rPr>
      <t xml:space="preserve"> Materials and Supplies month-end balances are extracted from SAP by querying by General Ledger (GL) Account. December balances are from FF1 227, L. 12, cols b and c. </t>
    </r>
  </si>
  <si>
    <t>Allocated Prepayments</t>
  </si>
  <si>
    <t>b)  EOY Calculation</t>
  </si>
  <si>
    <t>a)  13 Month Avg Calculation</t>
  </si>
  <si>
    <t>24-Allocators, L. 116, L. 135, L. 113</t>
  </si>
  <si>
    <t>Network Transmission Blended Factor (Total Company)</t>
  </si>
  <si>
    <t>Allocation Method from Total Company to Electric Transmission Network</t>
  </si>
  <si>
    <t>50% Plant / 50% Labor</t>
  </si>
  <si>
    <t>Misc.</t>
  </si>
  <si>
    <t>Liability Insurance</t>
  </si>
  <si>
    <t>Property Insurance</t>
  </si>
  <si>
    <t>Adjusted Total</t>
  </si>
  <si>
    <t>Direct Assignments</t>
  </si>
  <si>
    <t>Total Company Prepayments</t>
  </si>
  <si>
    <t>Detail of Adjusted Total Prepaids</t>
  </si>
  <si>
    <t xml:space="preserve">Less:  </t>
  </si>
  <si>
    <t>col 3 - col 4</t>
  </si>
  <si>
    <t>FF1 110-111, L. 57, col c</t>
  </si>
  <si>
    <t>Data Source:</t>
  </si>
  <si>
    <t xml:space="preserve"> Other prepayments are allocated to ETN based on the labor ratio.</t>
  </si>
  <si>
    <r>
      <t xml:space="preserve">Prepaid property insurance is allocated to Electric Transmission Network (ETN) based on plant ratios.  Prepaid liability insurance is allocated to ETN based on a </t>
    </r>
    <r>
      <rPr>
        <sz val="11"/>
        <rFont val="Calibri"/>
        <family val="2"/>
      </rPr>
      <t>50% plant, 50% labor ratio</t>
    </r>
    <r>
      <rPr>
        <sz val="11"/>
        <rFont val="Aptos Narrow"/>
        <family val="2"/>
        <scheme val="minor"/>
      </rPr>
      <t>.</t>
    </r>
  </si>
  <si>
    <t>2) Calculation of Prepayments</t>
  </si>
  <si>
    <t xml:space="preserve"> Transmission </t>
  </si>
  <si>
    <t>Materials &amp; Supplies</t>
  </si>
  <si>
    <t xml:space="preserve">Line </t>
  </si>
  <si>
    <t>Company</t>
  </si>
  <si>
    <t xml:space="preserve">Total </t>
  </si>
  <si>
    <t>Col 2 * 
24-Allocators, L. 127</t>
  </si>
  <si>
    <t>Col 2 * 
24-Allocators, L. 126</t>
  </si>
  <si>
    <t>Materials and Supplies balances are recorded in FERC Account 154 and are assigned to Network Transmission based on warehouse data at the Major Work Category level.</t>
  </si>
  <si>
    <t>1) Calculation of Materials and Supplies</t>
  </si>
  <si>
    <t>Schedule 13-WorkCap</t>
  </si>
  <si>
    <t>3) Formula for Line 728 (Line 727 x 1-BaseTRR L. 220) x (1-BaseTRR L. 402/(1 - 1-BaseTRR L. 402))+(Line 727 x 1-BaseTRR L 216)</t>
  </si>
  <si>
    <t>2) For January through December = previous month balance plus amount in col 2.</t>
  </si>
  <si>
    <t>1) The monthly deferred tax amounts are equal to the ending ADIT balance minus the beginning ADIT balance, divided by 12 months.</t>
  </si>
  <si>
    <t>Table 1 - MACRS 15-Yr Prop</t>
  </si>
  <si>
    <t>Impact of ADIT on Forecasted Plant Additions Plus Amortization of Excess ADIT</t>
  </si>
  <si>
    <t>Total Additions</t>
  </si>
  <si>
    <t>Sub-total Additions</t>
  </si>
  <si>
    <t>Prior Month Col 11 + Col 10</t>
  </si>
  <si>
    <t>Col 8 * Col 9</t>
  </si>
  <si>
    <t>Col 6, Lines 600-612</t>
  </si>
  <si>
    <t>Col 6 + Col 7</t>
  </si>
  <si>
    <t>1-BaseTRR, Line 405/12</t>
  </si>
  <si>
    <t>Col 3 - Col 4 - Col 5 * 1-BaseTRR Line 402</t>
  </si>
  <si>
    <t>Col 2, Line 712 * Col 1, Line 730/12</t>
  </si>
  <si>
    <t>Col 2 * Col 1, Line 729</t>
  </si>
  <si>
    <t>((Col 2, Line 712/12)*12-DepRates, Col 9, Line 110) + ((Col 2*12-DepRates, Col 9, Line 110/)12 * Remaining Months)</t>
  </si>
  <si>
    <t>9-PlantAdditions Col 1, Lines 112-123</t>
  </si>
  <si>
    <t>Rate Year Plant Additions</t>
  </si>
  <si>
    <t>Accumulated ADIT</t>
  </si>
  <si>
    <t>Monthly ADIT</t>
  </si>
  <si>
    <t>Prorata Percentages</t>
  </si>
  <si>
    <t>Adjusted ADIT Projected</t>
  </si>
  <si>
    <t>Amortization of Excess ADIT</t>
  </si>
  <si>
    <t>ADIT projected</t>
  </si>
  <si>
    <t>Filing Year Plt Adds Rate Year Tax Deprec</t>
  </si>
  <si>
    <t>Rate Year Plt Adds Rate Year Tax Deprec</t>
  </si>
  <si>
    <t>Filing Year &amp; Rate Year Plt Adds Book Deprec Rate Year</t>
  </si>
  <si>
    <t>Col 3 - Col 4 * 1-BaseTRR Line 402</t>
  </si>
  <si>
    <t>Col 2 * 12-DepRates, Col 9, Line 110/12 * Remaining Months</t>
  </si>
  <si>
    <t>9-PlantAdditions Col 1, Lines 100-111</t>
  </si>
  <si>
    <t>Percentages</t>
  </si>
  <si>
    <t>Tax Deprec</t>
  </si>
  <si>
    <t>Book Deprec</t>
  </si>
  <si>
    <t>Prorata</t>
  </si>
  <si>
    <t>1-BaseTRR, Line 405</t>
  </si>
  <si>
    <t>Year 2 Tax Depr Rate</t>
  </si>
  <si>
    <t>Year 1 Tax Depr Rate</t>
  </si>
  <si>
    <t>Assumption Tax Depreciation - MACRS Half Year Convention over 15-Year Tax Life</t>
  </si>
  <si>
    <t>7) Tax Normalization Calculation Pursuant to Treas. Reg §1.167(l)-1(h)(6); PLR 9313008; 9202029; 9224040; 201717008 for the Forecasted Plant Additions</t>
  </si>
  <si>
    <t>Weighted Average ADIT Balance:</t>
  </si>
  <si>
    <t>Beginning Deferred Tax Balance (Line 105, Col. 2)</t>
  </si>
  <si>
    <t>Prorata Calculation</t>
  </si>
  <si>
    <t>Prorata Amounts</t>
  </si>
  <si>
    <t>Left in Period</t>
  </si>
  <si>
    <t>Days in Month</t>
  </si>
  <si>
    <t>Tax Balance</t>
  </si>
  <si>
    <t>Tax Amount</t>
  </si>
  <si>
    <t>Future Test Period</t>
  </si>
  <si>
    <t>Annual Accumulated</t>
  </si>
  <si>
    <t xml:space="preserve">Monthly </t>
  </si>
  <si>
    <t>Prorate</t>
  </si>
  <si>
    <t>Number of Days</t>
  </si>
  <si>
    <t xml:space="preserve">Deferred </t>
  </si>
  <si>
    <t>Mthly Deferred</t>
  </si>
  <si>
    <t>Prior Month Col 8 + Col 7</t>
  </si>
  <si>
    <t>= Col 2 * Col 6</t>
  </si>
  <si>
    <t>Col 5 / Tot. Days</t>
  </si>
  <si>
    <t>See Note 2</t>
  </si>
  <si>
    <t>See Note 1</t>
  </si>
  <si>
    <t>6) Tax Normalization Calculation Pursuant to Treas. Reg §1.167(l)-1(h)(6); PLR 9313008; 9202029; 9224040; 201717008</t>
  </si>
  <si>
    <t>FF1 266-267, L. 8 + L. 12, col h</t>
  </si>
  <si>
    <t>FERC Form 1 Account 255</t>
  </si>
  <si>
    <t>(Sum of amounts in Columns 4 to 6)</t>
  </si>
  <si>
    <t>Total Account 255 ADIT</t>
  </si>
  <si>
    <t>24-Allocators, L. 122, 116, 113</t>
  </si>
  <si>
    <r>
      <t xml:space="preserve">Allocation Factors (Plant and </t>
    </r>
    <r>
      <rPr>
        <sz val="11"/>
        <rFont val="Calibri"/>
        <family val="2"/>
      </rPr>
      <t>Labor</t>
    </r>
    <r>
      <rPr>
        <sz val="11"/>
        <rFont val="Aptos Narrow"/>
        <family val="2"/>
        <scheme val="minor"/>
      </rPr>
      <t>)</t>
    </r>
  </si>
  <si>
    <t>Total Electric 255</t>
  </si>
  <si>
    <t>Gas and Other Non-ISO Related Costs</t>
  </si>
  <si>
    <t>Investment Tax Credits -Other</t>
  </si>
  <si>
    <t>WP_14-ADIT 5, L. 101 , col 4</t>
  </si>
  <si>
    <t>Property-Related Costs</t>
  </si>
  <si>
    <t>Investment Tax Credits - Common</t>
  </si>
  <si>
    <t>WP_14-ADIT 5, L. 100, Col 4</t>
  </si>
  <si>
    <t>Property-Related FERC Costs</t>
  </si>
  <si>
    <t>Investment Tax Credits</t>
  </si>
  <si>
    <t>Electric:</t>
  </si>
  <si>
    <t>Related</t>
  </si>
  <si>
    <t>Plant Related</t>
  </si>
  <si>
    <t>ISO Only</t>
  </si>
  <si>
    <t>Non-ISO Related Costs</t>
  </si>
  <si>
    <t>Sum Col 3 to Col 6</t>
  </si>
  <si>
    <t>DESCRIPTION</t>
  </si>
  <si>
    <t>ACCT 255</t>
  </si>
  <si>
    <t>Total Company Labor</t>
  </si>
  <si>
    <t>Total Company</t>
  </si>
  <si>
    <t xml:space="preserve">Gas and Other </t>
  </si>
  <si>
    <t>END BAL per G/L</t>
  </si>
  <si>
    <t>5) Account 255 Detail</t>
  </si>
  <si>
    <t>FF1 276-277, L. 19, col k</t>
  </si>
  <si>
    <t>FERC Form 1 Account 283</t>
  </si>
  <si>
    <t>Total Account 283 ADIT</t>
  </si>
  <si>
    <t>24-Allocators, Lines 116, 113</t>
  </si>
  <si>
    <t>Total Account 283</t>
  </si>
  <si>
    <t>FF1 276-277, L. 5 + L. 14 + L.18, col k</t>
  </si>
  <si>
    <t>FF1 276-277, L. 4 + L. 12, col k</t>
  </si>
  <si>
    <t>Relates Entirely to CPUC Balancing Account Recovery</t>
  </si>
  <si>
    <t>Balancing Accounts</t>
  </si>
  <si>
    <t>FF1 276-277, L. 3 + L. 11, col k</t>
  </si>
  <si>
    <t>Loss on Reacquired Debt</t>
  </si>
  <si>
    <t>ACCT 283</t>
  </si>
  <si>
    <t>4) Account 283 Detail</t>
  </si>
  <si>
    <t>FERC Form 1 Account 282</t>
  </si>
  <si>
    <t>Not Used</t>
  </si>
  <si>
    <t>FF1 274-275, L. 9, col k</t>
  </si>
  <si>
    <t>Total Account 282 ADIT</t>
  </si>
  <si>
    <t>Total Account 282</t>
  </si>
  <si>
    <t>WP_14-ADIT 4, L. 117, Col 2</t>
  </si>
  <si>
    <t xml:space="preserve">Common Plant </t>
  </si>
  <si>
    <t>Property-Related CPUC Costs</t>
  </si>
  <si>
    <t>Property/Non-ISO</t>
  </si>
  <si>
    <t>WP_14-ADIT 4, L. 103, Col 2</t>
  </si>
  <si>
    <t xml:space="preserve">Fully Normalized Deferred Tax </t>
  </si>
  <si>
    <t>ACCT 282</t>
  </si>
  <si>
    <t>3) Account 282 Detail</t>
  </si>
  <si>
    <t>FF1 234, L. 18, col c</t>
  </si>
  <si>
    <t>FERC Form 1 Account 190</t>
  </si>
  <si>
    <t>Total Account 190 ADIT</t>
  </si>
  <si>
    <t>24-Allocators, L. 119, 112</t>
  </si>
  <si>
    <t>Total Account 190</t>
  </si>
  <si>
    <r>
      <t>WP_14-ADIT 2, L. 109, Col 2</t>
    </r>
    <r>
      <rPr>
        <sz val="11"/>
        <rFont val="Calibri"/>
        <family val="2"/>
      </rPr>
      <t xml:space="preserve"> and Notes</t>
    </r>
  </si>
  <si>
    <t>Relates to all Regulated Electric Property</t>
  </si>
  <si>
    <t>Other (including Corporate Alternative Minimum Tax)</t>
  </si>
  <si>
    <t>WP_14-ADIT 2, L. 108, Col 2</t>
  </si>
  <si>
    <t>Property Tax Timing Differences</t>
  </si>
  <si>
    <t>WP_14-ADIT 2, L. 107, Col 2</t>
  </si>
  <si>
    <t>ITC FAS 109 Deferred Taxes</t>
  </si>
  <si>
    <t>WP_14-ADIT 2, L. 106, Col 2 and WP_14-ADIT 3, L. 113</t>
  </si>
  <si>
    <t>Net Operating Losses Deferred Taxes</t>
  </si>
  <si>
    <t>WP_14-ADIT 2, L. 105, Col 2</t>
  </si>
  <si>
    <t>California Corporation Franchise Tax</t>
  </si>
  <si>
    <t>WP_14-ADIT 2, L. 104, Col 2</t>
  </si>
  <si>
    <t>Injuries and Damages</t>
  </si>
  <si>
    <t>WP_14-ADIT 2, L. 103, Col 2</t>
  </si>
  <si>
    <t>Contributions In Aid of Construction (CIAC)</t>
  </si>
  <si>
    <t>WP_14-ADIT 2, L. 102, Col 2</t>
  </si>
  <si>
    <t>Vacation Timing Differences</t>
  </si>
  <si>
    <t>WP_14-ADIT 2, L. 101, Col 2</t>
  </si>
  <si>
    <t>Compensation</t>
  </si>
  <si>
    <t>WP_14-ADIT 2, L. 100, Col 2</t>
  </si>
  <si>
    <t>Environmental</t>
  </si>
  <si>
    <t>ACCT 190</t>
  </si>
  <si>
    <t>Electric Labor</t>
  </si>
  <si>
    <t>Electric</t>
  </si>
  <si>
    <t>2) Account 190 Detail</t>
  </si>
  <si>
    <t>Line 106 + Line 107</t>
  </si>
  <si>
    <t>Adjusted Average ADIT</t>
  </si>
  <si>
    <t>WP_14_ADIT, Tab 8, Col 13, Line 130</t>
  </si>
  <si>
    <t>Adjustment for Forecasted Proration vs Actual Proration:</t>
  </si>
  <si>
    <t>Weighted Average ADIT:</t>
  </si>
  <si>
    <t>Average ADIT</t>
  </si>
  <si>
    <t>c) Average of Beginning and End of Year Accumulated Deferred Income Taxes</t>
  </si>
  <si>
    <t>WP_14-ADIT 1, L. 100, col 7</t>
  </si>
  <si>
    <t>Total Accumulated Deferred Income Taxes</t>
  </si>
  <si>
    <t>BOY ADIT</t>
  </si>
  <si>
    <t>b) Beginning of Year Accumulated Deferred Income Taxes</t>
  </si>
  <si>
    <t>Account 255</t>
  </si>
  <si>
    <t>Account 283</t>
  </si>
  <si>
    <t>Account 282</t>
  </si>
  <si>
    <t>Account 190</t>
  </si>
  <si>
    <t>Total ADIT</t>
  </si>
  <si>
    <t>Account</t>
  </si>
  <si>
    <t>a) End of Year Accumulated Deferred Income Taxes</t>
  </si>
  <si>
    <t>1) Summary of Accumulated Deferred Income Taxes</t>
  </si>
  <si>
    <t>Schedule 14-ADIT</t>
  </si>
  <si>
    <t xml:space="preserve">Average of EOY and BOY </t>
  </si>
  <si>
    <t>FF1 114-117, L. 68, col c</t>
  </si>
  <si>
    <t>Total Acct 431 - Other Interest Expense</t>
  </si>
  <si>
    <t>FERC Acct 431 - Other</t>
  </si>
  <si>
    <t>WP_15-NUC 2, L. 101, col 7</t>
  </si>
  <si>
    <t>Interest on Network Upgrade Credits Recorded in FERC Acct 431</t>
  </si>
  <si>
    <t>FF1 112-113, L. 56, col c</t>
  </si>
  <si>
    <t>Total Acct 252 - Customer Advances for Construction</t>
  </si>
  <si>
    <t>FERC Acct 252 - Other</t>
  </si>
  <si>
    <t>WP_15-NUC 2, L. 100, col 10</t>
  </si>
  <si>
    <t>Outstanding Network Upgrade Credits</t>
  </si>
  <si>
    <t>End of Year Balances</t>
  </si>
  <si>
    <t>FF1 112-113, L. 56, col d</t>
  </si>
  <si>
    <t>FERC Acct 252 Other</t>
  </si>
  <si>
    <t>WP_15-NUC 1, L. 100, col 10</t>
  </si>
  <si>
    <t>Outstanding Network Upgrade Credits Recorded in FERC Acct 252</t>
  </si>
  <si>
    <t>Beginning of Year Balances</t>
  </si>
  <si>
    <t>Schedule 15-NUC</t>
  </si>
  <si>
    <t>4) The allocation factor for new unfunded reserves shall be consistent with the manner in which the cost is recovered.</t>
  </si>
  <si>
    <t>The unfunded reserves eligible for inclusion in the formula rate are not limited to those listed in the analysis provided in WP_16-UnfundedReserves-2.</t>
  </si>
  <si>
    <t xml:space="preserve">The analysis will cover general ledger accounts in FERC Accounts 228, 242 and 253 with the 12-month average balance for Prior Year greater than $4.5 million.  </t>
  </si>
  <si>
    <t xml:space="preserve">3) Refer to WP_16-UnfundedReserves-2 for the analysis of unfunded reserves treatment.  </t>
  </si>
  <si>
    <t>2) For Rate Year 2024, the adjustment is $11,425,000.  Beginning Rate Year 2025, the adjustment is zero.</t>
  </si>
  <si>
    <t>1) PG&amp;E conducts a query in SAP of GL Acct 2320024 Accrued Vacation Liability and reflects 13 months of balances.</t>
  </si>
  <si>
    <t>Line 813 * Line 815</t>
  </si>
  <si>
    <t xml:space="preserve">13-Month Average Allocated </t>
  </si>
  <si>
    <t xml:space="preserve">EOY Allocated </t>
  </si>
  <si>
    <t>Allocation Factor (to specify)</t>
  </si>
  <si>
    <t>Total Company Monthly Value</t>
  </si>
  <si>
    <t>8)  Placeholder for New Unfunded Reserves (to specify) - Note 3, 4</t>
  </si>
  <si>
    <t>Line 713 * Line 715</t>
  </si>
  <si>
    <t>7)  Placeholder for New Unfunded Reserves (to specify) - Note 3, 4</t>
  </si>
  <si>
    <t>Line 613 * Line 615</t>
  </si>
  <si>
    <t>6)  Placeholder for New Unfunded Reserves (to specify) - Note 3, 4</t>
  </si>
  <si>
    <t>Line 513 * Line 515</t>
  </si>
  <si>
    <t>WP_16-UnfundedReseves, WP_16-3, L. 300, Col 3</t>
  </si>
  <si>
    <t>2420160 - Misc Curr &amp; Accrued Liab-Franchise Requiremnt Accr</t>
  </si>
  <si>
    <t>2410031 - City Franchise Surcharge Liability and;</t>
  </si>
  <si>
    <t>Lines 500 to 512 are the sum of SAP Accounts</t>
  </si>
  <si>
    <t>5)  Franchise Fees - Note 3, 4</t>
  </si>
  <si>
    <t>Line 415 * Line 413</t>
  </si>
  <si>
    <t>13-Month Average Allocated Severances</t>
  </si>
  <si>
    <t>13-Month Average Severances</t>
  </si>
  <si>
    <t>EOY Allocated Severances</t>
  </si>
  <si>
    <t>WP_16-UnfundedReserves, L. 313, Col 4</t>
  </si>
  <si>
    <t>WP_16-UnfundedReserves, L. 312, Col 4</t>
  </si>
  <si>
    <t>WP_16-UnfundedReserves, L. 311, Col 4</t>
  </si>
  <si>
    <t>WP_16-UnfundedReserves, L. 310, Col 4</t>
  </si>
  <si>
    <t>WP_16-UnfundedReserves, L. 309, Col 4</t>
  </si>
  <si>
    <t>WP_16-UnfundedReserves, L. 308, Col 4</t>
  </si>
  <si>
    <t>WP_16-UnfundedReserves, L. 307, Col 4</t>
  </si>
  <si>
    <t>WP_16-UnfundedReserves, L. 306, Col 4</t>
  </si>
  <si>
    <t>WP_16-UnfundedReserves, L. 305, Col 4</t>
  </si>
  <si>
    <t>WP_16-UnfundedReserves, L. 304, Col 4</t>
  </si>
  <si>
    <t>WP_16-UnfundedReserves, L. 303, Col 4</t>
  </si>
  <si>
    <t>WP_16-UnfundedReserves, L. 302, Col 4</t>
  </si>
  <si>
    <t>WP_16-UnfundedReserves, L. 301, Col 4</t>
  </si>
  <si>
    <t>4)  Calculation of Severances</t>
  </si>
  <si>
    <t>Line 315 * Line 313</t>
  </si>
  <si>
    <t>13-Month Average Allocated Injuries and Damages</t>
  </si>
  <si>
    <t>13-Month Average Injuries and Damages</t>
  </si>
  <si>
    <t>EOY Allocated Injuries and Damages</t>
  </si>
  <si>
    <t>WP_16-UnfundedReserves, L. 213, Col 8</t>
  </si>
  <si>
    <t>WP_16-UnfundedReserves, L. 212, Col 8</t>
  </si>
  <si>
    <t>WP_16-UnfundedReserves, L. 211, Col 8</t>
  </si>
  <si>
    <t>WP_16-UnfundedReserves, L. 210, Col 8</t>
  </si>
  <si>
    <t>WP_16-UnfundedReserves, L. 209, Col 8</t>
  </si>
  <si>
    <t>WP_16-UnfundedReserves, L. 208, Col 8</t>
  </si>
  <si>
    <t>WP_16-UnfundedReserves, L. 207, Col 8</t>
  </si>
  <si>
    <t>WP_16-UnfundedReserves, L. 206, Col 8</t>
  </si>
  <si>
    <t>WP_16-UnfundedReserves, L. 205, Col 8</t>
  </si>
  <si>
    <t>WP_16-UnfundedReserves, L. 204, Col 8</t>
  </si>
  <si>
    <t>WP_16-UnfundedReserves, L. 203, Col 8</t>
  </si>
  <si>
    <t>WP_16-UnfundedReserves, L. 202, Col 8</t>
  </si>
  <si>
    <t>WP_16-UnfundedReserves, L. 201, Col 8</t>
  </si>
  <si>
    <t>3)  Calculation of Injuries and Damages</t>
  </si>
  <si>
    <t>13-Month Average Allocated Accrued Vacation</t>
  </si>
  <si>
    <t>Line 217 + Line 213</t>
  </si>
  <si>
    <t>13-Month Average Net Accrued Vacation</t>
  </si>
  <si>
    <t>Average of Lines 200 - 212</t>
  </si>
  <si>
    <t>13-Month Average Company Accrued Vacation Liability</t>
  </si>
  <si>
    <t>EOY Allocated Accrued Vacation</t>
  </si>
  <si>
    <t>Line 212 + Line 213</t>
  </si>
  <si>
    <t>EOY Net Accrued Vacation</t>
  </si>
  <si>
    <t>Less:  Permanent Accounting Adjustment</t>
  </si>
  <si>
    <t>2)  Calculation of Allocated Accrued Vacation</t>
  </si>
  <si>
    <t>Sum Lines 216, 314, 414, 514, 614, 714, 814…</t>
  </si>
  <si>
    <t>Sum of EOY Values</t>
  </si>
  <si>
    <t>Sum Lines 219, 316, 416, 516, 616, 716, 816 …</t>
  </si>
  <si>
    <t>Sum of 13-Month Averages</t>
  </si>
  <si>
    <t>1)  Summary of Unfunded Reserves Average Balances</t>
  </si>
  <si>
    <t>Schedule 16-UnfundedReserves</t>
  </si>
  <si>
    <r>
      <rPr>
        <sz val="11"/>
        <rFont val="Calibri"/>
        <family val="2"/>
      </rPr>
      <t xml:space="preserve">2) </t>
    </r>
    <r>
      <rPr>
        <sz val="11"/>
        <rFont val="Aptos Narrow"/>
        <family val="2"/>
        <scheme val="minor"/>
      </rPr>
      <t>For January through December = previous month balance plus amount in col 2.</t>
    </r>
  </si>
  <si>
    <r>
      <rPr>
        <sz val="11"/>
        <rFont val="Calibri"/>
        <family val="2"/>
      </rPr>
      <t xml:space="preserve">1) </t>
    </r>
    <r>
      <rPr>
        <sz val="11"/>
        <rFont val="Aptos Narrow"/>
        <family val="2"/>
        <scheme val="minor"/>
      </rPr>
      <t>The monthly deferred tax amounts are equal to the ending ADIT balance minus the beginning ADIT balance, divided by 12 months.</t>
    </r>
  </si>
  <si>
    <t>Beginning Deferred Tax Balance (Line 200)</t>
  </si>
  <si>
    <t>Line 217, Col 8</t>
  </si>
  <si>
    <t>Weighted Average ADIT Balance</t>
  </si>
  <si>
    <t>17-RegAssets-2, L. 110, Col 24 + 17-RegAssets-3, L. 110, Col 24</t>
  </si>
  <si>
    <t>EOY Unamortized Excess Federal Accumulated Deferred Income Taxes</t>
  </si>
  <si>
    <t>17-RegAssets-2, L. 110, Col 17 + 17-RegAssets-3, L. 110, Col 17 (zero in 2017 only)</t>
  </si>
  <si>
    <t>BOY Unamortized Excess Federal Accumulated Deferred Income Taxes</t>
  </si>
  <si>
    <t>Value</t>
  </si>
  <si>
    <t>2) Unamortized Excess ADIT and Tax Normalization Calculation Pursuant to Treas. Reg §1.167(l)-1(h)(6); PLR 9313008; 9202029; 922404; 201717008</t>
  </si>
  <si>
    <t>Issue #3</t>
  </si>
  <si>
    <t>Issue #2</t>
  </si>
  <si>
    <t>Issue #1</t>
  </si>
  <si>
    <t>Sum of below</t>
  </si>
  <si>
    <t xml:space="preserve">  Regulatory Liability</t>
  </si>
  <si>
    <t>Debit/Credit</t>
  </si>
  <si>
    <t>Asset/Liability</t>
  </si>
  <si>
    <t xml:space="preserve"> Granting Approval of </t>
  </si>
  <si>
    <t>Regulatory</t>
  </si>
  <si>
    <t>Other Reg</t>
  </si>
  <si>
    <t>Resulting in Other Regulatory</t>
  </si>
  <si>
    <t xml:space="preserve">  Commission Order</t>
  </si>
  <si>
    <t>Amortization or</t>
  </si>
  <si>
    <t>BOY</t>
  </si>
  <si>
    <t>Description of Issue</t>
  </si>
  <si>
    <t>col 3</t>
  </si>
  <si>
    <t>col 2</t>
  </si>
  <si>
    <t>col 1</t>
  </si>
  <si>
    <t>Line 103, col 3</t>
  </si>
  <si>
    <t>Amortization and Regulatory Debits and Credits:</t>
  </si>
  <si>
    <t>Avg. of Line 103 col 1 and col 2</t>
  </si>
  <si>
    <t>Other Regulatory Assets and Liabilities (BOY/EOY average):</t>
  </si>
  <si>
    <t>Line 103, col 2</t>
  </si>
  <si>
    <t>Other Regulatory Assets and Liabilities (EOY):</t>
  </si>
  <si>
    <t>Calculation or Source</t>
  </si>
  <si>
    <t>2) Insert additional lines as necessary for additional issues.</t>
  </si>
  <si>
    <t>b) Enter costs in columns 1-3 in above table for the applicable Prior Year.</t>
  </si>
  <si>
    <t>a) Fill in Description for issue in above table.</t>
  </si>
  <si>
    <t>Regulatory Debits and Credits costs through this formula transmission rate:</t>
  </si>
  <si>
    <t>1) Upon Commission approval of recovery of Other Regulatory Assets and Liabilities, Amortization and</t>
  </si>
  <si>
    <t>1) Calculation of Regulatory Assets and Liabilities and Amortization of Debits and Credits</t>
  </si>
  <si>
    <t xml:space="preserve">in the Base TRR, consistent with a Commission Order.  </t>
  </si>
  <si>
    <t>return to customers in this formula transmission rate.  Approved costs are amortized as expenses or revenue</t>
  </si>
  <si>
    <t xml:space="preserve">Amortization and Regulatory Debits and Credits are costs of revenues that are approved for recovery from or </t>
  </si>
  <si>
    <t>approval received subsequent to a PG&amp;E Section 205 filing requesting such treatment.</t>
  </si>
  <si>
    <t xml:space="preserve">PG&amp;E will include a non-zero amount of Other Regulatory Assets and Liabilities only with Commission </t>
  </si>
  <si>
    <t>(Account 254).  This Schedule does not include Abandoned or Cancelled Projects costs recovered through Schedule 8.</t>
  </si>
  <si>
    <t>deferred to a future period and recorded in Other Regulatory Assets (Account 182.3) and Regulatory Liabilities</t>
  </si>
  <si>
    <t>Other Regulatory Assets and Liabilities are a component of Rate Base representing costs that have been</t>
  </si>
  <si>
    <t>Schedule 17-RegAssets-1</t>
  </si>
  <si>
    <t>...</t>
  </si>
  <si>
    <t>The TO19 settlement provided for a base 130-months amortization subject to adjustment per Section 2.2.1.  As a result, the overall amortization period may not be 130-months.  </t>
  </si>
  <si>
    <t>Note I</t>
  </si>
  <si>
    <t xml:space="preserve">The “grossed-up” portion from Column 25 is excluded from rate base. </t>
  </si>
  <si>
    <t>Note H</t>
  </si>
  <si>
    <t>Pursuant to ER17-2154-002 OFFER OF SETTLEMENT AND STIPULATION, Section 2.1.1.</t>
  </si>
  <si>
    <t>Note G</t>
  </si>
  <si>
    <t>Basis for allocation is the 2017 value from Tab 24-Allocators, Rows 17 and 23 for common and direct function groups, respectively.</t>
  </si>
  <si>
    <t>Note F</t>
  </si>
  <si>
    <t>Reflects the tax net operating loss DTA.  The net operating loss DTA is protected.</t>
  </si>
  <si>
    <t>Note E</t>
  </si>
  <si>
    <t>Reflects the DTA difference between non-fixed asset tax deductions and book deductions.</t>
  </si>
  <si>
    <t>Note D</t>
  </si>
  <si>
    <t>Reflects the DTL difference between tax basis deductions and book depreciation on these tax basis deductions.</t>
  </si>
  <si>
    <t>Note C</t>
  </si>
  <si>
    <t>Reflects the deferred tax asset (DTA) difference between the book accrual and actual spending for cost of removal.</t>
  </si>
  <si>
    <t>Note B</t>
  </si>
  <si>
    <t>Reflects the deferred tax liability (DTL) for the difference between book and tax depreciation methods and depreciable lives on plant capitalized for both book and tax.  Method life is a protected timing difference.</t>
  </si>
  <si>
    <t>Note A</t>
  </si>
  <si>
    <t>This Schedule 17-RegAsset-2 reflects the federal income tax rate change due to the Tax Cuts and Job Act (TCJA).  This Schedule will be replicated for each tax rate change after the TCJA (see 17-RegAsset-3).</t>
  </si>
  <si>
    <t>FERC Fed St Off 2017 481a Adj CA</t>
  </si>
  <si>
    <t>FERC Fed 2017 481a Bon Add Back</t>
  </si>
  <si>
    <t>FERC Fed 2017 481a Adj</t>
  </si>
  <si>
    <t>Adjustments to December 31, 2017 Amounts</t>
  </si>
  <si>
    <t>Acct # 410.1</t>
  </si>
  <si>
    <t>ARAM</t>
  </si>
  <si>
    <t>Acct # 182.3</t>
  </si>
  <si>
    <t>Acct # 190</t>
  </si>
  <si>
    <t xml:space="preserve">   Net Operating Loss Deferred Taxes</t>
  </si>
  <si>
    <t>Total Non Fixed Asset Book Tax Differences</t>
  </si>
  <si>
    <t>Acct # 411.1</t>
  </si>
  <si>
    <t>130 Months</t>
  </si>
  <si>
    <t>Acct # 254</t>
  </si>
  <si>
    <t>Acct # 282</t>
  </si>
  <si>
    <t>FERC St Off Sec 263a Cap Int</t>
  </si>
  <si>
    <t>FERC St Off FAS34 Cap Int</t>
  </si>
  <si>
    <t>FERC St Off AFUDC Debt</t>
  </si>
  <si>
    <t>FERC Fed Sec 263a Cap Int</t>
  </si>
  <si>
    <t>FERC Fed FAS34 Cap Int</t>
  </si>
  <si>
    <t>FERC Fed AFUDC Debt</t>
  </si>
  <si>
    <t>Property Tax - Correction of 2017 FERC Form 1 Error</t>
  </si>
  <si>
    <t>502a</t>
  </si>
  <si>
    <t>Vacation Pay Timing Differences</t>
  </si>
  <si>
    <t>Total Non Fixed Assets Book Tax Basis Differences</t>
  </si>
  <si>
    <t>FERC St Off TOA Software Other</t>
  </si>
  <si>
    <t>FERC St Off TOA Other CA</t>
  </si>
  <si>
    <t>FERC St Off TOA Capitalization</t>
  </si>
  <si>
    <t>FERC St Off TOA Capitaliz CA</t>
  </si>
  <si>
    <t>FERC St Off TOA Capital CA Norm</t>
  </si>
  <si>
    <t>FERC St Off Software FT-</t>
  </si>
  <si>
    <t>FERC St Off Software CA NO</t>
  </si>
  <si>
    <t>FERC St Off Software</t>
  </si>
  <si>
    <t>FERC St Off Repair Fed</t>
  </si>
  <si>
    <t>FERC St Off Repair CA</t>
  </si>
  <si>
    <t>FERC St Off Repair Allow CA</t>
  </si>
  <si>
    <t>FERC St Off Repair Allow</t>
  </si>
  <si>
    <t>FERC St Off Repair 2014 Fed</t>
  </si>
  <si>
    <t>FERC St Off Repair 2014 CA</t>
  </si>
  <si>
    <t>FERC St Off Repair 2014</t>
  </si>
  <si>
    <t>FERC St Off Reg Plant Disallow Fed</t>
  </si>
  <si>
    <t>FERC St Off Overheads CA</t>
  </si>
  <si>
    <t>FERC St Off Overheads</t>
  </si>
  <si>
    <t>FERC St Off Other Book Only</t>
  </si>
  <si>
    <t>FERC St Off ITC Basis Red CA</t>
  </si>
  <si>
    <t>FERC St Off ITC Basis Red</t>
  </si>
  <si>
    <t>FERC St Off COR Fed</t>
  </si>
  <si>
    <t>FERC St Off CIAC</t>
  </si>
  <si>
    <t>FERC St Off Casualty Loss 2008</t>
  </si>
  <si>
    <t>FERC St Off Audit Adjustment CA</t>
  </si>
  <si>
    <t>FERC St Off Audit Adjustment</t>
  </si>
  <si>
    <t>FERC St Off AFUDC Equity CA</t>
  </si>
  <si>
    <t>FERC St Off AFUDC Equity</t>
  </si>
  <si>
    <t>FERC St Off 263a F&amp;C Fed</t>
  </si>
  <si>
    <t>FERC St Off 263a F&amp;C CA</t>
  </si>
  <si>
    <t>FERC St Off 263a F&amp;C 2014</t>
  </si>
  <si>
    <t>FERC St Off 1033 Involuntary Conv</t>
  </si>
  <si>
    <t>FERC Reg Plant Disallowance</t>
  </si>
  <si>
    <t>FERC Fed TOA Software Other</t>
  </si>
  <si>
    <t>FERC Fed TOA Capitalization CA Norm</t>
  </si>
  <si>
    <t>FERC Fed TOA Capitalization</t>
  </si>
  <si>
    <t>FERC Fed Software FT-</t>
  </si>
  <si>
    <t>FERC Fed Software CA NO</t>
  </si>
  <si>
    <t>FERC Fed Software</t>
  </si>
  <si>
    <t>FERC Fed Repair Fed</t>
  </si>
  <si>
    <t>FERC Fed Repair Allow</t>
  </si>
  <si>
    <t>FERC Fed Repair 2014 Fed</t>
  </si>
  <si>
    <t>FERC Fed Repair 2014</t>
  </si>
  <si>
    <t>FERC Fed Overheads</t>
  </si>
  <si>
    <t>FERC Fed Other Book Only</t>
  </si>
  <si>
    <t>FERC Fed ITC Basis Red</t>
  </si>
  <si>
    <t>FERC Fed COR Fed</t>
  </si>
  <si>
    <t>FERC Fed CIAC</t>
  </si>
  <si>
    <t>FERC Fed Casualty Loss 2008</t>
  </si>
  <si>
    <t>FERC Fed Audit Adj Bonus</t>
  </si>
  <si>
    <t>FERC Fed AFUDC Equity</t>
  </si>
  <si>
    <t>FERC Fed 263a F&amp;C Fed</t>
  </si>
  <si>
    <t>FERC Fed 263a F&amp;C 2014</t>
  </si>
  <si>
    <t>FERC Fed 1033 Involuntary Conv</t>
  </si>
  <si>
    <t>FERC Audit Adjustment</t>
  </si>
  <si>
    <t>Total Fixed Assets Book Tax Basis Differences</t>
  </si>
  <si>
    <t>TBD</t>
  </si>
  <si>
    <t xml:space="preserve">  Cost of Removal</t>
  </si>
  <si>
    <t>Total Cost of Removal</t>
  </si>
  <si>
    <t>Includes Cost of Removal</t>
  </si>
  <si>
    <t>FERC St Off Method/Life</t>
  </si>
  <si>
    <t>FERC Fed Method/Life</t>
  </si>
  <si>
    <t>FERC CA Method/Life</t>
  </si>
  <si>
    <t xml:space="preserve">  Total Method Life</t>
  </si>
  <si>
    <t>Details of ADIT</t>
  </si>
  <si>
    <t>Total Including Adjustments</t>
  </si>
  <si>
    <t>Acct #</t>
  </si>
  <si>
    <t>Adjustment for Repairs Off-System</t>
  </si>
  <si>
    <t>Net Operating Loss Carryover</t>
  </si>
  <si>
    <t>Non Fixed Asset Book Tax Differences</t>
  </si>
  <si>
    <t>130 Months (Note G)</t>
  </si>
  <si>
    <t>Acct # 190/ # 282</t>
  </si>
  <si>
    <t>Non Fixed Assets Book Tax Basis Differences</t>
  </si>
  <si>
    <t>Fixed Assets Book Tax Basis Differences</t>
  </si>
  <si>
    <t>Method Life</t>
  </si>
  <si>
    <t>TOTALS</t>
  </si>
  <si>
    <t>NON FIXED ASSETS</t>
  </si>
  <si>
    <t>FIXED ASSETS</t>
  </si>
  <si>
    <t>Acct 410.1 / Acct 411.1</t>
  </si>
  <si>
    <t>ARAM/Years</t>
  </si>
  <si>
    <t>Acct 182.3 / Acct 254</t>
  </si>
  <si>
    <t>End Bal</t>
  </si>
  <si>
    <t>UNPROTECTED</t>
  </si>
  <si>
    <t xml:space="preserve">PROTECTED </t>
  </si>
  <si>
    <t>Recorded</t>
  </si>
  <si>
    <t>Period</t>
  </si>
  <si>
    <t>Beg Bal</t>
  </si>
  <si>
    <t>ADIT Recorded</t>
  </si>
  <si>
    <t>@ 21% FIT</t>
  </si>
  <si>
    <t>@ 35% FIT</t>
  </si>
  <si>
    <t>Difference</t>
  </si>
  <si>
    <t>Including Gross-up of</t>
  </si>
  <si>
    <t>ADIT Amortization</t>
  </si>
  <si>
    <t>(Excess)/Deficient</t>
  </si>
  <si>
    <t>ADIT Balance</t>
  </si>
  <si>
    <t>Prior to TCJA</t>
  </si>
  <si>
    <t>Timing</t>
  </si>
  <si>
    <t>Excess/Deficient</t>
  </si>
  <si>
    <t>(Excess)/Deficient ADIT</t>
  </si>
  <si>
    <t>UNAMORTIZED EXCESS FEDERAL ACCUMULATED DEFERRED INCOME TAXES - ENDING BALANCE</t>
  </si>
  <si>
    <t>UNAMORTIZED EXCESS FEDERAL ACCUMULATED DEFERRED INCOME TAXES - BEGINNING BALANCE</t>
  </si>
  <si>
    <t>UNAMORTIZED EXCESS FEDERAL ACCUMULATED DEFERRED INCOME TAXES</t>
  </si>
  <si>
    <t>Remeasurement</t>
  </si>
  <si>
    <t xml:space="preserve">ADIT Balance </t>
  </si>
  <si>
    <t xml:space="preserve">Originating </t>
  </si>
  <si>
    <t>Originating</t>
  </si>
  <si>
    <t>Col 24 x Gross-up</t>
  </si>
  <si>
    <t>Sum Col 21 to Col 23</t>
  </si>
  <si>
    <t>Col 16 - Col 20</t>
  </si>
  <si>
    <t>Col 15 - Col 19</t>
  </si>
  <si>
    <t>Col 14 - Col 18</t>
  </si>
  <si>
    <t>CURRENT PERIOD AMORTIZATION OF EXCESS FEDERAL ACCUMULATED DEFERRED INCOME TAXES</t>
  </si>
  <si>
    <t>Sum Col 14 to Col 16</t>
  </si>
  <si>
    <t>Col 7 - Col 12</t>
  </si>
  <si>
    <t>Col 6 - Col 11</t>
  </si>
  <si>
    <t>Col 5 - Col 10</t>
  </si>
  <si>
    <t>PRIOR PERIOD AMORTIZATION OF EXCESS FEDERAL ACCUMULATED DEFERRED INCOME TAXES</t>
  </si>
  <si>
    <t>Sum Col 5 to Col 7</t>
  </si>
  <si>
    <t>Col 1 - Col 2</t>
  </si>
  <si>
    <t>Col 0</t>
  </si>
  <si>
    <t>Category 3 Information</t>
  </si>
  <si>
    <t>Category 4 Information</t>
  </si>
  <si>
    <t>Category 5 Information</t>
  </si>
  <si>
    <t>Category 2 Information</t>
  </si>
  <si>
    <t>Order 864 Permanent Worksheet(s) Category 1 Information</t>
  </si>
  <si>
    <r>
      <t xml:space="preserve">Amortization of (Excess)/Deficient Deferred Federal </t>
    </r>
    <r>
      <rPr>
        <b/>
        <sz val="11"/>
        <rFont val="Calibri"/>
        <family val="2"/>
      </rPr>
      <t>and State</t>
    </r>
    <r>
      <rPr>
        <b/>
        <sz val="11"/>
        <rFont val="Aptos Narrow"/>
        <family val="2"/>
        <scheme val="minor"/>
      </rPr>
      <t xml:space="preserve"> Income Taxes (Note 1)</t>
    </r>
  </si>
  <si>
    <t>Schedule 17-RegAssets-2</t>
  </si>
  <si>
    <t>This Schedule 17-RegAssets-3 will reflect tax rate changes occurring after the TCJA.</t>
  </si>
  <si>
    <t>ADIT Item 1</t>
  </si>
  <si>
    <t xml:space="preserve">   Net Operating Loss Deferred Taxes - 2018 True Up</t>
  </si>
  <si>
    <t>Adjustment for Abandoned or Cancelled Projects</t>
  </si>
  <si>
    <t>131 Months (Note G)</t>
  </si>
  <si>
    <r>
      <t xml:space="preserve">@ </t>
    </r>
    <r>
      <rPr>
        <sz val="8.8000000000000007"/>
        <rFont val="Calibri"/>
        <family val="2"/>
      </rPr>
      <t>xx</t>
    </r>
    <r>
      <rPr>
        <sz val="11"/>
        <rFont val="Aptos Narrow"/>
        <family val="2"/>
        <scheme val="minor"/>
      </rPr>
      <t>% FIT</t>
    </r>
  </si>
  <si>
    <r>
      <rPr>
        <b/>
        <sz val="11"/>
        <rFont val="Calibri"/>
        <family val="2"/>
      </rPr>
      <t>Note F</t>
    </r>
    <r>
      <rPr>
        <b/>
        <strike/>
        <sz val="11"/>
        <rFont val="Calibri"/>
        <family val="2"/>
      </rPr>
      <t xml:space="preserve"> 'ADIT</t>
    </r>
  </si>
  <si>
    <r>
      <t xml:space="preserve">Prior to </t>
    </r>
    <r>
      <rPr>
        <b/>
        <strike/>
        <sz val="8.8000000000000007"/>
        <rFont val="Calibri"/>
        <family val="2"/>
      </rPr>
      <t>TCJA</t>
    </r>
  </si>
  <si>
    <t>UNAMORTIZED (EXCESS)/DEFICIENT FEDERAL ACCUMULATED DEFERRED INCOME TAXES - ENDING BALANCE</t>
  </si>
  <si>
    <t>UNAMORTIZED (EXCESS)/DEFICIENT FEDERAL ACCUMULATED DEFERRED INCOME TAXES - BEGINNING BALANCE</t>
  </si>
  <si>
    <t>UNAMORTIZED (EXCESS)/DEFICIENT FEDERAL ACCUMULATED DEFERRED INCOME TAXES</t>
  </si>
  <si>
    <r>
      <t xml:space="preserve">(Excess)/Deficient </t>
    </r>
    <r>
      <rPr>
        <b/>
        <sz val="9.35"/>
        <rFont val="Calibri"/>
        <family val="2"/>
      </rPr>
      <t>ADIT</t>
    </r>
  </si>
  <si>
    <t>CURRENT PERIOD AMORTIZATION OF (EXCESS)/DEFICIENT FEDERAL ACCUMULATED DEFERRED INCOME TAXES</t>
  </si>
  <si>
    <t>PRIOR PERIOD AMORTIZATION OF (EXCESS)/DEFICIENT FEDERAL ACCUMULATED DEFERRED INCOME TAXES</t>
  </si>
  <si>
    <r>
      <t xml:space="preserve">Amortization of (Excess)/Deficient Deferred Federal </t>
    </r>
    <r>
      <rPr>
        <b/>
        <sz val="9.35"/>
        <rFont val="Calibri"/>
        <family val="2"/>
      </rPr>
      <t>and State</t>
    </r>
    <r>
      <rPr>
        <b/>
        <sz val="11"/>
        <rFont val="Aptos Narrow"/>
        <family val="2"/>
        <scheme val="minor"/>
      </rPr>
      <t xml:space="preserve"> Income Taxes (Note 1)</t>
    </r>
  </si>
  <si>
    <t>Schedule 17-RegAssets-3</t>
  </si>
  <si>
    <t>4) See WP_18-OandM for adjustment details.</t>
  </si>
  <si>
    <r>
      <t xml:space="preserve">2) The Total FF1 Recorded O&amp;M Expense is the sum of Labor and Non-labor FF1 Recorded O&amp;M Expense (obtained as explained in Note 1) and tie to the amounts provided in FF1 </t>
    </r>
    <r>
      <rPr>
        <sz val="11"/>
        <rFont val="Calibri"/>
        <family val="2"/>
      </rPr>
      <t>320</t>
    </r>
    <r>
      <rPr>
        <sz val="11"/>
        <rFont val="Aptos Narrow"/>
        <family val="2"/>
        <scheme val="minor"/>
      </rPr>
      <t xml:space="preserve">-323, L. 112, col b.  </t>
    </r>
  </si>
  <si>
    <t>1) Data are extracted from SAP for all costs (broken down into labor and non-labor components) in the Prior Year that are recorded in electric transmission operations and maintenance expense accounts.</t>
  </si>
  <si>
    <t>Maintenance of Miscellaneous Transmission Plant</t>
  </si>
  <si>
    <t>Maintenance of Underground Lines</t>
  </si>
  <si>
    <t>Maintenance of Overhead Lines</t>
  </si>
  <si>
    <t>Maintenance of Station Equipment</t>
  </si>
  <si>
    <t>Maintenance of Miscellaneous Regional Transmission Plant</t>
  </si>
  <si>
    <t>Maintenance of Communication Equipment</t>
  </si>
  <si>
    <t>Maintenance of Computer Software</t>
  </si>
  <si>
    <t>Maintenance of Computer Hardware</t>
  </si>
  <si>
    <t>Maintenance of Structures</t>
  </si>
  <si>
    <t>Maintenance Supervision and Engineering</t>
  </si>
  <si>
    <t>Rents</t>
  </si>
  <si>
    <t>Miscellaneous Transmission Expenses</t>
  </si>
  <si>
    <t>Transmission of Electricity by Others</t>
  </si>
  <si>
    <t>Underground Line Expenses</t>
  </si>
  <si>
    <t>Overhead Line Expenses</t>
  </si>
  <si>
    <t>Station Expenses</t>
  </si>
  <si>
    <t>Reliability Planning and Standards Development Services (CAISO GMC)</t>
  </si>
  <si>
    <t>Generation Interconnection Studies</t>
  </si>
  <si>
    <t>Transmission Service Studies</t>
  </si>
  <si>
    <t>Reliability Planning and Standards Development</t>
  </si>
  <si>
    <t>Scheduling, System Control and Dispatch Services (CAISO GMC)</t>
  </si>
  <si>
    <t>Load Dispatch - Transmission Service and Scheduling</t>
  </si>
  <si>
    <t>Load Dispatch - Monitor and Operate Transmission System</t>
  </si>
  <si>
    <t>Load Dispatch - Reliability</t>
  </si>
  <si>
    <t>Operation Supervision and Engineering</t>
  </si>
  <si>
    <t>Total Transmission O&amp;M</t>
  </si>
  <si>
    <t>Non-Labor</t>
  </si>
  <si>
    <t>Labor</t>
  </si>
  <si>
    <t>Network Transmission O&amp;M Expense</t>
  </si>
  <si>
    <t>Network Transmission %</t>
  </si>
  <si>
    <t>Recorded Adjusted O&amp;M Expense</t>
  </si>
  <si>
    <t xml:space="preserve">FF1 Recorded O&amp;M Expense
 FF1 320-323, L. 83-98 and L. 101-110, col b </t>
  </si>
  <si>
    <t>FERC Account Description</t>
  </si>
  <si>
    <t>Col 13 + Col 14</t>
  </si>
  <si>
    <t>Col 10 * Col 12</t>
  </si>
  <si>
    <t>Col 9 * Col 12</t>
  </si>
  <si>
    <t>Col 9 + Col 10</t>
  </si>
  <si>
    <t>Col 4 + Col 7</t>
  </si>
  <si>
    <t>Col 3 + Col 6</t>
  </si>
  <si>
    <t>Note 1, Note 4</t>
  </si>
  <si>
    <t>Col 3 + Col 4, Note 2</t>
  </si>
  <si>
    <t>Network Transmission O&amp;M Expense (Line 100, Col 15)</t>
  </si>
  <si>
    <t>Schedule 18-OandM</t>
  </si>
  <si>
    <t>Settled Wildfire adjustments made pursuant to the TO21 Settlement 6.3.2 and 6.4.2.  Refer to WP_19-Aand_G, Tab 6.</t>
  </si>
  <si>
    <t>Settled Wildfire Adjustments made pursuant to the TO21 Settlement  6.4.1.  Refer to WP_19-Aand_G, Tab 8.</t>
  </si>
  <si>
    <t>The Settled Wildfires are defined in the TO21 Settlement 6.1 and include Kincade, Drum, Zogg, Dixie, Fly and Mosquito Fires. The $75 million credit was provided to customers in the TO21 RY2026 Update filing.</t>
  </si>
  <si>
    <t>Pursuant to the TO21 Settlement (6.3.1), PG&amp;E will provide a refund of $75 million for wildfire costs recorded through December 31, 2023 for Settled Wildfires through the next Annual Update after the Effective Date of the Settlement.</t>
  </si>
  <si>
    <t>Pursuant to the TO21 Settlement, PG&amp;E agreed the STIP associated with the Non-GAAP Core Earnings per Share or similar metric from recovery.</t>
  </si>
  <si>
    <t>Remove capital and below-the-line adjustments as appropriate associated with regulatory adjustments described in Notes 3 through 8.</t>
  </si>
  <si>
    <t>Remove labor and benefits associated with NP&amp;S activities.</t>
  </si>
  <si>
    <t>Remove Non A&amp;G Costs and other costs, for example Gas LOB costs erroneously recorded in A&amp;G FERC Accounts, Franchise Fee Expense that is a caclulation within the Model, and amounts recovered separately through CPUC proceedings and balancing/memorandum accounts.</t>
  </si>
  <si>
    <t>Remove costs PG&amp;E does not seek to recover in TO, such as Intervenor Compensation, MCI Exchange Rights, a portion of Injuries and Damages, Nuclear Property and Nuclear Liability Insurance.</t>
  </si>
  <si>
    <t>Adjust funded plans for PBOPs medical and life, LTD and pension from an accrual to cash basis for the cash contributions to the trust.</t>
  </si>
  <si>
    <t>Remove officers compensation.  Officers are defined per Securities and Exchange Commission (SEC), Rule 240.3b-7 of the Securities Exchange Act of 1934.</t>
  </si>
  <si>
    <t>Remove officer STIP.  Officers are defined per Securities and Exchange Commission (SEC), Rule 240.3b-7 of the Securities Exchange Act of 1934.</t>
  </si>
  <si>
    <t>FERC Forms 1 balance in account 929 is zero; therefore, this account is not shown on WP_19-AandG.</t>
  </si>
  <si>
    <t xml:space="preserve">The adjustments shown in the Table above are from WP_19-AandG.  Sources of adjustments are individual SAP reports by FERC account with detailed descriptions of activity and accounting information.  </t>
  </si>
  <si>
    <t>Total by Adjustment Type</t>
  </si>
  <si>
    <t>Maintenance of communication equipment</t>
  </si>
  <si>
    <t>Maintenance of computer software</t>
  </si>
  <si>
    <t>Maintenance of computer hardware</t>
  </si>
  <si>
    <t>Maintenance of General Plant</t>
  </si>
  <si>
    <t>Miscellaneous General Expense</t>
  </si>
  <si>
    <t>General Advertising Expense</t>
  </si>
  <si>
    <t>Duplicate Charges</t>
  </si>
  <si>
    <t>Regulatory Commission Expenses</t>
  </si>
  <si>
    <t>Franchise Requirements</t>
  </si>
  <si>
    <t>Employee Pensions and Benefits</t>
  </si>
  <si>
    <t>Outside Services Employed</t>
  </si>
  <si>
    <t>A&amp;G Expenses Transferred</t>
  </si>
  <si>
    <t>Office Supplies and Expenses</t>
  </si>
  <si>
    <t>A&amp;G Salaries</t>
  </si>
  <si>
    <t>AB 1054 Wildfire Fund Receipts Adjs</t>
  </si>
  <si>
    <t>Wildfire Cost Adjs</t>
  </si>
  <si>
    <t>Allocations on Adjustments</t>
  </si>
  <si>
    <t>NP&amp;S</t>
  </si>
  <si>
    <t>Non A&amp;G Costs and Other</t>
  </si>
  <si>
    <t>Not Seeking Recovery</t>
  </si>
  <si>
    <t>Accrual to Cash Basis</t>
  </si>
  <si>
    <t>SEC 3b-7 Officer Compensation</t>
  </si>
  <si>
    <t>SEC 3b-7 Officer STIP</t>
  </si>
  <si>
    <t xml:space="preserve">Total by FERC Account </t>
  </si>
  <si>
    <r>
      <t xml:space="preserve">3)  Summary of Total </t>
    </r>
    <r>
      <rPr>
        <b/>
        <u/>
        <sz val="11"/>
        <rFont val="Calibri"/>
        <family val="2"/>
      </rPr>
      <t>Electric</t>
    </r>
    <r>
      <rPr>
        <b/>
        <u/>
        <sz val="11"/>
        <rFont val="Aptos Narrow"/>
        <family val="2"/>
        <scheme val="minor"/>
      </rPr>
      <t xml:space="preserve"> Adjustments</t>
    </r>
  </si>
  <si>
    <t>WP_19-AandG 7, L. 216</t>
  </si>
  <si>
    <t>STIP Adjustment pursuant to TO21 Settlement:</t>
  </si>
  <si>
    <t>218b</t>
  </si>
  <si>
    <t>Settled Wildfire Costs:</t>
  </si>
  <si>
    <t>218a</t>
  </si>
  <si>
    <t>Total Transmission Portion of Administrative and General Expenses:</t>
  </si>
  <si>
    <t>Transmission Portion of General Liability Insurance and Injuries and Damages:</t>
  </si>
  <si>
    <t>24-Allocators, L. 136</t>
  </si>
  <si>
    <t>Network Transmission Blended Factor (Total Electric)</t>
  </si>
  <si>
    <t>Line 204</t>
  </si>
  <si>
    <t>General Liability Insurance and Injuries and Damages:</t>
  </si>
  <si>
    <t>Based on Blended Labor and Plant Factor</t>
  </si>
  <si>
    <t>Transmission Portion of Property Insurance Account 924</t>
  </si>
  <si>
    <t>24-Allocators, L. 119</t>
  </si>
  <si>
    <t>Network Transmission Plant Factor (Total Electric)</t>
  </si>
  <si>
    <t>Line 203</t>
  </si>
  <si>
    <t>Account 924 Property Insurance nonnuclear:</t>
  </si>
  <si>
    <r>
      <t xml:space="preserve">Based on </t>
    </r>
    <r>
      <rPr>
        <b/>
        <sz val="11"/>
        <rFont val="Calibri"/>
        <family val="2"/>
      </rPr>
      <t xml:space="preserve">Plant Allocation </t>
    </r>
    <r>
      <rPr>
        <b/>
        <sz val="11"/>
        <rFont val="Aptos Narrow"/>
        <family val="2"/>
        <scheme val="minor"/>
      </rPr>
      <t>Factors</t>
    </r>
  </si>
  <si>
    <t>Line 205 * Line 206</t>
  </si>
  <si>
    <t>Transmission Portion of A&amp;G from Labor Allocation Factors:</t>
  </si>
  <si>
    <t>Network Transmission Labor Factor (Total Electric):</t>
  </si>
  <si>
    <t>Line 202 - Line 203 - Line 204</t>
  </si>
  <si>
    <r>
      <t xml:space="preserve">Total A&amp;G Expense Applicable to the </t>
    </r>
    <r>
      <rPr>
        <sz val="11"/>
        <rFont val="Calibri"/>
        <family val="2"/>
      </rPr>
      <t>Network Transmission Labor Factor (Total Electric)</t>
    </r>
    <r>
      <rPr>
        <sz val="11"/>
        <rFont val="Aptos Narrow"/>
        <family val="2"/>
        <scheme val="minor"/>
      </rPr>
      <t>:</t>
    </r>
  </si>
  <si>
    <t>WP_19-AandG 2, L. 102</t>
  </si>
  <si>
    <t>Less General Liability Insurance and Injuries and Damages</t>
  </si>
  <si>
    <t>Line 108, col 5</t>
  </si>
  <si>
    <t>Less Account  924 Property Insurance nonnuclear:</t>
  </si>
  <si>
    <t>Line 118, col 5</t>
  </si>
  <si>
    <t>A&amp;G Expense after Adjustments</t>
  </si>
  <si>
    <r>
      <t>Based on Labor</t>
    </r>
    <r>
      <rPr>
        <b/>
        <sz val="11"/>
        <rFont val="Calibri"/>
        <family val="2"/>
      </rPr>
      <t xml:space="preserve"> Allocation </t>
    </r>
    <r>
      <rPr>
        <b/>
        <sz val="11"/>
        <rFont val="Aptos Narrow"/>
        <family val="2"/>
        <scheme val="minor"/>
      </rPr>
      <t>Factors</t>
    </r>
  </si>
  <si>
    <t>2)  Calculation of Network Transmission A&amp;G Expense</t>
  </si>
  <si>
    <t>FF1 320-323, L. 197, col b</t>
  </si>
  <si>
    <t>Total A&amp;G Expenses:</t>
  </si>
  <si>
    <t>WP_19-AandG 1, L. 6006</t>
  </si>
  <si>
    <t>FF1 320-323, L. 196.3, col b</t>
  </si>
  <si>
    <t>WP_19-AandG 1, L. 5006</t>
  </si>
  <si>
    <t>FF1 320-323, L. 196.2, col b</t>
  </si>
  <si>
    <t>WP_19-AandG 1, L. 4006</t>
  </si>
  <si>
    <t>FF1 320-323, L. 196.1, col b</t>
  </si>
  <si>
    <t>WP_19-AandG 1, L. 3006</t>
  </si>
  <si>
    <t>FF1 320-323, L. 196, col b</t>
  </si>
  <si>
    <t>WP_19-AandG 1, L. 2006</t>
  </si>
  <si>
    <t>FF1 320-323, L. 193, col b</t>
  </si>
  <si>
    <t>WP_19-AandG 1, L. 1006</t>
  </si>
  <si>
    <t>FF1 320-323, L. 192, col b</t>
  </si>
  <si>
    <t>FF1 320-323, L. 191, col b</t>
  </si>
  <si>
    <t>FF1 320-323, L. 190, col b</t>
  </si>
  <si>
    <t>WP_19-AandG 1, L. 906</t>
  </si>
  <si>
    <t>FF1 320-323, L. 189, col b</t>
  </si>
  <si>
    <t>WP_19-AandG 1, L. 806</t>
  </si>
  <si>
    <t>FF1 320-323, L. 188, col b</t>
  </si>
  <si>
    <t>WP_19-AandG 1, L. 706</t>
  </si>
  <si>
    <t>FF1 320-323, L. 187, col b</t>
  </si>
  <si>
    <t>WP_19-AandG 1, L. 606</t>
  </si>
  <si>
    <t>FF1 320-323, L. 186, col b</t>
  </si>
  <si>
    <t>WP_19-AandG 1, L. 506</t>
  </si>
  <si>
    <t>FF1 320-323, L. 185, col b</t>
  </si>
  <si>
    <t>WP_19-AandG 1, L. 406</t>
  </si>
  <si>
    <t>FF1 320-323, L. 184, col b</t>
  </si>
  <si>
    <t>WP_19-AandG 1, L. 306</t>
  </si>
  <si>
    <t>FF1 320-323, L. 183, col b</t>
  </si>
  <si>
    <t>WP_19-AandG 1, L. 206</t>
  </si>
  <si>
    <t>FF1 320-323, L. 182, col b</t>
  </si>
  <si>
    <t>WP_19-AandG 1, L. 106</t>
  </si>
  <si>
    <t>FF1 320-323, L. 181, col b</t>
  </si>
  <si>
    <t>Amount Excluded</t>
  </si>
  <si>
    <t>Acct.</t>
  </si>
  <si>
    <t>Total Electric Adj</t>
  </si>
  <si>
    <t>Total Electric</t>
  </si>
  <si>
    <t>Data</t>
  </si>
  <si>
    <t>Col 5 = Col 1 - Col 3</t>
  </si>
  <si>
    <r>
      <t xml:space="preserve">1)  Calculation of Total </t>
    </r>
    <r>
      <rPr>
        <b/>
        <sz val="11"/>
        <rFont val="Calibri"/>
        <family val="2"/>
      </rPr>
      <t>Electric</t>
    </r>
    <r>
      <rPr>
        <b/>
        <sz val="11"/>
        <rFont val="Aptos Narrow"/>
        <family val="2"/>
        <scheme val="minor"/>
      </rPr>
      <t xml:space="preserve"> Adjusted A&amp;G Expense</t>
    </r>
  </si>
  <si>
    <t>Input Cells are shaded in gold</t>
  </si>
  <si>
    <t>Prior Year:  2024</t>
  </si>
  <si>
    <t>Schedule 19-AandG</t>
  </si>
  <si>
    <t>9) This item captures a reconciliation to the FF1 and due to a statement alignment of costs between Acct 456, 440, and 442. PG&amp;E will provide an update to this reconiliation in the final December filing.</t>
  </si>
  <si>
    <t>These revenues have been adjusted out of Schedule 18 and being added to to Schedule 24 to provide a comprehensive view of revenues. Due to this the value of Acct 454 is higher than what was presented in the FERC Form 1.</t>
  </si>
  <si>
    <t xml:space="preserve">8) This line item represents the rental income for non-tariffed products and services that were recorded as negative electric transmission operating and maintenance expenses. </t>
  </si>
  <si>
    <t xml:space="preserve">7) Lines 620 and 621 have been added to Schedule 20 to complete the list of natural accounts in FERC 456 and tie to the FERC Form 1. They are not eligible for recovery purposes. </t>
  </si>
  <si>
    <t>6) Section 1, Col 8 includes network transmission related New Products and Services revenue and SBA Transaction revenue.  Please see WP_21-NPandS-1 for more details.</t>
  </si>
  <si>
    <r>
      <t xml:space="preserve">5) See FF1 </t>
    </r>
    <r>
      <rPr>
        <sz val="11"/>
        <rFont val="Calibri"/>
        <family val="2"/>
      </rPr>
      <t>328</t>
    </r>
    <r>
      <rPr>
        <sz val="11"/>
        <rFont val="Aptos Narrow"/>
        <family val="2"/>
        <scheme val="minor"/>
      </rPr>
      <t>-330, col n, Total</t>
    </r>
  </si>
  <si>
    <t xml:space="preserve">4) ET High and Low Voltage amounts are determined based on the SAP report described in Note 2, by filtering for the appropriate Regulatory Categories (i.e. electric network transmission related) and allocating to High and Low Voltage using O&amp;M Labor Factors.  </t>
  </si>
  <si>
    <t xml:space="preserve">The functional area assignments determine the amounts in Network ET High and Low Voltage in FERC Account 454, Natural Account 4540010 - Rent from Electric Property.  </t>
  </si>
  <si>
    <t xml:space="preserve">The NEBs Report includes a record of all Contract Numbers and Material Codes for each transaction posted to this account, which is used by the system to identify the functional areas. </t>
  </si>
  <si>
    <t xml:space="preserve">3) Total Network ET in line 502, Col 7 is determined through an SAP Other Operating Revenue (OOR) query from Non-Energy Billing Systems (NEBs) for Special Facilities and Rent transactions. </t>
  </si>
  <si>
    <t>Col 5-6 will include the revenues derived from the use of assets included in TO-21 rate base, not otherwise included in Col 8.</t>
  </si>
  <si>
    <t xml:space="preserve">2) To fill out Col 2-4, run SAP report by FERC accounts listed in Col 1.  This SAP report lists the FERC Account detail for recorded Electric Revenue Credits amount by fiscal year, Natural Account, Major Work Categories and Regulatory Categories.  </t>
  </si>
  <si>
    <t>1) The FERC accounts listed in Col 1, match with FERC account listing under Electric Other Operating Revenues per Uniform System of Accounts.</t>
  </si>
  <si>
    <t>Only applicable for TO21 Prior Year 2024 true up (i.e. TO21 RY2026 annual update).</t>
  </si>
  <si>
    <t>RY2024 TO21 Model, 20-RevenueCredits, L. 1001, col 3-5</t>
  </si>
  <si>
    <t>Prior Year True-up Transmission Revenue Requirement Adjustment</t>
  </si>
  <si>
    <t>Only applicable for TO21 RY2024.</t>
  </si>
  <si>
    <t>For Line 1001, col 5: WP_20-RevenueCredits 1, L. 102, col 2;
For Line 1001, col 3 and 4: Line 1001, Col 5 * Line 1000.</t>
  </si>
  <si>
    <t>Rate Year Base Transmission Revenue Requirement Adjustment</t>
  </si>
  <si>
    <t>24-Allocators, L. 133 and L. 134</t>
  </si>
  <si>
    <t>Rate Year High Voltage/Low Voltage Electric Transmission Plant Allocation Factor</t>
  </si>
  <si>
    <t>Recorded Allocated Network Transmission Amount</t>
  </si>
  <si>
    <t>Allocation Factor to Low Voltage (Rate Year)</t>
  </si>
  <si>
    <t>Allocation Factor to High Voltage (Rate Year)</t>
  </si>
  <si>
    <t>FERC Acct</t>
  </si>
  <si>
    <t xml:space="preserve">The purpose of this section is to return the Network Transmission portion of gain from the sale of the San Francisco General Office in 2021 to FERC customers in Rate Year 2024.  It is a one-time event.  </t>
  </si>
  <si>
    <t>2) San Francisco General Office Sale</t>
  </si>
  <si>
    <t>Acct 457.2 Total</t>
  </si>
  <si>
    <t>FF1 300-301, L. 24, col b</t>
  </si>
  <si>
    <t>Miscellaneous Revenues</t>
  </si>
  <si>
    <t>Acct 457.1 Total</t>
  </si>
  <si>
    <t>FF1 300-301, L. 23, col b</t>
  </si>
  <si>
    <t>Regional Control Service Revenues</t>
  </si>
  <si>
    <t>Acct 455 Total</t>
  </si>
  <si>
    <t>FF1 300-301, L. 20, col b</t>
  </si>
  <si>
    <t>Interdepartmental Rents</t>
  </si>
  <si>
    <t>FF1 Manual Adjustment</t>
  </si>
  <si>
    <t>Diablo Canyon NBC Operator Revenues</t>
  </si>
  <si>
    <t>FF&amp;U - At Risk Electric Revenue</t>
  </si>
  <si>
    <t>Revenue Assigned - Base</t>
  </si>
  <si>
    <t>Other Electric Revenues</t>
  </si>
  <si>
    <t>Note 2, 5</t>
  </si>
  <si>
    <t>Other Transmission Revenue - Wheeling</t>
  </si>
  <si>
    <t>Other Utility Operating Income</t>
  </si>
  <si>
    <t>Reimbursed Electric Revenue - CPUC</t>
  </si>
  <si>
    <t>Other Electric Revenue - Calif Department of Water &amp; Resources (DWR)</t>
  </si>
  <si>
    <t>Reimbursed Electric Revenue Customer Care and Billing (CC&amp;B)</t>
  </si>
  <si>
    <t>Reimbursed Electric Revenue Joint Poles</t>
  </si>
  <si>
    <t>Note 2, 4</t>
  </si>
  <si>
    <t>Reimbursed Electric Revenue</t>
  </si>
  <si>
    <t>Unbilled Electric Revenue</t>
  </si>
  <si>
    <t>New Revenue Development - Electric Revenue</t>
  </si>
  <si>
    <t>NEBS TCRA</t>
  </si>
  <si>
    <t>Mobile Home Park Electric</t>
  </si>
  <si>
    <t>Revenue Damage Claims Electric</t>
  </si>
  <si>
    <t>Other Revenue - Affiliate</t>
  </si>
  <si>
    <t>Timber Sales - Utility</t>
  </si>
  <si>
    <t>Recreation Facilities Revenue</t>
  </si>
  <si>
    <t>MCI Rights-of-Way (B)</t>
  </si>
  <si>
    <t>Acct 456 Total</t>
  </si>
  <si>
    <t>FF1 300-301, L. 21-22, col b</t>
  </si>
  <si>
    <t>Other Electric Revenue</t>
  </si>
  <si>
    <t>New Revenue Development Rent Adjustment</t>
  </si>
  <si>
    <t>New Revenue Development Fee Revenue</t>
  </si>
  <si>
    <t>New Revenue Development Rent</t>
  </si>
  <si>
    <t>Note 2, 3</t>
  </si>
  <si>
    <t>Rent from Electric Property</t>
  </si>
  <si>
    <t>Acct 454 Total</t>
  </si>
  <si>
    <t>FF1 300-301, L.19, col b</t>
  </si>
  <si>
    <t>Sales of Water and Water Power</t>
  </si>
  <si>
    <t>Acct 453 Total</t>
  </si>
  <si>
    <t>FF1 300-301, L. 18, col b</t>
  </si>
  <si>
    <t>Miscellaneous Service Revenues - Reimbursable</t>
  </si>
  <si>
    <t>Miscellaneous Service Electric Customer Fund Management Non-RES</t>
  </si>
  <si>
    <t>Miscellaneous Service Electric Customer Fund Management - RES</t>
  </si>
  <si>
    <t>NRD Revenue Other</t>
  </si>
  <si>
    <t>Miscellaneous Service Revenues</t>
  </si>
  <si>
    <t>Acct 451 Total</t>
  </si>
  <si>
    <t>FF1 300-301, L. 17, col b</t>
  </si>
  <si>
    <t>Forfeited Discounts</t>
  </si>
  <si>
    <t>Acct 450 Total</t>
  </si>
  <si>
    <t>FF1 300-301, L. 16, col b</t>
  </si>
  <si>
    <t>Sum Lines 201, 301, 401, 501, 601, 701, 801 and 901</t>
  </si>
  <si>
    <t xml:space="preserve">NP&amp;S Transmission </t>
  </si>
  <si>
    <t>Total Network ET</t>
  </si>
  <si>
    <t>Network ET - Low Voltage</t>
  </si>
  <si>
    <t>Network ET - High Voltage</t>
  </si>
  <si>
    <t xml:space="preserve">Total Electric </t>
  </si>
  <si>
    <t>ACCT DESCRIPTION</t>
  </si>
  <si>
    <t>NATURAL ACCT</t>
  </si>
  <si>
    <t>FERC ACCT</t>
  </si>
  <si>
    <t>Col 5 + Col 6</t>
  </si>
  <si>
    <t>1) Insert additional lines as necessary for additional items.</t>
  </si>
  <si>
    <t>1) Electric Revenue Credits</t>
  </si>
  <si>
    <r>
      <rPr>
        <b/>
        <sz val="10.8"/>
        <rFont val="Calibri"/>
        <family val="2"/>
      </rPr>
      <t xml:space="preserve">Electric </t>
    </r>
    <r>
      <rPr>
        <b/>
        <sz val="11"/>
        <rFont val="Aptos Narrow"/>
        <family val="2"/>
        <scheme val="minor"/>
      </rPr>
      <t>Revenue Credits</t>
    </r>
  </si>
  <si>
    <t>Schedule 20-RevenueCredits</t>
  </si>
  <si>
    <t>3) Product Lines with negative Net Revenues are set to zero.</t>
  </si>
  <si>
    <t>2) Please see WP_21-NPandS 2 for Expenses by Product Line.</t>
  </si>
  <si>
    <t>1) Please see WP_21-NPandS 1 for Revenues by Product Line.</t>
  </si>
  <si>
    <t>Customer Revenue Credit (CRC$) = PTNR * CRC%</t>
  </si>
  <si>
    <t>Shareholder Allocation</t>
  </si>
  <si>
    <t>State and Federal taxes = PSA$ * t</t>
  </si>
  <si>
    <t>Pre-tax Shareholder Allocation (PSA$) = PTNR * PSA%</t>
  </si>
  <si>
    <t>Calculation of 50/50 After-Tax Sharing</t>
  </si>
  <si>
    <t xml:space="preserve">CRC% (Customer Revenue Credit Percent of Net Revenues) = 1 - [1 / (1+ k - kt)]                   </t>
  </si>
  <si>
    <t>PSA% (Pre-Tax Shareholder Percent of Net Revenues) = 1 / (1 + k - kt)</t>
  </si>
  <si>
    <t>50%/50% = 1</t>
  </si>
  <si>
    <t>k = The ratio of customer to shareholder after tax net revenues.</t>
  </si>
  <si>
    <t>t = Composite state &amp; federal tax rate</t>
  </si>
  <si>
    <t>PTNR (Pre-tax net revenue)</t>
  </si>
  <si>
    <t>Calculation of Pre-tax Revenue Allocation %</t>
  </si>
  <si>
    <t>SBA Amortization</t>
  </si>
  <si>
    <t>Maintenance &amp; Consulting</t>
  </si>
  <si>
    <t>Technology &amp; Licenses</t>
  </si>
  <si>
    <t>Land Use</t>
  </si>
  <si>
    <t>Wireless</t>
  </si>
  <si>
    <t>Wireline</t>
  </si>
  <si>
    <t>Net Revenues</t>
  </si>
  <si>
    <t>Product Line</t>
  </si>
  <si>
    <t>Adjusted</t>
  </si>
  <si>
    <t>Transmission Revenues and Expenses by Product Line</t>
  </si>
  <si>
    <t>Total NP&amp;S Transmission Expense</t>
  </si>
  <si>
    <t>WP_21-NPandS 2, Line 100, col 2</t>
  </si>
  <si>
    <t>NP&amp;S Transmission A&amp;G Expense</t>
  </si>
  <si>
    <t>WP_21-NPandS 2, Line 100, col 1</t>
  </si>
  <si>
    <t>NP&amp;S Transmission O&amp;M Expense</t>
  </si>
  <si>
    <t>20-RevenueCredits, L. 100, col 8</t>
  </si>
  <si>
    <t>NP&amp;S Transmission Revenue</t>
  </si>
  <si>
    <t>Total NP&amp;S Electric Transmission Revenues and Expenses</t>
  </si>
  <si>
    <t>Schedule 21-NPandS</t>
  </si>
  <si>
    <t>Sum of Lines 200-202</t>
  </si>
  <si>
    <t>Composite Income Tax Rate</t>
  </si>
  <si>
    <t>Reflects the federal tax deduction for state taxes which reduces the composite income tax rate</t>
  </si>
  <si>
    <t>Negative Line 200 * Line 201</t>
  </si>
  <si>
    <t>Federal Secondary</t>
  </si>
  <si>
    <t>California Rev. &amp; Tax. Cd. § 23151</t>
  </si>
  <si>
    <t>State Franchise Tax Rate (California)</t>
  </si>
  <si>
    <t>Internal Revenue Code (IRC) Section 11</t>
  </si>
  <si>
    <t>2) Tax Rates for the Prior Year True-up</t>
  </si>
  <si>
    <t>Sum of Lines 100-102</t>
  </si>
  <si>
    <t>Negative Line 100 * Line 101</t>
  </si>
  <si>
    <t>1) Tax Rates for the Rate Year</t>
  </si>
  <si>
    <t>Schedule 22-TaxRates</t>
  </si>
  <si>
    <t>5) For January through December = previous month balance plus amount in Column 2.</t>
  </si>
  <si>
    <t>4) The monthly deferred tax amounts are equal to the ending ADIT balance minus the beginning ADIT balance, divided by 12 months.</t>
  </si>
  <si>
    <r>
      <t xml:space="preserve">3) The Source of the Credits and Other can be found in </t>
    </r>
    <r>
      <rPr>
        <sz val="11"/>
        <rFont val="Calibri"/>
        <family val="2"/>
      </rPr>
      <t xml:space="preserve">the shaded area </t>
    </r>
    <r>
      <rPr>
        <sz val="11"/>
        <rFont val="Aptos Narrow"/>
        <family val="2"/>
        <scheme val="minor"/>
      </rPr>
      <t>of WP_23-RetailSGTax 3</t>
    </r>
  </si>
  <si>
    <r>
      <t xml:space="preserve">2) The Source of the Beginning of Year Accumulated Deferred Income Taxes can be found in </t>
    </r>
    <r>
      <rPr>
        <sz val="11"/>
        <rFont val="Calibri"/>
        <family val="2"/>
      </rPr>
      <t xml:space="preserve">the shaded area </t>
    </r>
    <r>
      <rPr>
        <sz val="11"/>
        <rFont val="Aptos Narrow"/>
        <family val="2"/>
        <scheme val="minor"/>
      </rPr>
      <t>of WP_23-RetailSGTax 3</t>
    </r>
  </si>
  <si>
    <r>
      <t xml:space="preserve">1) The Source of the End of Year Accumulated Deferred Income Taxes can be found in </t>
    </r>
    <r>
      <rPr>
        <sz val="11"/>
        <rFont val="Calibri"/>
        <family val="2"/>
      </rPr>
      <t>the shaded area</t>
    </r>
    <r>
      <rPr>
        <sz val="11"/>
        <rFont val="Aptos Narrow"/>
        <family val="2"/>
        <scheme val="minor"/>
      </rPr>
      <t xml:space="preserve"> of WP_23-RetailSGTax 3</t>
    </r>
  </si>
  <si>
    <t>Ending Balance (Line 100)</t>
  </si>
  <si>
    <t>Beginning Deferred Tax Balance (Line 101)</t>
  </si>
  <si>
    <t>Col 9 Prior Mth + Col 8 Current Mth</t>
  </si>
  <si>
    <t>= Col 3 * Col 7</t>
  </si>
  <si>
    <t>Col 6 / Tot. Days</t>
  </si>
  <si>
    <t>See Note 5</t>
  </si>
  <si>
    <t>See Note 4</t>
  </si>
  <si>
    <t>4) Tax Normalization Calculation Pursuant to Treas. Reg §1.167(l)-1(h)(6); PLR 9313008; 9202029; 9224040; 201717008</t>
  </si>
  <si>
    <t>Total South Georgia Adjustment</t>
  </si>
  <si>
    <t>1-BaseTRR, L. 218 / 3-True-upTRR, L.203</t>
  </si>
  <si>
    <t>1-BaseTRR, L. 217 / 3-True-upTRR, L. 202</t>
  </si>
  <si>
    <t>1-BaseTRR, L. 216 / 3-True-upTRR, L.201</t>
  </si>
  <si>
    <t>For Inputs to Sch.3-True-upTRR</t>
  </si>
  <si>
    <t>For Inputs to Sch.1-BaseTRR</t>
  </si>
  <si>
    <t>3) ROE and Capitalization Calculations</t>
  </si>
  <si>
    <t>WP_23-RetailSGTax 3</t>
  </si>
  <si>
    <t>Income Taxes = [((RB * ER) + FPD) * (CTR/(1 – CTR))]  + CO/(1 – CTR)]</t>
  </si>
  <si>
    <t>2) Income Taxes</t>
  </si>
  <si>
    <t>Average of BOY and EOY Accumulated Deferred Income Taxes</t>
  </si>
  <si>
    <t>Beginning of Year Accumulated Deferred Income Taxes</t>
  </si>
  <si>
    <t>End of Year Accumulated Deferred Income Taxes</t>
  </si>
  <si>
    <t>Values for Inputs to Sch.3-True-upTRR</t>
  </si>
  <si>
    <t>Values for Inputs to Sch.1-BaseTRR</t>
  </si>
  <si>
    <t>1) Accumulated Deferred Income Taxes</t>
  </si>
  <si>
    <t>Schedule 23-RetailSGTax</t>
  </si>
  <si>
    <t>Line 139 / Line 140</t>
  </si>
  <si>
    <t>Net Plant Property Tax Allocation Factor</t>
  </si>
  <si>
    <t>Line 118 - Line 138</t>
  </si>
  <si>
    <t>Total PG&amp;E Electric Net Plant in Service (Functional + CGI)</t>
  </si>
  <si>
    <t>Line 117 - Line 137</t>
  </si>
  <si>
    <t>Network Transmission Net Plant in Service (Functional + CGI)</t>
  </si>
  <si>
    <t>WP_10-AccDep 4, L. 149, Col 8</t>
  </si>
  <si>
    <t>Total PG&amp;E Electric Accumulated Depreciation including CGI</t>
  </si>
  <si>
    <t>10-AccDep, L. 112, col 26 + 10-AccDep, L. 401, col 3</t>
  </si>
  <si>
    <t>Network Transmission Accumulated Depreciation including CGI</t>
  </si>
  <si>
    <t>Calculation of Prior Year Property Tax Allocation Factor</t>
  </si>
  <si>
    <r>
      <t xml:space="preserve">Calculation of Prior Year </t>
    </r>
    <r>
      <rPr>
        <b/>
        <sz val="11"/>
        <rFont val="Calibri"/>
        <family val="2"/>
      </rPr>
      <t>Blended Factors</t>
    </r>
  </si>
  <si>
    <t>Rate Year Dec</t>
  </si>
  <si>
    <r>
      <t>Allocation Factor to Low Voltage</t>
    </r>
    <r>
      <rPr>
        <b/>
        <sz val="11"/>
        <rFont val="Calibri"/>
        <family val="2"/>
      </rPr>
      <t xml:space="preserve"> (Rate Year)</t>
    </r>
  </si>
  <si>
    <r>
      <t>Allocation Factor to High Voltage</t>
    </r>
    <r>
      <rPr>
        <b/>
        <sz val="11"/>
        <rFont val="Calibri"/>
        <family val="2"/>
      </rPr>
      <t xml:space="preserve"> (Rate Year)</t>
    </r>
  </si>
  <si>
    <t>Network Electric Transmission Rate Year Functional Plant</t>
  </si>
  <si>
    <t>Low Voltage Rate Year Functional Plant</t>
  </si>
  <si>
    <t>High Voltage Rate Year Functional Plant</t>
  </si>
  <si>
    <t>9-PlantAdditions, L. 323, col 2</t>
  </si>
  <si>
    <t>Low Voltage Capital Additions</t>
  </si>
  <si>
    <t>9-PlantAdditions, L. 223, col 2</t>
  </si>
  <si>
    <t>High Voltage Capital Additions</t>
  </si>
  <si>
    <t>Calculation of Rate Year High Voltage/Low Voltage Electric Transmission Plant Allocation Factor</t>
  </si>
  <si>
    <r>
      <t>Allocation Factor to Low Voltage</t>
    </r>
    <r>
      <rPr>
        <b/>
        <sz val="11"/>
        <rFont val="Calibri"/>
        <family val="2"/>
      </rPr>
      <t xml:space="preserve"> (Prior Year)</t>
    </r>
  </si>
  <si>
    <r>
      <t>Allocation Factor to High Voltage</t>
    </r>
    <r>
      <rPr>
        <b/>
        <sz val="11"/>
        <rFont val="Calibri"/>
        <family val="2"/>
      </rPr>
      <t xml:space="preserve"> (Prior Year)</t>
    </r>
  </si>
  <si>
    <t>Prior Year Dec</t>
  </si>
  <si>
    <t>7-PlantInService, L. 312, col 26</t>
  </si>
  <si>
    <t>Low Voltage Plant</t>
  </si>
  <si>
    <t>7-PlantInService, L. 212, col 26</t>
  </si>
  <si>
    <t>High Voltage Plant</t>
  </si>
  <si>
    <t>Network Transmission Plant - Functional Plant only</t>
  </si>
  <si>
    <t>Calculation of Prior Year High Voltage/Low Voltage Transmission Plant Allocation Factor</t>
  </si>
  <si>
    <t>6-PlantJurisdiction, L. 113, col 1 + col 3</t>
  </si>
  <si>
    <t>Total Electric Transmission  - Functional Plant only</t>
  </si>
  <si>
    <t>WP_7-PlantInService 5, L. 149, Col 8</t>
  </si>
  <si>
    <t>Total PG&amp;E Electric Plant In Service including CGI Plant</t>
  </si>
  <si>
    <t>7-PlantInService, L. 112, col 26 + 7-PlantInService, L. 401, col 3</t>
  </si>
  <si>
    <t>Network Transmission Gross Plant In Service including CGI Plant</t>
  </si>
  <si>
    <t>WP_7-PlantInService 5, L. 149, Col 10</t>
  </si>
  <si>
    <t>Total PG&amp;E Company Gross Plant In Service</t>
  </si>
  <si>
    <r>
      <t xml:space="preserve">Calculation of Prior </t>
    </r>
    <r>
      <rPr>
        <b/>
        <sz val="11"/>
        <rFont val="Calibri"/>
        <family val="2"/>
      </rPr>
      <t>Year Plant</t>
    </r>
    <r>
      <rPr>
        <b/>
        <sz val="11"/>
        <rFont val="Aptos Narrow"/>
        <family val="2"/>
        <scheme val="minor"/>
      </rPr>
      <t xml:space="preserve"> Allocation Factors</t>
    </r>
  </si>
  <si>
    <r>
      <t xml:space="preserve">Network Transmission </t>
    </r>
    <r>
      <rPr>
        <b/>
        <sz val="11"/>
        <rFont val="Calibri"/>
        <family val="2"/>
      </rPr>
      <t>Labor Factor (Total Company)</t>
    </r>
  </si>
  <si>
    <r>
      <t>Network Transmission</t>
    </r>
    <r>
      <rPr>
        <b/>
        <sz val="11"/>
        <rFont val="Calibri"/>
        <family val="2"/>
      </rPr>
      <t xml:space="preserve"> Labor Factor (Total Electric)</t>
    </r>
  </si>
  <si>
    <t>18-OandM, L. 100, col 13</t>
  </si>
  <si>
    <t>Network Electric Transmission Wages and Salaries</t>
  </si>
  <si>
    <r>
      <t xml:space="preserve">Total Adjusted Electric Wages and Salaries </t>
    </r>
    <r>
      <rPr>
        <sz val="11"/>
        <rFont val="Calibri"/>
        <family val="2"/>
      </rPr>
      <t>w/o</t>
    </r>
    <r>
      <rPr>
        <sz val="11"/>
        <rFont val="Aptos Narrow"/>
        <family val="2"/>
        <scheme val="minor"/>
      </rPr>
      <t xml:space="preserve"> A&amp;G</t>
    </r>
  </si>
  <si>
    <t>Calculation of Prior Year Network Electric Transmission Labor Allocation Factors</t>
  </si>
  <si>
    <t>Total Electric Department Labor Factor</t>
  </si>
  <si>
    <t>Line 105 - Line 106 + Line 107</t>
  </si>
  <si>
    <r>
      <t xml:space="preserve">Total Adjusted Electric Wages and Salaries </t>
    </r>
    <r>
      <rPr>
        <b/>
        <sz val="11"/>
        <rFont val="Calibri"/>
        <family val="2"/>
      </rPr>
      <t>w/o</t>
    </r>
    <r>
      <rPr>
        <b/>
        <sz val="11"/>
        <rFont val="Aptos Narrow"/>
        <family val="2"/>
        <scheme val="minor"/>
      </rPr>
      <t xml:space="preserve"> A&amp;G</t>
    </r>
  </si>
  <si>
    <t>WP_24-Allocators_Labor, L. 100, col 5</t>
  </si>
  <si>
    <t>Cost Adjustment</t>
  </si>
  <si>
    <t>Electric A&amp;G Wages and Salaries</t>
  </si>
  <si>
    <r>
      <t>FF1 354</t>
    </r>
    <r>
      <rPr>
        <sz val="11"/>
        <rFont val="Calibri"/>
        <family val="2"/>
      </rPr>
      <t>-355</t>
    </r>
    <r>
      <rPr>
        <sz val="11"/>
        <rFont val="Aptos Narrow"/>
        <family val="2"/>
        <scheme val="minor"/>
      </rPr>
      <t>, L. 28, col b</t>
    </r>
  </si>
  <si>
    <t>Total Electric Department Wages and Salaries</t>
  </si>
  <si>
    <t>(Line 100 + Line 103) - (Line 101 + Line 102)</t>
  </si>
  <si>
    <r>
      <t xml:space="preserve">Total Company Wages and Salaries </t>
    </r>
    <r>
      <rPr>
        <b/>
        <sz val="11"/>
        <rFont val="Calibri"/>
        <family val="2"/>
      </rPr>
      <t>w/o</t>
    </r>
    <r>
      <rPr>
        <b/>
        <sz val="11"/>
        <rFont val="Aptos Narrow"/>
        <family val="2"/>
        <scheme val="minor"/>
      </rPr>
      <t xml:space="preserve"> A&amp;G</t>
    </r>
  </si>
  <si>
    <t>WP_24-Allocators_Labor, L. 100, col 3</t>
  </si>
  <si>
    <r>
      <t xml:space="preserve">FF1 </t>
    </r>
    <r>
      <rPr>
        <sz val="11"/>
        <rFont val="Calibri"/>
        <family val="2"/>
      </rPr>
      <t>354-</t>
    </r>
    <r>
      <rPr>
        <sz val="11"/>
        <rFont val="Aptos Narrow"/>
        <family val="2"/>
        <scheme val="minor"/>
      </rPr>
      <t>355, L. 61, col b</t>
    </r>
  </si>
  <si>
    <t>Gas A&amp;G Wages and Salaries</t>
  </si>
  <si>
    <r>
      <t>FF1 354</t>
    </r>
    <r>
      <rPr>
        <sz val="11"/>
        <rFont val="Calibri"/>
        <family val="2"/>
      </rPr>
      <t>-355</t>
    </r>
    <r>
      <rPr>
        <sz val="11"/>
        <rFont val="Aptos Narrow"/>
        <family val="2"/>
        <scheme val="minor"/>
      </rPr>
      <t>, L. 27, col b</t>
    </r>
  </si>
  <si>
    <t xml:space="preserve">Electric A&amp;G Wages and Salaries </t>
  </si>
  <si>
    <r>
      <t xml:space="preserve">FF1 </t>
    </r>
    <r>
      <rPr>
        <sz val="11"/>
        <rFont val="Calibri"/>
        <family val="2"/>
      </rPr>
      <t>354-</t>
    </r>
    <r>
      <rPr>
        <sz val="11"/>
        <rFont val="Aptos Narrow"/>
        <family val="2"/>
        <scheme val="minor"/>
      </rPr>
      <t>355, L. 65, col b</t>
    </r>
  </si>
  <si>
    <t>Total Company Wages and Salaries</t>
  </si>
  <si>
    <r>
      <t>Calculation of Prior Year</t>
    </r>
    <r>
      <rPr>
        <b/>
        <sz val="11"/>
        <rFont val="Calibri"/>
        <family val="2"/>
      </rPr>
      <t xml:space="preserve"> Labor Allocation Factors</t>
    </r>
  </si>
  <si>
    <t>Schedule 24-Allocators</t>
  </si>
  <si>
    <t>Franchise Fee Factor</t>
  </si>
  <si>
    <t>4) Calculation of Weighted Average RF&amp;U Factors</t>
  </si>
  <si>
    <t>WP_25-RFandUFactors 3, L. 110</t>
  </si>
  <si>
    <t>Present</t>
  </si>
  <si>
    <t>Uncollectible Factor</t>
  </si>
  <si>
    <t>Days in Prior Year</t>
  </si>
  <si>
    <t>To</t>
  </si>
  <si>
    <t>From</t>
  </si>
  <si>
    <t>3) Approved Uncollectible Factor(s)</t>
  </si>
  <si>
    <t>WP_25-RFandUFactors 2, L. 104</t>
  </si>
  <si>
    <t>2) Approved San Francisco Gross Receipts Tax Factor(s)</t>
  </si>
  <si>
    <t>WP_25-RFandUFactors 1, L. 102</t>
  </si>
  <si>
    <t>1) Approved Franchise Fee Factor(s)</t>
  </si>
  <si>
    <t>Schedule 25-RFandUFactors</t>
  </si>
  <si>
    <t>Total Wholesale TRRs</t>
  </si>
  <si>
    <t>Negative, Line 1 * (29-RetailRates-1, L. 118, col (A) * 50%</t>
  </si>
  <si>
    <t>Standby Revenue Credit</t>
  </si>
  <si>
    <t>ER25-3533-000 (To be updated with TRBA RY2027 AU)</t>
  </si>
  <si>
    <t>Wholesale TRBAA</t>
  </si>
  <si>
    <t>Wholesale Base TRRs</t>
  </si>
  <si>
    <t>Line 1 * 1-BaseTRR, L. 602</t>
  </si>
  <si>
    <t>True-up Adjustment</t>
  </si>
  <si>
    <t>Line 1 * 1-BaseTRR, L. 601</t>
  </si>
  <si>
    <t>Line 1 * 1-BaseTRR, L. 521</t>
  </si>
  <si>
    <t>Self-Insurance including SFGR tax and Franchise, w/o Uncollectibles</t>
  </si>
  <si>
    <t>Line 212 * (1-BaseTRR, L. 513 + L. 514)</t>
  </si>
  <si>
    <t>Line 1 * 1-BaseTRR, L. 511</t>
  </si>
  <si>
    <t>Line 1 * 1-BaseTRR, L. 510</t>
  </si>
  <si>
    <t>Negative, 20-RevenueCredits, L. 100, col 5 + L. 1001, col 3 and L. 100, col 6 + L. 1001, col 4.</t>
  </si>
  <si>
    <t>Line 1 * 1-BaseTRR, L. 508</t>
  </si>
  <si>
    <t>Line 1 * 1-BaseTRR, L. 507</t>
  </si>
  <si>
    <t>(Line 116 * 1-BaseTRR, L. 219) - (1-BaseTRR, L. 221 * 8-AbandonedProject, L. 100 and L. 101, col 11)</t>
  </si>
  <si>
    <t>8-AbandonedProject, Lines 100 and 101, Col 7</t>
  </si>
  <si>
    <r>
      <t xml:space="preserve">Abandoned </t>
    </r>
    <r>
      <rPr>
        <sz val="11"/>
        <rFont val="Calibri"/>
        <family val="2"/>
      </rPr>
      <t xml:space="preserve">or Cancelled </t>
    </r>
    <r>
      <rPr>
        <sz val="11"/>
        <rFont val="Aptos Narrow"/>
        <family val="2"/>
        <scheme val="minor"/>
      </rPr>
      <t>Projects Amortization Expense</t>
    </r>
  </si>
  <si>
    <t>Line 1 * 1-BaseTRR, L. 504</t>
  </si>
  <si>
    <t>Depreciation rate adjustment</t>
  </si>
  <si>
    <t>11-Depreciation, (L. 100, col 26 + L. 200, col 4), (L. 101, col 26 + L. 200, Col 5)</t>
  </si>
  <si>
    <t>Line 1 * 1-BaseTRR, L. 502</t>
  </si>
  <si>
    <t>Line 1 * 1-BaseTRR, L. 501</t>
  </si>
  <si>
    <t>200a</t>
  </si>
  <si>
    <t>WP_26-WholesaleTRRs, L. 100, Col 3 and Col 4</t>
  </si>
  <si>
    <t>O&amp;M Expense from Transmission of Electricity by Others</t>
  </si>
  <si>
    <t>Line 1 * (18-OandM, L. 100, col 15  - L. 113, col 15)</t>
  </si>
  <si>
    <t>Prior Year Transmission Revenue Requirement</t>
  </si>
  <si>
    <t>Line 1 * 1-BaseTRR, L. 115</t>
  </si>
  <si>
    <t>Line 1 * 1-BaseTRR, L. 114</t>
  </si>
  <si>
    <t>Line 1 * 1-BaseTRR, L. 113</t>
  </si>
  <si>
    <t>Line 1 * 1-BaseTRR, L. 112</t>
  </si>
  <si>
    <t>Customer Advances</t>
  </si>
  <si>
    <t>Line 1 * 1-BaseTRR, L. 111c</t>
  </si>
  <si>
    <t>10-AccDep, L. 401 , col 4 and col 5</t>
  </si>
  <si>
    <t>10-AccDep, L. 212 and L. 312, col 26</t>
  </si>
  <si>
    <t>Transmission Depreciation Reserve</t>
  </si>
  <si>
    <t>Line 1 * 13-WorkCap, L. 217, col 5</t>
  </si>
  <si>
    <t>13-WorkCap, L. 112, col 3 and col 4</t>
  </si>
  <si>
    <t>8-AbandonedProject, Lines 100 and 101, Col 11</t>
  </si>
  <si>
    <r>
      <t>Abandoned</t>
    </r>
    <r>
      <rPr>
        <sz val="11"/>
        <rFont val="Calibri"/>
        <family val="2"/>
      </rPr>
      <t xml:space="preserve"> or Cancelled Projects</t>
    </r>
  </si>
  <si>
    <t>7-PlantInService, L. 401, col 4 and 5</t>
  </si>
  <si>
    <t>7-PlantInService, L. 212 and 312, col 26</t>
  </si>
  <si>
    <r>
      <t xml:space="preserve">Transmission </t>
    </r>
    <r>
      <rPr>
        <sz val="11"/>
        <rFont val="Calibri"/>
        <family val="2"/>
      </rPr>
      <t xml:space="preserve">Functional </t>
    </r>
    <r>
      <rPr>
        <sz val="11"/>
        <rFont val="Aptos Narrow"/>
        <family val="2"/>
        <scheme val="minor"/>
      </rPr>
      <t>Plant</t>
    </r>
  </si>
  <si>
    <t>24-Allocators, L. 133 and 134</t>
  </si>
  <si>
    <t>Schedule 26-WholesaleTRRs</t>
  </si>
  <si>
    <t>Low Voltage Access Charge ($/MWh)</t>
  </si>
  <si>
    <t>Gross Load (MWh)</t>
  </si>
  <si>
    <t>26-WholesaleTRRs, L. 220, col 2</t>
  </si>
  <si>
    <t>Low Voltage TRR</t>
  </si>
  <si>
    <t>Calculation of Low Voltage Access Charge</t>
  </si>
  <si>
    <t>High Voltage Access Charge ($/MWh)</t>
  </si>
  <si>
    <t>26-WholesaleTRRs, L. 220, col 1</t>
  </si>
  <si>
    <t>High Voltage TRR</t>
  </si>
  <si>
    <t>Calculation of High Voltage Access Charge</t>
  </si>
  <si>
    <t>Schedule 27-WholesaleRates</t>
  </si>
  <si>
    <t>To be updated in revised draft</t>
  </si>
  <si>
    <t>Gross Load Forecast was Approved on:</t>
  </si>
  <si>
    <t>Gross Load at Area Out (kWh)</t>
  </si>
  <si>
    <t>WP_28-GrossLoad 6, L. 110</t>
  </si>
  <si>
    <t>Helms Pumped Storage: Pumping Load (10 Yr Avg) (kWh)</t>
  </si>
  <si>
    <t>Retail energy at local (area out) (kWh)</t>
  </si>
  <si>
    <t>WP_28-GrossLoad 7, L. 102, col 4</t>
  </si>
  <si>
    <t>Energy loss factor area out</t>
  </si>
  <si>
    <t>WP_28-GrossLoad 1, L. 102, col 2</t>
  </si>
  <si>
    <t>Energy at generator (kWh)</t>
  </si>
  <si>
    <t xml:space="preserve">1) Input the gross load data and loss factor from the Gross Load Workpapers. </t>
  </si>
  <si>
    <t>Schedule 28-GrossLoad</t>
  </si>
  <si>
    <t>3) Forecast kWh Annual Sales are from 29-RetailRates-2, col 2.</t>
  </si>
  <si>
    <t>2) Forecast kWh Billing Determinates are from 29-RetailRates-2, col 2.  Forecast kW-mo. Billing Determinants are detailed in WP_29-RetailRates 8 (A-10, E-19, E-20 and Standby Reservation).</t>
  </si>
  <si>
    <t>1) Adjusted 12-CP Cost Allocations are from 29-RetailRates-2, col 8.</t>
  </si>
  <si>
    <t>Rate Design:</t>
  </si>
  <si>
    <t>kW-mo</t>
  </si>
  <si>
    <t>Standby Service</t>
  </si>
  <si>
    <t>/.85*kW-mo</t>
  </si>
  <si>
    <t>50% Reservation Charge</t>
  </si>
  <si>
    <t>At Secondary</t>
  </si>
  <si>
    <t>STB/SB-</t>
  </si>
  <si>
    <t>/kWh</t>
  </si>
  <si>
    <t>50% Volumetric Charge</t>
  </si>
  <si>
    <t>At Primary</t>
  </si>
  <si>
    <t>At Transmission</t>
  </si>
  <si>
    <t>/kW-mo</t>
  </si>
  <si>
    <t>Schedule E-20</t>
  </si>
  <si>
    <t>E20/B20-</t>
  </si>
  <si>
    <t>kWh</t>
  </si>
  <si>
    <t>Agriculture</t>
  </si>
  <si>
    <t>AG: B Schedules</t>
  </si>
  <si>
    <t>AGB/C-</t>
  </si>
  <si>
    <t>AG: A Schedules</t>
  </si>
  <si>
    <t>AGA-</t>
  </si>
  <si>
    <t xml:space="preserve"> </t>
  </si>
  <si>
    <t>Streetlights</t>
  </si>
  <si>
    <t>STL-</t>
  </si>
  <si>
    <t>Medium Light and Power</t>
  </si>
  <si>
    <t>E19/B19-</t>
  </si>
  <si>
    <t>Medium L&amp;P</t>
  </si>
  <si>
    <t>A10/B10-</t>
  </si>
  <si>
    <t>Small L&amp;P</t>
  </si>
  <si>
    <t>A1/B1-</t>
  </si>
  <si>
    <t>Residential</t>
  </si>
  <si>
    <t>RES-</t>
  </si>
  <si>
    <t>($/kWh)</t>
  </si>
  <si>
    <t>(kWh)</t>
  </si>
  <si>
    <t>Units</t>
  </si>
  <si>
    <t>Rate</t>
  </si>
  <si>
    <t>Determinants</t>
  </si>
  <si>
    <t>Cost Allocation</t>
  </si>
  <si>
    <t>Class Name</t>
  </si>
  <si>
    <t>Code</t>
  </si>
  <si>
    <t>Average Rate</t>
  </si>
  <si>
    <t>Annual Sales</t>
  </si>
  <si>
    <t>Billing</t>
  </si>
  <si>
    <t>Forecast Billing</t>
  </si>
  <si>
    <t>Adjusted 12-CP</t>
  </si>
  <si>
    <t>= col 1/col 4</t>
  </si>
  <si>
    <t>= col 1/col 2</t>
  </si>
  <si>
    <t>5 Yr. Historical Avg. Data for 12-CP Allocation of TRR to Customer Class</t>
  </si>
  <si>
    <t>Rate Design</t>
  </si>
  <si>
    <t>Current Year for Forecast Billing Determinants</t>
  </si>
  <si>
    <t>Schedule 29-RetailRates-1</t>
  </si>
  <si>
    <t xml:space="preserve">Full Requirements Line 115 is a subtotal of Lines 100, 101, 106, 107, 110 and 114; Standby Line 119 is a subtotal of Lines 116 through 118; Totals - Retail Line 120 is a total of Line 115 and 119. </t>
  </si>
  <si>
    <t xml:space="preserve">5) Medium Light and Power Line 106 is a subtotal of Lines 102 through 105; Agriculture Line 110 is a subtotal of Lines 108 and 109; Schedule E-20 Line 114 is a subtotal of Lines 111 through 113; Total - </t>
  </si>
  <si>
    <t>4) Demand loss factors are based on system losses at PG&amp;E's Transmission, Primary and Secondary Distribution voltage levels of service.</t>
  </si>
  <si>
    <t>3) Recorded monthly contribution coincident system peak (12-CP) data (kW) and 5-Year Average are from WP_29-RetailRates 3; 3a; and 4.</t>
  </si>
  <si>
    <t>2) Forecast kWh Billing Determinates are from WP_29-RetailRates 8 and 9 and approved by the CPUC in D.19-02-023.</t>
  </si>
  <si>
    <t>1) Recorded sales (kWh) and 5-Year Average are from WP_29-RetailRates 4; 5; and 5a.</t>
  </si>
  <si>
    <t>Source: Base Transmission Revenue Requirement (TRR) 1-BaseTRR, L. 704 =</t>
  </si>
  <si>
    <t>Totals - Retail</t>
  </si>
  <si>
    <t>Standby</t>
  </si>
  <si>
    <t xml:space="preserve">Total - Full Requirements </t>
  </si>
  <si>
    <t>Schedule E-20/B-20</t>
  </si>
  <si>
    <t>MARL Sales:</t>
  </si>
  <si>
    <t>($)</t>
  </si>
  <si>
    <t>scale to 100%</t>
  </si>
  <si>
    <t>(w/losses)</t>
  </si>
  <si>
    <t>(kW)</t>
  </si>
  <si>
    <t>Factors</t>
  </si>
  <si>
    <t>(w/standby)</t>
  </si>
  <si>
    <t>Coin. Peak</t>
  </si>
  <si>
    <t>(adjusted for losses)</t>
  </si>
  <si>
    <t>Loss</t>
  </si>
  <si>
    <t>Sales</t>
  </si>
  <si>
    <t>5-Year Historical</t>
  </si>
  <si>
    <t>Alloc. Factors</t>
  </si>
  <si>
    <t>Percent of</t>
  </si>
  <si>
    <t>Coincident Demands</t>
  </si>
  <si>
    <t>Demand</t>
  </si>
  <si>
    <t>Recorded Avg.</t>
  </si>
  <si>
    <t>Forecast</t>
  </si>
  <si>
    <t>= col 7 * TRR</t>
  </si>
  <si>
    <t>Adjusted Cost</t>
  </si>
  <si>
    <t>= col 6/ sum col 6</t>
  </si>
  <si>
    <t>= col 4 * col 5</t>
  </si>
  <si>
    <t>= (col 2/col 1) * col 3</t>
  </si>
  <si>
    <t>Yr. Historical Avg.</t>
  </si>
  <si>
    <t>Rate Design Calculations Based on 12-CP Method</t>
  </si>
  <si>
    <t>Schedule 29-RetailRates-2</t>
  </si>
  <si>
    <t>investment income and net of expenses.  A workpaper will be provided to support and justify any adjustment.</t>
  </si>
  <si>
    <t xml:space="preserve">on its allocated share of the recorded wildfire related costs, after PG&amp;E's shareholder deductible, covered by the Wildfire Self-Insurance Program, using the Electric Transmission Blended Factor, net of their allocated share of </t>
  </si>
  <si>
    <t xml:space="preserve">PG&amp;E shall only collect from Electric Transmission customers the Wildfire Maximum Available Self-Insurance Funding Responsibility amount (Schedule 30-WFSelfInsurance, Line 300) and subsequent replenishment funding based </t>
  </si>
  <si>
    <t xml:space="preserve"> to the Network Transmission Blended Factor value subsequent to the Annual Update filed on December 1 or inadvertent input error results in incorrect calculation of replenishment funding.  </t>
  </si>
  <si>
    <t>in the replenishment funding in prior annual updates or amounts included in the refund mechanism in Lines 300-302 of Schedule 30.  Potential situations where an under-collection or over-collection might occur include revisions</t>
  </si>
  <si>
    <t xml:space="preserve">An adjustment will be used to address potential situations of under-collection or over-collection from Electric Transmission Customers' Wildfire Self-Insurance Contribution for corrections or revisions to amounts included </t>
  </si>
  <si>
    <t xml:space="preserve"> If prior year replenishment expenses allocated on an electric basis are greater than $100 million, 50% of those costs will be deferred to next year's TO21 Rate Year True-Up filing. </t>
  </si>
  <si>
    <t xml:space="preserve">Replenishment expenses allocated on an electric basis up to and including $100 million will be reflected in Prior Year costs. </t>
  </si>
  <si>
    <t xml:space="preserve">The monthly total investment income earned for the captive will be allocated to CPUC and FERC jurisdictional customers based on their respective self-insurance contribution balance at the end of the month in the captive.  </t>
  </si>
  <si>
    <t>Other applicable self-insurance costs refer to costs that are reimbursable under regular commercial policies but not (1) costs recorded in Account 923 and 925 and (2) below-the-line costs booked to Accounts 426.1 through 426.5.</t>
  </si>
  <si>
    <r>
      <t xml:space="preserve">The initial wildfire funding contribution in 2024 and 2025 from electric network transmission customers </t>
    </r>
    <r>
      <rPr>
        <sz val="9.9"/>
        <rFont val="Calibri"/>
        <family val="2"/>
      </rPr>
      <t>to</t>
    </r>
    <r>
      <rPr>
        <sz val="11"/>
        <rFont val="Aptos Narrow"/>
        <family val="2"/>
        <scheme val="minor"/>
      </rPr>
      <t xml:space="preserve"> achieve the $1 billion of available wildfire self-insurance over two years. </t>
    </r>
  </si>
  <si>
    <t xml:space="preserve">          If Line 301 is greater than Line 300, then refund amount equals amount by which Line 301 is greater than Line 300 </t>
  </si>
  <si>
    <t>If Line 301&lt; Line 300, refund = $0
If Line 301&gt; Line 300, refund = Line 301-Line 300, shows as negative.</t>
  </si>
  <si>
    <t xml:space="preserve">          If Line 301 is less than Line 300, then $0.0 to be refunded to customers</t>
  </si>
  <si>
    <t>WP_30-WFSelfInsurance 2, Line 114, Col 11</t>
  </si>
  <si>
    <t>Electric Transmission Network Wildfire Self-Insurance Funding Available Accrual Balance</t>
  </si>
  <si>
    <t>WP_30-WFSelfInsurance 1, Line 101</t>
  </si>
  <si>
    <t>Electric Transmission Network Wildfire Maximum Available Self-Insurance Funding Responsibility</t>
  </si>
  <si>
    <t>Refund Electric Transmission Network Wildfire Self-Insurance Funding Above Maximum Responsibility</t>
  </si>
  <si>
    <t>Line 206A *-1</t>
  </si>
  <si>
    <t>If Line 206 is greater than $100 million, complete this line. Represents amount of deferred prior year wildfire related expenses to be added to next years prior year costs for recovery. Otherwise amount is $0</t>
  </si>
  <si>
    <t>If Line 208 &gt; $0, Line 209 = Line 208.
If Line 208 &lt; or = $0, Line 209 = $0.</t>
  </si>
  <si>
    <t>Final Rate Year Electric Transmission Network Wildfire Self-Insurance Replenishment Funding</t>
  </si>
  <si>
    <t>Line 206 + Line 206A +Line 206B + Line 207 + 207A</t>
  </si>
  <si>
    <r>
      <t>Calculated Electric Transmission Network w</t>
    </r>
    <r>
      <rPr>
        <sz val="11"/>
        <rFont val="Calibri"/>
        <family val="2"/>
      </rPr>
      <t>ildfire s</t>
    </r>
    <r>
      <rPr>
        <sz val="11"/>
        <rFont val="Aptos Narrow"/>
        <family val="2"/>
        <scheme val="minor"/>
      </rPr>
      <t>elf-insurance replenishment funding</t>
    </r>
  </si>
  <si>
    <t>Adjustment</t>
  </si>
  <si>
    <t>207A</t>
  </si>
  <si>
    <r>
      <t>WP_30-WFSelfInsurance 1, Line 2</t>
    </r>
    <r>
      <rPr>
        <sz val="11"/>
        <rFont val="Calibri"/>
        <family val="2"/>
      </rPr>
      <t>12, Col 7</t>
    </r>
  </si>
  <si>
    <r>
      <t>Less: Investment income, net of fees, a</t>
    </r>
    <r>
      <rPr>
        <sz val="11"/>
        <rFont val="Calibri"/>
        <family val="2"/>
      </rPr>
      <t xml:space="preserve">llocated to electric transmission network </t>
    </r>
    <r>
      <rPr>
        <sz val="11"/>
        <rFont val="Aptos Narrow"/>
        <family val="2"/>
        <scheme val="minor"/>
      </rPr>
      <t>(show as negative #) - See Note 3</t>
    </r>
  </si>
  <si>
    <t>Last years TO21 Rate Year True-Up filing, Schedule 30-WFSelfInsurance, Line 210</t>
  </si>
  <si>
    <t>Carry forward wildfire related expenses deferred from last years TO21 Rate Year True-Up filing in Schedule 30-WFSelfInsurance, Line 210</t>
  </si>
  <si>
    <t>206B</t>
  </si>
  <si>
    <t>If Line 206 is greater than $100,000,000, Line 206A equals Line 206*50%*-1.</t>
  </si>
  <si>
    <t>If Line 206 is greater than $100 million, complete this line to defer 50% of Prior Year wildfire related expenses for recovery in next year's TO21 Rate Year True-up filing</t>
  </si>
  <si>
    <t>206A</t>
  </si>
  <si>
    <t>Line 204 * Line 205</t>
  </si>
  <si>
    <t>Net Prior Year Electric Transmission Network share of wildfire liability related expenses</t>
  </si>
  <si>
    <t>24-Allocators, Line 136</t>
  </si>
  <si>
    <t>Lines 200 + 201 + 202 + 203</t>
  </si>
  <si>
    <r>
      <t xml:space="preserve">Net Prior Year wildfire liability related expenses </t>
    </r>
    <r>
      <rPr>
        <sz val="11"/>
        <rFont val="Calibri"/>
        <family val="2"/>
      </rPr>
      <t>on electric basis</t>
    </r>
  </si>
  <si>
    <t>WP_30-WFSelfInsurance 1, Line 400, Col 2</t>
  </si>
  <si>
    <r>
      <t xml:space="preserve">Less: Deductible </t>
    </r>
    <r>
      <rPr>
        <sz val="11"/>
        <rFont val="Calibri"/>
        <family val="2"/>
      </rPr>
      <t>on electric basis</t>
    </r>
    <r>
      <rPr>
        <sz val="11"/>
        <rFont val="Aptos Narrow"/>
        <family val="2"/>
        <scheme val="minor"/>
      </rPr>
      <t xml:space="preserve"> (shows as negative #)</t>
    </r>
  </si>
  <si>
    <t>WP_30-WFSelfInsurance 1, Line 300, Col 3</t>
  </si>
  <si>
    <r>
      <t>Other Prior Year applicable self-insurance costs</t>
    </r>
    <r>
      <rPr>
        <sz val="11"/>
        <rFont val="Calibri"/>
        <family val="2"/>
      </rPr>
      <t xml:space="preserve"> on electric basis</t>
    </r>
    <r>
      <rPr>
        <sz val="11"/>
        <rFont val="Aptos Narrow"/>
        <family val="2"/>
        <scheme val="minor"/>
      </rPr>
      <t xml:space="preserve"> - See Note 2</t>
    </r>
  </si>
  <si>
    <t>WP_19-AandG 9, Line 200</t>
  </si>
  <si>
    <r>
      <t>Prior Year wildfire related outside legal fees covered by w</t>
    </r>
    <r>
      <rPr>
        <sz val="11"/>
        <rFont val="Calibri"/>
        <family val="2"/>
      </rPr>
      <t>ildfire s</t>
    </r>
    <r>
      <rPr>
        <sz val="11"/>
        <rFont val="Aptos Narrow"/>
        <family val="2"/>
        <scheme val="minor"/>
      </rPr>
      <t>elf-insurance on electric basis</t>
    </r>
  </si>
  <si>
    <t>WP_19-AandG 9, Line 100</t>
  </si>
  <si>
    <r>
      <t>Prior Year wildfire injuries and damages expenses covered by w</t>
    </r>
    <r>
      <rPr>
        <sz val="11"/>
        <rFont val="Calibri"/>
        <family val="2"/>
      </rPr>
      <t>ildfire s</t>
    </r>
    <r>
      <rPr>
        <sz val="11"/>
        <rFont val="Aptos Narrow"/>
        <family val="2"/>
        <scheme val="minor"/>
      </rPr>
      <t>elf-insurance on electric basis</t>
    </r>
  </si>
  <si>
    <r>
      <rPr>
        <b/>
        <sz val="11"/>
        <rFont val="Calibri"/>
        <family val="2"/>
      </rPr>
      <t xml:space="preserve">Wildfire </t>
    </r>
    <r>
      <rPr>
        <b/>
        <sz val="11"/>
        <rFont val="Aptos Narrow"/>
        <family val="2"/>
        <scheme val="minor"/>
      </rPr>
      <t>Self-Insurance Replenishment Funding - See Note 4</t>
    </r>
  </si>
  <si>
    <t>WP_30-WFSelfInsurance 1, Line 100, Col 1 for Rate Year 2024 and Col 2 for Rate Year 2025.</t>
  </si>
  <si>
    <t>Amount Collected in Rates and Transferred to Wildfire Self-Insurance Captive in the Rate Year</t>
  </si>
  <si>
    <r>
      <rPr>
        <b/>
        <u/>
        <sz val="11"/>
        <rFont val="Calibri"/>
        <family val="2"/>
      </rPr>
      <t xml:space="preserve">Wildfire </t>
    </r>
    <r>
      <rPr>
        <b/>
        <u/>
        <sz val="11"/>
        <rFont val="Aptos Narrow"/>
        <family val="2"/>
        <scheme val="minor"/>
      </rPr>
      <t>Self-Insurance Initial Funding- See Note 1</t>
    </r>
  </si>
  <si>
    <r>
      <t xml:space="preserve">Rate Year Electric Transmission Network </t>
    </r>
    <r>
      <rPr>
        <b/>
        <sz val="11"/>
        <rFont val="Calibri"/>
        <family val="2"/>
      </rPr>
      <t xml:space="preserve">Wildfire </t>
    </r>
    <r>
      <rPr>
        <b/>
        <sz val="11"/>
        <rFont val="Aptos Narrow"/>
        <family val="2"/>
        <scheme val="minor"/>
      </rPr>
      <t>Self-Insurance Revenue Requirement</t>
    </r>
  </si>
  <si>
    <t>Schedule 30-WFSelfInsurance</t>
  </si>
  <si>
    <t>1) The Cost of Ownership (COO) rates on lines 100 and 101 may only be applied on a going-forward basis to agreements executed after January 1, 2024.</t>
  </si>
  <si>
    <t>Monthly Transmission Carrying Percentage without Capital Contribution</t>
  </si>
  <si>
    <t>Annual Transmission Carrying Percentage without Capital Contribution</t>
  </si>
  <si>
    <t>1-BaseTRR, Line 100</t>
  </si>
  <si>
    <r>
      <t xml:space="preserve">Transmission </t>
    </r>
    <r>
      <rPr>
        <sz val="11"/>
        <rFont val="Calibri"/>
        <family val="2"/>
      </rPr>
      <t>Functional</t>
    </r>
    <r>
      <rPr>
        <sz val="11"/>
        <rFont val="Aptos Narrow"/>
        <family val="2"/>
        <scheme val="minor"/>
      </rPr>
      <t xml:space="preserve"> Gross Plant</t>
    </r>
  </si>
  <si>
    <t>Franchise &amp; SFGR Tax Requirement</t>
  </si>
  <si>
    <t xml:space="preserve"> 1-BaseTRR, Line 508</t>
  </si>
  <si>
    <t>Federal and State Income Tax Allowable</t>
  </si>
  <si>
    <t>1-BaseTRR, Line 506</t>
  </si>
  <si>
    <t>Return</t>
  </si>
  <si>
    <t>1-BaseTRR, Line 503 + 1-BaseTRR, Line 504</t>
  </si>
  <si>
    <t>Total Network Transmission Depreciation Expense including CGI</t>
  </si>
  <si>
    <t>1-BaseTRR, Line 519</t>
  </si>
  <si>
    <t>Total Self-Insurance w/o SFGR Tax and Franchise Tax</t>
  </si>
  <si>
    <t>1-BaseTRR, Line 507</t>
  </si>
  <si>
    <t>Total Other Taxes (Property, Payroll, and Business)</t>
  </si>
  <si>
    <t>1-BaseTRR, Line 501</t>
  </si>
  <si>
    <t>Total A&amp;G Excluding Franchise Expense</t>
  </si>
  <si>
    <t>1-BaseTRR, Line 500</t>
  </si>
  <si>
    <t>3) Calculation of the Utility Financed Cost of Ownership Rates</t>
  </si>
  <si>
    <t>Monthly Transmission Carrying Percentage with Capital Contribution and Franchise &amp; SFGR Tax Requirement</t>
  </si>
  <si>
    <t xml:space="preserve">Annual Transmission Carrying Percentage with Capital Contribution and Franchise Fee and SFGR Tax Requirement </t>
  </si>
  <si>
    <t>Transmission Revenue requirement with Capital Contribution and Franchise &amp; SFGT Tax Requirement</t>
  </si>
  <si>
    <r>
      <rPr>
        <sz val="11"/>
        <rFont val="Calibri"/>
        <family val="2"/>
      </rPr>
      <t>Transmission Revenue Requirement</t>
    </r>
    <r>
      <rPr>
        <sz val="11"/>
        <rFont val="Aptos Narrow"/>
        <family val="2"/>
        <scheme val="minor"/>
      </rPr>
      <t xml:space="preserve"> with Capital Contribution w/o Franchise &amp; SFGR Tax Requirement</t>
    </r>
  </si>
  <si>
    <t>Transmission General and Common Plant Return and Income Tax</t>
  </si>
  <si>
    <t>1-BaseTRR, Line 103</t>
  </si>
  <si>
    <t>Total Gross Transmission Plant in Service including CGI</t>
  </si>
  <si>
    <t>1-BaseTRR, Line 101</t>
  </si>
  <si>
    <t>Gross Transmission General and Common Plant</t>
  </si>
  <si>
    <t>Total Transmission Return and Income Tax</t>
  </si>
  <si>
    <t>1-BaseTRR, Line 508</t>
  </si>
  <si>
    <t>11-Depreciation, Line 200, Col 3</t>
  </si>
  <si>
    <t>Total Network Transmission CGI Depreciation Expense</t>
  </si>
  <si>
    <t>2) Calculation of the Customer Financed Cost of Ownership Rates</t>
  </si>
  <si>
    <t>Monthly Utility Financed Cost of Ownership Rate:</t>
  </si>
  <si>
    <t>Monthly Customer Financed Cost of Ownership Rate:</t>
  </si>
  <si>
    <t>1) Monthly Cost of Ownership Rates - Note 1</t>
  </si>
  <si>
    <t>Schedule 31-COO</t>
  </si>
  <si>
    <t>4) All other projects are confirmed to not have accrued AFUDC while being included in rate base per the CWIP Incentive.</t>
  </si>
  <si>
    <t>This is due to work order 74066700 incorrectly accruing $153 of AFUDC in 2025.</t>
  </si>
  <si>
    <t xml:space="preserve">3) The May through December 2025 amounts for the Metcalf project have been manually reduced by approximately $(153) in recorded CWIP. PG&amp;E is currently working on reversing this amount in its accounting system. </t>
  </si>
  <si>
    <t xml:space="preserve">This is due to work order 74053266 incorrectly accruing $1,987 of AFUDC in July 2024.  </t>
  </si>
  <si>
    <t xml:space="preserve">2) The December 2024 through August 2025 amounts for the Manning project have been manually reduced by $(1,987) in recorded CWIP. This amount was reversed in PG&amp;E's accounting system in September 2025. </t>
  </si>
  <si>
    <t>1) FERC approved these projects for the CWIP Incentive on July 25, 2024 in Docket No. EL24-107-000 (188 FERC ¶ 61,072).</t>
  </si>
  <si>
    <t>Docket No. EL24-107-000</t>
  </si>
  <si>
    <t>Newark (T.0009168)</t>
  </si>
  <si>
    <t>Metcalf (T.0009169)</t>
  </si>
  <si>
    <t>Collinsville (T.0009189)</t>
  </si>
  <si>
    <t>Manning (T.0009194)</t>
  </si>
  <si>
    <t>% of CWIP Eligible</t>
  </si>
  <si>
    <t>Description/FERC Docket</t>
  </si>
  <si>
    <t>Project</t>
  </si>
  <si>
    <t>Total Eligible CWIP (from below):</t>
  </si>
  <si>
    <t>13-Month</t>
  </si>
  <si>
    <t>PG&amp;E will add additional rows as needed.</t>
  </si>
  <si>
    <t>Recorded CWIP balances are extracted from Powerplan, PG&amp;E's fixed asset system of record, by querying by Planning Order or other criteria.</t>
  </si>
  <si>
    <t>1) Prior Year (and December of prior year minus 1) Monthly Ending CWIP included in Rate Base</t>
  </si>
  <si>
    <t>This Schedule presents the amount of prior year (and December of prior year minus 1) Construction Work in Progress (CWIP) for projects that have received Commission approval to include CWIP in Rate Base.</t>
  </si>
  <si>
    <t>Schedule 32-CWIPIncentive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</si>
</sst>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1">
    <numFmt numFmtId="5" formatCode="&quot;$&quot;#,##0_);\(&quot;$&quot;#,##0\)"/>
    <numFmt numFmtId="6" formatCode="&quot;$&quot;#,##0_);[Red]\(&quot;$&quot;#,##0\)"/>
    <numFmt numFmtId="7" formatCode="&quot;$&quot;#,##0.00_);\(&quot;$&quot;#,##0.00\)"/>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quot;$&quot;* #,##0_);_(&quot;$&quot;* \(#,##0\);_(&quot;$&quot;* &quot;-&quot;??_);_(@_)"/>
    <numFmt numFmtId="165" formatCode="0.0000%"/>
    <numFmt numFmtId="166" formatCode="_(* #,##0_);_(* \(#,##0\);_(* &quot;-&quot;??_);_(@_)"/>
    <numFmt numFmtId="167" formatCode="0.000000000"/>
    <numFmt numFmtId="168" formatCode="&quot;$&quot;#,##0"/>
    <numFmt numFmtId="169" formatCode="0.00000000000000%"/>
    <numFmt numFmtId="170" formatCode="0.0%"/>
    <numFmt numFmtId="171" formatCode="&quot;$&quot;#,##0.0_);\(&quot;$&quot;#,##0.0\)"/>
    <numFmt numFmtId="172" formatCode="&quot;$&quot;#,##0.0_);[Red]\(&quot;$&quot;#,##0.0\)"/>
    <numFmt numFmtId="173" formatCode="0.000"/>
    <numFmt numFmtId="174" formatCode="0.000%"/>
    <numFmt numFmtId="175" formatCode="General_)"/>
    <numFmt numFmtId="176" formatCode="_(&quot;$&quot;* #,##0.00_);_(&quot;$&quot;* \(#,##0.00\);_(&quot;$&quot;* &quot;-&quot;_);_(@_)"/>
    <numFmt numFmtId="177" formatCode="0_);\(0\)"/>
    <numFmt numFmtId="178" formatCode="_(* #,##0.00000_);_(* \(#,##0.00000\);_(* &quot;-&quot;??_);_(@_)"/>
    <numFmt numFmtId="179" formatCode="m/d/yy;@"/>
    <numFmt numFmtId="180" formatCode="0.00000"/>
    <numFmt numFmtId="181" formatCode="&quot;$&quot;#,##0.00"/>
    <numFmt numFmtId="182" formatCode="&quot;$&quot;#,##0.000000_);\(&quot;$&quot;#,##0.000000\)"/>
    <numFmt numFmtId="183" formatCode="&quot;$&quot;#,##0.0000_);[Red]\(&quot;$&quot;#,##0.0000\)"/>
    <numFmt numFmtId="184" formatCode="_(* #,##0.0000_);_(* \(#,##0.0000\);_(* &quot;-&quot;??_);_(@_)"/>
    <numFmt numFmtId="185" formatCode="&quot;$&quot;#,##0.00000"/>
    <numFmt numFmtId="186" formatCode="0,,&quot;M&quot;"/>
  </numFmts>
  <fonts count="38" x14ac:knownFonts="1">
    <font>
      <sz val="11"/>
      <color theme="1"/>
      <name val="Aptos Narrow"/>
      <family val="2"/>
      <scheme val="minor"/>
    </font>
    <font>
      <sz val="11"/>
      <color theme="1"/>
      <name val="Aptos Narrow"/>
      <family val="2"/>
      <scheme val="minor"/>
    </font>
    <font>
      <b/>
      <sz val="11"/>
      <color theme="1"/>
      <name val="Aptos Narrow"/>
      <family val="2"/>
      <scheme val="minor"/>
    </font>
    <font>
      <sz val="11"/>
      <color theme="1"/>
      <name val="Times New Roman"/>
      <family val="1"/>
    </font>
    <font>
      <b/>
      <sz val="16"/>
      <color theme="1"/>
      <name val="Times New Roman"/>
      <family val="1"/>
    </font>
    <font>
      <b/>
      <sz val="14"/>
      <color theme="1"/>
      <name val="Times New Roman"/>
      <family val="1"/>
    </font>
    <font>
      <sz val="11"/>
      <name val="Aptos Narrow"/>
      <family val="2"/>
      <scheme val="minor"/>
    </font>
    <font>
      <sz val="11"/>
      <name val="Calibri"/>
      <family val="2"/>
    </font>
    <font>
      <b/>
      <sz val="11"/>
      <name val="Aptos Narrow"/>
      <family val="2"/>
      <scheme val="minor"/>
    </font>
    <font>
      <b/>
      <u/>
      <sz val="11"/>
      <name val="Aptos Narrow"/>
      <family val="2"/>
      <scheme val="minor"/>
    </font>
    <font>
      <u/>
      <sz val="11"/>
      <name val="Aptos Narrow"/>
      <family val="2"/>
      <scheme val="minor"/>
    </font>
    <font>
      <b/>
      <sz val="9.35"/>
      <name val="Calibri"/>
      <family val="2"/>
    </font>
    <font>
      <b/>
      <sz val="11"/>
      <name val="Calibri"/>
      <family val="2"/>
    </font>
    <font>
      <b/>
      <sz val="11"/>
      <color rgb="FF00408A"/>
      <name val="Aptos Narrow"/>
      <family val="2"/>
      <scheme val="minor"/>
    </font>
    <font>
      <sz val="10"/>
      <name val="Arial"/>
      <family val="2"/>
    </font>
    <font>
      <sz val="11"/>
      <color rgb="FF0070C0"/>
      <name val="Aptos Narrow"/>
      <family val="2"/>
      <scheme val="minor"/>
    </font>
    <font>
      <b/>
      <sz val="11"/>
      <color rgb="FF0070C0"/>
      <name val="Aptos Narrow"/>
      <family val="2"/>
      <scheme val="minor"/>
    </font>
    <font>
      <b/>
      <i/>
      <sz val="11"/>
      <name val="Aptos Narrow"/>
      <family val="2"/>
      <scheme val="minor"/>
    </font>
    <font>
      <sz val="10"/>
      <color theme="1"/>
      <name val="Arial"/>
      <family val="2"/>
    </font>
    <font>
      <sz val="8"/>
      <name val="Arial"/>
      <family val="2"/>
    </font>
    <font>
      <b/>
      <sz val="10"/>
      <name val="Arial"/>
      <family val="2"/>
    </font>
    <font>
      <b/>
      <sz val="10"/>
      <name val="Times New Roman"/>
      <family val="1"/>
    </font>
    <font>
      <sz val="8.8000000000000007"/>
      <name val="Calibri"/>
      <family val="2"/>
    </font>
    <font>
      <b/>
      <strike/>
      <sz val="11"/>
      <name val="Calibri"/>
      <family val="2"/>
    </font>
    <font>
      <b/>
      <strike/>
      <sz val="8.8000000000000007"/>
      <name val="Calibri"/>
      <family val="2"/>
    </font>
    <font>
      <sz val="11"/>
      <color rgb="FF0068B7"/>
      <name val="Aptos Narrow"/>
      <family val="2"/>
      <scheme val="minor"/>
    </font>
    <font>
      <b/>
      <sz val="11"/>
      <color rgb="FF0068B7"/>
      <name val="Aptos Narrow"/>
      <family val="2"/>
      <scheme val="minor"/>
    </font>
    <font>
      <sz val="11"/>
      <color rgb="FF00408A"/>
      <name val="Aptos Narrow"/>
      <family val="2"/>
      <scheme val="minor"/>
    </font>
    <font>
      <b/>
      <u/>
      <sz val="11"/>
      <name val="Calibri"/>
      <family val="2"/>
    </font>
    <font>
      <i/>
      <sz val="11"/>
      <name val="Aptos Narrow"/>
      <family val="2"/>
      <scheme val="minor"/>
    </font>
    <font>
      <b/>
      <sz val="10.8"/>
      <name val="Calibri"/>
      <family val="2"/>
    </font>
    <font>
      <sz val="10"/>
      <name val="Aptos Narrow"/>
      <family val="2"/>
      <scheme val="minor"/>
    </font>
    <font>
      <strike/>
      <sz val="11"/>
      <name val="Aptos Narrow"/>
      <family val="2"/>
      <scheme val="minor"/>
    </font>
    <font>
      <sz val="12"/>
      <name val="Times New Roman"/>
      <family val="1"/>
    </font>
    <font>
      <sz val="11"/>
      <color rgb="FF0000FF"/>
      <name val="Aptos Narrow"/>
      <family val="2"/>
      <scheme val="minor"/>
    </font>
    <font>
      <sz val="9.9"/>
      <name val="Calibri"/>
      <family val="2"/>
    </font>
    <font>
      <sz val="9"/>
      <name val="Aptos Narrow"/>
      <family val="2"/>
      <scheme val="minor"/>
    </font>
    <font>
      <sz val="9"/>
      <name val="Arial"/>
      <family val="2"/>
    </font>
  </fonts>
  <fills count="7">
    <fill>
      <patternFill patternType="none"/>
    </fill>
    <fill>
      <patternFill patternType="gray125"/>
    </fill>
    <fill>
      <patternFill patternType="solid">
        <fgColor rgb="FFFFE979"/>
        <bgColor indexed="64"/>
      </patternFill>
    </fill>
    <fill>
      <patternFill patternType="solid">
        <fgColor rgb="FF7DDDFF"/>
        <bgColor indexed="64"/>
      </patternFill>
    </fill>
    <fill>
      <patternFill patternType="solid">
        <fgColor rgb="FFFFE97D"/>
        <bgColor indexed="64"/>
      </patternFill>
    </fill>
    <fill>
      <patternFill patternType="solid">
        <fgColor rgb="FFFFE979"/>
        <bgColor rgb="FF000000"/>
      </patternFill>
    </fill>
    <fill>
      <patternFill patternType="solid">
        <fgColor theme="5" tint="0.59981078524124887"/>
        <bgColor indexed="64"/>
      </patternFill>
    </fill>
  </fills>
  <borders count="25">
    <border>
      <left/>
      <right/>
      <top/>
      <bottom/>
      <diagonal/>
    </border>
    <border>
      <left/>
      <right style="thin">
        <color auto="1"/>
      </right>
      <top/>
      <bottom style="thin">
        <color auto="1"/>
      </bottom>
      <diagonal/>
    </border>
    <border>
      <left style="thin">
        <color auto="1"/>
      </left>
      <right style="thin">
        <color auto="1"/>
      </right>
      <top/>
      <bottom style="thin">
        <color auto="1"/>
      </bottom>
      <diagonal/>
    </border>
    <border>
      <left/>
      <right/>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right/>
      <top style="thin">
        <color auto="1"/>
      </top>
      <bottom/>
      <diagonal/>
    </border>
    <border>
      <left style="thin">
        <color auto="1"/>
      </left>
      <right style="thin">
        <color auto="1"/>
      </right>
      <top/>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top style="thin">
        <color auto="1"/>
      </top>
      <bottom style="double">
        <color auto="1"/>
      </bottom>
      <diagonal/>
    </border>
    <border>
      <left style="thin">
        <color auto="1"/>
      </left>
      <right/>
      <top/>
      <bottom/>
      <diagonal/>
    </border>
    <border>
      <left/>
      <right/>
      <top/>
      <bottom style="double">
        <color auto="1"/>
      </bottom>
      <diagonal/>
    </border>
    <border>
      <left/>
      <right/>
      <top/>
      <bottom style="medium">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top/>
      <bottom style="thin">
        <color auto="1"/>
      </bottom>
      <diagonal/>
    </border>
    <border>
      <left/>
      <right style="thin">
        <color auto="1"/>
      </right>
      <top/>
      <bottom/>
      <diagonal/>
    </border>
    <border>
      <left style="thin">
        <color auto="1"/>
      </left>
      <right/>
      <top style="thin">
        <color auto="1"/>
      </top>
      <bottom/>
      <diagonal/>
    </border>
    <border>
      <left style="medium">
        <color auto="1"/>
      </left>
      <right style="medium">
        <color auto="1"/>
      </right>
      <top style="medium">
        <color auto="1"/>
      </top>
      <bottom style="medium">
        <color auto="1"/>
      </bottom>
      <diagonal/>
    </border>
    <border>
      <left/>
      <right style="medium">
        <color auto="1"/>
      </right>
      <top style="medium">
        <color auto="1"/>
      </top>
      <bottom style="medium">
        <color auto="1"/>
      </bottom>
      <diagonal/>
    </border>
    <border>
      <left/>
      <right/>
      <top style="medium">
        <color auto="1"/>
      </top>
      <bottom style="medium">
        <color auto="1"/>
      </bottom>
      <diagonal/>
    </border>
    <border>
      <left style="medium">
        <color auto="1"/>
      </left>
      <right/>
      <top style="medium">
        <color auto="1"/>
      </top>
      <bottom style="medium">
        <color auto="1"/>
      </bottom>
      <diagonal/>
    </border>
    <border>
      <left style="medium">
        <color auto="1"/>
      </left>
      <right style="medium">
        <color auto="1"/>
      </right>
      <top/>
      <bottom/>
      <diagonal/>
    </border>
    <border>
      <left style="medium">
        <color auto="1"/>
      </left>
      <right style="medium">
        <color auto="1"/>
      </right>
      <top style="medium">
        <color auto="1"/>
      </top>
      <bottom/>
      <diagonal/>
    </border>
  </borders>
  <cellStyleXfs count="17">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9" fontId="14" fillId="0" borderId="0" applyFont="0" applyFill="0" applyBorder="0" applyAlignment="0" applyProtection="0"/>
    <xf numFmtId="0" fontId="14" fillId="0" borderId="0"/>
    <xf numFmtId="43" fontId="14" fillId="0" borderId="0" applyFont="0" applyFill="0" applyBorder="0" applyAlignment="0" applyProtection="0"/>
    <xf numFmtId="0" fontId="14" fillId="0" borderId="0"/>
    <xf numFmtId="43" fontId="14" fillId="0" borderId="0" applyFont="0" applyFill="0" applyBorder="0" applyAlignment="0" applyProtection="0"/>
    <xf numFmtId="0" fontId="14" fillId="0" borderId="0"/>
    <xf numFmtId="43" fontId="14" fillId="0" borderId="0" applyFont="0" applyFill="0" applyBorder="0" applyAlignment="0" applyProtection="0"/>
    <xf numFmtId="0" fontId="14" fillId="0" borderId="0"/>
    <xf numFmtId="0" fontId="18" fillId="0" borderId="0"/>
    <xf numFmtId="0" fontId="19" fillId="0" borderId="0"/>
    <xf numFmtId="0" fontId="14" fillId="0" borderId="0"/>
    <xf numFmtId="0" fontId="14" fillId="0" borderId="0"/>
    <xf numFmtId="0" fontId="14" fillId="0" borderId="0"/>
  </cellStyleXfs>
  <cellXfs count="805">
    <xf numFmtId="0" fontId="0" fillId="0" borderId="0" xfId="0"/>
    <xf numFmtId="0" fontId="3" fillId="0" borderId="0" xfId="0" applyFont="1"/>
    <xf numFmtId="0" fontId="4" fillId="0" borderId="0" xfId="0" applyFont="1" applyAlignment="1">
      <alignment horizontal="center"/>
    </xf>
    <xf numFmtId="0" fontId="5" fillId="0" borderId="0" xfId="0" applyFont="1" applyAlignment="1">
      <alignment horizontal="center"/>
    </xf>
    <xf numFmtId="0" fontId="5" fillId="0" borderId="0" xfId="0" applyFont="1" applyAlignment="1">
      <alignment horizontal="center"/>
    </xf>
    <xf numFmtId="0" fontId="4" fillId="0" borderId="0" xfId="0" applyFont="1" applyAlignment="1">
      <alignment horizontal="center"/>
    </xf>
    <xf numFmtId="0" fontId="6" fillId="0" borderId="0" xfId="0" applyFont="1"/>
    <xf numFmtId="0" fontId="7" fillId="0" borderId="0" xfId="0" applyFont="1"/>
    <xf numFmtId="0" fontId="8" fillId="0" borderId="0" xfId="0" applyFont="1" applyAlignment="1">
      <alignment horizontal="center"/>
    </xf>
    <xf numFmtId="0" fontId="8" fillId="0" borderId="0" xfId="0" applyFont="1" applyAlignment="1">
      <alignment horizontal="center"/>
    </xf>
    <xf numFmtId="0" fontId="0" fillId="0" borderId="1" xfId="0" applyBorder="1" applyAlignment="1">
      <alignment wrapText="1"/>
    </xf>
    <xf numFmtId="0" fontId="0" fillId="0" borderId="2" xfId="0" applyBorder="1"/>
    <xf numFmtId="0" fontId="0" fillId="0" borderId="3" xfId="0" applyBorder="1"/>
    <xf numFmtId="0" fontId="0" fillId="0" borderId="4" xfId="0" applyBorder="1" applyAlignment="1">
      <alignment wrapText="1"/>
    </xf>
    <xf numFmtId="0" fontId="0" fillId="2" borderId="5" xfId="0" applyFill="1" applyBorder="1"/>
    <xf numFmtId="0" fontId="0" fillId="0" borderId="6" xfId="0" applyBorder="1"/>
    <xf numFmtId="0" fontId="0" fillId="0" borderId="5" xfId="0" applyBorder="1"/>
    <xf numFmtId="0" fontId="0" fillId="0" borderId="7" xfId="0" applyBorder="1"/>
    <xf numFmtId="0" fontId="2" fillId="0" borderId="5" xfId="0" applyFont="1" applyBorder="1" applyAlignment="1">
      <alignment horizontal="center"/>
    </xf>
    <xf numFmtId="0" fontId="2" fillId="0" borderId="0" xfId="0" applyFont="1"/>
    <xf numFmtId="0" fontId="0" fillId="0" borderId="0" xfId="0" applyAlignment="1">
      <alignment wrapText="1"/>
    </xf>
    <xf numFmtId="0" fontId="0" fillId="0" borderId="0" xfId="0" applyAlignment="1">
      <alignment horizontal="left" wrapText="1"/>
    </xf>
    <xf numFmtId="0" fontId="0" fillId="0" borderId="0" xfId="0" applyAlignment="1">
      <alignment horizontal="left" wrapText="1"/>
    </xf>
    <xf numFmtId="0" fontId="6" fillId="0" borderId="0" xfId="0" applyFont="1" applyAlignment="1">
      <alignment horizontal="center"/>
    </xf>
    <xf numFmtId="5" fontId="6" fillId="0" borderId="0" xfId="0" applyNumberFormat="1" applyFont="1"/>
    <xf numFmtId="0" fontId="9" fillId="0" borderId="0" xfId="0" applyFont="1"/>
    <xf numFmtId="7" fontId="6" fillId="0" borderId="0" xfId="0" applyNumberFormat="1" applyFont="1"/>
    <xf numFmtId="5" fontId="6" fillId="0" borderId="0" xfId="2" applyNumberFormat="1" applyFont="1"/>
    <xf numFmtId="164" fontId="6" fillId="0" borderId="0" xfId="2" applyNumberFormat="1" applyFont="1"/>
    <xf numFmtId="5" fontId="8" fillId="0" borderId="0" xfId="1" applyNumberFormat="1" applyFont="1" applyFill="1"/>
    <xf numFmtId="0" fontId="8" fillId="0" borderId="0" xfId="0" applyFont="1"/>
    <xf numFmtId="5" fontId="6" fillId="0" borderId="3" xfId="1" applyNumberFormat="1" applyFont="1" applyFill="1" applyBorder="1"/>
    <xf numFmtId="5" fontId="6" fillId="0" borderId="0" xfId="1" applyNumberFormat="1" applyFont="1" applyFill="1"/>
    <xf numFmtId="0" fontId="9" fillId="0" borderId="0" xfId="0" applyFont="1" applyAlignment="1">
      <alignment horizontal="center"/>
    </xf>
    <xf numFmtId="165" fontId="6" fillId="0" borderId="0" xfId="3" applyNumberFormat="1" applyFont="1"/>
    <xf numFmtId="0" fontId="6" fillId="3" borderId="0" xfId="0" applyFont="1" applyFill="1"/>
    <xf numFmtId="0" fontId="8" fillId="3" borderId="0" xfId="0" applyFont="1" applyFill="1" applyAlignment="1">
      <alignment horizontal="left"/>
    </xf>
    <xf numFmtId="166" fontId="6" fillId="0" borderId="0" xfId="1" applyNumberFormat="1" applyFont="1" applyFill="1" applyBorder="1"/>
    <xf numFmtId="0" fontId="6" fillId="0" borderId="0" xfId="0" applyFont="1" applyAlignment="1">
      <alignment horizontal="left"/>
    </xf>
    <xf numFmtId="0" fontId="8" fillId="0" borderId="0" xfId="0" applyFont="1" applyAlignment="1">
      <alignment horizontal="left"/>
    </xf>
    <xf numFmtId="5" fontId="6" fillId="0" borderId="0" xfId="1" applyNumberFormat="1" applyFont="1" applyFill="1" applyBorder="1"/>
    <xf numFmtId="165" fontId="6" fillId="0" borderId="3" xfId="3" applyNumberFormat="1" applyFont="1" applyFill="1" applyBorder="1"/>
    <xf numFmtId="7" fontId="6" fillId="0" borderId="0" xfId="0" applyNumberFormat="1" applyFont="1" applyAlignment="1">
      <alignment horizontal="center"/>
    </xf>
    <xf numFmtId="165" fontId="6" fillId="0" borderId="0" xfId="3" applyNumberFormat="1" applyFont="1" applyFill="1"/>
    <xf numFmtId="0" fontId="10" fillId="0" borderId="0" xfId="0" applyFont="1"/>
    <xf numFmtId="165" fontId="6" fillId="0" borderId="0" xfId="0" applyNumberFormat="1" applyFont="1" applyAlignment="1">
      <alignment horizontal="center"/>
    </xf>
    <xf numFmtId="5" fontId="6" fillId="0" borderId="0" xfId="0" applyNumberFormat="1" applyFont="1" applyAlignment="1">
      <alignment horizontal="center"/>
    </xf>
    <xf numFmtId="0" fontId="6" fillId="0" borderId="0" xfId="0" applyFont="1" applyAlignment="1">
      <alignment horizontal="left" indent="1"/>
    </xf>
    <xf numFmtId="166" fontId="6" fillId="0" borderId="0" xfId="1" applyNumberFormat="1" applyFont="1" applyFill="1"/>
    <xf numFmtId="10" fontId="6" fillId="0" borderId="0" xfId="3" applyNumberFormat="1" applyFont="1"/>
    <xf numFmtId="10" fontId="6" fillId="0" borderId="0" xfId="0" applyNumberFormat="1" applyFont="1"/>
    <xf numFmtId="166" fontId="6" fillId="0" borderId="0" xfId="1" applyNumberFormat="1" applyFont="1"/>
    <xf numFmtId="166" fontId="8" fillId="0" borderId="0" xfId="1" applyNumberFormat="1" applyFont="1" applyFill="1"/>
    <xf numFmtId="167" fontId="6" fillId="0" borderId="0" xfId="0" applyNumberFormat="1" applyFont="1"/>
    <xf numFmtId="166" fontId="8" fillId="0" borderId="8" xfId="1" applyNumberFormat="1" applyFont="1" applyFill="1" applyBorder="1"/>
    <xf numFmtId="10" fontId="6" fillId="0" borderId="3" xfId="0" applyNumberFormat="1" applyFont="1" applyBorder="1"/>
    <xf numFmtId="5" fontId="8" fillId="0" borderId="8" xfId="1" applyNumberFormat="1" applyFont="1" applyFill="1" applyBorder="1"/>
    <xf numFmtId="5" fontId="6" fillId="2" borderId="0" xfId="0" applyNumberFormat="1" applyFont="1" applyFill="1" applyAlignment="1">
      <alignment horizontal="right"/>
    </xf>
    <xf numFmtId="5" fontId="6" fillId="0" borderId="8" xfId="1" applyNumberFormat="1" applyFont="1" applyFill="1" applyBorder="1"/>
    <xf numFmtId="168" fontId="8" fillId="0" borderId="0" xfId="1" applyNumberFormat="1" applyFont="1" applyFill="1"/>
    <xf numFmtId="5" fontId="8" fillId="0" borderId="3" xfId="1" applyNumberFormat="1" applyFont="1" applyFill="1" applyBorder="1"/>
    <xf numFmtId="168" fontId="6" fillId="2" borderId="0" xfId="0" applyNumberFormat="1" applyFont="1" applyFill="1" applyAlignment="1">
      <alignment horizontal="right"/>
    </xf>
    <xf numFmtId="10" fontId="8" fillId="0" borderId="0" xfId="0" applyNumberFormat="1" applyFont="1"/>
    <xf numFmtId="10" fontId="6" fillId="0" borderId="3" xfId="3" applyNumberFormat="1" applyFont="1" applyBorder="1"/>
    <xf numFmtId="168" fontId="6" fillId="2" borderId="3" xfId="0" applyNumberFormat="1" applyFont="1" applyFill="1" applyBorder="1" applyAlignment="1">
      <alignment horizontal="right"/>
    </xf>
    <xf numFmtId="5" fontId="6" fillId="0" borderId="0" xfId="2" applyNumberFormat="1" applyFont="1" applyFill="1"/>
    <xf numFmtId="10" fontId="6" fillId="0" borderId="3" xfId="3" applyNumberFormat="1" applyFont="1" applyFill="1" applyBorder="1"/>
    <xf numFmtId="10" fontId="6" fillId="0" borderId="0" xfId="3" applyNumberFormat="1" applyFont="1" applyFill="1"/>
    <xf numFmtId="10" fontId="6" fillId="0" borderId="0" xfId="3" applyNumberFormat="1" applyFont="1" applyFill="1" applyAlignment="1">
      <alignment horizontal="right"/>
    </xf>
    <xf numFmtId="10" fontId="8" fillId="0" borderId="3" xfId="3" applyNumberFormat="1" applyFont="1" applyFill="1" applyBorder="1"/>
    <xf numFmtId="6" fontId="6" fillId="0" borderId="0" xfId="0" applyNumberFormat="1" applyFont="1"/>
    <xf numFmtId="0" fontId="6" fillId="0" borderId="0" xfId="0" applyFont="1" applyAlignment="1">
      <alignment wrapText="1"/>
    </xf>
    <xf numFmtId="7" fontId="6" fillId="4" borderId="3" xfId="1" applyNumberFormat="1" applyFont="1" applyFill="1" applyBorder="1"/>
    <xf numFmtId="0" fontId="9" fillId="0" borderId="0" xfId="0" applyFont="1" applyAlignment="1">
      <alignment horizontal="centerContinuous"/>
    </xf>
    <xf numFmtId="0" fontId="6" fillId="0" borderId="0" xfId="0" applyFont="1" applyAlignment="1">
      <alignment horizontal="center" wrapText="1"/>
    </xf>
    <xf numFmtId="0" fontId="6" fillId="3" borderId="0" xfId="0" applyFont="1" applyFill="1" applyAlignment="1">
      <alignment horizontal="left"/>
    </xf>
    <xf numFmtId="0" fontId="8" fillId="0" borderId="0" xfId="0" applyFont="1" applyAlignment="1">
      <alignment horizontal="right"/>
    </xf>
    <xf numFmtId="0" fontId="8" fillId="2" borderId="0" xfId="0" applyFont="1" applyFill="1"/>
    <xf numFmtId="0" fontId="8" fillId="2" borderId="0" xfId="0" applyFont="1" applyFill="1" applyAlignment="1">
      <alignment horizontal="left"/>
    </xf>
    <xf numFmtId="169" fontId="6" fillId="0" borderId="0" xfId="0" applyNumberFormat="1" applyFont="1"/>
    <xf numFmtId="165" fontId="6" fillId="0" borderId="3" xfId="3" applyNumberFormat="1" applyFont="1" applyBorder="1"/>
    <xf numFmtId="169" fontId="6" fillId="0" borderId="0" xfId="0" quotePrefix="1" applyNumberFormat="1" applyFont="1"/>
    <xf numFmtId="170" fontId="6" fillId="0" borderId="0" xfId="3" applyNumberFormat="1" applyFont="1" applyFill="1"/>
    <xf numFmtId="0" fontId="8" fillId="3" borderId="0" xfId="0" applyFont="1" applyFill="1"/>
    <xf numFmtId="171" fontId="6" fillId="0" borderId="0" xfId="1" applyNumberFormat="1" applyFont="1" applyFill="1"/>
    <xf numFmtId="0" fontId="6" fillId="0" borderId="0" xfId="0" applyFont="1" applyAlignment="1">
      <alignment vertical="top" wrapText="1"/>
    </xf>
    <xf numFmtId="43" fontId="6" fillId="0" borderId="0" xfId="1" applyFont="1"/>
    <xf numFmtId="5" fontId="8" fillId="0" borderId="0" xfId="1" applyNumberFormat="1" applyFont="1"/>
    <xf numFmtId="5" fontId="6" fillId="0" borderId="0" xfId="1" applyNumberFormat="1" applyFont="1"/>
    <xf numFmtId="0" fontId="6" fillId="2" borderId="0" xfId="0" applyFont="1" applyFill="1"/>
    <xf numFmtId="5" fontId="6" fillId="2" borderId="0" xfId="1" applyNumberFormat="1" applyFont="1" applyFill="1"/>
    <xf numFmtId="44" fontId="6" fillId="0" borderId="0" xfId="1" applyNumberFormat="1" applyFont="1" applyFill="1" applyBorder="1"/>
    <xf numFmtId="5" fontId="6" fillId="0" borderId="3" xfId="1" applyNumberFormat="1" applyFont="1" applyBorder="1"/>
    <xf numFmtId="10" fontId="6" fillId="2" borderId="0" xfId="3" applyNumberFormat="1" applyFont="1" applyFill="1"/>
    <xf numFmtId="5" fontId="8" fillId="0" borderId="0" xfId="0" applyNumberFormat="1" applyFont="1"/>
    <xf numFmtId="0" fontId="13" fillId="2" borderId="0" xfId="0" applyFont="1" applyFill="1" applyAlignment="1">
      <alignment horizontal="left" vertical="top" wrapText="1"/>
    </xf>
    <xf numFmtId="37" fontId="6" fillId="0" borderId="0" xfId="0" applyNumberFormat="1" applyFont="1"/>
    <xf numFmtId="10" fontId="8" fillId="0" borderId="0" xfId="0" applyNumberFormat="1" applyFont="1" applyAlignment="1">
      <alignment horizontal="right"/>
    </xf>
    <xf numFmtId="7" fontId="6" fillId="2" borderId="0" xfId="0" applyNumberFormat="1" applyFont="1" applyFill="1" applyAlignment="1">
      <alignment horizontal="center"/>
    </xf>
    <xf numFmtId="37" fontId="6" fillId="2" borderId="3" xfId="3" applyNumberFormat="1" applyFont="1" applyFill="1" applyBorder="1" applyAlignment="1">
      <alignment horizontal="right"/>
    </xf>
    <xf numFmtId="10" fontId="6" fillId="0" borderId="3" xfId="3" applyNumberFormat="1" applyFont="1" applyFill="1" applyBorder="1" applyAlignment="1">
      <alignment horizontal="right"/>
    </xf>
    <xf numFmtId="37" fontId="6" fillId="2" borderId="0" xfId="3" applyNumberFormat="1" applyFont="1" applyFill="1" applyAlignment="1">
      <alignment horizontal="right"/>
    </xf>
    <xf numFmtId="168" fontId="6" fillId="0" borderId="0" xfId="0" applyNumberFormat="1" applyFont="1"/>
    <xf numFmtId="7" fontId="9" fillId="0" borderId="0" xfId="0" applyNumberFormat="1" applyFont="1" applyAlignment="1">
      <alignment horizontal="center"/>
    </xf>
    <xf numFmtId="168" fontId="9" fillId="0" borderId="0" xfId="0" applyNumberFormat="1" applyFont="1" applyAlignment="1">
      <alignment horizontal="center"/>
    </xf>
    <xf numFmtId="168" fontId="8" fillId="0" borderId="0" xfId="0" applyNumberFormat="1" applyFont="1" applyAlignment="1">
      <alignment horizontal="center"/>
    </xf>
    <xf numFmtId="7" fontId="8" fillId="0" borderId="0" xfId="0" applyNumberFormat="1" applyFont="1" applyAlignment="1">
      <alignment horizontal="center"/>
    </xf>
    <xf numFmtId="0" fontId="6" fillId="2" borderId="3" xfId="0" applyFont="1" applyFill="1" applyBorder="1" applyAlignment="1">
      <alignment horizontal="center"/>
    </xf>
    <xf numFmtId="168" fontId="6" fillId="3" borderId="0" xfId="0" applyNumberFormat="1" applyFont="1" applyFill="1"/>
    <xf numFmtId="7" fontId="6" fillId="3" borderId="0" xfId="0" applyNumberFormat="1" applyFont="1" applyFill="1"/>
    <xf numFmtId="0" fontId="9" fillId="0" borderId="0" xfId="0" applyFont="1" applyAlignment="1">
      <alignment horizontal="center" wrapText="1"/>
    </xf>
    <xf numFmtId="5" fontId="6" fillId="2" borderId="0" xfId="3" applyNumberFormat="1" applyFont="1" applyFill="1" applyAlignment="1">
      <alignment horizontal="left"/>
    </xf>
    <xf numFmtId="5" fontId="6" fillId="2" borderId="0" xfId="3" applyNumberFormat="1" applyFont="1" applyFill="1" applyAlignment="1">
      <alignment horizontal="right"/>
    </xf>
    <xf numFmtId="5" fontId="6" fillId="0" borderId="6" xfId="1" applyNumberFormat="1" applyFont="1" applyFill="1" applyBorder="1"/>
    <xf numFmtId="172" fontId="6" fillId="0" borderId="0" xfId="0" applyNumberFormat="1" applyFont="1"/>
    <xf numFmtId="8" fontId="6" fillId="0" borderId="0" xfId="0" applyNumberFormat="1" applyFont="1"/>
    <xf numFmtId="10" fontId="6" fillId="0" borderId="0" xfId="0" applyNumberFormat="1" applyFont="1" applyAlignment="1">
      <alignment horizontal="center"/>
    </xf>
    <xf numFmtId="10" fontId="6" fillId="4" borderId="0" xfId="4" applyNumberFormat="1" applyFont="1" applyFill="1" applyAlignment="1">
      <alignment horizontal="center"/>
    </xf>
    <xf numFmtId="10" fontId="6" fillId="4" borderId="0" xfId="3" applyNumberFormat="1" applyFont="1" applyFill="1" applyAlignment="1">
      <alignment horizontal="center"/>
    </xf>
    <xf numFmtId="0" fontId="9" fillId="0" borderId="3" xfId="0" applyFont="1" applyBorder="1" applyAlignment="1">
      <alignment horizontal="center"/>
    </xf>
    <xf numFmtId="43" fontId="6" fillId="5" borderId="0" xfId="0" applyNumberFormat="1" applyFont="1" applyFill="1"/>
    <xf numFmtId="0" fontId="6" fillId="0" borderId="0" xfId="5" applyFont="1"/>
    <xf numFmtId="0" fontId="6" fillId="0" borderId="0" xfId="5" applyFont="1" applyAlignment="1">
      <alignment horizontal="left" indent="1"/>
    </xf>
    <xf numFmtId="0" fontId="9" fillId="0" borderId="0" xfId="5" applyFont="1"/>
    <xf numFmtId="0" fontId="8" fillId="0" borderId="0" xfId="5" applyFont="1" applyAlignment="1">
      <alignment horizontal="center"/>
    </xf>
    <xf numFmtId="0" fontId="8" fillId="0" borderId="0" xfId="5" applyFont="1"/>
    <xf numFmtId="168" fontId="6" fillId="0" borderId="0" xfId="5" applyNumberFormat="1" applyFont="1"/>
    <xf numFmtId="3" fontId="6" fillId="0" borderId="0" xfId="5" applyNumberFormat="1" applyFont="1"/>
    <xf numFmtId="42" fontId="6" fillId="0" borderId="0" xfId="1" applyNumberFormat="1" applyFont="1" applyFill="1"/>
    <xf numFmtId="0" fontId="10" fillId="0" borderId="0" xfId="5" applyFont="1"/>
    <xf numFmtId="42" fontId="6" fillId="0" borderId="0" xfId="5" applyNumberFormat="1" applyFont="1"/>
    <xf numFmtId="5" fontId="6" fillId="0" borderId="0" xfId="5" applyNumberFormat="1" applyFont="1"/>
    <xf numFmtId="168" fontId="8" fillId="0" borderId="0" xfId="5" applyNumberFormat="1" applyFont="1"/>
    <xf numFmtId="168" fontId="8" fillId="0" borderId="0" xfId="5" applyNumberFormat="1" applyFont="1" applyAlignment="1">
      <alignment horizontal="center"/>
    </xf>
    <xf numFmtId="2" fontId="6" fillId="0" borderId="0" xfId="0" applyNumberFormat="1" applyFont="1" applyAlignment="1">
      <alignment horizontal="left"/>
    </xf>
    <xf numFmtId="0" fontId="6" fillId="0" borderId="0" xfId="5" quotePrefix="1" applyFont="1" applyAlignment="1">
      <alignment horizontal="center"/>
    </xf>
    <xf numFmtId="0" fontId="8" fillId="0" borderId="0" xfId="5" quotePrefix="1" applyFont="1" applyAlignment="1">
      <alignment horizontal="center"/>
    </xf>
    <xf numFmtId="17" fontId="8" fillId="0" borderId="0" xfId="5" quotePrefix="1" applyNumberFormat="1" applyFont="1" applyAlignment="1">
      <alignment horizontal="center"/>
    </xf>
    <xf numFmtId="0" fontId="8" fillId="0" borderId="0" xfId="5" applyFont="1" applyAlignment="1">
      <alignment horizontal="left"/>
    </xf>
    <xf numFmtId="2" fontId="6" fillId="0" borderId="0" xfId="0" applyNumberFormat="1" applyFont="1"/>
    <xf numFmtId="173" fontId="6" fillId="0" borderId="0" xfId="0" applyNumberFormat="1" applyFont="1"/>
    <xf numFmtId="2" fontId="6" fillId="0" borderId="0" xfId="0" applyNumberFormat="1" applyFont="1" applyAlignment="1">
      <alignment horizontal="center"/>
    </xf>
    <xf numFmtId="1" fontId="8" fillId="0" borderId="0" xfId="0" applyNumberFormat="1" applyFont="1" applyAlignment="1">
      <alignment horizontal="center"/>
    </xf>
    <xf numFmtId="174" fontId="6" fillId="0" borderId="0" xfId="0" applyNumberFormat="1" applyFont="1" applyAlignment="1">
      <alignment horizontal="right"/>
    </xf>
    <xf numFmtId="2" fontId="8" fillId="0" borderId="0" xfId="0" applyNumberFormat="1" applyFont="1" applyAlignment="1">
      <alignment horizontal="right"/>
    </xf>
    <xf numFmtId="10" fontId="8" fillId="0" borderId="0" xfId="3" applyNumberFormat="1" applyFont="1" applyFill="1" applyBorder="1" applyProtection="1">
      <protection locked="0"/>
    </xf>
    <xf numFmtId="2" fontId="9" fillId="0" borderId="0" xfId="0" applyNumberFormat="1" applyFont="1" applyAlignment="1">
      <alignment horizontal="left"/>
    </xf>
    <xf numFmtId="5" fontId="8" fillId="0" borderId="0" xfId="0" applyNumberFormat="1" applyFont="1" applyProtection="1">
      <protection locked="0"/>
    </xf>
    <xf numFmtId="2" fontId="8" fillId="0" borderId="0" xfId="0" applyNumberFormat="1" applyFont="1" applyAlignment="1">
      <alignment horizontal="left"/>
    </xf>
    <xf numFmtId="0" fontId="6" fillId="0" borderId="0" xfId="5" applyFont="1" applyAlignment="1">
      <alignment horizontal="center"/>
    </xf>
    <xf numFmtId="5" fontId="6" fillId="0" borderId="3" xfId="6" applyNumberFormat="1" applyFont="1" applyFill="1" applyBorder="1" applyProtection="1">
      <protection locked="0"/>
    </xf>
    <xf numFmtId="5" fontId="6" fillId="0" borderId="0" xfId="6" applyNumberFormat="1" applyFont="1" applyFill="1" applyBorder="1" applyProtection="1">
      <protection locked="0"/>
    </xf>
    <xf numFmtId="5" fontId="6" fillId="0" borderId="0" xfId="0" applyNumberFormat="1" applyFont="1" applyProtection="1">
      <protection locked="0"/>
    </xf>
    <xf numFmtId="168" fontId="6" fillId="0" borderId="0" xfId="0" applyNumberFormat="1" applyFont="1" applyAlignment="1">
      <alignment horizontal="center"/>
    </xf>
    <xf numFmtId="2" fontId="10" fillId="0" borderId="0" xfId="0" applyNumberFormat="1" applyFont="1" applyAlignment="1">
      <alignment horizontal="left"/>
    </xf>
    <xf numFmtId="164" fontId="6" fillId="0" borderId="0" xfId="2" applyNumberFormat="1" applyFont="1" applyFill="1" applyAlignment="1" applyProtection="1">
      <alignment horizontal="left"/>
    </xf>
    <xf numFmtId="164" fontId="6" fillId="0" borderId="0" xfId="2" applyNumberFormat="1" applyFont="1" applyFill="1"/>
    <xf numFmtId="168" fontId="6" fillId="0" borderId="0" xfId="0" applyNumberFormat="1" applyFont="1" applyAlignment="1">
      <alignment horizontal="right"/>
    </xf>
    <xf numFmtId="2" fontId="10" fillId="0" borderId="0" xfId="0" applyNumberFormat="1" applyFont="1" applyAlignment="1">
      <alignment horizontal="center"/>
    </xf>
    <xf numFmtId="2" fontId="6" fillId="0" borderId="0" xfId="0" applyNumberFormat="1" applyFont="1" applyAlignment="1">
      <alignment horizontal="left" wrapText="1"/>
    </xf>
    <xf numFmtId="2" fontId="8" fillId="0" borderId="0" xfId="0" applyNumberFormat="1" applyFont="1"/>
    <xf numFmtId="0" fontId="6" fillId="0" borderId="0" xfId="7" applyFont="1"/>
    <xf numFmtId="42" fontId="6" fillId="0" borderId="0" xfId="0" applyNumberFormat="1" applyFont="1"/>
    <xf numFmtId="0" fontId="6" fillId="0" borderId="0" xfId="0" quotePrefix="1" applyFont="1" applyAlignment="1">
      <alignment horizontal="center"/>
    </xf>
    <xf numFmtId="0" fontId="6" fillId="2" borderId="0" xfId="0" quotePrefix="1" applyFont="1" applyFill="1" applyAlignment="1">
      <alignment horizontal="center"/>
    </xf>
    <xf numFmtId="0" fontId="6" fillId="2" borderId="0" xfId="0" quotePrefix="1" applyFont="1" applyFill="1" applyAlignment="1">
      <alignment horizontal="left"/>
    </xf>
    <xf numFmtId="168" fontId="6" fillId="2" borderId="0" xfId="0" applyNumberFormat="1" applyFont="1" applyFill="1"/>
    <xf numFmtId="0" fontId="6" fillId="2" borderId="0" xfId="0" applyFont="1" applyFill="1" applyAlignment="1">
      <alignment horizontal="center"/>
    </xf>
    <xf numFmtId="14" fontId="6" fillId="2" borderId="0" xfId="0" applyNumberFormat="1" applyFont="1" applyFill="1"/>
    <xf numFmtId="0" fontId="6" fillId="2" borderId="0" xfId="0" applyFont="1" applyFill="1" applyAlignment="1">
      <alignment horizontal="left" indent="1"/>
    </xf>
    <xf numFmtId="10" fontId="6" fillId="2" borderId="0" xfId="3" applyNumberFormat="1" applyFont="1" applyFill="1" applyAlignment="1">
      <alignment horizontal="left" indent="1"/>
    </xf>
    <xf numFmtId="175" fontId="8" fillId="0" borderId="9" xfId="0" applyNumberFormat="1" applyFont="1" applyBorder="1" applyAlignment="1">
      <alignment horizontal="center" vertical="center" wrapText="1"/>
    </xf>
    <xf numFmtId="168" fontId="8" fillId="0" borderId="9" xfId="0" applyNumberFormat="1" applyFont="1" applyBorder="1" applyAlignment="1">
      <alignment horizontal="center" vertical="center" wrapText="1"/>
    </xf>
    <xf numFmtId="0" fontId="8" fillId="0" borderId="9" xfId="0" applyFont="1" applyBorder="1" applyAlignment="1">
      <alignment horizontal="center" vertical="center" wrapText="1"/>
    </xf>
    <xf numFmtId="0" fontId="8" fillId="0" borderId="9" xfId="0" applyFont="1" applyBorder="1" applyAlignment="1">
      <alignment horizontal="center" vertical="center"/>
    </xf>
    <xf numFmtId="0" fontId="9" fillId="0" borderId="0" xfId="0" quotePrefix="1" applyFont="1" applyAlignment="1">
      <alignment horizontal="center"/>
    </xf>
    <xf numFmtId="37" fontId="8" fillId="0" borderId="0" xfId="0" applyNumberFormat="1" applyFont="1"/>
    <xf numFmtId="166" fontId="6" fillId="2" borderId="0" xfId="1" applyNumberFormat="1" applyFont="1" applyFill="1"/>
    <xf numFmtId="5" fontId="6" fillId="2" borderId="0" xfId="0" applyNumberFormat="1" applyFont="1" applyFill="1"/>
    <xf numFmtId="5" fontId="6" fillId="2" borderId="0" xfId="0" applyNumberFormat="1" applyFont="1" applyFill="1" applyAlignment="1">
      <alignment horizontal="center"/>
    </xf>
    <xf numFmtId="176" fontId="6" fillId="2" borderId="0" xfId="3" applyNumberFormat="1" applyFont="1" applyFill="1" applyAlignment="1">
      <alignment horizontal="center"/>
    </xf>
    <xf numFmtId="174" fontId="6" fillId="2" borderId="0" xfId="3" applyNumberFormat="1" applyFont="1" applyFill="1" applyAlignment="1">
      <alignment horizontal="center"/>
    </xf>
    <xf numFmtId="14" fontId="6" fillId="2" borderId="0" xfId="0" applyNumberFormat="1" applyFont="1" applyFill="1" applyAlignment="1">
      <alignment horizontal="right" vertical="center"/>
    </xf>
    <xf numFmtId="0" fontId="8" fillId="0" borderId="0" xfId="0" quotePrefix="1" applyFont="1" applyAlignment="1">
      <alignment horizontal="center"/>
    </xf>
    <xf numFmtId="0" fontId="8" fillId="0" borderId="0" xfId="0" quotePrefix="1" applyFont="1"/>
    <xf numFmtId="0" fontId="6" fillId="0" borderId="0" xfId="0" applyFont="1" applyAlignment="1">
      <alignment horizontal="right"/>
    </xf>
    <xf numFmtId="5" fontId="10" fillId="0" borderId="0" xfId="0" applyNumberFormat="1" applyFont="1"/>
    <xf numFmtId="0" fontId="10" fillId="0" borderId="0" xfId="0" applyFont="1" applyAlignment="1">
      <alignment horizontal="right"/>
    </xf>
    <xf numFmtId="0" fontId="15" fillId="0" borderId="0" xfId="5" applyFont="1"/>
    <xf numFmtId="6" fontId="15" fillId="0" borderId="10" xfId="5" applyNumberFormat="1" applyFont="1" applyBorder="1"/>
    <xf numFmtId="6" fontId="15" fillId="0" borderId="0" xfId="1" applyNumberFormat="1" applyFont="1" applyFill="1"/>
    <xf numFmtId="0" fontId="15" fillId="0" borderId="0" xfId="5" applyFont="1" applyAlignment="1">
      <alignment horizontal="left"/>
    </xf>
    <xf numFmtId="2" fontId="15" fillId="0" borderId="0" xfId="0" applyNumberFormat="1" applyFont="1" applyAlignment="1">
      <alignment horizontal="left"/>
    </xf>
    <xf numFmtId="0" fontId="16" fillId="0" borderId="0" xfId="5" applyFont="1" applyAlignment="1">
      <alignment horizontal="center"/>
    </xf>
    <xf numFmtId="0" fontId="16" fillId="0" borderId="0" xfId="5" applyFont="1"/>
    <xf numFmtId="6" fontId="8" fillId="0" borderId="0" xfId="1" applyNumberFormat="1" applyFont="1"/>
    <xf numFmtId="6" fontId="8" fillId="0" borderId="10" xfId="1" applyNumberFormat="1" applyFont="1" applyBorder="1"/>
    <xf numFmtId="6" fontId="6" fillId="0" borderId="0" xfId="1" applyNumberFormat="1" applyFont="1"/>
    <xf numFmtId="0" fontId="6" fillId="0" borderId="0" xfId="5" applyFont="1" applyAlignment="1">
      <alignment horizontal="left"/>
    </xf>
    <xf numFmtId="168" fontId="10" fillId="0" borderId="0" xfId="5" applyNumberFormat="1" applyFont="1"/>
    <xf numFmtId="6" fontId="6" fillId="0" borderId="0" xfId="1" applyNumberFormat="1" applyFont="1" applyBorder="1"/>
    <xf numFmtId="6" fontId="6" fillId="2" borderId="0" xfId="1" applyNumberFormat="1" applyFont="1" applyFill="1"/>
    <xf numFmtId="6" fontId="6" fillId="0" borderId="0" xfId="1" applyNumberFormat="1" applyFont="1" applyFill="1"/>
    <xf numFmtId="6" fontId="6" fillId="0" borderId="3" xfId="1" applyNumberFormat="1" applyFont="1" applyBorder="1"/>
    <xf numFmtId="6" fontId="16" fillId="0" borderId="0" xfId="1" applyNumberFormat="1" applyFont="1"/>
    <xf numFmtId="6" fontId="9" fillId="0" borderId="0" xfId="1" applyNumberFormat="1" applyFont="1" applyAlignment="1">
      <alignment horizontal="center"/>
    </xf>
    <xf numFmtId="6" fontId="6" fillId="0" borderId="0" xfId="1" applyNumberFormat="1" applyFont="1" applyBorder="1" applyAlignment="1"/>
    <xf numFmtId="6" fontId="6" fillId="2" borderId="0" xfId="1" applyNumberFormat="1" applyFont="1" applyFill="1" applyAlignment="1"/>
    <xf numFmtId="6" fontId="6" fillId="0" borderId="0" xfId="1" applyNumberFormat="1" applyFont="1" applyAlignment="1"/>
    <xf numFmtId="6" fontId="6" fillId="0" borderId="0" xfId="1" applyNumberFormat="1" applyFont="1" applyBorder="1" applyAlignment="1">
      <alignment wrapText="1"/>
    </xf>
    <xf numFmtId="6" fontId="6" fillId="0" borderId="0" xfId="1" applyNumberFormat="1" applyFont="1" applyFill="1" applyBorder="1"/>
    <xf numFmtId="6" fontId="6" fillId="0" borderId="0" xfId="1" applyNumberFormat="1" applyFont="1" applyFill="1" applyBorder="1" applyAlignment="1"/>
    <xf numFmtId="5" fontId="6" fillId="2" borderId="0" xfId="1" applyNumberFormat="1" applyFont="1" applyFill="1" applyAlignment="1"/>
    <xf numFmtId="0" fontId="9" fillId="0" borderId="0" xfId="5" applyFont="1" applyAlignment="1">
      <alignment horizontal="left"/>
    </xf>
    <xf numFmtId="0" fontId="6" fillId="0" borderId="0" xfId="5" applyFont="1" applyAlignment="1">
      <alignment vertical="top"/>
    </xf>
    <xf numFmtId="0" fontId="8" fillId="0" borderId="0" xfId="5" applyFont="1" applyAlignment="1">
      <alignment horizontal="center" vertical="top"/>
    </xf>
    <xf numFmtId="6" fontId="6" fillId="0" borderId="0" xfId="1" applyNumberFormat="1" applyFont="1" applyFill="1" applyBorder="1" applyAlignment="1">
      <alignment vertical="top"/>
    </xf>
    <xf numFmtId="5" fontId="6" fillId="2" borderId="0" xfId="1" applyNumberFormat="1" applyFont="1" applyFill="1" applyAlignment="1">
      <alignment vertical="top"/>
    </xf>
    <xf numFmtId="6" fontId="6" fillId="0" borderId="0" xfId="1" applyNumberFormat="1" applyFont="1" applyAlignment="1">
      <alignment vertical="top"/>
    </xf>
    <xf numFmtId="0" fontId="6" fillId="0" borderId="0" xfId="5" applyFont="1" applyAlignment="1">
      <alignment horizontal="left" vertical="top"/>
    </xf>
    <xf numFmtId="6" fontId="6" fillId="0" borderId="3" xfId="1" applyNumberFormat="1" applyFont="1" applyFill="1" applyBorder="1"/>
    <xf numFmtId="6" fontId="6" fillId="0" borderId="0" xfId="1" applyNumberFormat="1" applyFont="1" applyBorder="1" applyAlignment="1">
      <alignment vertical="top"/>
    </xf>
    <xf numFmtId="6" fontId="6" fillId="2" borderId="0" xfId="1" applyNumberFormat="1" applyFont="1" applyFill="1" applyAlignment="1">
      <alignment vertical="top"/>
    </xf>
    <xf numFmtId="168" fontId="6" fillId="0" borderId="0" xfId="5" quotePrefix="1" applyNumberFormat="1" applyFont="1" applyAlignment="1">
      <alignment horizontal="center"/>
    </xf>
    <xf numFmtId="17" fontId="6" fillId="0" borderId="0" xfId="5" quotePrefix="1" applyNumberFormat="1" applyFont="1" applyAlignment="1">
      <alignment horizontal="center"/>
    </xf>
    <xf numFmtId="0" fontId="6" fillId="0" borderId="0" xfId="5" applyFont="1" applyAlignment="1">
      <alignment horizontal="right"/>
    </xf>
    <xf numFmtId="0" fontId="9" fillId="0" borderId="0" xfId="5" applyFont="1" applyAlignment="1">
      <alignment horizontal="center"/>
    </xf>
    <xf numFmtId="0" fontId="6" fillId="0" borderId="0" xfId="5" quotePrefix="1" applyFont="1" applyAlignment="1">
      <alignment horizontal="left"/>
    </xf>
    <xf numFmtId="0" fontId="9" fillId="0" borderId="0" xfId="5" quotePrefix="1" applyFont="1" applyAlignment="1">
      <alignment horizontal="left"/>
    </xf>
    <xf numFmtId="0" fontId="9" fillId="0" borderId="0" xfId="5" quotePrefix="1" applyFont="1" applyAlignment="1">
      <alignment horizontal="center"/>
    </xf>
    <xf numFmtId="0" fontId="6" fillId="2" borderId="0" xfId="5" applyFont="1" applyFill="1"/>
    <xf numFmtId="0" fontId="6" fillId="0" borderId="0" xfId="0" quotePrefix="1" applyFont="1" applyAlignment="1">
      <alignment horizontal="center" wrapText="1"/>
    </xf>
    <xf numFmtId="5" fontId="8" fillId="0" borderId="6" xfId="8" applyNumberFormat="1" applyFont="1" applyFill="1" applyBorder="1"/>
    <xf numFmtId="0" fontId="8" fillId="0" borderId="6" xfId="0" applyFont="1" applyBorder="1"/>
    <xf numFmtId="0" fontId="8" fillId="0" borderId="6" xfId="0" applyFont="1" applyBorder="1" applyAlignment="1">
      <alignment horizontal="center" vertical="center" wrapText="1"/>
    </xf>
    <xf numFmtId="0" fontId="6" fillId="0" borderId="6" xfId="0" applyFont="1" applyBorder="1"/>
    <xf numFmtId="5" fontId="6" fillId="0" borderId="0" xfId="8" applyNumberFormat="1" applyFont="1" applyFill="1" applyBorder="1"/>
    <xf numFmtId="166" fontId="6" fillId="0" borderId="0" xfId="8" applyNumberFormat="1" applyFont="1" applyFill="1" applyBorder="1" applyAlignment="1">
      <alignment horizontal="left"/>
    </xf>
    <xf numFmtId="5" fontId="6" fillId="2" borderId="0" xfId="8" applyNumberFormat="1" applyFont="1" applyFill="1" applyBorder="1"/>
    <xf numFmtId="166" fontId="6" fillId="4" borderId="0" xfId="8" applyNumberFormat="1" applyFont="1" applyFill="1" applyBorder="1" applyAlignment="1">
      <alignment horizontal="center"/>
    </xf>
    <xf numFmtId="166" fontId="6" fillId="0" borderId="0" xfId="8" applyNumberFormat="1" applyFont="1" applyFill="1" applyAlignment="1">
      <alignment horizontal="left"/>
    </xf>
    <xf numFmtId="5" fontId="6" fillId="2" borderId="0" xfId="8" applyNumberFormat="1" applyFont="1" applyFill="1"/>
    <xf numFmtId="5" fontId="6" fillId="0" borderId="0" xfId="8" applyNumberFormat="1" applyFont="1" applyFill="1"/>
    <xf numFmtId="0" fontId="6" fillId="0" borderId="0" xfId="0" applyFont="1" applyAlignment="1">
      <alignment horizontal="left" wrapText="1"/>
    </xf>
    <xf numFmtId="0" fontId="6" fillId="3" borderId="0" xfId="0" applyFont="1" applyFill="1" applyAlignment="1">
      <alignment horizontal="center"/>
    </xf>
    <xf numFmtId="0" fontId="8" fillId="0" borderId="0" xfId="0" applyFont="1" applyAlignment="1">
      <alignment vertical="center"/>
    </xf>
    <xf numFmtId="17" fontId="6" fillId="0" borderId="0" xfId="9" quotePrefix="1" applyNumberFormat="1" applyFont="1" applyAlignment="1">
      <alignment horizontal="left"/>
    </xf>
    <xf numFmtId="0" fontId="6" fillId="0" borderId="0" xfId="9" quotePrefix="1" applyFont="1" applyAlignment="1">
      <alignment horizontal="left"/>
    </xf>
    <xf numFmtId="5" fontId="8" fillId="0" borderId="0" xfId="8" applyNumberFormat="1" applyFont="1" applyFill="1"/>
    <xf numFmtId="0" fontId="8" fillId="0" borderId="0" xfId="9" quotePrefix="1" applyFont="1" applyAlignment="1">
      <alignment horizontal="left"/>
    </xf>
    <xf numFmtId="168" fontId="10" fillId="0" borderId="0" xfId="0" applyNumberFormat="1" applyFont="1"/>
    <xf numFmtId="5" fontId="6" fillId="0" borderId="3" xfId="8" applyNumberFormat="1" applyFont="1" applyFill="1" applyBorder="1"/>
    <xf numFmtId="5" fontId="6" fillId="2" borderId="3" xfId="8" applyNumberFormat="1" applyFont="1" applyFill="1" applyBorder="1"/>
    <xf numFmtId="1" fontId="6" fillId="0" borderId="3" xfId="9" quotePrefix="1" applyNumberFormat="1" applyFont="1" applyBorder="1" applyAlignment="1">
      <alignment horizontal="center"/>
    </xf>
    <xf numFmtId="17" fontId="6" fillId="0" borderId="3" xfId="9" quotePrefix="1" applyNumberFormat="1" applyFont="1" applyBorder="1" applyAlignment="1">
      <alignment horizontal="left"/>
    </xf>
    <xf numFmtId="1" fontId="6" fillId="0" borderId="0" xfId="9" quotePrefix="1" applyNumberFormat="1" applyFont="1" applyAlignment="1">
      <alignment horizontal="center"/>
    </xf>
    <xf numFmtId="0" fontId="9" fillId="0" borderId="0" xfId="0" quotePrefix="1" applyFont="1" applyAlignment="1">
      <alignment horizontal="center" wrapText="1"/>
    </xf>
    <xf numFmtId="0" fontId="8" fillId="0" borderId="0" xfId="0" applyFont="1" applyAlignment="1">
      <alignment horizontal="center" wrapText="1"/>
    </xf>
    <xf numFmtId="0" fontId="6" fillId="0" borderId="0" xfId="0" applyFont="1" applyAlignment="1">
      <alignment horizontal="center" vertical="center" wrapText="1"/>
    </xf>
    <xf numFmtId="0" fontId="6" fillId="0" borderId="0" xfId="0" quotePrefix="1" applyFont="1" applyAlignment="1">
      <alignment horizontal="center" vertical="center"/>
    </xf>
    <xf numFmtId="166" fontId="6" fillId="0" borderId="0" xfId="0" applyNumberFormat="1" applyFont="1"/>
    <xf numFmtId="5" fontId="8" fillId="0" borderId="0" xfId="8" applyNumberFormat="1" applyFont="1"/>
    <xf numFmtId="0" fontId="8" fillId="0" borderId="0" xfId="9" applyFont="1" applyAlignment="1">
      <alignment horizontal="left"/>
    </xf>
    <xf numFmtId="5" fontId="6" fillId="0" borderId="3" xfId="0" applyNumberFormat="1" applyFont="1" applyBorder="1"/>
    <xf numFmtId="0" fontId="6" fillId="0" borderId="0" xfId="5" applyFont="1" applyAlignment="1">
      <alignment horizontal="center" wrapText="1"/>
    </xf>
    <xf numFmtId="0" fontId="6" fillId="0" borderId="0" xfId="0" applyFont="1" applyAlignment="1">
      <alignment horizontal="center" vertical="center"/>
    </xf>
    <xf numFmtId="5" fontId="6" fillId="0" borderId="3" xfId="8" applyNumberFormat="1" applyFont="1" applyBorder="1"/>
    <xf numFmtId="5" fontId="6" fillId="0" borderId="0" xfId="8" applyNumberFormat="1" applyFont="1"/>
    <xf numFmtId="0" fontId="6" fillId="0" borderId="0" xfId="9" quotePrefix="1" applyFont="1" applyAlignment="1">
      <alignment horizontal="center"/>
    </xf>
    <xf numFmtId="5" fontId="6" fillId="0" borderId="0" xfId="0" applyNumberFormat="1" applyFont="1" applyAlignment="1">
      <alignment horizontal="right"/>
    </xf>
    <xf numFmtId="14" fontId="6" fillId="2" borderId="0" xfId="0" applyNumberFormat="1" applyFont="1" applyFill="1" applyAlignment="1">
      <alignment horizontal="center"/>
    </xf>
    <xf numFmtId="0" fontId="6" fillId="2" borderId="0" xfId="0" applyFont="1" applyFill="1" applyAlignment="1">
      <alignment horizontal="left"/>
    </xf>
    <xf numFmtId="5" fontId="6" fillId="0" borderId="3" xfId="0" quotePrefix="1" applyNumberFormat="1" applyFont="1" applyBorder="1" applyAlignment="1">
      <alignment horizontal="center"/>
    </xf>
    <xf numFmtId="5" fontId="6" fillId="0" borderId="3" xfId="0" applyNumberFormat="1" applyFont="1" applyBorder="1" applyAlignment="1">
      <alignment horizontal="right"/>
    </xf>
    <xf numFmtId="0" fontId="6" fillId="0" borderId="3" xfId="5" applyFont="1" applyBorder="1" applyAlignment="1">
      <alignment horizontal="center"/>
    </xf>
    <xf numFmtId="0" fontId="6" fillId="0" borderId="3" xfId="5" applyFont="1" applyBorder="1"/>
    <xf numFmtId="5" fontId="6" fillId="0" borderId="0" xfId="0" quotePrefix="1" applyNumberFormat="1" applyFont="1" applyAlignment="1">
      <alignment horizontal="center"/>
    </xf>
    <xf numFmtId="0" fontId="8" fillId="0" borderId="0" xfId="9" quotePrefix="1" applyFont="1" applyAlignment="1">
      <alignment horizontal="center"/>
    </xf>
    <xf numFmtId="0" fontId="10" fillId="0" borderId="0" xfId="9" quotePrefix="1" applyFont="1" applyAlignment="1">
      <alignment horizontal="center"/>
    </xf>
    <xf numFmtId="0" fontId="6" fillId="0" borderId="0" xfId="9" quotePrefix="1" applyFont="1" applyAlignment="1">
      <alignment horizontal="center" vertical="center"/>
    </xf>
    <xf numFmtId="0" fontId="9" fillId="0" borderId="0" xfId="9" quotePrefix="1" applyFont="1" applyAlignment="1">
      <alignment horizontal="center"/>
    </xf>
    <xf numFmtId="0" fontId="6" fillId="3" borderId="0" xfId="5" applyFont="1" applyFill="1"/>
    <xf numFmtId="0" fontId="6" fillId="3" borderId="0" xfId="5" applyFont="1" applyFill="1" applyAlignment="1">
      <alignment horizontal="center"/>
    </xf>
    <xf numFmtId="0" fontId="8" fillId="3" borderId="0" xfId="5" applyFont="1" applyFill="1" applyAlignment="1">
      <alignment horizontal="left"/>
    </xf>
    <xf numFmtId="0" fontId="6" fillId="0" borderId="0" xfId="9" applyFont="1"/>
    <xf numFmtId="0" fontId="9" fillId="0" borderId="0" xfId="9" applyFont="1"/>
    <xf numFmtId="0" fontId="8" fillId="0" borderId="0" xfId="9" applyFont="1" applyAlignment="1">
      <alignment horizontal="center"/>
    </xf>
    <xf numFmtId="10" fontId="8" fillId="0" borderId="0" xfId="3" applyNumberFormat="1" applyFont="1" applyFill="1"/>
    <xf numFmtId="168" fontId="6" fillId="0" borderId="0" xfId="9" applyNumberFormat="1" applyFont="1"/>
    <xf numFmtId="0" fontId="6" fillId="0" borderId="0" xfId="9" applyFont="1" applyAlignment="1">
      <alignment horizontal="right"/>
    </xf>
    <xf numFmtId="0" fontId="8" fillId="0" borderId="0" xfId="9" applyFont="1"/>
    <xf numFmtId="166" fontId="6" fillId="0" borderId="0" xfId="8" applyNumberFormat="1" applyFont="1"/>
    <xf numFmtId="166" fontId="6" fillId="0" borderId="0" xfId="9" applyNumberFormat="1" applyFont="1"/>
    <xf numFmtId="0" fontId="6" fillId="0" borderId="3" xfId="9" applyFont="1" applyBorder="1" applyAlignment="1">
      <alignment horizontal="center"/>
    </xf>
    <xf numFmtId="0" fontId="6" fillId="0" borderId="3" xfId="9" applyFont="1" applyBorder="1" applyAlignment="1">
      <alignment horizontal="left"/>
    </xf>
    <xf numFmtId="0" fontId="6" fillId="0" borderId="0" xfId="9" applyFont="1" applyAlignment="1">
      <alignment horizontal="center"/>
    </xf>
    <xf numFmtId="0" fontId="6" fillId="0" borderId="0" xfId="9" applyFont="1" applyAlignment="1">
      <alignment horizontal="left"/>
    </xf>
    <xf numFmtId="0" fontId="9" fillId="0" borderId="0" xfId="9" applyFont="1" applyAlignment="1">
      <alignment horizontal="center"/>
    </xf>
    <xf numFmtId="10" fontId="6" fillId="0" borderId="0" xfId="9" applyNumberFormat="1" applyFont="1"/>
    <xf numFmtId="0" fontId="8" fillId="0" borderId="0" xfId="9" applyFont="1" applyAlignment="1">
      <alignment horizontal="center"/>
    </xf>
    <xf numFmtId="0" fontId="6" fillId="0" borderId="0" xfId="9" quotePrefix="1" applyFont="1" applyAlignment="1">
      <alignment horizontal="center" vertical="center" wrapText="1"/>
    </xf>
    <xf numFmtId="0" fontId="6" fillId="3" borderId="0" xfId="9" applyFont="1" applyFill="1"/>
    <xf numFmtId="0" fontId="6" fillId="3" borderId="0" xfId="9" applyFont="1" applyFill="1" applyAlignment="1">
      <alignment horizontal="right" indent="1"/>
    </xf>
    <xf numFmtId="0" fontId="8" fillId="3" borderId="0" xfId="9" applyFont="1" applyFill="1"/>
    <xf numFmtId="0" fontId="6" fillId="0" borderId="0" xfId="9" applyFont="1" applyAlignment="1">
      <alignment horizontal="right" indent="1"/>
    </xf>
    <xf numFmtId="10" fontId="6" fillId="3" borderId="0" xfId="3" applyNumberFormat="1" applyFont="1" applyFill="1"/>
    <xf numFmtId="0" fontId="6" fillId="0" borderId="3" xfId="9" applyFont="1" applyBorder="1"/>
    <xf numFmtId="0" fontId="6" fillId="0" borderId="0" xfId="9" quotePrefix="1" applyFont="1" applyAlignment="1">
      <alignment horizontal="center" wrapText="1"/>
    </xf>
    <xf numFmtId="0" fontId="6" fillId="0" borderId="0" xfId="0" quotePrefix="1" applyFont="1" applyAlignment="1">
      <alignment horizontal="left"/>
    </xf>
    <xf numFmtId="0" fontId="6" fillId="0" borderId="0" xfId="0" applyFont="1" applyAlignment="1">
      <alignment horizontal="left" vertical="center"/>
    </xf>
    <xf numFmtId="42" fontId="6" fillId="0" borderId="0" xfId="0" quotePrefix="1" applyNumberFormat="1" applyFont="1" applyAlignment="1">
      <alignment horizontal="center"/>
    </xf>
    <xf numFmtId="170" fontId="6" fillId="0" borderId="0" xfId="0" quotePrefix="1" applyNumberFormat="1" applyFont="1" applyAlignment="1">
      <alignment horizontal="right"/>
    </xf>
    <xf numFmtId="168" fontId="6" fillId="0" borderId="0" xfId="0" quotePrefix="1" applyNumberFormat="1" applyFont="1" applyAlignment="1">
      <alignment horizontal="center"/>
    </xf>
    <xf numFmtId="168" fontId="10" fillId="0" borderId="0" xfId="0" quotePrefix="1" applyNumberFormat="1" applyFont="1" applyAlignment="1">
      <alignment horizontal="center"/>
    </xf>
    <xf numFmtId="5" fontId="10" fillId="0" borderId="0" xfId="0" quotePrefix="1" applyNumberFormat="1" applyFont="1" applyAlignment="1">
      <alignment horizontal="center"/>
    </xf>
    <xf numFmtId="168" fontId="6" fillId="0" borderId="0" xfId="0" quotePrefix="1" applyNumberFormat="1" applyFont="1" applyAlignment="1">
      <alignment horizontal="right"/>
    </xf>
    <xf numFmtId="5" fontId="8" fillId="0" borderId="0" xfId="10" applyNumberFormat="1" applyFont="1" applyFill="1"/>
    <xf numFmtId="5" fontId="6" fillId="0" borderId="3" xfId="10" applyNumberFormat="1" applyFont="1" applyFill="1" applyBorder="1"/>
    <xf numFmtId="5" fontId="6" fillId="2" borderId="3" xfId="1" applyNumberFormat="1" applyFont="1" applyFill="1" applyBorder="1"/>
    <xf numFmtId="5" fontId="6" fillId="0" borderId="0" xfId="10" applyNumberFormat="1" applyFont="1" applyFill="1"/>
    <xf numFmtId="17" fontId="6" fillId="0" borderId="0" xfId="9" applyNumberFormat="1" applyFont="1" applyAlignment="1">
      <alignment horizontal="left"/>
    </xf>
    <xf numFmtId="17" fontId="8" fillId="3" borderId="0" xfId="9" quotePrefix="1" applyNumberFormat="1" applyFont="1" applyFill="1" applyAlignment="1">
      <alignment horizontal="left"/>
    </xf>
    <xf numFmtId="5" fontId="8" fillId="0" borderId="6" xfId="10" applyNumberFormat="1" applyFont="1" applyFill="1" applyBorder="1"/>
    <xf numFmtId="0" fontId="8" fillId="0" borderId="6" xfId="9" quotePrefix="1" applyFont="1" applyBorder="1" applyAlignment="1">
      <alignment horizontal="left"/>
    </xf>
    <xf numFmtId="0" fontId="8" fillId="0" borderId="6" xfId="9" applyFont="1" applyBorder="1" applyAlignment="1">
      <alignment horizontal="left"/>
    </xf>
    <xf numFmtId="166" fontId="6" fillId="0" borderId="0" xfId="10" applyNumberFormat="1" applyFont="1" applyFill="1" applyBorder="1"/>
    <xf numFmtId="5" fontId="6" fillId="2" borderId="3" xfId="10" applyNumberFormat="1" applyFont="1" applyFill="1" applyBorder="1"/>
    <xf numFmtId="5" fontId="6" fillId="2" borderId="0" xfId="10" applyNumberFormat="1" applyFont="1" applyFill="1" applyBorder="1"/>
    <xf numFmtId="5" fontId="6" fillId="2" borderId="0" xfId="10" applyNumberFormat="1" applyFont="1" applyFill="1"/>
    <xf numFmtId="0" fontId="6" fillId="0" borderId="0" xfId="5" quotePrefix="1" applyFont="1" applyAlignment="1">
      <alignment horizontal="center" wrapText="1"/>
    </xf>
    <xf numFmtId="0" fontId="6" fillId="0" borderId="3" xfId="0" applyFont="1" applyBorder="1"/>
    <xf numFmtId="0" fontId="6" fillId="0" borderId="3" xfId="0" applyFont="1" applyBorder="1" applyAlignment="1">
      <alignment horizontal="left"/>
    </xf>
    <xf numFmtId="5" fontId="8" fillId="0" borderId="0" xfId="8" applyNumberFormat="1" applyFont="1" applyFill="1" applyBorder="1"/>
    <xf numFmtId="166" fontId="6" fillId="0" borderId="0" xfId="8" applyNumberFormat="1" applyFont="1" applyFill="1"/>
    <xf numFmtId="166" fontId="6" fillId="0" borderId="0" xfId="8" applyNumberFormat="1" applyFont="1" applyFill="1" applyBorder="1"/>
    <xf numFmtId="166" fontId="6" fillId="0" borderId="0" xfId="8" applyNumberFormat="1" applyFont="1" applyFill="1" applyBorder="1" applyAlignment="1">
      <alignment horizontal="right"/>
    </xf>
    <xf numFmtId="174" fontId="6" fillId="0" borderId="0" xfId="3" applyNumberFormat="1" applyFont="1" applyFill="1"/>
    <xf numFmtId="174" fontId="6" fillId="0" borderId="0" xfId="3" applyNumberFormat="1" applyFont="1"/>
    <xf numFmtId="174" fontId="6" fillId="0" borderId="0" xfId="3" applyNumberFormat="1" applyFont="1" applyFill="1" applyBorder="1"/>
    <xf numFmtId="10" fontId="6" fillId="0" borderId="0" xfId="3" applyNumberFormat="1" applyFont="1" applyFill="1" applyBorder="1"/>
    <xf numFmtId="0" fontId="8" fillId="3" borderId="0" xfId="9" applyFont="1" applyFill="1" applyAlignment="1">
      <alignment horizontal="left"/>
    </xf>
    <xf numFmtId="168" fontId="8" fillId="0" borderId="0" xfId="0" applyNumberFormat="1" applyFont="1"/>
    <xf numFmtId="0" fontId="8" fillId="6" borderId="0" xfId="0" applyFont="1" applyFill="1" applyAlignment="1">
      <alignment horizontal="left"/>
    </xf>
    <xf numFmtId="0" fontId="8" fillId="6" borderId="11" xfId="0" applyFont="1" applyFill="1" applyBorder="1" applyAlignment="1">
      <alignment horizontal="left"/>
    </xf>
    <xf numFmtId="5" fontId="6" fillId="0" borderId="0" xfId="1" applyNumberFormat="1" applyFont="1" applyFill="1" applyAlignment="1">
      <alignment horizontal="right"/>
    </xf>
    <xf numFmtId="0" fontId="10" fillId="0" borderId="0" xfId="0" applyFont="1" applyAlignment="1">
      <alignment horizontal="center" wrapText="1"/>
    </xf>
    <xf numFmtId="37" fontId="6" fillId="0" borderId="0" xfId="0" applyNumberFormat="1" applyFont="1" applyAlignment="1">
      <alignment horizontal="right"/>
    </xf>
    <xf numFmtId="166" fontId="8" fillId="0" borderId="0" xfId="0" applyNumberFormat="1" applyFont="1"/>
    <xf numFmtId="166" fontId="6" fillId="0" borderId="0" xfId="0" applyNumberFormat="1" applyFont="1" applyAlignment="1">
      <alignment horizontal="center"/>
    </xf>
    <xf numFmtId="0" fontId="8" fillId="3" borderId="0" xfId="0" quotePrefix="1" applyFont="1" applyFill="1" applyAlignment="1">
      <alignment horizontal="center"/>
    </xf>
    <xf numFmtId="0" fontId="6" fillId="4" borderId="0" xfId="0" applyFont="1" applyFill="1"/>
    <xf numFmtId="0" fontId="6" fillId="4" borderId="0" xfId="0" applyFont="1" applyFill="1" applyAlignment="1">
      <alignment horizontal="left"/>
    </xf>
    <xf numFmtId="0" fontId="6" fillId="4" borderId="0" xfId="0" applyFont="1" applyFill="1" applyAlignment="1">
      <alignment wrapText="1"/>
    </xf>
    <xf numFmtId="0" fontId="7" fillId="4" borderId="0" xfId="0" applyFont="1" applyFill="1" applyAlignment="1">
      <alignment horizontal="left" wrapText="1"/>
    </xf>
    <xf numFmtId="0" fontId="9" fillId="0" borderId="0" xfId="0" applyFont="1" applyAlignment="1">
      <alignment horizontal="left"/>
    </xf>
    <xf numFmtId="39" fontId="6" fillId="0" borderId="0" xfId="8" applyNumberFormat="1" applyFont="1" applyFill="1"/>
    <xf numFmtId="164" fontId="6" fillId="0" borderId="0" xfId="0" applyNumberFormat="1" applyFont="1"/>
    <xf numFmtId="39" fontId="6" fillId="0" borderId="0" xfId="8" applyNumberFormat="1" applyFont="1"/>
    <xf numFmtId="5" fontId="6" fillId="0" borderId="0" xfId="8" applyNumberFormat="1" applyFont="1" applyBorder="1"/>
    <xf numFmtId="37" fontId="6" fillId="0" borderId="0" xfId="0" applyNumberFormat="1" applyFont="1" applyAlignment="1">
      <alignment horizontal="center"/>
    </xf>
    <xf numFmtId="43" fontId="6" fillId="0" borderId="0" xfId="0" applyNumberFormat="1" applyFont="1"/>
    <xf numFmtId="39" fontId="6" fillId="0" borderId="3" xfId="8" applyNumberFormat="1" applyFont="1" applyFill="1" applyBorder="1"/>
    <xf numFmtId="37" fontId="6" fillId="0" borderId="3" xfId="0" applyNumberFormat="1" applyFont="1" applyBorder="1" applyAlignment="1">
      <alignment horizontal="center"/>
    </xf>
    <xf numFmtId="0" fontId="8" fillId="0" borderId="3" xfId="0" applyFont="1" applyBorder="1" applyAlignment="1">
      <alignment horizontal="center"/>
    </xf>
    <xf numFmtId="0" fontId="8" fillId="0" borderId="3" xfId="0" applyFont="1" applyBorder="1" applyAlignment="1">
      <alignment horizontal="centerContinuous"/>
    </xf>
    <xf numFmtId="0" fontId="8" fillId="0" borderId="8" xfId="0" applyFont="1" applyBorder="1" applyAlignment="1">
      <alignment horizontal="center"/>
    </xf>
    <xf numFmtId="0" fontId="8" fillId="0" borderId="3" xfId="0" applyFont="1" applyBorder="1" applyAlignment="1">
      <alignment horizontal="center"/>
    </xf>
    <xf numFmtId="0" fontId="8" fillId="0" borderId="0" xfId="0" applyFont="1" applyAlignment="1">
      <alignment horizontal="centerContinuous"/>
    </xf>
    <xf numFmtId="0" fontId="8" fillId="0" borderId="0" xfId="0" applyFont="1" applyAlignment="1">
      <alignment horizontal="center" vertical="center"/>
    </xf>
    <xf numFmtId="177" fontId="9" fillId="0" borderId="0" xfId="0" applyNumberFormat="1" applyFont="1" applyAlignment="1">
      <alignment horizontal="center"/>
    </xf>
    <xf numFmtId="174" fontId="6" fillId="0" borderId="3" xfId="3" applyNumberFormat="1" applyFont="1" applyFill="1" applyBorder="1"/>
    <xf numFmtId="0" fontId="6" fillId="0" borderId="3" xfId="0" applyFont="1" applyBorder="1" applyAlignment="1">
      <alignment horizontal="right"/>
    </xf>
    <xf numFmtId="10" fontId="6" fillId="0" borderId="0" xfId="1" applyNumberFormat="1" applyFont="1"/>
    <xf numFmtId="39" fontId="6" fillId="0" borderId="0" xfId="8" applyNumberFormat="1" applyFont="1" applyFill="1" applyBorder="1"/>
    <xf numFmtId="0" fontId="6" fillId="0" borderId="0" xfId="0" applyFont="1" applyAlignment="1">
      <alignment vertical="center"/>
    </xf>
    <xf numFmtId="178" fontId="6" fillId="0" borderId="0" xfId="0" applyNumberFormat="1" applyFont="1"/>
    <xf numFmtId="168" fontId="6" fillId="0" borderId="0" xfId="8" applyNumberFormat="1" applyFont="1" applyFill="1" applyBorder="1" applyAlignment="1">
      <alignment horizontal="right"/>
    </xf>
    <xf numFmtId="1" fontId="6" fillId="0" borderId="0" xfId="9" applyNumberFormat="1" applyFont="1" applyAlignment="1">
      <alignment horizontal="center"/>
    </xf>
    <xf numFmtId="5" fontId="6" fillId="0" borderId="0" xfId="8" applyNumberFormat="1" applyFont="1" applyFill="1" applyBorder="1" applyAlignment="1">
      <alignment horizontal="right"/>
    </xf>
    <xf numFmtId="5" fontId="8" fillId="0" borderId="0" xfId="8" applyNumberFormat="1" applyFont="1" applyFill="1" applyBorder="1" applyAlignment="1">
      <alignment horizontal="right"/>
    </xf>
    <xf numFmtId="3" fontId="6" fillId="0" borderId="0" xfId="9" applyNumberFormat="1" applyFont="1" applyAlignment="1">
      <alignment horizontal="center"/>
    </xf>
    <xf numFmtId="10" fontId="6" fillId="0" borderId="0" xfId="1" applyNumberFormat="1" applyFont="1" applyFill="1" applyAlignment="1">
      <alignment horizontal="right"/>
    </xf>
    <xf numFmtId="10" fontId="6" fillId="0" borderId="0" xfId="3" applyNumberFormat="1" applyFont="1" applyFill="1" applyAlignment="1">
      <alignment horizontal="right" indent="1"/>
    </xf>
    <xf numFmtId="3" fontId="6" fillId="0" borderId="0" xfId="9" applyNumberFormat="1" applyFont="1"/>
    <xf numFmtId="0" fontId="8" fillId="0" borderId="3" xfId="0" applyFont="1" applyBorder="1" applyAlignment="1">
      <alignment horizontal="center" wrapText="1"/>
    </xf>
    <xf numFmtId="0" fontId="8" fillId="0" borderId="0" xfId="9" applyFont="1" applyAlignment="1">
      <alignment horizontal="left" vertical="top"/>
    </xf>
    <xf numFmtId="166" fontId="14" fillId="0" borderId="0" xfId="1" applyNumberFormat="1" applyFont="1"/>
    <xf numFmtId="166" fontId="14" fillId="0" borderId="0" xfId="1" applyNumberFormat="1" applyFont="1" applyFill="1" applyBorder="1" applyAlignment="1">
      <alignment horizontal="left" indent="1"/>
    </xf>
    <xf numFmtId="166" fontId="14" fillId="0" borderId="0" xfId="1" applyNumberFormat="1" applyFont="1" applyFill="1"/>
    <xf numFmtId="166" fontId="6" fillId="0" borderId="0" xfId="1" applyNumberFormat="1" applyFont="1" applyFill="1" applyBorder="1" applyAlignment="1">
      <alignment horizontal="left" indent="1"/>
    </xf>
    <xf numFmtId="5" fontId="6" fillId="2" borderId="0" xfId="1" applyNumberFormat="1" applyFont="1" applyFill="1" applyBorder="1" applyAlignment="1">
      <alignment horizontal="right" indent="1"/>
    </xf>
    <xf numFmtId="166" fontId="9" fillId="0" borderId="0" xfId="0" applyNumberFormat="1" applyFont="1" applyAlignment="1">
      <alignment horizontal="center" wrapText="1"/>
    </xf>
    <xf numFmtId="0" fontId="8" fillId="0" borderId="3" xfId="0" applyFont="1" applyBorder="1" applyAlignment="1">
      <alignment horizontal="centerContinuous" vertical="center" wrapText="1"/>
    </xf>
    <xf numFmtId="166" fontId="8" fillId="0" borderId="0" xfId="8" applyNumberFormat="1" applyFont="1" applyFill="1" applyBorder="1" applyAlignment="1">
      <alignment horizontal="center" wrapText="1"/>
    </xf>
    <xf numFmtId="0" fontId="8" fillId="0" borderId="0" xfId="0" applyFont="1" applyAlignment="1">
      <alignment horizontal="center" vertical="center" wrapText="1"/>
    </xf>
    <xf numFmtId="0" fontId="6" fillId="0" borderId="0" xfId="0" applyFont="1" applyAlignment="1">
      <alignment vertical="center" wrapText="1"/>
    </xf>
    <xf numFmtId="5" fontId="8" fillId="0" borderId="0" xfId="10" applyNumberFormat="1" applyFont="1" applyFill="1" applyBorder="1" applyAlignment="1">
      <alignment horizontal="right"/>
    </xf>
    <xf numFmtId="5" fontId="6" fillId="0" borderId="3" xfId="10" applyNumberFormat="1" applyFont="1" applyFill="1" applyBorder="1" applyAlignment="1">
      <alignment horizontal="right"/>
    </xf>
    <xf numFmtId="5" fontId="6" fillId="2" borderId="3" xfId="10" applyNumberFormat="1" applyFont="1" applyFill="1" applyBorder="1" applyAlignment="1">
      <alignment horizontal="right"/>
    </xf>
    <xf numFmtId="1" fontId="6" fillId="0" borderId="3" xfId="9" applyNumberFormat="1" applyFont="1" applyBorder="1" applyAlignment="1">
      <alignment horizontal="center"/>
    </xf>
    <xf numFmtId="5" fontId="6" fillId="0" borderId="0" xfId="10" applyNumberFormat="1" applyFont="1" applyFill="1" applyBorder="1" applyAlignment="1">
      <alignment horizontal="right"/>
    </xf>
    <xf numFmtId="5" fontId="6" fillId="2" borderId="0" xfId="10" applyNumberFormat="1" applyFont="1" applyFill="1" applyBorder="1" applyAlignment="1">
      <alignment horizontal="right"/>
    </xf>
    <xf numFmtId="0" fontId="9" fillId="0" borderId="0" xfId="9" applyFont="1" applyAlignment="1">
      <alignment horizontal="center" wrapText="1"/>
    </xf>
    <xf numFmtId="10" fontId="6" fillId="0" borderId="0" xfId="3" applyNumberFormat="1" applyFont="1" applyAlignment="1">
      <alignment horizontal="center"/>
    </xf>
    <xf numFmtId="166" fontId="6" fillId="0" borderId="0" xfId="9" applyNumberFormat="1" applyFont="1" applyAlignment="1">
      <alignment horizontal="right"/>
    </xf>
    <xf numFmtId="166" fontId="6" fillId="0" borderId="0" xfId="9" applyNumberFormat="1" applyFont="1" applyAlignment="1">
      <alignment horizontal="center" vertical="center" wrapText="1"/>
    </xf>
    <xf numFmtId="166" fontId="6" fillId="0" borderId="0" xfId="8" applyNumberFormat="1" applyFont="1" applyFill="1" applyBorder="1" applyAlignment="1">
      <alignment horizontal="center" vertical="center" wrapText="1"/>
    </xf>
    <xf numFmtId="166" fontId="6" fillId="0" borderId="0" xfId="0" quotePrefix="1" applyNumberFormat="1" applyFont="1"/>
    <xf numFmtId="0" fontId="8" fillId="0" borderId="0" xfId="0" applyFont="1" applyAlignment="1">
      <alignment wrapText="1"/>
    </xf>
    <xf numFmtId="166" fontId="6" fillId="0" borderId="3" xfId="1" applyNumberFormat="1" applyFont="1" applyFill="1" applyBorder="1"/>
    <xf numFmtId="168" fontId="6" fillId="0" borderId="3" xfId="9" applyNumberFormat="1" applyFont="1" applyBorder="1"/>
    <xf numFmtId="168" fontId="6" fillId="0" borderId="0" xfId="10" applyNumberFormat="1" applyFont="1" applyFill="1" applyBorder="1" applyAlignment="1">
      <alignment horizontal="center" wrapText="1"/>
    </xf>
    <xf numFmtId="0" fontId="6" fillId="0" borderId="0" xfId="9" applyFont="1" applyAlignment="1">
      <alignment horizontal="center" wrapText="1"/>
    </xf>
    <xf numFmtId="168" fontId="9" fillId="0" borderId="0" xfId="10" applyNumberFormat="1" applyFont="1" applyFill="1" applyBorder="1" applyAlignment="1">
      <alignment horizontal="center" wrapText="1"/>
    </xf>
    <xf numFmtId="5" fontId="9" fillId="0" borderId="0" xfId="0" applyNumberFormat="1" applyFont="1" applyAlignment="1">
      <alignment horizontal="center"/>
    </xf>
    <xf numFmtId="9" fontId="6" fillId="0" borderId="0" xfId="0" applyNumberFormat="1" applyFont="1"/>
    <xf numFmtId="9" fontId="6" fillId="0" borderId="0" xfId="10" applyNumberFormat="1" applyFont="1" applyFill="1" applyBorder="1"/>
    <xf numFmtId="168" fontId="8" fillId="0" borderId="0" xfId="9" applyNumberFormat="1" applyFont="1"/>
    <xf numFmtId="10" fontId="6" fillId="0" borderId="0" xfId="10" applyNumberFormat="1" applyFont="1" applyFill="1" applyBorder="1"/>
    <xf numFmtId="168" fontId="9" fillId="0" borderId="0" xfId="10" applyNumberFormat="1" applyFont="1" applyFill="1" applyBorder="1" applyAlignment="1">
      <alignment horizontal="center"/>
    </xf>
    <xf numFmtId="168" fontId="8" fillId="0" borderId="0" xfId="10" applyNumberFormat="1" applyFont="1" applyFill="1" applyBorder="1" applyAlignment="1">
      <alignment horizontal="center"/>
    </xf>
    <xf numFmtId="10" fontId="8" fillId="0" borderId="0" xfId="0" applyNumberFormat="1" applyFont="1" applyAlignment="1">
      <alignment horizontal="center"/>
    </xf>
    <xf numFmtId="37" fontId="8" fillId="0" borderId="0" xfId="0" quotePrefix="1" applyNumberFormat="1" applyFont="1" applyAlignment="1">
      <alignment horizontal="right"/>
    </xf>
    <xf numFmtId="0" fontId="6" fillId="0" borderId="0" xfId="0" applyFont="1" applyAlignment="1">
      <alignment horizontal="right" indent="1"/>
    </xf>
    <xf numFmtId="168" fontId="6" fillId="0" borderId="0" xfId="10" applyNumberFormat="1" applyFont="1" applyBorder="1"/>
    <xf numFmtId="168" fontId="6" fillId="0" borderId="0" xfId="10" applyNumberFormat="1" applyFont="1" applyBorder="1" applyAlignment="1">
      <alignment horizontal="left" indent="1"/>
    </xf>
    <xf numFmtId="37" fontId="6" fillId="0" borderId="0" xfId="0" quotePrefix="1" applyNumberFormat="1" applyFont="1" applyAlignment="1">
      <alignment horizontal="center"/>
    </xf>
    <xf numFmtId="37" fontId="10" fillId="0" borderId="0" xfId="0" applyNumberFormat="1" applyFont="1"/>
    <xf numFmtId="5" fontId="6" fillId="0" borderId="0" xfId="0" quotePrefix="1" applyNumberFormat="1" applyFont="1" applyAlignment="1">
      <alignment horizontal="right"/>
    </xf>
    <xf numFmtId="10" fontId="6" fillId="0" borderId="0" xfId="10" applyNumberFormat="1" applyFont="1" applyBorder="1"/>
    <xf numFmtId="0" fontId="6" fillId="2" borderId="0" xfId="0" applyFont="1" applyFill="1" applyAlignment="1">
      <alignment wrapText="1"/>
    </xf>
    <xf numFmtId="5" fontId="6" fillId="0" borderId="0" xfId="10" applyNumberFormat="1" applyFont="1" applyBorder="1" applyAlignment="1">
      <alignment horizontal="left" indent="1"/>
    </xf>
    <xf numFmtId="168" fontId="9" fillId="0" borderId="0" xfId="10" applyNumberFormat="1" applyFont="1" applyBorder="1" applyAlignment="1">
      <alignment horizontal="center"/>
    </xf>
    <xf numFmtId="168" fontId="8" fillId="0" borderId="0" xfId="10" applyNumberFormat="1" applyFont="1" applyBorder="1" applyAlignment="1">
      <alignment horizontal="center"/>
    </xf>
    <xf numFmtId="0" fontId="8" fillId="0" borderId="0" xfId="0" quotePrefix="1" applyFont="1" applyAlignment="1">
      <alignment horizontal="left" indent="1"/>
    </xf>
    <xf numFmtId="0" fontId="6" fillId="3" borderId="0" xfId="0" applyFont="1" applyFill="1" applyAlignment="1">
      <alignment horizontal="left" indent="1"/>
    </xf>
    <xf numFmtId="168" fontId="6" fillId="3" borderId="0" xfId="10" applyNumberFormat="1" applyFont="1" applyFill="1" applyBorder="1"/>
    <xf numFmtId="168" fontId="6" fillId="3" borderId="0" xfId="10" applyNumberFormat="1" applyFont="1" applyFill="1" applyBorder="1" applyAlignment="1">
      <alignment horizontal="left" indent="1"/>
    </xf>
    <xf numFmtId="39" fontId="6" fillId="0" borderId="0" xfId="0" applyNumberFormat="1" applyFont="1" applyAlignment="1">
      <alignment horizontal="left" indent="1"/>
    </xf>
    <xf numFmtId="0" fontId="6" fillId="0" borderId="0" xfId="9" quotePrefix="1" applyFont="1" applyAlignment="1">
      <alignment horizontal="left" indent="1"/>
    </xf>
    <xf numFmtId="5" fontId="6" fillId="0" borderId="6" xfId="10" applyNumberFormat="1" applyFont="1" applyFill="1" applyBorder="1"/>
    <xf numFmtId="5" fontId="6" fillId="0" borderId="6" xfId="10" applyNumberFormat="1" applyFont="1" applyBorder="1"/>
    <xf numFmtId="5" fontId="6" fillId="0" borderId="0" xfId="10" applyNumberFormat="1" applyFont="1" applyBorder="1"/>
    <xf numFmtId="5" fontId="8" fillId="0" borderId="0" xfId="10" applyNumberFormat="1" applyFont="1" applyFill="1" applyBorder="1"/>
    <xf numFmtId="10" fontId="6" fillId="0" borderId="0" xfId="3" applyNumberFormat="1" applyFont="1" applyBorder="1"/>
    <xf numFmtId="168" fontId="6" fillId="0" borderId="3" xfId="10" applyNumberFormat="1" applyFont="1" applyBorder="1"/>
    <xf numFmtId="173" fontId="6" fillId="0" borderId="0" xfId="0" applyNumberFormat="1" applyFont="1" applyAlignment="1">
      <alignment horizontal="center"/>
    </xf>
    <xf numFmtId="5" fontId="6" fillId="0" borderId="0" xfId="10" applyNumberFormat="1" applyFont="1"/>
    <xf numFmtId="173" fontId="6" fillId="2" borderId="0" xfId="5" applyNumberFormat="1" applyFont="1" applyFill="1" applyAlignment="1">
      <alignment horizontal="center"/>
    </xf>
    <xf numFmtId="0" fontId="8" fillId="0" borderId="3" xfId="9" applyFont="1" applyBorder="1" applyAlignment="1">
      <alignment horizontal="center"/>
    </xf>
    <xf numFmtId="168" fontId="8" fillId="0" borderId="3" xfId="9" applyNumberFormat="1" applyFont="1" applyBorder="1" applyAlignment="1">
      <alignment horizontal="center"/>
    </xf>
    <xf numFmtId="168" fontId="8" fillId="0" borderId="0" xfId="9" applyNumberFormat="1" applyFont="1" applyAlignment="1">
      <alignment horizontal="center"/>
    </xf>
    <xf numFmtId="168" fontId="6" fillId="0" borderId="6" xfId="10" applyNumberFormat="1" applyFont="1" applyFill="1" applyBorder="1"/>
    <xf numFmtId="168" fontId="6" fillId="0" borderId="6" xfId="10" applyNumberFormat="1" applyFont="1" applyBorder="1"/>
    <xf numFmtId="168" fontId="8" fillId="0" borderId="0" xfId="10" applyNumberFormat="1" applyFont="1" applyFill="1" applyBorder="1"/>
    <xf numFmtId="173" fontId="6" fillId="2" borderId="0" xfId="5" quotePrefix="1" applyNumberFormat="1" applyFont="1" applyFill="1" applyAlignment="1">
      <alignment horizontal="center"/>
    </xf>
    <xf numFmtId="39" fontId="6" fillId="0" borderId="0" xfId="0" applyNumberFormat="1" applyFont="1"/>
    <xf numFmtId="168" fontId="6" fillId="0" borderId="0" xfId="10" applyNumberFormat="1" applyFont="1" applyFill="1" applyBorder="1"/>
    <xf numFmtId="5" fontId="6" fillId="0" borderId="10" xfId="10" applyNumberFormat="1" applyFont="1" applyFill="1" applyBorder="1"/>
    <xf numFmtId="5" fontId="6" fillId="0" borderId="0" xfId="10" applyNumberFormat="1" applyFont="1" applyFill="1" applyBorder="1"/>
    <xf numFmtId="7" fontId="6" fillId="0" borderId="0" xfId="3" applyNumberFormat="1" applyFont="1" applyBorder="1"/>
    <xf numFmtId="5" fontId="8" fillId="0" borderId="0" xfId="10" applyNumberFormat="1" applyFont="1" applyBorder="1"/>
    <xf numFmtId="0" fontId="6" fillId="2" borderId="0" xfId="9" applyFont="1" applyFill="1"/>
    <xf numFmtId="173" fontId="6" fillId="2" borderId="0" xfId="9" applyNumberFormat="1" applyFont="1" applyFill="1" applyAlignment="1">
      <alignment horizontal="center"/>
    </xf>
    <xf numFmtId="5" fontId="6" fillId="2" borderId="0" xfId="5" applyNumberFormat="1" applyFont="1" applyFill="1"/>
    <xf numFmtId="39" fontId="6" fillId="3" borderId="0" xfId="10" applyNumberFormat="1" applyFont="1" applyFill="1" applyBorder="1"/>
    <xf numFmtId="37" fontId="6" fillId="3" borderId="0" xfId="10" applyNumberFormat="1" applyFont="1" applyFill="1" applyBorder="1" applyAlignment="1">
      <alignment horizontal="center"/>
    </xf>
    <xf numFmtId="39" fontId="6" fillId="0" borderId="0" xfId="10" applyNumberFormat="1" applyFont="1" applyBorder="1"/>
    <xf numFmtId="173" fontId="6" fillId="0" borderId="0" xfId="9" quotePrefix="1" applyNumberFormat="1" applyFont="1" applyAlignment="1">
      <alignment horizontal="center"/>
    </xf>
    <xf numFmtId="5" fontId="6" fillId="2" borderId="0" xfId="9" applyNumberFormat="1" applyFont="1" applyFill="1"/>
    <xf numFmtId="5" fontId="6" fillId="0" borderId="0" xfId="9" applyNumberFormat="1" applyFont="1"/>
    <xf numFmtId="0" fontId="8" fillId="3" borderId="0" xfId="9" applyFont="1" applyFill="1" applyAlignment="1">
      <alignment horizontal="right"/>
    </xf>
    <xf numFmtId="0" fontId="17" fillId="3" borderId="0" xfId="9" applyFont="1" applyFill="1" applyAlignment="1">
      <alignment horizontal="left"/>
    </xf>
    <xf numFmtId="0" fontId="8" fillId="0" borderId="0" xfId="9" applyFont="1" applyAlignment="1">
      <alignment horizontal="right"/>
    </xf>
    <xf numFmtId="0" fontId="17" fillId="0" borderId="0" xfId="9" applyFont="1" applyAlignment="1">
      <alignment horizontal="left"/>
    </xf>
    <xf numFmtId="5" fontId="6" fillId="0" borderId="0" xfId="9" applyNumberFormat="1" applyFont="1" applyAlignment="1">
      <alignment horizontal="right"/>
    </xf>
    <xf numFmtId="5" fontId="6" fillId="0" borderId="10" xfId="9" applyNumberFormat="1" applyFont="1" applyBorder="1" applyAlignment="1">
      <alignment horizontal="right"/>
    </xf>
    <xf numFmtId="5" fontId="6" fillId="0" borderId="3" xfId="9" applyNumberFormat="1" applyFont="1" applyBorder="1" applyAlignment="1">
      <alignment horizontal="right"/>
    </xf>
    <xf numFmtId="168" fontId="9" fillId="0" borderId="0" xfId="0" applyNumberFormat="1" applyFont="1"/>
    <xf numFmtId="0" fontId="8" fillId="0" borderId="0" xfId="9" applyFont="1" applyAlignment="1">
      <alignment horizontal="left" indent="1"/>
    </xf>
    <xf numFmtId="5" fontId="6" fillId="2" borderId="12" xfId="0" applyNumberFormat="1" applyFont="1" applyFill="1" applyBorder="1"/>
    <xf numFmtId="165" fontId="6" fillId="0" borderId="0" xfId="0" applyNumberFormat="1" applyFont="1" applyAlignment="1">
      <alignment horizontal="left" indent="1"/>
    </xf>
    <xf numFmtId="165" fontId="6" fillId="0" borderId="0" xfId="0" applyNumberFormat="1" applyFont="1"/>
    <xf numFmtId="37" fontId="6" fillId="0" borderId="0" xfId="0" applyNumberFormat="1" applyFont="1" applyAlignment="1">
      <alignment horizontal="left" indent="1"/>
    </xf>
    <xf numFmtId="5" fontId="6" fillId="0" borderId="6" xfId="0" applyNumberFormat="1" applyFont="1" applyBorder="1"/>
    <xf numFmtId="168" fontId="6" fillId="0" borderId="0" xfId="0" applyNumberFormat="1" applyFont="1" applyAlignment="1">
      <alignment horizontal="left"/>
    </xf>
    <xf numFmtId="44" fontId="6" fillId="0" borderId="0" xfId="0" applyNumberFormat="1" applyFont="1"/>
    <xf numFmtId="44" fontId="6" fillId="0" borderId="0" xfId="0" applyNumberFormat="1" applyFont="1" applyAlignment="1">
      <alignment horizontal="left"/>
    </xf>
    <xf numFmtId="44" fontId="6" fillId="3" borderId="0" xfId="0" applyNumberFormat="1" applyFont="1" applyFill="1"/>
    <xf numFmtId="44" fontId="6" fillId="3" borderId="0" xfId="0" applyNumberFormat="1" applyFont="1" applyFill="1" applyAlignment="1">
      <alignment horizontal="left"/>
    </xf>
    <xf numFmtId="14" fontId="6" fillId="0" borderId="0" xfId="0" applyNumberFormat="1" applyFont="1"/>
    <xf numFmtId="0" fontId="6" fillId="2" borderId="0" xfId="0" applyFont="1" applyFill="1" applyAlignment="1">
      <alignment vertical="center" wrapText="1"/>
    </xf>
    <xf numFmtId="5" fontId="8" fillId="0" borderId="0" xfId="0" applyNumberFormat="1" applyFont="1" applyAlignment="1">
      <alignment horizontal="right"/>
    </xf>
    <xf numFmtId="10" fontId="6" fillId="2" borderId="3" xfId="0" applyNumberFormat="1" applyFont="1" applyFill="1" applyBorder="1" applyAlignment="1">
      <alignment horizontal="right"/>
    </xf>
    <xf numFmtId="0" fontId="6" fillId="5" borderId="0" xfId="0" applyFont="1" applyFill="1" applyAlignment="1">
      <alignment horizontal="left"/>
    </xf>
    <xf numFmtId="10" fontId="6" fillId="0" borderId="3" xfId="0" applyNumberFormat="1" applyFont="1" applyBorder="1" applyAlignment="1">
      <alignment horizontal="right"/>
    </xf>
    <xf numFmtId="37" fontId="6" fillId="0" borderId="3" xfId="0" applyNumberFormat="1" applyFont="1" applyBorder="1"/>
    <xf numFmtId="168" fontId="6" fillId="0" borderId="0" xfId="10" applyNumberFormat="1" applyFont="1" applyFill="1" applyBorder="1" applyAlignment="1">
      <alignment horizontal="left" indent="1"/>
    </xf>
    <xf numFmtId="0" fontId="6" fillId="0" borderId="0" xfId="9" applyFont="1" applyAlignment="1">
      <alignment horizontal="left" wrapText="1"/>
    </xf>
    <xf numFmtId="0" fontId="6" fillId="0" borderId="0" xfId="0" applyFont="1" applyAlignment="1">
      <alignment horizontal="right" wrapText="1"/>
    </xf>
    <xf numFmtId="0" fontId="6" fillId="0" borderId="0" xfId="11" applyFont="1"/>
    <xf numFmtId="0" fontId="8" fillId="0" borderId="0" xfId="11" applyFont="1" applyAlignment="1">
      <alignment horizontal="center"/>
    </xf>
    <xf numFmtId="0" fontId="6" fillId="2" borderId="0" xfId="11" applyFont="1" applyFill="1"/>
    <xf numFmtId="168" fontId="10" fillId="2" borderId="0" xfId="11" applyNumberFormat="1" applyFont="1" applyFill="1"/>
    <xf numFmtId="5" fontId="6" fillId="2" borderId="0" xfId="11" applyNumberFormat="1" applyFont="1" applyFill="1"/>
    <xf numFmtId="5" fontId="10" fillId="2" borderId="0" xfId="11" applyNumberFormat="1" applyFont="1" applyFill="1"/>
    <xf numFmtId="0" fontId="6" fillId="2" borderId="0" xfId="11" quotePrefix="1" applyFont="1" applyFill="1"/>
    <xf numFmtId="168" fontId="6" fillId="2" borderId="0" xfId="11" applyNumberFormat="1" applyFont="1" applyFill="1"/>
    <xf numFmtId="0" fontId="9" fillId="0" borderId="0" xfId="11" applyFont="1" applyAlignment="1">
      <alignment horizontal="center"/>
    </xf>
    <xf numFmtId="168" fontId="6" fillId="0" borderId="0" xfId="11" applyNumberFormat="1" applyFont="1"/>
    <xf numFmtId="0" fontId="8" fillId="0" borderId="0" xfId="11" applyFont="1" applyAlignment="1">
      <alignment vertical="center"/>
    </xf>
    <xf numFmtId="168" fontId="8" fillId="0" borderId="12" xfId="11" applyNumberFormat="1" applyFont="1" applyBorder="1" applyAlignment="1">
      <alignment vertical="center"/>
    </xf>
    <xf numFmtId="5" fontId="8" fillId="0" borderId="12" xfId="11" applyNumberFormat="1" applyFont="1" applyBorder="1" applyAlignment="1">
      <alignment vertical="center"/>
    </xf>
    <xf numFmtId="0" fontId="8" fillId="0" borderId="0" xfId="11" applyFont="1" applyAlignment="1">
      <alignment horizontal="center" vertical="center"/>
    </xf>
    <xf numFmtId="0" fontId="9" fillId="0" borderId="0" xfId="11" applyFont="1"/>
    <xf numFmtId="0" fontId="8" fillId="0" borderId="0" xfId="11" applyFont="1"/>
    <xf numFmtId="0" fontId="8" fillId="0" borderId="0" xfId="11" quotePrefix="1" applyFont="1" applyAlignment="1">
      <alignment horizontal="center"/>
    </xf>
    <xf numFmtId="5" fontId="6" fillId="0" borderId="0" xfId="11" applyNumberFormat="1" applyFont="1"/>
    <xf numFmtId="0" fontId="9" fillId="0" borderId="0" xfId="11" applyFont="1" applyAlignment="1">
      <alignment horizontal="left"/>
    </xf>
    <xf numFmtId="0" fontId="6" fillId="0" borderId="0" xfId="11" applyFont="1" applyAlignment="1">
      <alignment horizontal="left" indent="1"/>
    </xf>
    <xf numFmtId="0" fontId="6" fillId="0" borderId="0" xfId="0" applyFont="1" applyAlignment="1">
      <alignment wrapText="1"/>
    </xf>
    <xf numFmtId="0" fontId="14" fillId="0" borderId="0" xfId="12" applyFont="1"/>
    <xf numFmtId="0" fontId="14" fillId="2" borderId="0" xfId="12" applyFont="1" applyFill="1"/>
    <xf numFmtId="0" fontId="14" fillId="0" borderId="0" xfId="12" applyFont="1" applyAlignment="1">
      <alignment horizontal="left" vertical="top"/>
    </xf>
    <xf numFmtId="0" fontId="14" fillId="0" borderId="0" xfId="12" applyFont="1" applyAlignment="1">
      <alignment horizontal="left" wrapText="1"/>
    </xf>
    <xf numFmtId="0" fontId="8" fillId="0" borderId="0" xfId="13" applyFont="1" applyAlignment="1">
      <alignment horizontal="center"/>
    </xf>
    <xf numFmtId="37" fontId="6" fillId="0" borderId="0" xfId="13" applyNumberFormat="1" applyFont="1"/>
    <xf numFmtId="37" fontId="6" fillId="0" borderId="0" xfId="13" applyNumberFormat="1" applyFont="1" applyAlignment="1">
      <alignment horizontal="right"/>
    </xf>
    <xf numFmtId="37" fontId="6" fillId="4" borderId="0" xfId="13" applyNumberFormat="1" applyFont="1" applyFill="1"/>
    <xf numFmtId="0" fontId="6" fillId="2" borderId="0" xfId="13" applyFont="1" applyFill="1" applyAlignment="1">
      <alignment horizontal="center"/>
    </xf>
    <xf numFmtId="0" fontId="6" fillId="4" borderId="0" xfId="13" applyFont="1" applyFill="1" applyAlignment="1">
      <alignment horizontal="left"/>
    </xf>
    <xf numFmtId="37" fontId="6" fillId="0" borderId="3" xfId="13" applyNumberFormat="1" applyFont="1" applyBorder="1"/>
    <xf numFmtId="0" fontId="6" fillId="0" borderId="3" xfId="13" applyFont="1" applyBorder="1"/>
    <xf numFmtId="0" fontId="9" fillId="0" borderId="0" xfId="12" applyFont="1" applyAlignment="1">
      <alignment horizontal="center"/>
    </xf>
    <xf numFmtId="0" fontId="6" fillId="0" borderId="0" xfId="13" applyFont="1" applyAlignment="1">
      <alignment horizontal="center"/>
    </xf>
    <xf numFmtId="0" fontId="6" fillId="4" borderId="0" xfId="13" applyFont="1" applyFill="1" applyAlignment="1">
      <alignment horizontal="center"/>
    </xf>
    <xf numFmtId="0" fontId="14" fillId="0" borderId="0" xfId="12" applyFont="1" applyAlignment="1">
      <alignment horizontal="center"/>
    </xf>
    <xf numFmtId="37" fontId="6" fillId="0" borderId="0" xfId="13" applyNumberFormat="1" applyFont="1" applyAlignment="1">
      <alignment horizontal="center"/>
    </xf>
    <xf numFmtId="37" fontId="14" fillId="0" borderId="0" xfId="12" applyNumberFormat="1" applyFont="1" applyAlignment="1">
      <alignment horizontal="center"/>
    </xf>
    <xf numFmtId="0" fontId="6" fillId="4" borderId="0" xfId="9" applyFont="1" applyFill="1" applyAlignment="1">
      <alignment horizontal="left" vertical="center"/>
    </xf>
    <xf numFmtId="0" fontId="6" fillId="0" borderId="0" xfId="13" applyFont="1"/>
    <xf numFmtId="37" fontId="14" fillId="0" borderId="0" xfId="12" applyNumberFormat="1" applyFont="1"/>
    <xf numFmtId="37" fontId="8" fillId="0" borderId="0" xfId="13" applyNumberFormat="1" applyFont="1"/>
    <xf numFmtId="0" fontId="6" fillId="0" borderId="0" xfId="13" applyFont="1" applyAlignment="1">
      <alignment horizontal="right"/>
    </xf>
    <xf numFmtId="0" fontId="6" fillId="0" borderId="0" xfId="12" applyFont="1"/>
    <xf numFmtId="0" fontId="6" fillId="0" borderId="0" xfId="5" applyFont="1" applyAlignment="1">
      <alignment horizontal="fill"/>
    </xf>
    <xf numFmtId="0" fontId="8" fillId="0" borderId="3" xfId="13" applyFont="1" applyBorder="1" applyAlignment="1">
      <alignment horizontal="center"/>
    </xf>
    <xf numFmtId="0" fontId="6" fillId="0" borderId="3" xfId="14" applyFont="1" applyBorder="1"/>
    <xf numFmtId="0" fontId="8" fillId="0" borderId="0" xfId="13" applyFont="1" applyAlignment="1">
      <alignment horizontal="right"/>
    </xf>
    <xf numFmtId="37" fontId="8" fillId="0" borderId="0" xfId="13" applyNumberFormat="1" applyFont="1" applyAlignment="1">
      <alignment horizontal="right"/>
    </xf>
    <xf numFmtId="37" fontId="6" fillId="0" borderId="3" xfId="13" applyNumberFormat="1" applyFont="1" applyBorder="1" applyAlignment="1">
      <alignment horizontal="right"/>
    </xf>
    <xf numFmtId="39" fontId="8" fillId="0" borderId="0" xfId="13" applyNumberFormat="1" applyFont="1" applyAlignment="1">
      <alignment horizontal="center"/>
    </xf>
    <xf numFmtId="179" fontId="8" fillId="0" borderId="0" xfId="13" applyNumberFormat="1" applyFont="1" applyAlignment="1">
      <alignment horizontal="center"/>
    </xf>
    <xf numFmtId="37" fontId="8" fillId="0" borderId="0" xfId="13" applyNumberFormat="1" applyFont="1" applyAlignment="1">
      <alignment horizontal="center"/>
    </xf>
    <xf numFmtId="0" fontId="8" fillId="0" borderId="13" xfId="13" applyFont="1" applyBorder="1" applyAlignment="1">
      <alignment horizontal="center"/>
    </xf>
    <xf numFmtId="14" fontId="6" fillId="0" borderId="13" xfId="13" applyNumberFormat="1" applyFont="1" applyBorder="1" applyAlignment="1">
      <alignment horizontal="center"/>
    </xf>
    <xf numFmtId="39" fontId="8" fillId="0" borderId="13" xfId="13" applyNumberFormat="1" applyFont="1" applyBorder="1" applyAlignment="1">
      <alignment horizontal="center"/>
    </xf>
    <xf numFmtId="179" fontId="8" fillId="0" borderId="13" xfId="13" applyNumberFormat="1" applyFont="1" applyBorder="1" applyAlignment="1">
      <alignment horizontal="center"/>
    </xf>
    <xf numFmtId="37" fontId="8" fillId="0" borderId="13" xfId="13" applyNumberFormat="1" applyFont="1" applyBorder="1" applyAlignment="1">
      <alignment horizontal="center"/>
    </xf>
    <xf numFmtId="0" fontId="6" fillId="0" borderId="13" xfId="13" applyFont="1" applyBorder="1"/>
    <xf numFmtId="180" fontId="6" fillId="0" borderId="0" xfId="13" applyNumberFormat="1" applyFont="1" applyAlignment="1">
      <alignment horizontal="center"/>
    </xf>
    <xf numFmtId="39" fontId="8" fillId="0" borderId="0" xfId="13" quotePrefix="1" applyNumberFormat="1" applyFont="1" applyAlignment="1">
      <alignment horizontal="center"/>
    </xf>
    <xf numFmtId="0" fontId="6" fillId="0" borderId="0" xfId="13" quotePrefix="1" applyFont="1" applyAlignment="1">
      <alignment horizontal="center"/>
    </xf>
    <xf numFmtId="37" fontId="8" fillId="0" borderId="0" xfId="13" quotePrefix="1" applyNumberFormat="1" applyFont="1" applyAlignment="1">
      <alignment horizontal="center"/>
    </xf>
    <xf numFmtId="0" fontId="20" fillId="0" borderId="0" xfId="12" applyFont="1" applyAlignment="1">
      <alignment horizontal="center" wrapText="1"/>
    </xf>
    <xf numFmtId="37" fontId="8" fillId="0" borderId="0" xfId="13" quotePrefix="1" applyNumberFormat="1" applyFont="1" applyAlignment="1">
      <alignment horizontal="center" wrapText="1"/>
    </xf>
    <xf numFmtId="37" fontId="8" fillId="0" borderId="8" xfId="13" applyNumberFormat="1" applyFont="1" applyBorder="1" applyAlignment="1">
      <alignment horizontal="centerContinuous"/>
    </xf>
    <xf numFmtId="0" fontId="21" fillId="0" borderId="8" xfId="0" applyFont="1" applyBorder="1" applyAlignment="1">
      <alignment horizontal="centerContinuous" vertical="center" wrapText="1"/>
    </xf>
    <xf numFmtId="0" fontId="8" fillId="0" borderId="8" xfId="13" applyFont="1" applyBorder="1" applyAlignment="1">
      <alignment horizontal="center"/>
    </xf>
    <xf numFmtId="0" fontId="20" fillId="0" borderId="0" xfId="12" applyFont="1" applyAlignment="1">
      <alignment horizontal="center"/>
    </xf>
    <xf numFmtId="0" fontId="14" fillId="0" borderId="3" xfId="12" applyFont="1" applyBorder="1" applyAlignment="1">
      <alignment horizontal="center"/>
    </xf>
    <xf numFmtId="0" fontId="14" fillId="0" borderId="3" xfId="12" applyFont="1" applyBorder="1" applyAlignment="1">
      <alignment horizontal="center"/>
    </xf>
    <xf numFmtId="0" fontId="14" fillId="0" borderId="3" xfId="12" applyFont="1" applyBorder="1"/>
    <xf numFmtId="0" fontId="14" fillId="0" borderId="0" xfId="12" applyFont="1" applyAlignment="1">
      <alignment horizontal="right" vertical="top"/>
    </xf>
    <xf numFmtId="0" fontId="14" fillId="0" borderId="0" xfId="12" applyFont="1" applyAlignment="1">
      <alignment wrapText="1"/>
    </xf>
    <xf numFmtId="0" fontId="14" fillId="0" borderId="0" xfId="12" applyFont="1" applyAlignment="1">
      <alignment horizontal="left"/>
    </xf>
    <xf numFmtId="37" fontId="23" fillId="0" borderId="0" xfId="13" quotePrefix="1" applyNumberFormat="1" applyFont="1" applyAlignment="1">
      <alignment horizontal="center"/>
    </xf>
    <xf numFmtId="6" fontId="8" fillId="0" borderId="0" xfId="0" applyNumberFormat="1" applyFont="1"/>
    <xf numFmtId="5" fontId="6" fillId="0" borderId="0" xfId="0" applyNumberFormat="1" applyFont="1" applyAlignment="1">
      <alignment vertical="center"/>
    </xf>
    <xf numFmtId="10" fontId="6" fillId="0" borderId="0" xfId="3" applyNumberFormat="1" applyFont="1" applyAlignment="1">
      <alignment vertical="center"/>
    </xf>
    <xf numFmtId="10" fontId="6" fillId="2" borderId="0" xfId="3" applyNumberFormat="1" applyFont="1" applyFill="1" applyAlignment="1">
      <alignment vertical="center"/>
    </xf>
    <xf numFmtId="5" fontId="8" fillId="0" borderId="10" xfId="0" applyNumberFormat="1" applyFont="1" applyBorder="1"/>
    <xf numFmtId="0" fontId="8" fillId="0" borderId="10" xfId="0" applyFont="1" applyBorder="1" applyAlignment="1">
      <alignment horizontal="right"/>
    </xf>
    <xf numFmtId="0" fontId="8" fillId="0" borderId="10" xfId="0" applyFont="1" applyBorder="1" applyAlignment="1">
      <alignment horizontal="centerContinuous"/>
    </xf>
    <xf numFmtId="0" fontId="8" fillId="0" borderId="9" xfId="0" applyFont="1" applyBorder="1" applyAlignment="1">
      <alignment horizontal="center"/>
    </xf>
    <xf numFmtId="0" fontId="8" fillId="0" borderId="2" xfId="0" applyFont="1" applyBorder="1" applyAlignment="1">
      <alignment wrapText="1"/>
    </xf>
    <xf numFmtId="0" fontId="8" fillId="0" borderId="9" xfId="0" applyFont="1" applyBorder="1" applyAlignment="1">
      <alignment wrapText="1"/>
    </xf>
    <xf numFmtId="0" fontId="8" fillId="0" borderId="9" xfId="0" applyFont="1" applyBorder="1" applyAlignment="1">
      <alignment horizontal="centerContinuous"/>
    </xf>
    <xf numFmtId="0" fontId="8" fillId="0" borderId="5" xfId="0" applyFont="1" applyBorder="1" applyAlignment="1">
      <alignment horizontal="centerContinuous" wrapText="1"/>
    </xf>
    <xf numFmtId="0" fontId="8" fillId="0" borderId="14" xfId="0" applyFont="1" applyBorder="1" applyAlignment="1">
      <alignment horizontal="centerContinuous"/>
    </xf>
    <xf numFmtId="0" fontId="8" fillId="0" borderId="8" xfId="0" applyFont="1" applyBorder="1" applyAlignment="1">
      <alignment horizontal="centerContinuous"/>
    </xf>
    <xf numFmtId="0" fontId="8" fillId="0" borderId="15" xfId="0" applyFont="1" applyBorder="1" applyAlignment="1">
      <alignment horizontal="centerContinuous"/>
    </xf>
    <xf numFmtId="0" fontId="8" fillId="0" borderId="9" xfId="0" applyFont="1" applyBorder="1" applyAlignment="1">
      <alignment horizontal="centerContinuous" wrapText="1"/>
    </xf>
    <xf numFmtId="0" fontId="8" fillId="0" borderId="9" xfId="0" applyFont="1" applyBorder="1" applyAlignment="1">
      <alignment horizontal="right" wrapText="1"/>
    </xf>
    <xf numFmtId="0" fontId="8" fillId="0" borderId="5" xfId="0" applyFont="1" applyBorder="1" applyAlignment="1">
      <alignment wrapText="1"/>
    </xf>
    <xf numFmtId="0" fontId="6" fillId="0" borderId="0" xfId="0" quotePrefix="1" applyFont="1"/>
    <xf numFmtId="0" fontId="15" fillId="2" borderId="0" xfId="0" applyFont="1" applyFill="1"/>
    <xf numFmtId="0" fontId="25" fillId="2" borderId="0" xfId="0" applyFont="1" applyFill="1"/>
    <xf numFmtId="0" fontId="26" fillId="2" borderId="0" xfId="0" applyFont="1" applyFill="1" applyAlignment="1">
      <alignment horizontal="center"/>
    </xf>
    <xf numFmtId="0" fontId="16" fillId="2" borderId="0" xfId="0" applyFont="1" applyFill="1" applyAlignment="1">
      <alignment horizontal="center"/>
    </xf>
    <xf numFmtId="0" fontId="6" fillId="2" borderId="0" xfId="0" applyFont="1" applyFill="1" applyAlignment="1">
      <alignment horizontal="right"/>
    </xf>
    <xf numFmtId="43" fontId="6" fillId="2" borderId="0" xfId="5" applyNumberFormat="1" applyFont="1" applyFill="1"/>
    <xf numFmtId="0" fontId="27" fillId="2" borderId="0" xfId="5" applyFont="1" applyFill="1"/>
    <xf numFmtId="0" fontId="26" fillId="2" borderId="0" xfId="5" applyFont="1" applyFill="1" applyAlignment="1">
      <alignment horizontal="center"/>
    </xf>
    <xf numFmtId="43" fontId="6" fillId="0" borderId="0" xfId="5" applyNumberFormat="1" applyFont="1"/>
    <xf numFmtId="166" fontId="6" fillId="0" borderId="0" xfId="0" applyNumberFormat="1" applyFont="1" applyAlignment="1">
      <alignment horizontal="right"/>
    </xf>
    <xf numFmtId="5" fontId="8" fillId="0" borderId="6" xfId="0" applyNumberFormat="1" applyFont="1" applyBorder="1"/>
    <xf numFmtId="181" fontId="6" fillId="0" borderId="0" xfId="0" applyNumberFormat="1" applyFont="1"/>
    <xf numFmtId="0" fontId="8" fillId="0" borderId="0" xfId="0" applyFont="1" applyAlignment="1">
      <alignment horizontal="center" vertical="top"/>
    </xf>
    <xf numFmtId="0" fontId="8" fillId="2" borderId="9" xfId="0" applyFont="1" applyFill="1" applyBorder="1" applyAlignment="1">
      <alignment horizontal="center" wrapText="1"/>
    </xf>
    <xf numFmtId="0" fontId="8" fillId="0" borderId="9" xfId="0" applyFont="1" applyBorder="1" applyAlignment="1">
      <alignment horizontal="center" vertical="top" wrapText="1"/>
    </xf>
    <xf numFmtId="0" fontId="8" fillId="2" borderId="0" xfId="0" applyFont="1" applyFill="1" applyAlignment="1">
      <alignment horizontal="center"/>
    </xf>
    <xf numFmtId="0" fontId="2" fillId="2" borderId="0" xfId="0" applyFont="1" applyFill="1" applyAlignment="1">
      <alignment horizontal="center"/>
    </xf>
    <xf numFmtId="168" fontId="6" fillId="0" borderId="0" xfId="5" applyNumberFormat="1" applyFont="1" applyAlignment="1">
      <alignment horizontal="right"/>
    </xf>
    <xf numFmtId="168" fontId="6" fillId="0" borderId="1" xfId="5" applyNumberFormat="1" applyFont="1" applyBorder="1"/>
    <xf numFmtId="0" fontId="6" fillId="0" borderId="3" xfId="5" applyFont="1" applyBorder="1" applyAlignment="1">
      <alignment horizontal="left" indent="1"/>
    </xf>
    <xf numFmtId="5" fontId="8" fillId="0" borderId="8" xfId="5" applyNumberFormat="1" applyFont="1" applyBorder="1"/>
    <xf numFmtId="0" fontId="6" fillId="0" borderId="3" xfId="5" applyFont="1" applyBorder="1" applyAlignment="1">
      <alignment horizontal="right"/>
    </xf>
    <xf numFmtId="0" fontId="6" fillId="0" borderId="16" xfId="5" applyFont="1" applyBorder="1"/>
    <xf numFmtId="168" fontId="8" fillId="0" borderId="17" xfId="5" applyNumberFormat="1" applyFont="1" applyBorder="1"/>
    <xf numFmtId="0" fontId="6" fillId="0" borderId="11" xfId="5" applyFont="1" applyBorder="1" applyAlignment="1">
      <alignment horizontal="centerContinuous" vertical="top" wrapText="1"/>
    </xf>
    <xf numFmtId="0" fontId="6" fillId="4" borderId="0" xfId="0" applyFont="1" applyFill="1" applyAlignment="1">
      <alignment horizontal="center"/>
    </xf>
    <xf numFmtId="0" fontId="6" fillId="0" borderId="11" xfId="5" applyFont="1" applyBorder="1" applyAlignment="1">
      <alignment horizontal="right" vertical="top" wrapText="1"/>
    </xf>
    <xf numFmtId="168" fontId="6" fillId="0" borderId="17" xfId="5" applyNumberFormat="1" applyFont="1" applyBorder="1"/>
    <xf numFmtId="5" fontId="8" fillId="0" borderId="0" xfId="5" applyNumberFormat="1" applyFont="1"/>
    <xf numFmtId="0" fontId="6" fillId="0" borderId="11" xfId="5" applyFont="1" applyBorder="1"/>
    <xf numFmtId="168" fontId="10" fillId="0" borderId="0" xfId="5" applyNumberFormat="1" applyFont="1" applyAlignment="1">
      <alignment horizontal="right"/>
    </xf>
    <xf numFmtId="168" fontId="10" fillId="0" borderId="4" xfId="5" applyNumberFormat="1" applyFont="1" applyBorder="1"/>
    <xf numFmtId="0" fontId="6" fillId="0" borderId="6" xfId="5" applyFont="1" applyBorder="1" applyAlignment="1">
      <alignment horizontal="left" indent="1"/>
    </xf>
    <xf numFmtId="168" fontId="6" fillId="0" borderId="6" xfId="5" applyNumberFormat="1" applyFont="1" applyBorder="1"/>
    <xf numFmtId="0" fontId="6" fillId="0" borderId="6" xfId="5" applyFont="1" applyBorder="1" applyAlignment="1">
      <alignment horizontal="right"/>
    </xf>
    <xf numFmtId="0" fontId="6" fillId="0" borderId="18" xfId="5" applyFont="1" applyBorder="1"/>
    <xf numFmtId="168" fontId="10" fillId="0" borderId="17" xfId="5" applyNumberFormat="1" applyFont="1" applyBorder="1"/>
    <xf numFmtId="165" fontId="29" fillId="0" borderId="0" xfId="5" applyNumberFormat="1" applyFont="1" applyAlignment="1">
      <alignment horizontal="left"/>
    </xf>
    <xf numFmtId="165" fontId="8" fillId="0" borderId="17" xfId="5" applyNumberFormat="1" applyFont="1" applyBorder="1" applyAlignment="1">
      <alignment horizontal="center"/>
    </xf>
    <xf numFmtId="0" fontId="8" fillId="0" borderId="11" xfId="5" applyFont="1" applyBorder="1"/>
    <xf numFmtId="168" fontId="10" fillId="0" borderId="1" xfId="5" applyNumberFormat="1" applyFont="1" applyBorder="1"/>
    <xf numFmtId="168" fontId="6" fillId="0" borderId="4" xfId="5" applyNumberFormat="1" applyFont="1" applyBorder="1"/>
    <xf numFmtId="0" fontId="8" fillId="0" borderId="18" xfId="5" applyFont="1" applyBorder="1"/>
    <xf numFmtId="5" fontId="8" fillId="0" borderId="3" xfId="5" applyNumberFormat="1" applyFont="1" applyBorder="1"/>
    <xf numFmtId="5" fontId="8" fillId="0" borderId="6" xfId="5" applyNumberFormat="1" applyFont="1" applyBorder="1"/>
    <xf numFmtId="0" fontId="6" fillId="0" borderId="11" xfId="5" applyFont="1" applyBorder="1" applyAlignment="1">
      <alignment horizontal="right"/>
    </xf>
    <xf numFmtId="0" fontId="9" fillId="0" borderId="0" xfId="5" applyFont="1" applyAlignment="1">
      <alignment horizontal="right"/>
    </xf>
    <xf numFmtId="0" fontId="9" fillId="0" borderId="4" xfId="5" applyFont="1" applyBorder="1" applyAlignment="1">
      <alignment horizontal="center"/>
    </xf>
    <xf numFmtId="0" fontId="9" fillId="0" borderId="6" xfId="5" applyFont="1" applyBorder="1" applyAlignment="1">
      <alignment horizontal="center"/>
    </xf>
    <xf numFmtId="0" fontId="6" fillId="0" borderId="6" xfId="5" applyFont="1" applyBorder="1"/>
    <xf numFmtId="5" fontId="8" fillId="0" borderId="0" xfId="5" applyNumberFormat="1" applyFont="1" applyAlignment="1">
      <alignment horizontal="right"/>
    </xf>
    <xf numFmtId="0" fontId="8" fillId="0" borderId="0" xfId="5" applyFont="1" applyAlignment="1">
      <alignment horizontal="right"/>
    </xf>
    <xf numFmtId="5" fontId="6" fillId="0" borderId="3" xfId="5" applyNumberFormat="1" applyFont="1" applyBorder="1"/>
    <xf numFmtId="5" fontId="6" fillId="2" borderId="3" xfId="5" applyNumberFormat="1" applyFont="1" applyFill="1" applyBorder="1"/>
    <xf numFmtId="41" fontId="6" fillId="2" borderId="0" xfId="5" applyNumberFormat="1" applyFont="1" applyFill="1"/>
    <xf numFmtId="0" fontId="8" fillId="2" borderId="0" xfId="5" applyFont="1" applyFill="1"/>
    <xf numFmtId="5" fontId="6" fillId="0" borderId="0" xfId="0" applyNumberFormat="1" applyFont="1" applyAlignment="1">
      <alignment wrapText="1"/>
    </xf>
    <xf numFmtId="10" fontId="6" fillId="0" borderId="0" xfId="0" applyNumberFormat="1" applyFont="1" applyAlignment="1">
      <alignment horizontal="right" wrapText="1"/>
    </xf>
    <xf numFmtId="6" fontId="8" fillId="2" borderId="0" xfId="0" applyNumberFormat="1" applyFont="1" applyFill="1"/>
    <xf numFmtId="6" fontId="6" fillId="2" borderId="0" xfId="0" applyNumberFormat="1" applyFont="1" applyFill="1"/>
    <xf numFmtId="5" fontId="8" fillId="2" borderId="0" xfId="0" applyNumberFormat="1" applyFont="1" applyFill="1"/>
    <xf numFmtId="0" fontId="9" fillId="3" borderId="0" xfId="0" applyFont="1" applyFill="1" applyAlignment="1">
      <alignment horizontal="center"/>
    </xf>
    <xf numFmtId="0" fontId="9" fillId="3" borderId="0" xfId="0" applyFont="1" applyFill="1" applyAlignment="1">
      <alignment horizontal="left"/>
    </xf>
    <xf numFmtId="0" fontId="9" fillId="3" borderId="0" xfId="0" applyFont="1" applyFill="1"/>
    <xf numFmtId="5" fontId="6" fillId="0" borderId="0" xfId="1" applyNumberFormat="1" applyFont="1" applyBorder="1"/>
    <xf numFmtId="5" fontId="6" fillId="2" borderId="0" xfId="1" applyNumberFormat="1" applyFont="1" applyFill="1" applyBorder="1"/>
    <xf numFmtId="6" fontId="6" fillId="2" borderId="0" xfId="1" applyNumberFormat="1" applyFont="1" applyFill="1" applyBorder="1"/>
    <xf numFmtId="166" fontId="6" fillId="2" borderId="0" xfId="1" applyNumberFormat="1" applyFont="1" applyFill="1" applyBorder="1"/>
    <xf numFmtId="10" fontId="8" fillId="0" borderId="6" xfId="0" applyNumberFormat="1" applyFont="1" applyBorder="1"/>
    <xf numFmtId="0" fontId="8" fillId="0" borderId="0" xfId="0" applyFont="1" applyAlignment="1">
      <alignment horizontal="right" indent="1"/>
    </xf>
    <xf numFmtId="181" fontId="6" fillId="0" borderId="0" xfId="0" quotePrefix="1" applyNumberFormat="1" applyFont="1" applyAlignment="1">
      <alignment horizontal="center"/>
    </xf>
    <xf numFmtId="3" fontId="6" fillId="2" borderId="0" xfId="10" applyNumberFormat="1" applyFont="1" applyFill="1" applyBorder="1"/>
    <xf numFmtId="181" fontId="6" fillId="0" borderId="0" xfId="10" applyNumberFormat="1" applyFont="1" applyBorder="1" applyAlignment="1">
      <alignment horizontal="left" indent="1"/>
    </xf>
    <xf numFmtId="168" fontId="8" fillId="0" borderId="0" xfId="10" applyNumberFormat="1" applyFont="1" applyFill="1" applyBorder="1" applyAlignment="1">
      <alignment horizontal="center" wrapText="1"/>
    </xf>
    <xf numFmtId="168" fontId="6" fillId="3" borderId="0" xfId="0" applyNumberFormat="1" applyFont="1" applyFill="1" applyAlignment="1">
      <alignment horizontal="right"/>
    </xf>
    <xf numFmtId="10" fontId="6" fillId="3" borderId="0" xfId="10" applyNumberFormat="1" applyFont="1" applyFill="1" applyBorder="1"/>
    <xf numFmtId="5" fontId="8" fillId="0" borderId="12" xfId="0" applyNumberFormat="1" applyFont="1" applyBorder="1"/>
    <xf numFmtId="5" fontId="8" fillId="0" borderId="8" xfId="0" applyNumberFormat="1" applyFont="1" applyBorder="1"/>
    <xf numFmtId="165" fontId="8" fillId="0" borderId="0" xfId="0" applyNumberFormat="1" applyFont="1"/>
    <xf numFmtId="5" fontId="8" fillId="0" borderId="19" xfId="9" applyNumberFormat="1" applyFont="1" applyBorder="1" applyAlignment="1">
      <alignment horizontal="right"/>
    </xf>
    <xf numFmtId="5" fontId="8" fillId="0" borderId="0" xfId="9" applyNumberFormat="1" applyFont="1" applyAlignment="1">
      <alignment horizontal="right"/>
    </xf>
    <xf numFmtId="10" fontId="8" fillId="0" borderId="0" xfId="3" applyNumberFormat="1" applyFont="1"/>
    <xf numFmtId="10" fontId="8" fillId="3" borderId="0" xfId="3" applyNumberFormat="1" applyFont="1" applyFill="1"/>
    <xf numFmtId="17" fontId="6" fillId="0" borderId="0" xfId="0" applyNumberFormat="1" applyFont="1"/>
    <xf numFmtId="3" fontId="6" fillId="0" borderId="0" xfId="0" applyNumberFormat="1" applyFont="1"/>
    <xf numFmtId="5" fontId="6" fillId="2" borderId="3" xfId="0" applyNumberFormat="1" applyFont="1" applyFill="1" applyBorder="1"/>
    <xf numFmtId="4" fontId="6" fillId="0" borderId="0" xfId="0" applyNumberFormat="1" applyFont="1"/>
    <xf numFmtId="0" fontId="6" fillId="2" borderId="0" xfId="0" quotePrefix="1" applyFont="1" applyFill="1"/>
    <xf numFmtId="165" fontId="6" fillId="2" borderId="0" xfId="3" applyNumberFormat="1" applyFont="1" applyFill="1"/>
    <xf numFmtId="182" fontId="6" fillId="0" borderId="0" xfId="0" applyNumberFormat="1" applyFont="1"/>
    <xf numFmtId="7" fontId="6" fillId="0" borderId="0" xfId="1" applyNumberFormat="1" applyFont="1" applyFill="1"/>
    <xf numFmtId="0" fontId="10" fillId="0" borderId="0" xfId="0" applyFont="1" applyAlignment="1">
      <alignment horizontal="center"/>
    </xf>
    <xf numFmtId="183" fontId="8" fillId="0" borderId="0" xfId="0" applyNumberFormat="1" applyFont="1"/>
    <xf numFmtId="14" fontId="6" fillId="4" borderId="0" xfId="0" applyNumberFormat="1" applyFont="1" applyFill="1"/>
    <xf numFmtId="166" fontId="6" fillId="2" borderId="3" xfId="1" applyNumberFormat="1" applyFont="1" applyFill="1" applyBorder="1"/>
    <xf numFmtId="184" fontId="6" fillId="2" borderId="0" xfId="1" applyNumberFormat="1" applyFont="1" applyFill="1"/>
    <xf numFmtId="0" fontId="29" fillId="0" borderId="0" xfId="0" applyFont="1"/>
    <xf numFmtId="185" fontId="6" fillId="0" borderId="0" xfId="0" applyNumberFormat="1" applyFont="1" applyAlignment="1">
      <alignment horizontal="center"/>
    </xf>
    <xf numFmtId="185" fontId="6" fillId="0" borderId="0" xfId="0" applyNumberFormat="1" applyFont="1"/>
    <xf numFmtId="168" fontId="29" fillId="0" borderId="0" xfId="0" applyNumberFormat="1" applyFont="1"/>
    <xf numFmtId="168" fontId="29" fillId="0" borderId="0" xfId="0" applyNumberFormat="1" applyFont="1" applyAlignment="1">
      <alignment horizontal="right"/>
    </xf>
    <xf numFmtId="165" fontId="29" fillId="0" borderId="0" xfId="0" applyNumberFormat="1" applyFont="1"/>
    <xf numFmtId="185" fontId="6" fillId="0" borderId="3" xfId="15" applyNumberFormat="1" applyFont="1" applyBorder="1" applyAlignment="1">
      <alignment horizontal="center"/>
    </xf>
    <xf numFmtId="3" fontId="6" fillId="0" borderId="3" xfId="0" applyNumberFormat="1" applyFont="1" applyBorder="1"/>
    <xf numFmtId="168" fontId="6" fillId="0" borderId="3" xfId="0" applyNumberFormat="1" applyFont="1" applyBorder="1" applyAlignment="1">
      <alignment horizontal="left"/>
    </xf>
    <xf numFmtId="0" fontId="8" fillId="0" borderId="3" xfId="0" applyFont="1" applyBorder="1" applyAlignment="1">
      <alignment horizontal="right"/>
    </xf>
    <xf numFmtId="0" fontId="8" fillId="0" borderId="3" xfId="0" applyFont="1" applyBorder="1"/>
    <xf numFmtId="0" fontId="6" fillId="0" borderId="0" xfId="15" applyFont="1" applyAlignment="1">
      <alignment horizontal="center"/>
    </xf>
    <xf numFmtId="0" fontId="8" fillId="0" borderId="0" xfId="0" quotePrefix="1" applyFont="1" applyAlignment="1">
      <alignment horizontal="left"/>
    </xf>
    <xf numFmtId="181" fontId="8" fillId="0" borderId="0" xfId="0" applyNumberFormat="1" applyFont="1"/>
    <xf numFmtId="185" fontId="6" fillId="0" borderId="0" xfId="15" applyNumberFormat="1" applyFont="1" applyAlignment="1">
      <alignment horizontal="center"/>
    </xf>
    <xf numFmtId="3" fontId="6" fillId="0" borderId="0" xfId="0" applyNumberFormat="1" applyFont="1" applyAlignment="1">
      <alignment horizontal="centerContinuous"/>
    </xf>
    <xf numFmtId="3" fontId="6" fillId="2" borderId="3" xfId="0" applyNumberFormat="1" applyFont="1" applyFill="1" applyBorder="1"/>
    <xf numFmtId="185" fontId="8" fillId="0" borderId="0" xfId="0" applyNumberFormat="1" applyFont="1"/>
    <xf numFmtId="3" fontId="6" fillId="0" borderId="0" xfId="0" applyNumberFormat="1" applyFont="1" applyAlignment="1">
      <alignment horizontal="center"/>
    </xf>
    <xf numFmtId="3" fontId="6" fillId="2" borderId="0" xfId="0" applyNumberFormat="1" applyFont="1" applyFill="1"/>
    <xf numFmtId="181" fontId="6" fillId="0" borderId="0" xfId="2" applyNumberFormat="1" applyFont="1" applyFill="1" applyBorder="1"/>
    <xf numFmtId="3" fontId="8" fillId="0" borderId="0" xfId="0" applyNumberFormat="1" applyFont="1"/>
    <xf numFmtId="3" fontId="6" fillId="0" borderId="0" xfId="0" applyNumberFormat="1" applyFont="1" applyAlignment="1">
      <alignment horizontal="left"/>
    </xf>
    <xf numFmtId="0" fontId="6" fillId="0" borderId="3" xfId="0" applyFont="1" applyBorder="1" applyAlignment="1">
      <alignment horizontal="center"/>
    </xf>
    <xf numFmtId="0" fontId="8" fillId="0" borderId="3" xfId="0" quotePrefix="1" applyFont="1" applyBorder="1" applyAlignment="1">
      <alignment horizontal="left"/>
    </xf>
    <xf numFmtId="181" fontId="8" fillId="0" borderId="3" xfId="0" applyNumberFormat="1" applyFont="1" applyBorder="1"/>
    <xf numFmtId="185" fontId="8" fillId="0" borderId="3" xfId="0" applyNumberFormat="1" applyFont="1" applyBorder="1"/>
    <xf numFmtId="168" fontId="6" fillId="0" borderId="3" xfId="0" applyNumberFormat="1" applyFont="1" applyBorder="1"/>
    <xf numFmtId="185" fontId="6" fillId="0" borderId="3" xfId="0" applyNumberFormat="1" applyFont="1" applyBorder="1" applyAlignment="1">
      <alignment horizontal="center"/>
    </xf>
    <xf numFmtId="3" fontId="6" fillId="0" borderId="0" xfId="0" applyNumberFormat="1" applyFont="1" applyAlignment="1">
      <alignment horizontal="center"/>
    </xf>
    <xf numFmtId="0" fontId="17" fillId="0" borderId="0" xfId="0" applyFont="1" applyAlignment="1">
      <alignment horizontal="center"/>
    </xf>
    <xf numFmtId="3" fontId="10" fillId="0" borderId="0" xfId="0" applyNumberFormat="1" applyFont="1"/>
    <xf numFmtId="0" fontId="9" fillId="0" borderId="0" xfId="0" applyFont="1" applyAlignment="1">
      <alignment horizontal="right"/>
    </xf>
    <xf numFmtId="0" fontId="6" fillId="0" borderId="0" xfId="0" applyFont="1" applyAlignment="1">
      <alignment horizontal="centerContinuous"/>
    </xf>
    <xf numFmtId="0" fontId="8" fillId="0" borderId="0" xfId="0" quotePrefix="1" applyFont="1" applyAlignment="1">
      <alignment horizontal="right"/>
    </xf>
    <xf numFmtId="166" fontId="6" fillId="0" borderId="0" xfId="6" applyNumberFormat="1" applyFont="1"/>
    <xf numFmtId="5" fontId="8" fillId="0" borderId="20" xfId="0" applyNumberFormat="1" applyFont="1" applyBorder="1"/>
    <xf numFmtId="165" fontId="8" fillId="0" borderId="21" xfId="0" quotePrefix="1" applyNumberFormat="1" applyFont="1" applyBorder="1" applyAlignment="1">
      <alignment horizontal="right"/>
    </xf>
    <xf numFmtId="165" fontId="8" fillId="0" borderId="22" xfId="0" quotePrefix="1" applyNumberFormat="1" applyFont="1" applyBorder="1" applyAlignment="1">
      <alignment horizontal="right"/>
    </xf>
    <xf numFmtId="10" fontId="8" fillId="0" borderId="19" xfId="3" applyNumberFormat="1" applyFont="1" applyFill="1" applyBorder="1" applyAlignment="1">
      <alignment horizontal="center"/>
    </xf>
    <xf numFmtId="10" fontId="8" fillId="0" borderId="21" xfId="3" applyNumberFormat="1" applyFont="1" applyFill="1" applyBorder="1" applyAlignment="1">
      <alignment horizontal="center"/>
    </xf>
    <xf numFmtId="0" fontId="8" fillId="0" borderId="21" xfId="0" applyFont="1" applyBorder="1"/>
    <xf numFmtId="3" fontId="8" fillId="0" borderId="21" xfId="0" applyNumberFormat="1" applyFont="1" applyBorder="1"/>
    <xf numFmtId="0" fontId="8" fillId="0" borderId="22" xfId="0" applyFont="1" applyBorder="1"/>
    <xf numFmtId="10" fontId="6" fillId="0" borderId="23" xfId="0" applyNumberFormat="1" applyFont="1" applyBorder="1" applyAlignment="1">
      <alignment horizontal="center"/>
    </xf>
    <xf numFmtId="10" fontId="6" fillId="2" borderId="23" xfId="15" applyNumberFormat="1" applyFont="1" applyFill="1" applyBorder="1" applyAlignment="1">
      <alignment horizontal="center"/>
    </xf>
    <xf numFmtId="10" fontId="8" fillId="0" borderId="0" xfId="3" applyNumberFormat="1" applyFont="1" applyFill="1" applyBorder="1" applyAlignment="1">
      <alignment horizontal="center"/>
    </xf>
    <xf numFmtId="10" fontId="6" fillId="0" borderId="23" xfId="15" applyNumberFormat="1" applyFont="1" applyBorder="1" applyAlignment="1">
      <alignment horizontal="center"/>
    </xf>
    <xf numFmtId="180" fontId="6" fillId="0" borderId="0" xfId="0" applyNumberFormat="1" applyFont="1" applyAlignment="1">
      <alignment horizontal="center"/>
    </xf>
    <xf numFmtId="3" fontId="6" fillId="0" borderId="0" xfId="0" applyNumberFormat="1" applyFont="1" applyAlignment="1">
      <alignment horizontal="right"/>
    </xf>
    <xf numFmtId="166" fontId="6" fillId="2" borderId="0" xfId="6" applyNumberFormat="1" applyFont="1" applyFill="1" applyBorder="1"/>
    <xf numFmtId="166" fontId="6" fillId="0" borderId="0" xfId="6" applyNumberFormat="1" applyFont="1" applyFill="1" applyBorder="1"/>
    <xf numFmtId="166" fontId="6" fillId="2" borderId="0" xfId="6" applyNumberFormat="1" applyFont="1" applyFill="1" applyBorder="1" applyAlignment="1">
      <alignment horizontal="center"/>
    </xf>
    <xf numFmtId="166" fontId="6" fillId="0" borderId="0" xfId="6" applyNumberFormat="1" applyFont="1" applyFill="1" applyAlignment="1">
      <alignment horizontal="center"/>
    </xf>
    <xf numFmtId="10" fontId="8" fillId="0" borderId="23" xfId="15" applyNumberFormat="1" applyFont="1" applyBorder="1" applyAlignment="1">
      <alignment horizontal="center"/>
    </xf>
    <xf numFmtId="10" fontId="6" fillId="0" borderId="0" xfId="15" applyNumberFormat="1" applyFont="1" applyAlignment="1">
      <alignment horizontal="center"/>
    </xf>
    <xf numFmtId="166" fontId="6" fillId="0" borderId="0" xfId="6" applyNumberFormat="1" applyFont="1" applyFill="1" applyBorder="1" applyAlignment="1">
      <alignment horizontal="center"/>
    </xf>
    <xf numFmtId="37" fontId="6" fillId="2" borderId="0" xfId="6" applyNumberFormat="1" applyFont="1" applyFill="1" applyBorder="1"/>
    <xf numFmtId="37" fontId="6" fillId="0" borderId="0" xfId="6" applyNumberFormat="1" applyFont="1" applyFill="1" applyBorder="1"/>
    <xf numFmtId="166" fontId="6" fillId="2" borderId="0" xfId="6" applyNumberFormat="1" applyFont="1" applyFill="1" applyBorder="1" applyAlignment="1">
      <alignment horizontal="right"/>
    </xf>
    <xf numFmtId="166" fontId="6" fillId="0" borderId="0" xfId="6" applyNumberFormat="1" applyFont="1" applyFill="1" applyBorder="1" applyAlignment="1">
      <alignment horizontal="right"/>
    </xf>
    <xf numFmtId="180" fontId="6" fillId="2" borderId="0" xfId="0" applyNumberFormat="1" applyFont="1" applyFill="1" applyAlignment="1">
      <alignment horizontal="center"/>
    </xf>
    <xf numFmtId="165" fontId="6" fillId="0" borderId="23" xfId="0" applyNumberFormat="1" applyFont="1" applyBorder="1"/>
    <xf numFmtId="165" fontId="10" fillId="0" borderId="23" xfId="0" applyNumberFormat="1" applyFont="1" applyBorder="1" applyAlignment="1">
      <alignment horizontal="center"/>
    </xf>
    <xf numFmtId="165" fontId="10" fillId="0" borderId="0" xfId="0" applyNumberFormat="1" applyFont="1" applyAlignment="1">
      <alignment horizontal="center"/>
    </xf>
    <xf numFmtId="180" fontId="10" fillId="0" borderId="0" xfId="0" applyNumberFormat="1" applyFont="1" applyAlignment="1">
      <alignment horizontal="center"/>
    </xf>
    <xf numFmtId="3" fontId="10" fillId="0" borderId="0" xfId="0" applyNumberFormat="1" applyFont="1" applyAlignment="1">
      <alignment horizontal="center"/>
    </xf>
    <xf numFmtId="165" fontId="6" fillId="0" borderId="23" xfId="0" applyNumberFormat="1" applyFont="1" applyBorder="1" applyAlignment="1">
      <alignment horizontal="center"/>
    </xf>
    <xf numFmtId="0" fontId="6" fillId="0" borderId="0" xfId="0" quotePrefix="1" applyFont="1" applyAlignment="1">
      <alignment horizontal="center" vertical="center" wrapText="1"/>
    </xf>
    <xf numFmtId="3" fontId="6" fillId="0" borderId="0" xfId="0" quotePrefix="1" applyNumberFormat="1" applyFont="1" applyAlignment="1">
      <alignment horizontal="center" vertical="center"/>
    </xf>
    <xf numFmtId="3" fontId="6" fillId="0" borderId="23" xfId="0" quotePrefix="1" applyNumberFormat="1" applyFont="1" applyBorder="1" applyAlignment="1">
      <alignment horizontal="center"/>
    </xf>
    <xf numFmtId="3" fontId="6" fillId="0" borderId="0" xfId="0" quotePrefix="1" applyNumberFormat="1" applyFont="1" applyAlignment="1">
      <alignment horizontal="center"/>
    </xf>
    <xf numFmtId="3" fontId="9" fillId="0" borderId="23" xfId="0" quotePrefix="1" applyNumberFormat="1" applyFont="1" applyBorder="1" applyAlignment="1">
      <alignment horizontal="center"/>
    </xf>
    <xf numFmtId="3" fontId="9" fillId="0" borderId="0" xfId="0" quotePrefix="1" applyNumberFormat="1" applyFont="1" applyAlignment="1">
      <alignment horizontal="center"/>
    </xf>
    <xf numFmtId="165" fontId="9" fillId="0" borderId="0" xfId="0" quotePrefix="1" applyNumberFormat="1" applyFont="1" applyAlignment="1">
      <alignment horizontal="center"/>
    </xf>
    <xf numFmtId="3" fontId="9" fillId="0" borderId="0" xfId="0" quotePrefix="1" applyNumberFormat="1" applyFont="1" applyAlignment="1">
      <alignment horizontal="centerContinuous"/>
    </xf>
    <xf numFmtId="3" fontId="9" fillId="0" borderId="24" xfId="0" quotePrefix="1" applyNumberFormat="1" applyFont="1" applyBorder="1" applyAlignment="1">
      <alignment horizontal="center"/>
    </xf>
    <xf numFmtId="0" fontId="31" fillId="0" borderId="0" xfId="0" applyFont="1" applyAlignment="1">
      <alignment horizontal="center" wrapText="1"/>
    </xf>
    <xf numFmtId="186" fontId="6" fillId="0" borderId="0" xfId="0" applyNumberFormat="1" applyFont="1"/>
    <xf numFmtId="186" fontId="6" fillId="0" borderId="0" xfId="0" applyNumberFormat="1" applyFont="1" applyAlignment="1">
      <alignment horizontal="center"/>
    </xf>
    <xf numFmtId="0" fontId="6" fillId="0" borderId="0" xfId="0" applyFont="1" applyAlignment="1">
      <alignment horizontal="left" wrapText="1"/>
    </xf>
    <xf numFmtId="43" fontId="32" fillId="0" borderId="0" xfId="0" applyNumberFormat="1" applyFont="1"/>
    <xf numFmtId="0" fontId="32" fillId="0" borderId="0" xfId="0" applyFont="1"/>
    <xf numFmtId="0" fontId="32" fillId="0" borderId="0" xfId="0" applyFont="1" applyAlignment="1">
      <alignment horizontal="center"/>
    </xf>
    <xf numFmtId="0" fontId="33" fillId="0" borderId="0" xfId="0" applyFont="1" applyAlignment="1">
      <alignment wrapText="1"/>
    </xf>
    <xf numFmtId="0" fontId="34" fillId="0" borderId="0" xfId="0" applyFont="1"/>
    <xf numFmtId="43" fontId="6" fillId="0" borderId="0" xfId="1" applyFont="1" applyFill="1"/>
    <xf numFmtId="186" fontId="6" fillId="0" borderId="0" xfId="2" applyNumberFormat="1" applyFont="1" applyFill="1"/>
    <xf numFmtId="164" fontId="6" fillId="2" borderId="3" xfId="2" applyNumberFormat="1" applyFont="1" applyFill="1" applyBorder="1"/>
    <xf numFmtId="186" fontId="36" fillId="0" borderId="0" xfId="2" applyNumberFormat="1" applyFont="1" applyFill="1"/>
    <xf numFmtId="0" fontId="36" fillId="0" borderId="0" xfId="0" applyFont="1" applyAlignment="1">
      <alignment horizontal="left" indent="1"/>
    </xf>
    <xf numFmtId="0" fontId="6" fillId="0" borderId="0" xfId="2" applyNumberFormat="1" applyFont="1" applyFill="1"/>
    <xf numFmtId="44" fontId="6" fillId="0" borderId="12" xfId="0" applyNumberFormat="1" applyFont="1" applyBorder="1"/>
    <xf numFmtId="9" fontId="6" fillId="0" borderId="0" xfId="3" applyFont="1"/>
    <xf numFmtId="186" fontId="6" fillId="0" borderId="0" xfId="2" applyNumberFormat="1" applyFont="1"/>
    <xf numFmtId="164" fontId="6" fillId="2" borderId="0" xfId="2" applyNumberFormat="1" applyFont="1" applyFill="1"/>
    <xf numFmtId="0" fontId="6" fillId="0" borderId="0" xfId="0" applyFont="1" applyAlignment="1">
      <alignment horizontal="left" indent="2"/>
    </xf>
    <xf numFmtId="186" fontId="6" fillId="0" borderId="0" xfId="2" quotePrefix="1" applyNumberFormat="1" applyFont="1"/>
    <xf numFmtId="44" fontId="6" fillId="0" borderId="0" xfId="2" applyFont="1" applyBorder="1"/>
    <xf numFmtId="164" fontId="6" fillId="0" borderId="0" xfId="2" applyNumberFormat="1" applyFont="1" applyFill="1" applyBorder="1"/>
    <xf numFmtId="44" fontId="33" fillId="0" borderId="0" xfId="0" applyNumberFormat="1" applyFont="1" applyAlignment="1">
      <alignment wrapText="1"/>
    </xf>
    <xf numFmtId="43" fontId="33" fillId="0" borderId="0" xfId="0" applyNumberFormat="1" applyFont="1" applyAlignment="1">
      <alignment wrapText="1"/>
    </xf>
    <xf numFmtId="164" fontId="33" fillId="0" borderId="0" xfId="0" applyNumberFormat="1" applyFont="1" applyAlignment="1">
      <alignment wrapText="1"/>
    </xf>
    <xf numFmtId="0" fontId="14" fillId="0" borderId="0" xfId="16"/>
    <xf numFmtId="0" fontId="14" fillId="0" borderId="0" xfId="16" applyAlignment="1">
      <alignment horizontal="center"/>
    </xf>
    <xf numFmtId="0" fontId="37" fillId="0" borderId="0" xfId="16" applyFont="1" applyAlignment="1">
      <alignment vertical="center"/>
    </xf>
    <xf numFmtId="0" fontId="6" fillId="0" borderId="0" xfId="0" applyFont="1" applyAlignment="1">
      <alignment vertical="top"/>
    </xf>
    <xf numFmtId="0" fontId="14" fillId="0" borderId="0" xfId="16" applyAlignment="1">
      <alignment horizontal="center" vertical="center"/>
    </xf>
    <xf numFmtId="0" fontId="20" fillId="0" borderId="0" xfId="16" applyFont="1"/>
    <xf numFmtId="0" fontId="26" fillId="2" borderId="0" xfId="0" applyFont="1" applyFill="1" applyAlignment="1">
      <alignment horizontal="left"/>
    </xf>
    <xf numFmtId="9" fontId="6" fillId="2" borderId="0" xfId="3" applyFont="1" applyFill="1"/>
    <xf numFmtId="17" fontId="9" fillId="0" borderId="0" xfId="9" quotePrefix="1" applyNumberFormat="1" applyFont="1" applyAlignment="1">
      <alignment horizontal="center"/>
    </xf>
    <xf numFmtId="1" fontId="8" fillId="0" borderId="0" xfId="9" quotePrefix="1" applyNumberFormat="1" applyFont="1" applyAlignment="1">
      <alignment horizontal="center"/>
    </xf>
  </cellXfs>
  <cellStyles count="17">
    <cellStyle name="Comma" xfId="1" builtinId="3"/>
    <cellStyle name="Comma 14" xfId="6" xr:uid="{8F407C1C-B17A-4551-8C83-BDB148EA28FF}"/>
    <cellStyle name="Comma 2" xfId="8" xr:uid="{708BF48D-F496-4FF3-9F12-479D99FE3F6A}"/>
    <cellStyle name="Comma 2 2 2" xfId="10" xr:uid="{BEC79AD9-C994-4972-9EA6-CFF4BA935A9F}"/>
    <cellStyle name="Currency" xfId="2" builtinId="4"/>
    <cellStyle name="Normal" xfId="0" builtinId="0"/>
    <cellStyle name="Normal 10" xfId="5" xr:uid="{138FC9E3-46BF-4F3F-B9F9-2205F9629507}"/>
    <cellStyle name="Normal 197" xfId="14" xr:uid="{98E4FCD6-8970-4630-B7F8-57C6697C8790}"/>
    <cellStyle name="Normal 2 2 2" xfId="9" xr:uid="{07837FC9-F440-4E90-800E-E429B789AE9C}"/>
    <cellStyle name="Normal 3 7" xfId="12" xr:uid="{4052D600-1E6A-4C50-9097-F8B0BF7594B7}"/>
    <cellStyle name="Normal 5" xfId="16" xr:uid="{A068CE5E-47CC-4C47-8432-A47085FFCB35}"/>
    <cellStyle name="Normal 7" xfId="11" xr:uid="{D766A84B-8872-4191-A570-10C65D8B410D}"/>
    <cellStyle name="Normal 747 3" xfId="7" xr:uid="{71C91C20-4A00-4B01-BFF7-E45D7A30A5A1}"/>
    <cellStyle name="Normal 750 2" xfId="15" xr:uid="{427249E2-2325-4334-90D7-6CCC351A1B1A}"/>
    <cellStyle name="Normal_ITC Model I Updated to May 1 2009 FLE's" xfId="13" xr:uid="{D420BE1C-DC5E-45CD-BA79-8E85624CFF09}"/>
    <cellStyle name="Percent" xfId="3" builtinId="5"/>
    <cellStyle name="Percent 10" xfId="4" xr:uid="{176FA57E-53E2-4DF4-9C81-1ACEA97D33C0}"/>
  </cellStyles>
  <dxfs count="5">
    <dxf>
      <fill>
        <patternFill>
          <bgColor indexed="42"/>
        </patternFill>
      </fill>
    </dxf>
    <dxf>
      <fill>
        <patternFill>
          <bgColor indexed="42"/>
        </patternFill>
      </fill>
    </dxf>
    <dxf>
      <font>
        <color auto="1"/>
      </font>
    </dxf>
    <dxf>
      <font>
        <color auto="1"/>
      </font>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pge.sharepoint.com/sites/TO21RY2027/Shared%20Documents/001_June%20Draft%20Model%20and%20Cover%20Letter/TO21%20-%20RY2027%20-%20Draft%20Annual%20Update%20Model.xlsx" TargetMode="External"/><Relationship Id="rId1" Type="http://schemas.openxmlformats.org/officeDocument/2006/relationships/externalLinkPath" Target="https://pge.sharepoint.com/sites/TO21RY2027/Shared%20Documents/001_June%20Draft%20Model%20and%20Cover%20Letter/TO21%20-%20RY2027%20-%20Draft%20Annual%20Update%20Mode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0.xml.rels><?xml version="1.0" encoding="UTF-8" standalone="yes"?>
<Relationships xmlns="http://schemas.openxmlformats.org/package/2006/relationships"><Relationship Id="rId2" Type="http://schemas.openxmlformats.org/officeDocument/2006/relationships/customProperty" Target="../customProperty9.bin"/><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customProperty" Target="../customProperty10.bin"/><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customProperty" Target="../customProperty11.bin"/><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customProperty" Target="../customProperty12.bin"/><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customProperty" Target="../customProperty13.bin"/><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customProperty" Target="../customProperty14.bin"/><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customProperty" Target="../customProperty15.bin"/><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customProperty" Target="../customProperty16.bin"/><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customProperty" Target="../customProperty17.bin"/><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2" Type="http://schemas.openxmlformats.org/officeDocument/2006/relationships/customProperty" Target="../customProperty18.bin"/><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2" Type="http://schemas.openxmlformats.org/officeDocument/2006/relationships/customProperty" Target="../customProperty19.bin"/><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2" Type="http://schemas.openxmlformats.org/officeDocument/2006/relationships/customProperty" Target="../customProperty20.bin"/><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2" Type="http://schemas.openxmlformats.org/officeDocument/2006/relationships/customProperty" Target="../customProperty21.bin"/><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2" Type="http://schemas.openxmlformats.org/officeDocument/2006/relationships/customProperty" Target="../customProperty22.bin"/><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2" Type="http://schemas.openxmlformats.org/officeDocument/2006/relationships/customProperty" Target="../customProperty23.bin"/><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2" Type="http://schemas.openxmlformats.org/officeDocument/2006/relationships/customProperty" Target="../customProperty24.bin"/><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2" Type="http://schemas.openxmlformats.org/officeDocument/2006/relationships/customProperty" Target="../customProperty25.bin"/><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2" Type="http://schemas.openxmlformats.org/officeDocument/2006/relationships/customProperty" Target="../customProperty26.bin"/><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2" Type="http://schemas.openxmlformats.org/officeDocument/2006/relationships/customProperty" Target="../customProperty27.bin"/><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3" Type="http://schemas.openxmlformats.org/officeDocument/2006/relationships/customProperty" Target="../customProperty29.bin"/><Relationship Id="rId2" Type="http://schemas.openxmlformats.org/officeDocument/2006/relationships/customProperty" Target="../customProperty28.bin"/><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2" Type="http://schemas.openxmlformats.org/officeDocument/2006/relationships/customProperty" Target="../customProperty30.bin"/><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2" Type="http://schemas.openxmlformats.org/officeDocument/2006/relationships/customProperty" Target="../customProperty31.bin"/><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2" Type="http://schemas.openxmlformats.org/officeDocument/2006/relationships/customProperty" Target="../customProperty32.bin"/><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2" Type="http://schemas.openxmlformats.org/officeDocument/2006/relationships/customProperty" Target="../customProperty33.bin"/><Relationship Id="rId1" Type="http://schemas.openxmlformats.org/officeDocument/2006/relationships/printerSettings" Target="../printerSettings/printerSettings32.bin"/></Relationships>
</file>

<file path=xl/worksheets/_rels/sheet34.xml.rels><?xml version="1.0" encoding="UTF-8" standalone="yes"?>
<Relationships xmlns="http://schemas.openxmlformats.org/package/2006/relationships"><Relationship Id="rId2" Type="http://schemas.openxmlformats.org/officeDocument/2006/relationships/customProperty" Target="../customProperty34.bin"/><Relationship Id="rId1" Type="http://schemas.openxmlformats.org/officeDocument/2006/relationships/printerSettings" Target="../printerSettings/printerSettings33.bin"/></Relationships>
</file>

<file path=xl/worksheets/_rels/sheet35.xml.rels><?xml version="1.0" encoding="UTF-8" standalone="yes"?>
<Relationships xmlns="http://schemas.openxmlformats.org/package/2006/relationships"><Relationship Id="rId2" Type="http://schemas.openxmlformats.org/officeDocument/2006/relationships/customProperty" Target="../customProperty35.bin"/><Relationship Id="rId1" Type="http://schemas.openxmlformats.org/officeDocument/2006/relationships/printerSettings" Target="../printerSettings/printerSettings34.bin"/></Relationships>
</file>

<file path=xl/worksheets/_rels/sheet36.xml.rels><?xml version="1.0" encoding="UTF-8" standalone="yes"?>
<Relationships xmlns="http://schemas.openxmlformats.org/package/2006/relationships"><Relationship Id="rId2" Type="http://schemas.openxmlformats.org/officeDocument/2006/relationships/customProperty" Target="../customProperty36.bin"/><Relationship Id="rId1" Type="http://schemas.openxmlformats.org/officeDocument/2006/relationships/printerSettings" Target="../printerSettings/printerSettings35.bin"/></Relationships>
</file>

<file path=xl/worksheets/_rels/sheet37.xml.rels><?xml version="1.0" encoding="UTF-8" standalone="yes"?>
<Relationships xmlns="http://schemas.openxmlformats.org/package/2006/relationships"><Relationship Id="rId2" Type="http://schemas.openxmlformats.org/officeDocument/2006/relationships/customProperty" Target="../customProperty37.bin"/><Relationship Id="rId1" Type="http://schemas.openxmlformats.org/officeDocument/2006/relationships/printerSettings" Target="../printerSettings/printerSettings36.bin"/></Relationships>
</file>

<file path=xl/worksheets/_rels/sheet38.xml.rels><?xml version="1.0" encoding="UTF-8" standalone="yes"?>
<Relationships xmlns="http://schemas.openxmlformats.org/package/2006/relationships"><Relationship Id="rId2" Type="http://schemas.openxmlformats.org/officeDocument/2006/relationships/customProperty" Target="../customProperty38.bin"/><Relationship Id="rId1" Type="http://schemas.openxmlformats.org/officeDocument/2006/relationships/printerSettings" Target="../printerSettings/printerSettings37.bin"/></Relationships>
</file>

<file path=xl/worksheets/_rels/sheet39.xml.rels><?xml version="1.0" encoding="UTF-8" standalone="yes"?>
<Relationships xmlns="http://schemas.openxmlformats.org/package/2006/relationships"><Relationship Id="rId2" Type="http://schemas.openxmlformats.org/officeDocument/2006/relationships/customProperty" Target="../customProperty39.bin"/><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0.xml.rels><?xml version="1.0" encoding="UTF-8" standalone="yes"?>
<Relationships xmlns="http://schemas.openxmlformats.org/package/2006/relationships"><Relationship Id="rId2" Type="http://schemas.openxmlformats.org/officeDocument/2006/relationships/customProperty" Target="../customProperty40.bin"/><Relationship Id="rId1" Type="http://schemas.openxmlformats.org/officeDocument/2006/relationships/printerSettings" Target="../printerSettings/printerSettings39.bin"/></Relationships>
</file>

<file path=xl/worksheets/_rels/sheet41.xml.rels><?xml version="1.0" encoding="UTF-8" standalone="yes"?>
<Relationships xmlns="http://schemas.openxmlformats.org/package/2006/relationships"><Relationship Id="rId2" Type="http://schemas.openxmlformats.org/officeDocument/2006/relationships/customProperty" Target="../customProperty41.bin"/><Relationship Id="rId1" Type="http://schemas.openxmlformats.org/officeDocument/2006/relationships/printerSettings" Target="../printerSettings/printerSettings40.bin"/></Relationships>
</file>

<file path=xl/worksheets/_rels/sheet42.xml.rels><?xml version="1.0" encoding="UTF-8" standalone="yes"?>
<Relationships xmlns="http://schemas.openxmlformats.org/package/2006/relationships"><Relationship Id="rId2" Type="http://schemas.openxmlformats.org/officeDocument/2006/relationships/customProperty" Target="../customProperty42.bin"/><Relationship Id="rId1" Type="http://schemas.openxmlformats.org/officeDocument/2006/relationships/printerSettings" Target="../printerSettings/printerSettings41.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customProperty" Target="../customProperty7.bin"/><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customProperty" Target="../customProperty8.bin"/><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1661BD-E766-4850-80F5-A96F9C8F03C4}">
  <dimension ref="A1"/>
  <sheetViews>
    <sheetView workbookViewId="0"/>
  </sheetViews>
  <sheetFormatPr defaultRowHeight="15" x14ac:dyDescent="0.25"/>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FCD3D0-E7AB-4739-97FD-02F92963F2DA}">
  <sheetPr>
    <pageSetUpPr fitToPage="1"/>
  </sheetPr>
  <dimension ref="A1:J29"/>
  <sheetViews>
    <sheetView view="pageBreakPreview" zoomScale="60" zoomScaleNormal="58" workbookViewId="0">
      <selection activeCell="Q36" sqref="Q36"/>
    </sheetView>
  </sheetViews>
  <sheetFormatPr defaultColWidth="9.140625" defaultRowHeight="15" x14ac:dyDescent="0.25"/>
  <cols>
    <col min="1" max="1" width="7" style="139" bestFit="1" customWidth="1"/>
    <col min="2" max="2" width="50.140625" style="141" customWidth="1"/>
    <col min="3" max="3" width="11.85546875" style="140" customWidth="1"/>
    <col min="4" max="4" width="12.140625" style="139" customWidth="1"/>
    <col min="5" max="5" width="24" style="139" bestFit="1" customWidth="1"/>
    <col min="6" max="6" width="44.42578125" style="139" customWidth="1"/>
    <col min="7" max="7" width="21.42578125" style="139" customWidth="1"/>
    <col min="8" max="8" width="6.85546875" style="139" bestFit="1" customWidth="1"/>
    <col min="9" max="9" width="29.140625" style="139" bestFit="1" customWidth="1"/>
    <col min="10" max="10" width="17.85546875" style="139" bestFit="1" customWidth="1"/>
    <col min="11" max="11" width="13.42578125" style="139" customWidth="1"/>
    <col min="12" max="12" width="10" style="139" bestFit="1" customWidth="1"/>
    <col min="13" max="14" width="15.5703125" style="139" customWidth="1"/>
    <col min="15" max="15" width="13.42578125" style="139" customWidth="1"/>
    <col min="16" max="16384" width="9.140625" style="139"/>
  </cols>
  <sheetData>
    <row r="1" spans="1:10" x14ac:dyDescent="0.25">
      <c r="B1" s="148" t="s">
        <v>626</v>
      </c>
      <c r="G1" s="76"/>
    </row>
    <row r="2" spans="1:10" x14ac:dyDescent="0.25">
      <c r="B2" s="160" t="s">
        <v>306</v>
      </c>
      <c r="C2" s="141"/>
      <c r="D2" s="141"/>
      <c r="E2" s="141"/>
      <c r="F2" s="76"/>
      <c r="G2" s="76" t="str">
        <f>CONCATENATE("Prior Year: ",'1-BaseTRR'!$G$3)</f>
        <v>Prior Year: 2025</v>
      </c>
      <c r="H2" s="141"/>
      <c r="J2" s="134"/>
    </row>
    <row r="3" spans="1:10" x14ac:dyDescent="0.25">
      <c r="B3" s="77" t="s">
        <v>367</v>
      </c>
      <c r="C3" s="141"/>
      <c r="D3" s="141"/>
      <c r="E3" s="141"/>
      <c r="H3" s="141"/>
      <c r="J3" s="134"/>
    </row>
    <row r="4" spans="1:10" x14ac:dyDescent="0.25">
      <c r="A4" s="33"/>
      <c r="D4" s="33"/>
      <c r="E4" s="141"/>
      <c r="F4" s="141"/>
      <c r="G4" s="141"/>
      <c r="H4" s="141"/>
      <c r="J4" s="134"/>
    </row>
    <row r="5" spans="1:10" x14ac:dyDescent="0.25">
      <c r="B5" s="36" t="s">
        <v>625</v>
      </c>
      <c r="C5" s="36"/>
      <c r="D5" s="36"/>
      <c r="E5" s="36"/>
      <c r="F5" s="36"/>
      <c r="G5" s="36"/>
      <c r="H5" s="39"/>
      <c r="I5" s="141"/>
      <c r="J5" s="159"/>
    </row>
    <row r="6" spans="1:10" x14ac:dyDescent="0.25">
      <c r="A6" s="33" t="s">
        <v>106</v>
      </c>
      <c r="B6" s="33" t="s">
        <v>79</v>
      </c>
      <c r="D6" s="158"/>
      <c r="E6" s="33" t="s">
        <v>155</v>
      </c>
      <c r="F6" s="33" t="s">
        <v>154</v>
      </c>
      <c r="G6" s="33" t="s">
        <v>153</v>
      </c>
      <c r="H6" s="33" t="s">
        <v>106</v>
      </c>
      <c r="I6" s="141"/>
      <c r="J6" s="134"/>
    </row>
    <row r="7" spans="1:10" x14ac:dyDescent="0.25">
      <c r="A7" s="142"/>
      <c r="B7" s="154" t="s">
        <v>624</v>
      </c>
      <c r="C7" s="157"/>
      <c r="D7" s="142"/>
      <c r="E7" s="141"/>
      <c r="F7" s="141"/>
      <c r="G7" s="141"/>
      <c r="H7" s="142"/>
      <c r="I7" s="141"/>
      <c r="J7" s="134"/>
    </row>
    <row r="8" spans="1:10" x14ac:dyDescent="0.25">
      <c r="A8" s="142">
        <v>100</v>
      </c>
      <c r="B8" s="134" t="s">
        <v>623</v>
      </c>
      <c r="C8" s="157"/>
      <c r="D8" s="142"/>
      <c r="E8" s="151">
        <f>'5-CostofCap-4'!C11</f>
        <v>40273752447.619232</v>
      </c>
      <c r="F8" s="149" t="s">
        <v>594</v>
      </c>
      <c r="G8" s="149" t="s">
        <v>613</v>
      </c>
      <c r="H8" s="142">
        <f>A8</f>
        <v>100</v>
      </c>
      <c r="I8" s="141"/>
      <c r="J8" s="134"/>
    </row>
    <row r="9" spans="1:10" x14ac:dyDescent="0.25">
      <c r="A9" s="142">
        <f>A8+1</f>
        <v>101</v>
      </c>
      <c r="B9" s="134" t="s">
        <v>593</v>
      </c>
      <c r="C9" s="143"/>
      <c r="D9" s="142"/>
      <c r="E9" s="151">
        <f>'5-CostofCap-4'!C16</f>
        <v>0</v>
      </c>
      <c r="F9" s="149" t="s">
        <v>592</v>
      </c>
      <c r="G9" s="149" t="s">
        <v>613</v>
      </c>
      <c r="H9" s="142">
        <f>A9</f>
        <v>101</v>
      </c>
      <c r="I9" s="141"/>
      <c r="J9" s="134"/>
    </row>
    <row r="10" spans="1:10" x14ac:dyDescent="0.25">
      <c r="A10" s="142">
        <f>A9+1</f>
        <v>102</v>
      </c>
      <c r="B10" s="134" t="s">
        <v>590</v>
      </c>
      <c r="C10" s="143"/>
      <c r="D10" s="142"/>
      <c r="E10" s="151">
        <f>'5-CostofCap-4'!C19</f>
        <v>0</v>
      </c>
      <c r="F10" s="149" t="s">
        <v>589</v>
      </c>
      <c r="G10" s="149" t="s">
        <v>613</v>
      </c>
      <c r="H10" s="142">
        <f>A10</f>
        <v>102</v>
      </c>
      <c r="I10" s="141"/>
      <c r="J10" s="134"/>
    </row>
    <row r="11" spans="1:10" x14ac:dyDescent="0.25">
      <c r="A11" s="142">
        <f>A10+1</f>
        <v>103</v>
      </c>
      <c r="B11" s="134" t="s">
        <v>622</v>
      </c>
      <c r="C11" s="143"/>
      <c r="D11" s="142"/>
      <c r="E11" s="151">
        <f>'5-CostofCap-4'!C22</f>
        <v>29539571.209230766</v>
      </c>
      <c r="F11" s="149" t="s">
        <v>621</v>
      </c>
      <c r="G11" s="149" t="s">
        <v>613</v>
      </c>
      <c r="H11" s="142">
        <f>A11</f>
        <v>103</v>
      </c>
      <c r="I11" s="141"/>
      <c r="J11" s="134"/>
    </row>
    <row r="12" spans="1:10" x14ac:dyDescent="0.25">
      <c r="A12" s="142">
        <f>A11+1</f>
        <v>104</v>
      </c>
      <c r="B12" s="134" t="s">
        <v>620</v>
      </c>
      <c r="C12" s="143"/>
      <c r="D12" s="142"/>
      <c r="E12" s="151">
        <f>'5-CostofCap-4'!C25</f>
        <v>57804726.900000006</v>
      </c>
      <c r="F12" s="149" t="s">
        <v>619</v>
      </c>
      <c r="G12" s="149" t="s">
        <v>613</v>
      </c>
      <c r="H12" s="142">
        <f>A12</f>
        <v>104</v>
      </c>
      <c r="I12" s="141"/>
      <c r="J12" s="134"/>
    </row>
    <row r="13" spans="1:10" x14ac:dyDescent="0.25">
      <c r="A13" s="142">
        <f>A12+1</f>
        <v>105</v>
      </c>
      <c r="B13" s="134" t="s">
        <v>618</v>
      </c>
      <c r="C13" s="143"/>
      <c r="D13" s="142"/>
      <c r="E13" s="151">
        <f>'5-CostofCap-4'!C28</f>
        <v>198341447.89076921</v>
      </c>
      <c r="F13" s="149" t="s">
        <v>617</v>
      </c>
      <c r="G13" s="149" t="s">
        <v>613</v>
      </c>
      <c r="H13" s="142">
        <f>A13</f>
        <v>105</v>
      </c>
      <c r="I13" s="141"/>
      <c r="J13" s="134"/>
    </row>
    <row r="14" spans="1:10" x14ac:dyDescent="0.25">
      <c r="A14" s="142">
        <f>A13+1</f>
        <v>106</v>
      </c>
      <c r="B14" s="134" t="s">
        <v>616</v>
      </c>
      <c r="C14" s="143"/>
      <c r="D14" s="142"/>
      <c r="E14" s="150">
        <f>'5-CostofCap-4'!C33</f>
        <v>14973435.659230767</v>
      </c>
      <c r="F14" s="149" t="s">
        <v>615</v>
      </c>
      <c r="G14" s="149" t="s">
        <v>613</v>
      </c>
      <c r="H14" s="142">
        <f>A14</f>
        <v>106</v>
      </c>
      <c r="I14" s="141"/>
      <c r="J14" s="134"/>
    </row>
    <row r="15" spans="1:10" x14ac:dyDescent="0.25">
      <c r="A15" s="142">
        <f>A14+1</f>
        <v>107</v>
      </c>
      <c r="B15" s="148" t="s">
        <v>614</v>
      </c>
      <c r="C15" s="143"/>
      <c r="D15" s="142"/>
      <c r="E15" s="94">
        <f>(E8+E10+E11)-(E9+E12+E13+E14)</f>
        <v>40032172408.378464</v>
      </c>
      <c r="F15" s="141" t="str">
        <f>CONCATENATE("Lines ((",A8," + ",A10," + ",A11,") - (",A9," + ",A12," + ",A13," + ",A14," ))")</f>
        <v>Lines ((100 + 102 + 103) - (101 + 104 + 105 + 106 ))</v>
      </c>
      <c r="G15" s="141" t="s">
        <v>613</v>
      </c>
      <c r="H15" s="142">
        <f>A15</f>
        <v>107</v>
      </c>
      <c r="I15" s="156"/>
      <c r="J15" s="155"/>
    </row>
    <row r="16" spans="1:10" x14ac:dyDescent="0.25">
      <c r="A16" s="142"/>
      <c r="B16" s="134"/>
      <c r="C16" s="143"/>
      <c r="D16" s="142"/>
      <c r="E16" s="153"/>
      <c r="F16" s="141"/>
      <c r="G16" s="141"/>
      <c r="H16" s="141"/>
      <c r="J16" s="134"/>
    </row>
    <row r="17" spans="1:10" x14ac:dyDescent="0.25">
      <c r="A17" s="142"/>
      <c r="B17" s="134"/>
      <c r="C17" s="143"/>
      <c r="D17" s="142"/>
      <c r="E17" s="153"/>
      <c r="F17" s="141"/>
      <c r="G17" s="141"/>
      <c r="H17" s="141"/>
      <c r="J17" s="134"/>
    </row>
    <row r="18" spans="1:10" x14ac:dyDescent="0.25">
      <c r="A18" s="142"/>
      <c r="B18" s="154" t="s">
        <v>612</v>
      </c>
      <c r="C18" s="143"/>
      <c r="D18" s="142"/>
      <c r="E18" s="153"/>
      <c r="F18" s="141"/>
      <c r="G18" s="141"/>
      <c r="H18" s="141"/>
      <c r="J18" s="134"/>
    </row>
    <row r="19" spans="1:10" x14ac:dyDescent="0.25">
      <c r="A19" s="142">
        <f>A15+1</f>
        <v>108</v>
      </c>
      <c r="B19" s="134" t="s">
        <v>611</v>
      </c>
      <c r="C19" s="143"/>
      <c r="D19" s="142"/>
      <c r="E19" s="152">
        <f>'5-CostofCap-4'!C57</f>
        <v>1852273907.7699997</v>
      </c>
      <c r="F19" s="149" t="s">
        <v>610</v>
      </c>
      <c r="G19" s="149" t="s">
        <v>601</v>
      </c>
      <c r="H19" s="142">
        <f>A19</f>
        <v>108</v>
      </c>
      <c r="J19" s="134"/>
    </row>
    <row r="20" spans="1:10" x14ac:dyDescent="0.25">
      <c r="A20" s="142">
        <f>A19+1</f>
        <v>109</v>
      </c>
      <c r="B20" s="134" t="s">
        <v>609</v>
      </c>
      <c r="C20" s="143"/>
      <c r="D20" s="142"/>
      <c r="E20" s="151">
        <f>'5-CostofCap-4'!C62</f>
        <v>43415289.919999994</v>
      </c>
      <c r="F20" s="149" t="s">
        <v>608</v>
      </c>
      <c r="G20" s="149" t="s">
        <v>601</v>
      </c>
      <c r="H20" s="142">
        <f>A20</f>
        <v>109</v>
      </c>
      <c r="J20" s="134"/>
    </row>
    <row r="21" spans="1:10" x14ac:dyDescent="0.25">
      <c r="A21" s="142">
        <f>A20+1</f>
        <v>110</v>
      </c>
      <c r="B21" s="134" t="s">
        <v>607</v>
      </c>
      <c r="C21" s="143"/>
      <c r="D21" s="142"/>
      <c r="E21" s="151">
        <f>'5-CostofCap-4'!C69</f>
        <v>6406587.129999999</v>
      </c>
      <c r="F21" s="149" t="s">
        <v>606</v>
      </c>
      <c r="G21" s="149" t="s">
        <v>601</v>
      </c>
      <c r="H21" s="142">
        <f>A21</f>
        <v>110</v>
      </c>
      <c r="J21" s="134"/>
    </row>
    <row r="22" spans="1:10" x14ac:dyDescent="0.25">
      <c r="A22" s="142">
        <f>A21+1</f>
        <v>111</v>
      </c>
      <c r="B22" s="134" t="s">
        <v>605</v>
      </c>
      <c r="C22" s="143"/>
      <c r="D22" s="142"/>
      <c r="E22" s="151">
        <f>'5-CostofCap-4'!C72</f>
        <v>2595160.5199999996</v>
      </c>
      <c r="F22" s="149" t="s">
        <v>604</v>
      </c>
      <c r="G22" s="149" t="s">
        <v>601</v>
      </c>
      <c r="H22" s="142">
        <f>A22</f>
        <v>111</v>
      </c>
      <c r="J22" s="134"/>
    </row>
    <row r="23" spans="1:10" x14ac:dyDescent="0.25">
      <c r="A23" s="142">
        <f>A22+1</f>
        <v>112</v>
      </c>
      <c r="B23" s="134" t="s">
        <v>603</v>
      </c>
      <c r="C23" s="143"/>
      <c r="D23" s="142"/>
      <c r="E23" s="150">
        <f>'5-CostofCap-4'!C75</f>
        <v>13090031.860000001</v>
      </c>
      <c r="F23" s="149" t="s">
        <v>602</v>
      </c>
      <c r="G23" s="149" t="s">
        <v>601</v>
      </c>
      <c r="H23" s="142">
        <f>A23</f>
        <v>112</v>
      </c>
      <c r="J23" s="134"/>
    </row>
    <row r="24" spans="1:10" x14ac:dyDescent="0.25">
      <c r="A24" s="142">
        <f>A23+1</f>
        <v>113</v>
      </c>
      <c r="B24" s="148" t="s">
        <v>600</v>
      </c>
      <c r="C24" s="143"/>
      <c r="D24" s="142"/>
      <c r="E24" s="147">
        <f>+E19+E20+E21-E22-E23</f>
        <v>1886410592.4400001</v>
      </c>
      <c r="F24" s="141" t="str">
        <f>CONCATENATE("Lines ((",A19," + ",A20," + ",A21,") - (",A22," + ",A23,"))")</f>
        <v>Lines ((108 + 109 + 110) - (111 + 112))</v>
      </c>
      <c r="G24" s="141"/>
      <c r="H24" s="142">
        <f>A24</f>
        <v>113</v>
      </c>
      <c r="J24" s="134"/>
    </row>
    <row r="25" spans="1:10" x14ac:dyDescent="0.25">
      <c r="A25" s="142"/>
      <c r="B25" s="134"/>
      <c r="C25" s="143"/>
      <c r="D25" s="142"/>
      <c r="E25" s="141"/>
      <c r="F25" s="141"/>
      <c r="G25" s="141"/>
      <c r="H25" s="141"/>
      <c r="J25" s="134"/>
    </row>
    <row r="26" spans="1:10" x14ac:dyDescent="0.25">
      <c r="A26" s="142">
        <f>A24+1</f>
        <v>114</v>
      </c>
      <c r="B26" s="146" t="s">
        <v>599</v>
      </c>
      <c r="C26" s="143"/>
      <c r="D26" s="142"/>
      <c r="E26" s="145">
        <f>ROUND(E24/E15,4)</f>
        <v>4.7100000000000003E-2</v>
      </c>
      <c r="F26" s="141" t="str">
        <f>CONCATENATE("Line ",A24," / ","Line ",A15)</f>
        <v>Line 113 / Line 107</v>
      </c>
      <c r="G26" s="141"/>
      <c r="H26" s="142">
        <f>A26</f>
        <v>114</v>
      </c>
      <c r="J26" s="134"/>
    </row>
    <row r="27" spans="1:10" x14ac:dyDescent="0.25">
      <c r="A27" s="142"/>
      <c r="B27" s="144"/>
      <c r="C27" s="143"/>
      <c r="D27" s="142"/>
      <c r="E27" s="141"/>
      <c r="F27" s="141"/>
      <c r="G27" s="141"/>
      <c r="H27" s="141"/>
      <c r="J27" s="134"/>
    </row>
    <row r="28" spans="1:10" x14ac:dyDescent="0.25">
      <c r="A28" s="142"/>
      <c r="B28" s="44"/>
      <c r="C28" s="143"/>
      <c r="D28" s="142"/>
      <c r="E28" s="141"/>
      <c r="F28" s="141"/>
      <c r="G28" s="141"/>
      <c r="H28" s="141"/>
      <c r="J28" s="134"/>
    </row>
    <row r="29" spans="1:10" ht="12.75" customHeight="1" x14ac:dyDescent="0.25">
      <c r="A29" s="142"/>
      <c r="B29" s="6"/>
      <c r="C29" s="139"/>
      <c r="D29" s="142"/>
      <c r="E29" s="141"/>
      <c r="F29" s="141"/>
      <c r="G29" s="141"/>
      <c r="H29" s="141"/>
      <c r="J29" s="134"/>
    </row>
  </sheetData>
  <sheetProtection formatCells="0" formatColumns="0" formatRows="0" insertColumns="0" insertRows="0" insertHyperlinks="0" deleteColumns="0" deleteRows="0" selectLockedCells="1" sort="0" autoFilter="0" pivotTables="0"/>
  <conditionalFormatting sqref="E6:G6">
    <cfRule type="duplicateValues" dxfId="4" priority="1"/>
  </conditionalFormatting>
  <printOptions horizontalCentered="1"/>
  <pageMargins left="1" right="1" top="1" bottom="1" header="0.5" footer="0.5"/>
  <pageSetup scale="64" fitToHeight="0" orientation="landscape" r:id="rId1"/>
  <headerFooter>
    <oddHeader>&amp;R&amp;F</oddHeader>
  </headerFooter>
  <customProperties>
    <customPr name="_pios_id" r:id="rId2"/>
  </customPropertie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ADF8D9-FE1B-4596-9C4C-ACC69DC2EBF2}">
  <sheetPr>
    <pageSetUpPr fitToPage="1"/>
  </sheetPr>
  <dimension ref="A1:N48"/>
  <sheetViews>
    <sheetView showGridLines="0" view="pageBreakPreview" zoomScale="78" zoomScaleNormal="83" zoomScaleSheetLayoutView="78" workbookViewId="0">
      <selection activeCell="Q36" sqref="Q36"/>
    </sheetView>
  </sheetViews>
  <sheetFormatPr defaultColWidth="9.140625" defaultRowHeight="15" x14ac:dyDescent="0.25"/>
  <cols>
    <col min="1" max="1" width="8.140625" style="6" customWidth="1"/>
    <col min="2" max="2" width="16" style="6" customWidth="1"/>
    <col min="3" max="3" width="16.140625" style="6" customWidth="1"/>
    <col min="4" max="4" width="22.42578125" style="6" customWidth="1"/>
    <col min="5" max="5" width="21.5703125" style="6" customWidth="1"/>
    <col min="6" max="6" width="18.5703125" style="6" customWidth="1"/>
    <col min="7" max="7" width="20.42578125" style="6" bestFit="1" customWidth="1"/>
    <col min="8" max="8" width="19.140625" style="6" customWidth="1"/>
    <col min="9" max="9" width="19.85546875" style="6" bestFit="1" customWidth="1"/>
    <col min="10" max="10" width="22" style="6" bestFit="1" customWidth="1"/>
    <col min="11" max="11" width="7" style="6" bestFit="1" customWidth="1"/>
    <col min="12" max="12" width="9.140625" style="6"/>
    <col min="13" max="13" width="12" style="6" bestFit="1" customWidth="1"/>
    <col min="14" max="14" width="10.5703125" style="6" bestFit="1" customWidth="1"/>
    <col min="15" max="16384" width="9.140625" style="6"/>
  </cols>
  <sheetData>
    <row r="1" spans="1:11" x14ac:dyDescent="0.25">
      <c r="B1" s="30" t="s">
        <v>674</v>
      </c>
      <c r="J1" s="76"/>
    </row>
    <row r="2" spans="1:11" x14ac:dyDescent="0.25">
      <c r="B2" s="30" t="s">
        <v>65</v>
      </c>
      <c r="J2" s="76" t="str">
        <f>CONCATENATE("Prior Year: ",'1-BaseTRR'!$G$3)</f>
        <v>Prior Year: 2025</v>
      </c>
    </row>
    <row r="3" spans="1:11" x14ac:dyDescent="0.25">
      <c r="B3" s="77" t="s">
        <v>367</v>
      </c>
      <c r="C3" s="89"/>
    </row>
    <row r="4" spans="1:11" x14ac:dyDescent="0.25">
      <c r="A4" s="33"/>
      <c r="K4" s="33"/>
    </row>
    <row r="5" spans="1:11" x14ac:dyDescent="0.25">
      <c r="B5" s="83" t="s">
        <v>673</v>
      </c>
      <c r="C5" s="35"/>
      <c r="D5" s="35"/>
      <c r="E5" s="35"/>
      <c r="F5" s="35"/>
      <c r="G5" s="35"/>
      <c r="H5" s="35"/>
      <c r="I5" s="35"/>
      <c r="J5" s="35"/>
    </row>
    <row r="6" spans="1:11" x14ac:dyDescent="0.25">
      <c r="A6" s="33" t="s">
        <v>106</v>
      </c>
      <c r="D6" s="33" t="s">
        <v>79</v>
      </c>
      <c r="E6" s="33" t="s">
        <v>672</v>
      </c>
      <c r="F6" s="33" t="s">
        <v>671</v>
      </c>
      <c r="K6" s="33" t="str">
        <f>A6</f>
        <v>Line</v>
      </c>
    </row>
    <row r="7" spans="1:11" x14ac:dyDescent="0.25">
      <c r="A7" s="8">
        <v>100</v>
      </c>
      <c r="B7" s="185"/>
      <c r="C7" s="185"/>
      <c r="D7" s="185" t="s">
        <v>670</v>
      </c>
      <c r="E7" s="24">
        <f>J31</f>
        <v>13916317.264999999</v>
      </c>
      <c r="F7" s="6" t="str">
        <f>"Line "&amp;A31&amp;", "&amp;J18&amp;""</f>
        <v>Line 208, Col 9</v>
      </c>
      <c r="K7" s="8">
        <f>A7</f>
        <v>100</v>
      </c>
    </row>
    <row r="8" spans="1:11" x14ac:dyDescent="0.25">
      <c r="A8" s="8">
        <f>A7+1</f>
        <v>101</v>
      </c>
      <c r="B8" s="185"/>
      <c r="C8" s="185"/>
      <c r="D8" s="187" t="s">
        <v>669</v>
      </c>
      <c r="E8" s="186">
        <f>G43</f>
        <v>0</v>
      </c>
      <c r="F8" s="6" t="str">
        <f>"Line "&amp;A43&amp;", "&amp;G34&amp;""</f>
        <v>Line 305, Col 6</v>
      </c>
      <c r="K8" s="8">
        <f>A8</f>
        <v>101</v>
      </c>
    </row>
    <row r="9" spans="1:11" x14ac:dyDescent="0.25">
      <c r="A9" s="8">
        <f>A8+1</f>
        <v>102</v>
      </c>
      <c r="B9" s="185"/>
      <c r="C9" s="185"/>
      <c r="D9" s="76" t="s">
        <v>668</v>
      </c>
      <c r="E9" s="94">
        <f>E7+E8</f>
        <v>13916317.264999999</v>
      </c>
      <c r="F9" s="6" t="str">
        <f>"Line "&amp;A7&amp;" + Line "&amp;A8&amp;""</f>
        <v>Line 100 + Line 101</v>
      </c>
      <c r="K9" s="8">
        <f>A9</f>
        <v>102</v>
      </c>
    </row>
    <row r="10" spans="1:11" x14ac:dyDescent="0.25">
      <c r="A10" s="8"/>
      <c r="B10" s="185"/>
      <c r="C10" s="185"/>
      <c r="D10" s="185"/>
      <c r="E10" s="24"/>
      <c r="K10" s="8"/>
    </row>
    <row r="11" spans="1:11" x14ac:dyDescent="0.25">
      <c r="A11" s="8">
        <f>A9+1</f>
        <v>103</v>
      </c>
      <c r="B11" s="185"/>
      <c r="C11" s="185"/>
      <c r="D11" s="185" t="s">
        <v>667</v>
      </c>
      <c r="E11" s="24">
        <f>F31</f>
        <v>257994575</v>
      </c>
      <c r="F11" s="6" t="str">
        <f>"Line "&amp;A31&amp;", "&amp;F18&amp;""</f>
        <v>Line 208, Col 5</v>
      </c>
      <c r="K11" s="8">
        <f>A11</f>
        <v>103</v>
      </c>
    </row>
    <row r="12" spans="1:11" x14ac:dyDescent="0.25">
      <c r="A12" s="8">
        <f>A11+1</f>
        <v>104</v>
      </c>
      <c r="B12" s="185"/>
      <c r="C12" s="185"/>
      <c r="D12" s="187" t="s">
        <v>666</v>
      </c>
      <c r="E12" s="186">
        <f>G31</f>
        <v>-5940273.2340178555</v>
      </c>
      <c r="F12" s="6" t="str">
        <f>"Line "&amp;A31&amp;", "&amp;G18&amp;""</f>
        <v>Line 208, Col 6</v>
      </c>
      <c r="K12" s="8">
        <f>A12</f>
        <v>104</v>
      </c>
    </row>
    <row r="13" spans="1:11" x14ac:dyDescent="0.25">
      <c r="A13" s="8">
        <f>A12+1</f>
        <v>105</v>
      </c>
      <c r="B13" s="185"/>
      <c r="C13" s="185"/>
      <c r="D13" s="76" t="s">
        <v>665</v>
      </c>
      <c r="E13" s="94">
        <f>E11+E12</f>
        <v>252054301.76598215</v>
      </c>
      <c r="F13" s="6" t="str">
        <f>"Line "&amp;A11&amp;" + Line "&amp;A12&amp;""</f>
        <v>Line 103 + Line 104</v>
      </c>
      <c r="K13" s="8">
        <f>A13</f>
        <v>105</v>
      </c>
    </row>
    <row r="14" spans="1:11" x14ac:dyDescent="0.25">
      <c r="A14" s="8"/>
      <c r="B14" s="185"/>
      <c r="C14" s="185"/>
      <c r="D14" s="185"/>
      <c r="K14" s="8"/>
    </row>
    <row r="15" spans="1:11" x14ac:dyDescent="0.25">
      <c r="A15" s="8">
        <f>A13+1</f>
        <v>106</v>
      </c>
      <c r="B15" s="185"/>
      <c r="C15" s="185"/>
      <c r="D15" s="76" t="s">
        <v>664</v>
      </c>
      <c r="E15" s="62">
        <f>E9/E13</f>
        <v>5.5211584041602653E-2</v>
      </c>
      <c r="F15" s="6" t="str">
        <f>"Line "&amp;A9&amp;" / Line "&amp;A13&amp;""</f>
        <v>Line 102 / Line 105</v>
      </c>
      <c r="K15" s="8">
        <f>A15</f>
        <v>106</v>
      </c>
    </row>
    <row r="16" spans="1:11" x14ac:dyDescent="0.25">
      <c r="A16" s="8"/>
      <c r="K16" s="8"/>
    </row>
    <row r="17" spans="1:14" x14ac:dyDescent="0.25">
      <c r="B17" s="83" t="s">
        <v>663</v>
      </c>
      <c r="C17" s="35"/>
      <c r="D17" s="35"/>
      <c r="E17" s="35"/>
      <c r="F17" s="35"/>
      <c r="G17" s="35"/>
      <c r="H17" s="35"/>
      <c r="I17" s="35"/>
      <c r="J17" s="35"/>
    </row>
    <row r="18" spans="1:14" x14ac:dyDescent="0.25">
      <c r="A18" s="8"/>
      <c r="B18" s="175" t="s">
        <v>492</v>
      </c>
      <c r="C18" s="175" t="s">
        <v>491</v>
      </c>
      <c r="D18" s="175" t="s">
        <v>490</v>
      </c>
      <c r="E18" s="175" t="s">
        <v>489</v>
      </c>
      <c r="F18" s="175" t="s">
        <v>519</v>
      </c>
      <c r="G18" s="175" t="s">
        <v>518</v>
      </c>
      <c r="H18" s="175" t="s">
        <v>517</v>
      </c>
      <c r="I18" s="175" t="s">
        <v>538</v>
      </c>
      <c r="J18" s="175" t="s">
        <v>537</v>
      </c>
      <c r="K18" s="8"/>
    </row>
    <row r="19" spans="1:14" x14ac:dyDescent="0.25">
      <c r="A19" s="8"/>
      <c r="B19" s="183" t="s">
        <v>660</v>
      </c>
      <c r="C19" s="183" t="s">
        <v>660</v>
      </c>
      <c r="D19" s="183" t="s">
        <v>662</v>
      </c>
      <c r="E19" s="183" t="s">
        <v>660</v>
      </c>
      <c r="F19" s="183" t="s">
        <v>661</v>
      </c>
      <c r="G19" s="183" t="s">
        <v>660</v>
      </c>
      <c r="H19" s="183" t="s">
        <v>659</v>
      </c>
      <c r="I19" s="184" t="s">
        <v>658</v>
      </c>
      <c r="J19" s="184" t="s">
        <v>657</v>
      </c>
      <c r="K19" s="8"/>
    </row>
    <row r="20" spans="1:14" x14ac:dyDescent="0.25">
      <c r="A20" s="8"/>
      <c r="B20" s="183" t="s">
        <v>99</v>
      </c>
      <c r="C20" s="183" t="s">
        <v>99</v>
      </c>
      <c r="D20" s="183"/>
      <c r="E20" s="183" t="s">
        <v>99</v>
      </c>
      <c r="F20" s="183"/>
      <c r="G20" s="183" t="s">
        <v>99</v>
      </c>
      <c r="H20" s="183"/>
      <c r="I20" s="184"/>
      <c r="J20" s="183" t="s">
        <v>183</v>
      </c>
      <c r="K20" s="8"/>
    </row>
    <row r="21" spans="1:14" x14ac:dyDescent="0.25">
      <c r="A21" s="8"/>
      <c r="J21" s="8"/>
      <c r="K21" s="8"/>
    </row>
    <row r="22" spans="1:14" ht="45" x14ac:dyDescent="0.25">
      <c r="A22" s="33" t="s">
        <v>106</v>
      </c>
      <c r="B22" s="173" t="s">
        <v>656</v>
      </c>
      <c r="C22" s="173" t="s">
        <v>655</v>
      </c>
      <c r="D22" s="173" t="s">
        <v>654</v>
      </c>
      <c r="E22" s="173" t="s">
        <v>653</v>
      </c>
      <c r="F22" s="173" t="s">
        <v>652</v>
      </c>
      <c r="G22" s="173" t="s">
        <v>651</v>
      </c>
      <c r="H22" s="173" t="s">
        <v>650</v>
      </c>
      <c r="I22" s="173" t="s">
        <v>649</v>
      </c>
      <c r="J22" s="173" t="s">
        <v>648</v>
      </c>
      <c r="K22" s="33" t="str">
        <f>A22</f>
        <v>Line</v>
      </c>
    </row>
    <row r="23" spans="1:14" x14ac:dyDescent="0.25">
      <c r="A23" s="8">
        <v>200</v>
      </c>
      <c r="B23" s="167" t="s">
        <v>647</v>
      </c>
      <c r="C23" s="182">
        <v>1914</v>
      </c>
      <c r="D23" s="181">
        <v>0.06</v>
      </c>
      <c r="E23" s="180">
        <v>1.5</v>
      </c>
      <c r="F23" s="179">
        <v>105291550</v>
      </c>
      <c r="G23" s="178">
        <v>-7366504.2509265905</v>
      </c>
      <c r="H23" s="177">
        <v>4211661</v>
      </c>
      <c r="I23" s="24">
        <f>F23+G23</f>
        <v>97925045.749073416</v>
      </c>
      <c r="J23" s="24">
        <f>(H23*E23)</f>
        <v>6317491.5</v>
      </c>
      <c r="K23" s="8">
        <f>A23</f>
        <v>200</v>
      </c>
      <c r="M23" s="26"/>
      <c r="N23" s="26"/>
    </row>
    <row r="24" spans="1:14" x14ac:dyDescent="0.25">
      <c r="A24" s="8">
        <f>A23+1</f>
        <v>201</v>
      </c>
      <c r="B24" s="167" t="s">
        <v>646</v>
      </c>
      <c r="C24" s="182">
        <v>1929</v>
      </c>
      <c r="D24" s="181">
        <v>5.5E-2</v>
      </c>
      <c r="E24" s="180">
        <v>1.375</v>
      </c>
      <c r="F24" s="179">
        <v>29329075</v>
      </c>
      <c r="G24" s="178">
        <v>-173730</v>
      </c>
      <c r="H24" s="177">
        <v>1173163</v>
      </c>
      <c r="I24" s="24">
        <f>F24+G24</f>
        <v>29155345</v>
      </c>
      <c r="J24" s="24">
        <f>(H24*E24)</f>
        <v>1613099.125</v>
      </c>
      <c r="K24" s="8">
        <f>A24</f>
        <v>201</v>
      </c>
      <c r="M24" s="26"/>
      <c r="N24" s="26"/>
    </row>
    <row r="25" spans="1:14" x14ac:dyDescent="0.25">
      <c r="A25" s="8">
        <f>A24+1</f>
        <v>202</v>
      </c>
      <c r="B25" s="167" t="s">
        <v>645</v>
      </c>
      <c r="C25" s="182">
        <v>15166</v>
      </c>
      <c r="D25" s="181">
        <v>0.05</v>
      </c>
      <c r="E25" s="180">
        <v>1.25</v>
      </c>
      <c r="F25" s="179">
        <v>10000000</v>
      </c>
      <c r="G25" s="178">
        <v>726283</v>
      </c>
      <c r="H25" s="177">
        <v>400000</v>
      </c>
      <c r="I25" s="24">
        <f>F25+G25</f>
        <v>10726283</v>
      </c>
      <c r="J25" s="24">
        <f>(H25*E25)</f>
        <v>500000</v>
      </c>
      <c r="K25" s="8">
        <f>A25</f>
        <v>202</v>
      </c>
      <c r="M25" s="26"/>
      <c r="N25" s="26"/>
    </row>
    <row r="26" spans="1:14" x14ac:dyDescent="0.25">
      <c r="A26" s="8">
        <f>A25+1</f>
        <v>203</v>
      </c>
      <c r="B26" s="167" t="s">
        <v>644</v>
      </c>
      <c r="C26" s="182">
        <v>17712</v>
      </c>
      <c r="D26" s="181">
        <v>0.05</v>
      </c>
      <c r="E26" s="180">
        <v>1.25</v>
      </c>
      <c r="F26" s="179">
        <v>44454300</v>
      </c>
      <c r="G26" s="178">
        <v>-716366</v>
      </c>
      <c r="H26" s="177">
        <v>1778172</v>
      </c>
      <c r="I26" s="24">
        <f>F26+G26</f>
        <v>43737934</v>
      </c>
      <c r="J26" s="24">
        <f>(H26*E26)</f>
        <v>2222715</v>
      </c>
      <c r="K26" s="8">
        <f>A26</f>
        <v>203</v>
      </c>
      <c r="M26" s="26"/>
      <c r="N26" s="26"/>
    </row>
    <row r="27" spans="1:14" x14ac:dyDescent="0.25">
      <c r="A27" s="8">
        <f>A26+1</f>
        <v>204</v>
      </c>
      <c r="B27" s="167" t="s">
        <v>643</v>
      </c>
      <c r="C27" s="182">
        <v>18022</v>
      </c>
      <c r="D27" s="181">
        <v>0.05</v>
      </c>
      <c r="E27" s="180">
        <v>1.25</v>
      </c>
      <c r="F27" s="179">
        <v>23358050</v>
      </c>
      <c r="G27" s="178">
        <v>542539</v>
      </c>
      <c r="H27" s="177">
        <v>934322</v>
      </c>
      <c r="I27" s="24">
        <f>F27+G27</f>
        <v>23900589</v>
      </c>
      <c r="J27" s="24">
        <f>(H27*E27)</f>
        <v>1167902.5</v>
      </c>
      <c r="K27" s="8">
        <f>A27</f>
        <v>204</v>
      </c>
      <c r="M27" s="26"/>
      <c r="N27" s="26"/>
    </row>
    <row r="28" spans="1:14" x14ac:dyDescent="0.25">
      <c r="A28" s="8">
        <f>A27+1</f>
        <v>205</v>
      </c>
      <c r="B28" s="167" t="s">
        <v>642</v>
      </c>
      <c r="C28" s="182">
        <v>18288</v>
      </c>
      <c r="D28" s="181">
        <v>4.8000000000000001E-2</v>
      </c>
      <c r="E28" s="180">
        <v>1.2</v>
      </c>
      <c r="F28" s="179">
        <v>19825775</v>
      </c>
      <c r="G28" s="178">
        <v>1006320.34261801</v>
      </c>
      <c r="H28" s="177">
        <v>793031</v>
      </c>
      <c r="I28" s="24">
        <f>F28+G28</f>
        <v>20832095.342618011</v>
      </c>
      <c r="J28" s="24">
        <f>(H28*E28)</f>
        <v>951637.2</v>
      </c>
      <c r="K28" s="8">
        <f>A28</f>
        <v>205</v>
      </c>
      <c r="M28" s="26"/>
      <c r="N28" s="26"/>
    </row>
    <row r="29" spans="1:14" x14ac:dyDescent="0.25">
      <c r="A29" s="8">
        <f>A28+1</f>
        <v>206</v>
      </c>
      <c r="B29" s="167" t="s">
        <v>641</v>
      </c>
      <c r="C29" s="182">
        <v>19897</v>
      </c>
      <c r="D29" s="181">
        <v>4.4999999999999998E-2</v>
      </c>
      <c r="E29" s="180">
        <v>1.125</v>
      </c>
      <c r="F29" s="179">
        <v>15278550</v>
      </c>
      <c r="G29" s="178">
        <v>70693.849467725595</v>
      </c>
      <c r="H29" s="177">
        <v>611142</v>
      </c>
      <c r="I29" s="24">
        <f>F29+G29</f>
        <v>15349243.849467726</v>
      </c>
      <c r="J29" s="24">
        <f>(H29*E29)</f>
        <v>687534.75</v>
      </c>
      <c r="K29" s="8">
        <f>A29</f>
        <v>206</v>
      </c>
      <c r="M29" s="26"/>
      <c r="N29" s="26"/>
    </row>
    <row r="30" spans="1:14" x14ac:dyDescent="0.25">
      <c r="A30" s="8">
        <f>A29+1</f>
        <v>207</v>
      </c>
      <c r="B30" s="167" t="s">
        <v>640</v>
      </c>
      <c r="C30" s="182">
        <v>20387</v>
      </c>
      <c r="D30" s="181">
        <v>4.36E-2</v>
      </c>
      <c r="E30" s="180">
        <v>1.0900000000000001</v>
      </c>
      <c r="F30" s="179">
        <v>10457275</v>
      </c>
      <c r="G30" s="178">
        <v>-29509.175177000001</v>
      </c>
      <c r="H30" s="177">
        <v>418291</v>
      </c>
      <c r="I30" s="24">
        <f>F30+G30</f>
        <v>10427765.824823</v>
      </c>
      <c r="J30" s="24">
        <f>(H30*E30)</f>
        <v>455937.19000000006</v>
      </c>
      <c r="K30" s="8">
        <f>A30</f>
        <v>207</v>
      </c>
      <c r="M30" s="26"/>
      <c r="N30" s="26"/>
    </row>
    <row r="31" spans="1:14" x14ac:dyDescent="0.25">
      <c r="A31" s="8">
        <f>A30+1</f>
        <v>208</v>
      </c>
      <c r="E31" s="76" t="s">
        <v>639</v>
      </c>
      <c r="F31" s="94">
        <f>SUM(F23:F30)</f>
        <v>257994575</v>
      </c>
      <c r="G31" s="94">
        <f>SUM(G23:G30)</f>
        <v>-5940273.2340178555</v>
      </c>
      <c r="H31" s="176">
        <f>SUM(H23:H30)</f>
        <v>10319782</v>
      </c>
      <c r="I31" s="94">
        <f>SUM(I23:I30)</f>
        <v>252054301.76598215</v>
      </c>
      <c r="J31" s="94">
        <f>SUM(J23:J30)</f>
        <v>13916317.264999999</v>
      </c>
      <c r="K31" s="8">
        <f>A31</f>
        <v>208</v>
      </c>
      <c r="N31" s="49"/>
    </row>
    <row r="33" spans="1:11" x14ac:dyDescent="0.25">
      <c r="B33" s="83" t="s">
        <v>638</v>
      </c>
      <c r="C33" s="35"/>
      <c r="D33" s="35"/>
      <c r="E33" s="35"/>
      <c r="F33" s="35"/>
      <c r="G33" s="35"/>
      <c r="H33" s="35"/>
      <c r="I33" s="35"/>
      <c r="J33" s="35"/>
    </row>
    <row r="34" spans="1:11" x14ac:dyDescent="0.25">
      <c r="B34" s="175" t="s">
        <v>492</v>
      </c>
      <c r="C34" s="175" t="s">
        <v>491</v>
      </c>
      <c r="D34" s="175" t="s">
        <v>490</v>
      </c>
      <c r="E34" s="175" t="s">
        <v>489</v>
      </c>
      <c r="F34" s="175" t="s">
        <v>519</v>
      </c>
      <c r="G34" s="175" t="s">
        <v>518</v>
      </c>
    </row>
    <row r="35" spans="1:11" x14ac:dyDescent="0.25">
      <c r="B35" s="8"/>
      <c r="C35" s="8"/>
      <c r="D35" s="8"/>
      <c r="E35" s="8"/>
      <c r="F35" s="8"/>
      <c r="G35" s="8"/>
      <c r="H35" s="39"/>
    </row>
    <row r="37" spans="1:11" ht="30" x14ac:dyDescent="0.25">
      <c r="A37" s="33" t="s">
        <v>106</v>
      </c>
      <c r="B37" s="174" t="s">
        <v>321</v>
      </c>
      <c r="C37" s="173" t="s">
        <v>637</v>
      </c>
      <c r="D37" s="172" t="s">
        <v>636</v>
      </c>
      <c r="E37" s="172" t="s">
        <v>635</v>
      </c>
      <c r="F37" s="172" t="s">
        <v>634</v>
      </c>
      <c r="G37" s="172" t="s">
        <v>633</v>
      </c>
      <c r="H37" s="171" t="s">
        <v>632</v>
      </c>
      <c r="I37" s="71"/>
      <c r="K37" s="33" t="str">
        <f>A37</f>
        <v>Line</v>
      </c>
    </row>
    <row r="38" spans="1:11" x14ac:dyDescent="0.25">
      <c r="A38" s="8">
        <v>300</v>
      </c>
      <c r="B38" s="170"/>
      <c r="C38" s="168"/>
      <c r="D38" s="166"/>
      <c r="E38" s="166"/>
      <c r="F38" s="167"/>
      <c r="G38" s="166"/>
      <c r="H38" s="166"/>
      <c r="K38" s="8">
        <f>A38</f>
        <v>300</v>
      </c>
    </row>
    <row r="39" spans="1:11" x14ac:dyDescent="0.25">
      <c r="A39" s="8">
        <f>A38+1</f>
        <v>301</v>
      </c>
      <c r="B39" s="170"/>
      <c r="C39" s="168"/>
      <c r="D39" s="166"/>
      <c r="E39" s="166"/>
      <c r="F39" s="167"/>
      <c r="G39" s="166"/>
      <c r="H39" s="166"/>
      <c r="K39" s="8">
        <f>A39</f>
        <v>301</v>
      </c>
    </row>
    <row r="40" spans="1:11" x14ac:dyDescent="0.25">
      <c r="A40" s="8">
        <f>A39+1</f>
        <v>302</v>
      </c>
      <c r="B40" s="170"/>
      <c r="C40" s="168"/>
      <c r="D40" s="166"/>
      <c r="E40" s="166"/>
      <c r="F40" s="167"/>
      <c r="G40" s="166"/>
      <c r="H40" s="166"/>
      <c r="K40" s="8">
        <f>A40</f>
        <v>302</v>
      </c>
    </row>
    <row r="41" spans="1:11" x14ac:dyDescent="0.25">
      <c r="A41" s="8">
        <f>A40+1</f>
        <v>303</v>
      </c>
      <c r="B41" s="169"/>
      <c r="C41" s="168"/>
      <c r="D41" s="166"/>
      <c r="E41" s="166"/>
      <c r="F41" s="167"/>
      <c r="G41" s="166"/>
      <c r="H41" s="166"/>
      <c r="K41" s="8">
        <f>A41</f>
        <v>303</v>
      </c>
    </row>
    <row r="42" spans="1:11" x14ac:dyDescent="0.25">
      <c r="A42" s="8">
        <f>A41+1</f>
        <v>304</v>
      </c>
      <c r="B42" s="165" t="s">
        <v>631</v>
      </c>
      <c r="C42" s="164"/>
      <c r="D42" s="164"/>
      <c r="E42" s="164"/>
      <c r="F42" s="164"/>
      <c r="G42" s="164"/>
      <c r="H42" s="164"/>
      <c r="I42" s="163"/>
      <c r="K42" s="8">
        <f>A42</f>
        <v>304</v>
      </c>
    </row>
    <row r="43" spans="1:11" x14ac:dyDescent="0.25">
      <c r="A43" s="8">
        <f>A42+1</f>
        <v>305</v>
      </c>
      <c r="D43" s="76" t="s">
        <v>630</v>
      </c>
      <c r="E43" s="162">
        <f>SUM(E38:E42)*1000</f>
        <v>0</v>
      </c>
      <c r="F43" s="162"/>
      <c r="G43" s="162">
        <f>SUM(G38:G42)*1000</f>
        <v>0</v>
      </c>
      <c r="K43" s="8">
        <f>A43</f>
        <v>305</v>
      </c>
    </row>
    <row r="45" spans="1:11" x14ac:dyDescent="0.25">
      <c r="B45" s="25" t="s">
        <v>145</v>
      </c>
    </row>
    <row r="46" spans="1:11" x14ac:dyDescent="0.25">
      <c r="B46" s="6" t="s">
        <v>629</v>
      </c>
    </row>
    <row r="47" spans="1:11" x14ac:dyDescent="0.25">
      <c r="B47" s="6" t="s">
        <v>628</v>
      </c>
    </row>
    <row r="48" spans="1:11" x14ac:dyDescent="0.25">
      <c r="B48" s="161" t="s">
        <v>627</v>
      </c>
    </row>
  </sheetData>
  <printOptions horizontalCentered="1"/>
  <pageMargins left="1" right="1" top="1" bottom="1" header="0.5" footer="0.5"/>
  <pageSetup scale="59" fitToHeight="0" orientation="landscape" r:id="rId1"/>
  <headerFooter>
    <oddHeader>&amp;R&amp;F</oddHeader>
  </headerFooter>
  <customProperties>
    <customPr name="_pios_id" r:id="rId2"/>
  </customPropertie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9CC6E6-A109-43B4-872D-A9A254B0B938}">
  <sheetPr>
    <pageSetUpPr fitToPage="1"/>
  </sheetPr>
  <dimension ref="A1:R99"/>
  <sheetViews>
    <sheetView showGridLines="0" view="pageBreakPreview" topLeftCell="A58" zoomScale="60" zoomScaleNormal="81" workbookViewId="0">
      <selection activeCell="Q36" sqref="Q36"/>
    </sheetView>
  </sheetViews>
  <sheetFormatPr defaultColWidth="8.85546875" defaultRowHeight="15" x14ac:dyDescent="0.25"/>
  <cols>
    <col min="1" max="1" width="8.140625" style="121" bestFit="1" customWidth="1"/>
    <col min="2" max="2" width="61.85546875" style="121" customWidth="1"/>
    <col min="3" max="3" width="25.5703125" style="121" customWidth="1"/>
    <col min="4" max="4" width="18.42578125" style="121" customWidth="1"/>
    <col min="5" max="6" width="18.85546875" style="121" customWidth="1"/>
    <col min="7" max="7" width="20.5703125" style="121" customWidth="1"/>
    <col min="8" max="8" width="18.5703125" style="121" customWidth="1"/>
    <col min="9" max="9" width="18.140625" style="121" customWidth="1"/>
    <col min="10" max="10" width="18.5703125" style="121" customWidth="1"/>
    <col min="11" max="12" width="18.85546875" style="121" customWidth="1"/>
    <col min="13" max="13" width="18.5703125" style="121" customWidth="1"/>
    <col min="14" max="16" width="18.85546875" style="121" customWidth="1"/>
    <col min="17" max="17" width="103" style="121" customWidth="1"/>
    <col min="18" max="18" width="8.140625" style="121" bestFit="1" customWidth="1"/>
    <col min="19" max="21" width="8.85546875" style="121"/>
    <col min="22" max="22" width="15.140625" style="121" customWidth="1"/>
    <col min="23" max="23" width="8.85546875" style="121"/>
    <col min="24" max="24" width="14.140625" style="121" customWidth="1"/>
    <col min="25" max="16384" width="8.85546875" style="121"/>
  </cols>
  <sheetData>
    <row r="1" spans="1:18" x14ac:dyDescent="0.25">
      <c r="B1" s="30" t="s">
        <v>772</v>
      </c>
    </row>
    <row r="2" spans="1:18" x14ac:dyDescent="0.25">
      <c r="B2" s="125" t="s">
        <v>771</v>
      </c>
      <c r="O2" s="76"/>
      <c r="P2" s="76"/>
      <c r="Q2" s="76"/>
    </row>
    <row r="3" spans="1:18" x14ac:dyDescent="0.25">
      <c r="B3" s="77" t="s">
        <v>367</v>
      </c>
      <c r="C3" s="230"/>
      <c r="D3" s="230"/>
      <c r="O3" s="76"/>
    </row>
    <row r="4" spans="1:18" x14ac:dyDescent="0.25">
      <c r="B4" s="30"/>
    </row>
    <row r="5" spans="1:18" x14ac:dyDescent="0.25">
      <c r="B5" s="30"/>
    </row>
    <row r="6" spans="1:18" x14ac:dyDescent="0.25">
      <c r="C6" s="229" t="s">
        <v>492</v>
      </c>
      <c r="D6" s="229" t="s">
        <v>491</v>
      </c>
      <c r="E6" s="229" t="s">
        <v>490</v>
      </c>
      <c r="F6" s="229" t="s">
        <v>489</v>
      </c>
      <c r="G6" s="229" t="s">
        <v>519</v>
      </c>
      <c r="H6" s="229" t="s">
        <v>518</v>
      </c>
      <c r="I6" s="229" t="s">
        <v>517</v>
      </c>
      <c r="J6" s="229" t="s">
        <v>538</v>
      </c>
      <c r="K6" s="229" t="s">
        <v>537</v>
      </c>
      <c r="L6" s="229" t="s">
        <v>770</v>
      </c>
      <c r="M6" s="229" t="s">
        <v>769</v>
      </c>
      <c r="N6" s="229" t="s">
        <v>768</v>
      </c>
      <c r="O6" s="229" t="s">
        <v>767</v>
      </c>
      <c r="P6" s="229" t="s">
        <v>766</v>
      </c>
      <c r="Q6" s="228" t="s">
        <v>765</v>
      </c>
    </row>
    <row r="7" spans="1:18" x14ac:dyDescent="0.25">
      <c r="C7" s="225" t="s">
        <v>764</v>
      </c>
      <c r="D7" s="224" t="s">
        <v>467</v>
      </c>
      <c r="E7" s="135" t="s">
        <v>478</v>
      </c>
      <c r="F7" s="135" t="s">
        <v>477</v>
      </c>
      <c r="G7" s="135" t="s">
        <v>476</v>
      </c>
      <c r="H7" s="135" t="s">
        <v>475</v>
      </c>
      <c r="I7" s="135" t="s">
        <v>474</v>
      </c>
      <c r="J7" s="135" t="s">
        <v>763</v>
      </c>
      <c r="K7" s="135" t="s">
        <v>472</v>
      </c>
      <c r="L7" s="135" t="s">
        <v>471</v>
      </c>
      <c r="M7" s="135" t="s">
        <v>470</v>
      </c>
      <c r="N7" s="135" t="s">
        <v>469</v>
      </c>
      <c r="O7" s="135" t="s">
        <v>468</v>
      </c>
      <c r="P7" s="135" t="s">
        <v>467</v>
      </c>
      <c r="Q7" s="227" t="s">
        <v>724</v>
      </c>
    </row>
    <row r="8" spans="1:18" x14ac:dyDescent="0.25">
      <c r="A8" s="226"/>
      <c r="B8" s="226"/>
      <c r="C8" s="135" t="s">
        <v>762</v>
      </c>
      <c r="D8" s="149">
        <v>2024</v>
      </c>
      <c r="E8" s="149">
        <v>2025</v>
      </c>
      <c r="F8" s="149">
        <v>2025</v>
      </c>
      <c r="G8" s="149">
        <v>2025</v>
      </c>
      <c r="H8" s="149">
        <v>2025</v>
      </c>
      <c r="I8" s="149">
        <v>2025</v>
      </c>
      <c r="J8" s="149">
        <v>2025</v>
      </c>
      <c r="K8" s="149">
        <v>2025</v>
      </c>
      <c r="L8" s="149">
        <v>2025</v>
      </c>
      <c r="M8" s="149">
        <v>2025</v>
      </c>
      <c r="N8" s="149">
        <v>2025</v>
      </c>
      <c r="O8" s="149">
        <v>2025</v>
      </c>
      <c r="P8" s="149">
        <v>2025</v>
      </c>
      <c r="Q8" s="135"/>
    </row>
    <row r="9" spans="1:18" x14ac:dyDescent="0.25">
      <c r="B9" s="213" t="s">
        <v>79</v>
      </c>
      <c r="C9" s="225"/>
      <c r="D9" s="224"/>
      <c r="E9" s="135"/>
      <c r="F9" s="135"/>
      <c r="G9" s="135"/>
      <c r="H9" s="135"/>
      <c r="I9" s="135"/>
      <c r="J9" s="135"/>
      <c r="K9" s="135"/>
      <c r="L9" s="135"/>
      <c r="M9" s="135"/>
      <c r="N9" s="135"/>
      <c r="O9" s="135"/>
      <c r="P9" s="135"/>
      <c r="Q9" s="135"/>
    </row>
    <row r="10" spans="1:18" x14ac:dyDescent="0.25">
      <c r="A10" s="33" t="s">
        <v>106</v>
      </c>
      <c r="B10" s="123" t="s">
        <v>595</v>
      </c>
      <c r="D10" s="224"/>
      <c r="E10" s="223"/>
      <c r="F10" s="223"/>
      <c r="G10" s="223"/>
      <c r="H10" s="223"/>
      <c r="I10" s="223"/>
      <c r="J10" s="223"/>
      <c r="K10" s="223"/>
      <c r="L10" s="223"/>
      <c r="M10" s="223"/>
      <c r="N10" s="223"/>
      <c r="O10" s="223"/>
      <c r="P10" s="223"/>
      <c r="Q10" s="223"/>
      <c r="R10" s="33" t="str">
        <f>A10</f>
        <v>Line</v>
      </c>
    </row>
    <row r="11" spans="1:18" x14ac:dyDescent="0.25">
      <c r="A11" s="124">
        <v>100</v>
      </c>
      <c r="B11" s="124"/>
      <c r="C11" s="203">
        <f>SUM(C12:C13)</f>
        <v>40273752447.619232</v>
      </c>
      <c r="D11" s="203">
        <f>SUM(D12:D13)</f>
        <v>39077939854</v>
      </c>
      <c r="E11" s="203">
        <f>SUM(E12:E13)</f>
        <v>39077939854</v>
      </c>
      <c r="F11" s="203">
        <f>SUM(F12:F13)</f>
        <v>40827939854</v>
      </c>
      <c r="G11" s="203">
        <f>SUM(G12:G13)</f>
        <v>40827939854</v>
      </c>
      <c r="H11" s="203">
        <f>SUM(H12:H13)</f>
        <v>40827939854</v>
      </c>
      <c r="I11" s="203">
        <f>SUM(I12:I13)</f>
        <v>40827913352.050003</v>
      </c>
      <c r="J11" s="203">
        <f>SUM(J12:J13)</f>
        <v>41027939854</v>
      </c>
      <c r="K11" s="203">
        <f>SUM(K12:K13)</f>
        <v>40152939854</v>
      </c>
      <c r="L11" s="203">
        <f>SUM(L12:L13)</f>
        <v>40152939854</v>
      </c>
      <c r="M11" s="203">
        <f>SUM(M12:M13)</f>
        <v>40152939854</v>
      </c>
      <c r="N11" s="203">
        <f>SUM(N12:N13)</f>
        <v>40201469927</v>
      </c>
      <c r="O11" s="203">
        <f>SUM(O12:O13)</f>
        <v>40201469927</v>
      </c>
      <c r="P11" s="203">
        <f>SUM(P12:P13)</f>
        <v>40201469927</v>
      </c>
      <c r="Q11" s="200"/>
      <c r="R11" s="124">
        <f>A11</f>
        <v>100</v>
      </c>
    </row>
    <row r="12" spans="1:18" s="214" customFormat="1" x14ac:dyDescent="0.25">
      <c r="A12" s="215">
        <f>A11+1</f>
        <v>101</v>
      </c>
      <c r="B12" s="219" t="s">
        <v>761</v>
      </c>
      <c r="C12" s="218">
        <f>SUM(D12:P12)/13</f>
        <v>41086295150.296921</v>
      </c>
      <c r="D12" s="222">
        <v>39964079098.980003</v>
      </c>
      <c r="E12" s="222">
        <v>39964079098.980003</v>
      </c>
      <c r="F12" s="222">
        <v>41714079098.980003</v>
      </c>
      <c r="G12" s="222">
        <v>41640248761.209999</v>
      </c>
      <c r="H12" s="222">
        <v>41640248761.209999</v>
      </c>
      <c r="I12" s="222">
        <v>41640222259.260002</v>
      </c>
      <c r="J12" s="222">
        <v>41836135895.529999</v>
      </c>
      <c r="K12" s="222">
        <v>40961135895.529999</v>
      </c>
      <c r="L12" s="222">
        <v>40957484023.120003</v>
      </c>
      <c r="M12" s="222">
        <v>40943871971.589996</v>
      </c>
      <c r="N12" s="222">
        <v>40968345712.730003</v>
      </c>
      <c r="O12" s="222">
        <v>40952530614.889999</v>
      </c>
      <c r="P12" s="222">
        <v>40939375761.849998</v>
      </c>
      <c r="Q12" s="221" t="s">
        <v>760</v>
      </c>
      <c r="R12" s="215">
        <f>A12</f>
        <v>101</v>
      </c>
    </row>
    <row r="13" spans="1:18" x14ac:dyDescent="0.25">
      <c r="A13" s="124">
        <f>A12+1</f>
        <v>102</v>
      </c>
      <c r="B13" s="198" t="s">
        <v>759</v>
      </c>
      <c r="C13" s="197">
        <f>SUM(D13:P13)/13</f>
        <v>-812542702.67769229</v>
      </c>
      <c r="D13" s="201">
        <v>-886139244.98000014</v>
      </c>
      <c r="E13" s="201">
        <v>-886139244.98000014</v>
      </c>
      <c r="F13" s="201">
        <v>-886139244.98000014</v>
      </c>
      <c r="G13" s="201">
        <v>-812308907.21000004</v>
      </c>
      <c r="H13" s="201">
        <v>-812308907.21000004</v>
      </c>
      <c r="I13" s="201">
        <v>-812308907.21000004</v>
      </c>
      <c r="J13" s="201">
        <v>-808196041.52999997</v>
      </c>
      <c r="K13" s="201">
        <v>-808196041.52999997</v>
      </c>
      <c r="L13" s="201">
        <v>-804544169.12</v>
      </c>
      <c r="M13" s="201">
        <v>-790932117.59000003</v>
      </c>
      <c r="N13" s="201">
        <v>-766875785.73000002</v>
      </c>
      <c r="O13" s="201">
        <v>-751060687.88999999</v>
      </c>
      <c r="P13" s="201">
        <v>-737905834.85000002</v>
      </c>
      <c r="Q13" s="200"/>
      <c r="R13" s="124">
        <f>A13</f>
        <v>102</v>
      </c>
    </row>
    <row r="14" spans="1:18" x14ac:dyDescent="0.25">
      <c r="A14" s="124"/>
      <c r="B14" s="198"/>
      <c r="C14" s="198"/>
      <c r="D14" s="198"/>
      <c r="E14" s="198"/>
      <c r="F14" s="198"/>
      <c r="G14" s="198"/>
      <c r="H14" s="198"/>
      <c r="I14" s="198"/>
      <c r="J14" s="198"/>
      <c r="K14" s="198"/>
      <c r="L14" s="198"/>
      <c r="M14" s="198"/>
      <c r="N14" s="198"/>
      <c r="O14" s="198"/>
      <c r="P14" s="198"/>
      <c r="Q14" s="200"/>
      <c r="R14" s="124"/>
    </row>
    <row r="15" spans="1:18" x14ac:dyDescent="0.25">
      <c r="A15" s="124"/>
      <c r="B15" s="123" t="s">
        <v>758</v>
      </c>
      <c r="C15" s="197"/>
      <c r="D15" s="126"/>
      <c r="E15" s="126"/>
      <c r="F15" s="126"/>
      <c r="G15" s="126"/>
      <c r="H15" s="126"/>
      <c r="I15" s="126"/>
      <c r="J15" s="126"/>
      <c r="K15" s="126"/>
      <c r="L15" s="126"/>
      <c r="M15" s="126"/>
      <c r="N15" s="126"/>
      <c r="O15" s="126"/>
      <c r="P15" s="126"/>
      <c r="Q15" s="200"/>
      <c r="R15" s="124"/>
    </row>
    <row r="16" spans="1:18" s="214" customFormat="1" x14ac:dyDescent="0.25">
      <c r="A16" s="215">
        <v>200</v>
      </c>
      <c r="B16" s="219" t="s">
        <v>757</v>
      </c>
      <c r="C16" s="218">
        <f>SUM(D16:P16)/13</f>
        <v>0</v>
      </c>
      <c r="D16" s="222">
        <v>0</v>
      </c>
      <c r="E16" s="222">
        <v>0</v>
      </c>
      <c r="F16" s="222">
        <v>0</v>
      </c>
      <c r="G16" s="222">
        <v>0</v>
      </c>
      <c r="H16" s="222">
        <v>0</v>
      </c>
      <c r="I16" s="222">
        <v>0</v>
      </c>
      <c r="J16" s="222">
        <v>0</v>
      </c>
      <c r="K16" s="222">
        <v>0</v>
      </c>
      <c r="L16" s="222">
        <v>0</v>
      </c>
      <c r="M16" s="222">
        <v>0</v>
      </c>
      <c r="N16" s="222">
        <v>0</v>
      </c>
      <c r="O16" s="222">
        <v>0</v>
      </c>
      <c r="P16" s="222">
        <v>0</v>
      </c>
      <c r="Q16" s="221" t="s">
        <v>756</v>
      </c>
      <c r="R16" s="215">
        <f>A16</f>
        <v>200</v>
      </c>
    </row>
    <row r="17" spans="1:18" x14ac:dyDescent="0.25">
      <c r="A17" s="124"/>
      <c r="B17" s="124"/>
      <c r="C17" s="197"/>
      <c r="D17" s="197"/>
      <c r="E17" s="197"/>
      <c r="F17" s="197"/>
      <c r="G17" s="197"/>
      <c r="H17" s="197"/>
      <c r="I17" s="197"/>
      <c r="J17" s="197"/>
      <c r="K17" s="197"/>
      <c r="L17" s="197"/>
      <c r="M17" s="197"/>
      <c r="N17" s="197"/>
      <c r="O17" s="197"/>
      <c r="P17" s="197"/>
      <c r="Q17" s="200"/>
      <c r="R17" s="124"/>
    </row>
    <row r="18" spans="1:18" x14ac:dyDescent="0.25">
      <c r="A18" s="124"/>
      <c r="B18" s="123" t="s">
        <v>755</v>
      </c>
      <c r="C18" s="197"/>
      <c r="D18" s="126"/>
      <c r="E18" s="126"/>
      <c r="F18" s="126"/>
      <c r="G18" s="126"/>
      <c r="H18" s="126"/>
      <c r="I18" s="126"/>
      <c r="J18" s="126"/>
      <c r="K18" s="126"/>
      <c r="L18" s="126"/>
      <c r="M18" s="126"/>
      <c r="N18" s="126"/>
      <c r="O18" s="126"/>
      <c r="P18" s="126"/>
      <c r="Q18" s="200"/>
      <c r="R18" s="124"/>
    </row>
    <row r="19" spans="1:18" s="214" customFormat="1" x14ac:dyDescent="0.25">
      <c r="A19" s="215">
        <v>300</v>
      </c>
      <c r="B19" s="219" t="s">
        <v>754</v>
      </c>
      <c r="C19" s="218">
        <f>SUM(D19:P19)/13</f>
        <v>0</v>
      </c>
      <c r="D19" s="222">
        <v>0</v>
      </c>
      <c r="E19" s="222">
        <v>0</v>
      </c>
      <c r="F19" s="222">
        <v>0</v>
      </c>
      <c r="G19" s="222">
        <v>0</v>
      </c>
      <c r="H19" s="222">
        <v>0</v>
      </c>
      <c r="I19" s="222">
        <v>0</v>
      </c>
      <c r="J19" s="222">
        <v>0</v>
      </c>
      <c r="K19" s="222">
        <v>0</v>
      </c>
      <c r="L19" s="222">
        <v>0</v>
      </c>
      <c r="M19" s="222">
        <v>0</v>
      </c>
      <c r="N19" s="222">
        <v>0</v>
      </c>
      <c r="O19" s="222">
        <v>0</v>
      </c>
      <c r="P19" s="222">
        <v>0</v>
      </c>
      <c r="Q19" s="221" t="s">
        <v>753</v>
      </c>
      <c r="R19" s="215">
        <f>A19</f>
        <v>300</v>
      </c>
    </row>
    <row r="20" spans="1:18" x14ac:dyDescent="0.25">
      <c r="A20" s="124"/>
      <c r="B20" s="124"/>
      <c r="C20" s="197"/>
      <c r="D20" s="197"/>
      <c r="E20" s="197"/>
      <c r="F20" s="197"/>
      <c r="G20" s="197"/>
      <c r="H20" s="197"/>
      <c r="I20" s="197"/>
      <c r="J20" s="197"/>
      <c r="K20" s="197"/>
      <c r="L20" s="197"/>
      <c r="M20" s="197"/>
      <c r="N20" s="197"/>
      <c r="O20" s="197"/>
      <c r="P20" s="197"/>
      <c r="Q20" s="200"/>
      <c r="R20" s="124"/>
    </row>
    <row r="21" spans="1:18" x14ac:dyDescent="0.25">
      <c r="A21" s="124"/>
      <c r="B21" s="123" t="s">
        <v>752</v>
      </c>
      <c r="C21" s="197"/>
      <c r="D21" s="126"/>
      <c r="E21" s="126"/>
      <c r="F21" s="126"/>
      <c r="G21" s="126"/>
      <c r="H21" s="126"/>
      <c r="I21" s="126"/>
      <c r="J21" s="126"/>
      <c r="K21" s="126"/>
      <c r="L21" s="126"/>
      <c r="M21" s="126"/>
      <c r="N21" s="126"/>
      <c r="O21" s="126"/>
      <c r="P21" s="126"/>
      <c r="Q21" s="200"/>
      <c r="R21" s="124"/>
    </row>
    <row r="22" spans="1:18" s="214" customFormat="1" x14ac:dyDescent="0.25">
      <c r="A22" s="215">
        <v>400</v>
      </c>
      <c r="B22" s="219" t="s">
        <v>751</v>
      </c>
      <c r="C22" s="218">
        <f>SUM(D22:P22)/13</f>
        <v>29539571.209230766</v>
      </c>
      <c r="D22" s="222">
        <v>29066004.09</v>
      </c>
      <c r="E22" s="222">
        <v>28942179.34</v>
      </c>
      <c r="F22" s="222">
        <v>28818354.600000001</v>
      </c>
      <c r="G22" s="222">
        <v>28694529.850000001</v>
      </c>
      <c r="H22" s="222">
        <v>28570705.109999999</v>
      </c>
      <c r="I22" s="222">
        <v>28446880.359999999</v>
      </c>
      <c r="J22" s="222">
        <v>28323055.620000001</v>
      </c>
      <c r="K22" s="222">
        <v>28199230.870000001</v>
      </c>
      <c r="L22" s="222">
        <v>28075406.129999999</v>
      </c>
      <c r="M22" s="222">
        <v>27951581.379999999</v>
      </c>
      <c r="N22" s="222">
        <v>33274459.34</v>
      </c>
      <c r="O22" s="222">
        <v>32975499.449999999</v>
      </c>
      <c r="P22" s="222">
        <v>32676539.579999998</v>
      </c>
      <c r="Q22" s="221" t="s">
        <v>750</v>
      </c>
      <c r="R22" s="215">
        <f>A22</f>
        <v>400</v>
      </c>
    </row>
    <row r="23" spans="1:18" x14ac:dyDescent="0.25">
      <c r="A23" s="124"/>
      <c r="C23" s="197"/>
      <c r="D23" s="197"/>
      <c r="E23" s="197"/>
      <c r="F23" s="197"/>
      <c r="G23" s="197"/>
      <c r="H23" s="197"/>
      <c r="I23" s="197"/>
      <c r="J23" s="197"/>
      <c r="K23" s="197"/>
      <c r="L23" s="197"/>
      <c r="M23" s="197"/>
      <c r="N23" s="197"/>
      <c r="O23" s="197"/>
      <c r="P23" s="197"/>
      <c r="Q23" s="200"/>
      <c r="R23" s="124"/>
    </row>
    <row r="24" spans="1:18" x14ac:dyDescent="0.25">
      <c r="A24" s="124"/>
      <c r="B24" s="123" t="s">
        <v>749</v>
      </c>
      <c r="C24" s="197"/>
      <c r="D24" s="126"/>
      <c r="E24" s="126"/>
      <c r="F24" s="126"/>
      <c r="G24" s="126"/>
      <c r="H24" s="126"/>
      <c r="I24" s="126"/>
      <c r="J24" s="126"/>
      <c r="K24" s="126"/>
      <c r="L24" s="126"/>
      <c r="M24" s="126"/>
      <c r="N24" s="126"/>
      <c r="O24" s="126"/>
      <c r="P24" s="126"/>
      <c r="Q24" s="200"/>
      <c r="R24" s="124"/>
    </row>
    <row r="25" spans="1:18" s="214" customFormat="1" x14ac:dyDescent="0.25">
      <c r="A25" s="215">
        <v>500</v>
      </c>
      <c r="B25" s="219" t="s">
        <v>748</v>
      </c>
      <c r="C25" s="218">
        <f>SUM(D25:P25)/13</f>
        <v>57804726.900000006</v>
      </c>
      <c r="D25" s="222">
        <v>54798413.240000002</v>
      </c>
      <c r="E25" s="222">
        <v>54445647.240000002</v>
      </c>
      <c r="F25" s="222">
        <v>56501618.130000003</v>
      </c>
      <c r="G25" s="222">
        <v>56141273.539999999</v>
      </c>
      <c r="H25" s="222">
        <v>55780928.93</v>
      </c>
      <c r="I25" s="222">
        <v>55420584.350000001</v>
      </c>
      <c r="J25" s="222">
        <v>59839064.799999997</v>
      </c>
      <c r="K25" s="222">
        <v>59440711.030000001</v>
      </c>
      <c r="L25" s="222">
        <v>59042357.239999995</v>
      </c>
      <c r="M25" s="222">
        <v>58644003.469999999</v>
      </c>
      <c r="N25" s="222">
        <v>60889343.699999996</v>
      </c>
      <c r="O25" s="222">
        <v>60468949.25</v>
      </c>
      <c r="P25" s="222">
        <v>60048554.780000001</v>
      </c>
      <c r="Q25" s="221" t="s">
        <v>747</v>
      </c>
      <c r="R25" s="215">
        <f>A25</f>
        <v>500</v>
      </c>
    </row>
    <row r="26" spans="1:18" x14ac:dyDescent="0.25">
      <c r="A26" s="124"/>
      <c r="B26" s="138"/>
      <c r="C26" s="197"/>
      <c r="D26" s="197"/>
      <c r="E26" s="197"/>
      <c r="F26" s="197"/>
      <c r="G26" s="197"/>
      <c r="H26" s="197"/>
      <c r="I26" s="197"/>
      <c r="J26" s="197"/>
      <c r="K26" s="197"/>
      <c r="L26" s="197"/>
      <c r="M26" s="197"/>
      <c r="N26" s="197"/>
      <c r="O26" s="197"/>
      <c r="P26" s="197"/>
      <c r="Q26" s="210"/>
      <c r="R26" s="124"/>
    </row>
    <row r="27" spans="1:18" x14ac:dyDescent="0.25">
      <c r="A27" s="124"/>
      <c r="B27" s="213" t="s">
        <v>746</v>
      </c>
      <c r="C27" s="197"/>
      <c r="D27" s="130"/>
      <c r="E27" s="130"/>
      <c r="F27" s="130"/>
      <c r="G27" s="130"/>
      <c r="H27" s="130"/>
      <c r="I27" s="130"/>
      <c r="J27" s="130"/>
      <c r="K27" s="130"/>
      <c r="L27" s="130"/>
      <c r="M27" s="130"/>
      <c r="N27" s="130"/>
      <c r="O27" s="130"/>
      <c r="P27" s="130"/>
      <c r="Q27" s="210"/>
      <c r="R27" s="124"/>
    </row>
    <row r="28" spans="1:18" x14ac:dyDescent="0.25">
      <c r="A28" s="124">
        <v>600</v>
      </c>
      <c r="B28" s="125"/>
      <c r="C28" s="203">
        <f>SUM(C29:C30)</f>
        <v>198341447.89076921</v>
      </c>
      <c r="D28" s="220">
        <f>SUM(D29:D30)</f>
        <v>161724261.82999998</v>
      </c>
      <c r="E28" s="220">
        <f>SUM(E29:E30)</f>
        <v>185657291.95999998</v>
      </c>
      <c r="F28" s="220">
        <f>SUM(F29:F30)</f>
        <v>199423347.86999997</v>
      </c>
      <c r="G28" s="220">
        <f>SUM(G29:G30)</f>
        <v>198531907.94</v>
      </c>
      <c r="H28" s="220">
        <f>SUM(H29:H30)</f>
        <v>196521663.47</v>
      </c>
      <c r="I28" s="220">
        <f>SUM(I29:I30)</f>
        <v>198233404.64000002</v>
      </c>
      <c r="J28" s="220">
        <f>SUM(J29:J30)</f>
        <v>205901978.32000002</v>
      </c>
      <c r="K28" s="220">
        <f>SUM(K29:K30)</f>
        <v>203862933.57000002</v>
      </c>
      <c r="L28" s="220">
        <f>SUM(L29:L30)</f>
        <v>201859503.88</v>
      </c>
      <c r="M28" s="220">
        <f>SUM(M29:M30)</f>
        <v>199184409.41</v>
      </c>
      <c r="N28" s="220">
        <f>SUM(N29:N30)</f>
        <v>208923835.43000004</v>
      </c>
      <c r="O28" s="220">
        <f>SUM(O29:O30)</f>
        <v>210519897.59999999</v>
      </c>
      <c r="P28" s="220">
        <f>SUM(P29:P30)</f>
        <v>208094386.66000003</v>
      </c>
      <c r="Q28" s="210"/>
      <c r="R28" s="124">
        <f>A28</f>
        <v>600</v>
      </c>
    </row>
    <row r="29" spans="1:18" s="214" customFormat="1" x14ac:dyDescent="0.25">
      <c r="A29" s="215">
        <f>A28+1</f>
        <v>601</v>
      </c>
      <c r="B29" s="219" t="s">
        <v>745</v>
      </c>
      <c r="C29" s="218">
        <f>SUM(D29:P29)/13</f>
        <v>238522210.60076922</v>
      </c>
      <c r="D29" s="217">
        <v>204054880.03999999</v>
      </c>
      <c r="E29" s="217">
        <v>227629600.94999999</v>
      </c>
      <c r="F29" s="217">
        <v>241037347.57999998</v>
      </c>
      <c r="G29" s="217">
        <v>239787598.40000001</v>
      </c>
      <c r="H29" s="217">
        <v>237419044.68000001</v>
      </c>
      <c r="I29" s="217">
        <v>238772476.60000002</v>
      </c>
      <c r="J29" s="217">
        <v>246082741.02000001</v>
      </c>
      <c r="K29" s="217">
        <v>243685387.01000002</v>
      </c>
      <c r="L29" s="217">
        <v>241323648.09</v>
      </c>
      <c r="M29" s="217">
        <v>238290244.37</v>
      </c>
      <c r="N29" s="217">
        <v>247671361.15000004</v>
      </c>
      <c r="O29" s="217">
        <v>248909114.03999999</v>
      </c>
      <c r="P29" s="217">
        <v>246125293.88000003</v>
      </c>
      <c r="Q29" s="216" t="s">
        <v>744</v>
      </c>
      <c r="R29" s="215">
        <f>A29</f>
        <v>601</v>
      </c>
    </row>
    <row r="30" spans="1:18" x14ac:dyDescent="0.25">
      <c r="A30" s="124">
        <f>A29+1</f>
        <v>602</v>
      </c>
      <c r="B30" s="198" t="s">
        <v>743</v>
      </c>
      <c r="C30" s="197">
        <f>SUM(D30:P30)/13</f>
        <v>-40180762.710000001</v>
      </c>
      <c r="D30" s="201">
        <v>-42330618.210000008</v>
      </c>
      <c r="E30" s="201">
        <v>-41972308.990000002</v>
      </c>
      <c r="F30" s="201">
        <v>-41613999.710000008</v>
      </c>
      <c r="G30" s="201">
        <v>-41255690.460000001</v>
      </c>
      <c r="H30" s="201">
        <v>-40897381.210000001</v>
      </c>
      <c r="I30" s="201">
        <v>-40539071.960000001</v>
      </c>
      <c r="J30" s="201">
        <v>-40180762.699999996</v>
      </c>
      <c r="K30" s="201">
        <v>-39822453.439999998</v>
      </c>
      <c r="L30" s="201">
        <v>-39464144.209999993</v>
      </c>
      <c r="M30" s="201">
        <v>-39105834.960000001</v>
      </c>
      <c r="N30" s="201">
        <v>-38747525.720000006</v>
      </c>
      <c r="O30" s="201">
        <v>-38389216.439999998</v>
      </c>
      <c r="P30" s="201">
        <v>-38030907.219999999</v>
      </c>
      <c r="Q30" s="210"/>
      <c r="R30" s="124">
        <f>A30</f>
        <v>602</v>
      </c>
    </row>
    <row r="31" spans="1:18" x14ac:dyDescent="0.25">
      <c r="A31" s="124"/>
      <c r="B31" s="125"/>
      <c r="C31" s="197"/>
      <c r="D31" s="197"/>
      <c r="E31" s="197"/>
      <c r="F31" s="197"/>
      <c r="G31" s="197"/>
      <c r="H31" s="197"/>
      <c r="I31" s="197"/>
      <c r="J31" s="197"/>
      <c r="K31" s="197"/>
      <c r="L31" s="197"/>
      <c r="M31" s="197"/>
      <c r="N31" s="197"/>
      <c r="O31" s="197"/>
      <c r="P31" s="197"/>
      <c r="Q31" s="210"/>
      <c r="R31" s="124"/>
    </row>
    <row r="32" spans="1:18" x14ac:dyDescent="0.25">
      <c r="A32" s="124"/>
      <c r="B32" s="213" t="s">
        <v>742</v>
      </c>
      <c r="C32" s="197"/>
      <c r="D32" s="130"/>
      <c r="E32" s="130"/>
      <c r="F32" s="130"/>
      <c r="G32" s="130"/>
      <c r="H32" s="130"/>
      <c r="I32" s="130"/>
      <c r="J32" s="130"/>
      <c r="K32" s="130"/>
      <c r="L32" s="130"/>
      <c r="M32" s="130"/>
      <c r="N32" s="130"/>
      <c r="O32" s="130"/>
      <c r="P32" s="130"/>
      <c r="Q32" s="210"/>
      <c r="R32" s="124"/>
    </row>
    <row r="33" spans="1:18" x14ac:dyDescent="0.25">
      <c r="A33" s="124">
        <v>700</v>
      </c>
      <c r="B33" s="198" t="s">
        <v>741</v>
      </c>
      <c r="C33" s="208">
        <f>SUM(D33:P33)/13</f>
        <v>14973435.659230767</v>
      </c>
      <c r="D33" s="212">
        <v>18272961.789999999</v>
      </c>
      <c r="E33" s="212">
        <v>17702233.59</v>
      </c>
      <c r="F33" s="212">
        <v>17131505.399999999</v>
      </c>
      <c r="G33" s="212">
        <v>16560777.18</v>
      </c>
      <c r="H33" s="212">
        <v>15990048.98</v>
      </c>
      <c r="I33" s="212">
        <v>15456253.640000001</v>
      </c>
      <c r="J33" s="212">
        <v>14922458.330000002</v>
      </c>
      <c r="K33" s="212">
        <v>14388663</v>
      </c>
      <c r="L33" s="212">
        <v>13854867.669999998</v>
      </c>
      <c r="M33" s="212">
        <v>13321072.32</v>
      </c>
      <c r="N33" s="212">
        <v>12836173.120000001</v>
      </c>
      <c r="O33" s="212">
        <v>12351273.890000001</v>
      </c>
      <c r="P33" s="212">
        <v>11866374.66</v>
      </c>
      <c r="Q33" s="211" t="s">
        <v>740</v>
      </c>
      <c r="R33" s="124">
        <f>A33</f>
        <v>700</v>
      </c>
    </row>
    <row r="34" spans="1:18" x14ac:dyDescent="0.25">
      <c r="A34" s="124"/>
      <c r="B34" s="138"/>
      <c r="C34" s="197"/>
      <c r="D34" s="197"/>
      <c r="E34" s="197"/>
      <c r="F34" s="197"/>
      <c r="G34" s="197"/>
      <c r="H34" s="197"/>
      <c r="I34" s="197"/>
      <c r="J34" s="197"/>
      <c r="K34" s="197"/>
      <c r="L34" s="197"/>
      <c r="M34" s="197"/>
      <c r="N34" s="197"/>
      <c r="O34" s="197"/>
      <c r="P34" s="197"/>
      <c r="Q34" s="210"/>
      <c r="R34" s="124"/>
    </row>
    <row r="35" spans="1:18" x14ac:dyDescent="0.25">
      <c r="A35" s="124"/>
      <c r="B35" s="123" t="s">
        <v>586</v>
      </c>
      <c r="C35" s="197"/>
      <c r="Q35" s="210"/>
      <c r="R35" s="124"/>
    </row>
    <row r="36" spans="1:18" x14ac:dyDescent="0.25">
      <c r="A36" s="124">
        <v>800</v>
      </c>
      <c r="B36" s="198" t="s">
        <v>739</v>
      </c>
      <c r="C36" s="208">
        <f>SUM(D36:P36)/13</f>
        <v>257994575</v>
      </c>
      <c r="D36" s="207">
        <v>257994575</v>
      </c>
      <c r="E36" s="207">
        <v>257994575</v>
      </c>
      <c r="F36" s="207">
        <v>257994575</v>
      </c>
      <c r="G36" s="207">
        <v>257994575</v>
      </c>
      <c r="H36" s="207">
        <v>257994575</v>
      </c>
      <c r="I36" s="207">
        <v>257994575</v>
      </c>
      <c r="J36" s="207">
        <v>257994575</v>
      </c>
      <c r="K36" s="207">
        <v>257994575</v>
      </c>
      <c r="L36" s="207">
        <v>257994575</v>
      </c>
      <c r="M36" s="207">
        <v>257994575</v>
      </c>
      <c r="N36" s="207">
        <v>257994575</v>
      </c>
      <c r="O36" s="207">
        <v>257994575</v>
      </c>
      <c r="P36" s="207">
        <v>257994575</v>
      </c>
      <c r="Q36" s="211" t="s">
        <v>738</v>
      </c>
      <c r="R36" s="124">
        <f>A36</f>
        <v>800</v>
      </c>
    </row>
    <row r="37" spans="1:18" x14ac:dyDescent="0.25">
      <c r="A37" s="124"/>
      <c r="B37" s="124"/>
      <c r="C37" s="197"/>
      <c r="D37" s="197"/>
      <c r="E37" s="197"/>
      <c r="F37" s="197"/>
      <c r="G37" s="197"/>
      <c r="H37" s="197"/>
      <c r="I37" s="197"/>
      <c r="J37" s="197"/>
      <c r="K37" s="197"/>
      <c r="L37" s="197"/>
      <c r="M37" s="197"/>
      <c r="N37" s="197"/>
      <c r="O37" s="197"/>
      <c r="P37" s="197"/>
      <c r="Q37" s="210"/>
      <c r="R37" s="124"/>
    </row>
    <row r="38" spans="1:18" x14ac:dyDescent="0.25">
      <c r="A38" s="124"/>
      <c r="B38" s="123" t="s">
        <v>737</v>
      </c>
      <c r="C38" s="197"/>
      <c r="D38" s="126"/>
      <c r="E38" s="126"/>
      <c r="F38" s="126"/>
      <c r="G38" s="126"/>
      <c r="H38" s="126"/>
      <c r="I38" s="126"/>
      <c r="J38" s="126"/>
      <c r="K38" s="126"/>
      <c r="L38" s="126"/>
      <c r="M38" s="126"/>
      <c r="N38" s="126"/>
      <c r="O38" s="126"/>
      <c r="P38" s="126"/>
      <c r="Q38" s="200"/>
      <c r="R38" s="124"/>
    </row>
    <row r="39" spans="1:18" x14ac:dyDescent="0.25">
      <c r="A39" s="124">
        <v>900</v>
      </c>
      <c r="B39" s="198" t="s">
        <v>734</v>
      </c>
      <c r="C39" s="208">
        <f>SUM(D39:P39)/13</f>
        <v>-5940274.6800000006</v>
      </c>
      <c r="D39" s="207">
        <v>-5940274.6799999997</v>
      </c>
      <c r="E39" s="207">
        <v>-5940274.6799999997</v>
      </c>
      <c r="F39" s="207">
        <v>-5940274.6799999997</v>
      </c>
      <c r="G39" s="207">
        <v>-5940274.6799999997</v>
      </c>
      <c r="H39" s="207">
        <v>-5940274.6799999997</v>
      </c>
      <c r="I39" s="207">
        <v>-5940274.6799999997</v>
      </c>
      <c r="J39" s="207">
        <v>-5940274.6799999997</v>
      </c>
      <c r="K39" s="207">
        <v>-5940274.6799999997</v>
      </c>
      <c r="L39" s="207">
        <v>-5940274.6799999997</v>
      </c>
      <c r="M39" s="207">
        <v>-5940274.6799999997</v>
      </c>
      <c r="N39" s="207">
        <v>-5940274.6799999997</v>
      </c>
      <c r="O39" s="207">
        <v>-5940274.6799999997</v>
      </c>
      <c r="P39" s="207">
        <v>-5940274.6799999997</v>
      </c>
      <c r="Q39" s="206" t="s">
        <v>736</v>
      </c>
      <c r="R39" s="124">
        <f>A39</f>
        <v>900</v>
      </c>
    </row>
    <row r="40" spans="1:18" x14ac:dyDescent="0.25">
      <c r="A40" s="124"/>
      <c r="B40" s="124"/>
      <c r="C40" s="197"/>
      <c r="D40" s="197"/>
      <c r="E40" s="197"/>
      <c r="F40" s="197"/>
      <c r="G40" s="197"/>
      <c r="H40" s="197"/>
      <c r="I40" s="197"/>
      <c r="J40" s="197"/>
      <c r="K40" s="197"/>
      <c r="L40" s="197"/>
      <c r="M40" s="197"/>
      <c r="N40" s="197"/>
      <c r="O40" s="197"/>
      <c r="P40" s="197"/>
      <c r="Q40" s="200"/>
      <c r="R40" s="124"/>
    </row>
    <row r="41" spans="1:18" x14ac:dyDescent="0.25">
      <c r="A41" s="124"/>
      <c r="B41" s="123" t="s">
        <v>735</v>
      </c>
      <c r="C41" s="130"/>
      <c r="D41" s="130"/>
      <c r="E41" s="130"/>
      <c r="F41" s="130"/>
      <c r="G41" s="130"/>
      <c r="H41" s="130"/>
      <c r="I41" s="130"/>
      <c r="J41" s="130"/>
      <c r="K41" s="130"/>
      <c r="L41" s="130"/>
      <c r="M41" s="130"/>
      <c r="N41" s="130"/>
      <c r="O41" s="130"/>
      <c r="P41" s="130"/>
      <c r="Q41" s="200"/>
      <c r="R41" s="124"/>
    </row>
    <row r="42" spans="1:18" x14ac:dyDescent="0.25">
      <c r="A42" s="124">
        <v>1000</v>
      </c>
      <c r="B42" s="198" t="s">
        <v>734</v>
      </c>
      <c r="C42" s="197">
        <f>SUM(D42:P42)/13</f>
        <v>0</v>
      </c>
      <c r="D42" s="90">
        <v>0</v>
      </c>
      <c r="E42" s="90">
        <v>0</v>
      </c>
      <c r="F42" s="90">
        <v>0</v>
      </c>
      <c r="G42" s="90">
        <v>0</v>
      </c>
      <c r="H42" s="90">
        <v>0</v>
      </c>
      <c r="I42" s="90">
        <v>0</v>
      </c>
      <c r="J42" s="90">
        <v>0</v>
      </c>
      <c r="K42" s="90">
        <v>0</v>
      </c>
      <c r="L42" s="90">
        <v>0</v>
      </c>
      <c r="M42" s="90">
        <v>0</v>
      </c>
      <c r="N42" s="90">
        <v>0</v>
      </c>
      <c r="O42" s="90">
        <v>0</v>
      </c>
      <c r="P42" s="90">
        <v>0</v>
      </c>
      <c r="Q42" s="209" t="s">
        <v>733</v>
      </c>
      <c r="R42" s="124">
        <f>A42</f>
        <v>1000</v>
      </c>
    </row>
    <row r="43" spans="1:18" x14ac:dyDescent="0.25">
      <c r="A43" s="124"/>
      <c r="B43" s="124"/>
      <c r="C43" s="197"/>
      <c r="D43" s="197"/>
      <c r="E43" s="197"/>
      <c r="F43" s="197"/>
      <c r="G43" s="197"/>
      <c r="H43" s="197"/>
      <c r="I43" s="197"/>
      <c r="J43" s="197"/>
      <c r="K43" s="197"/>
      <c r="L43" s="197"/>
      <c r="M43" s="197"/>
      <c r="N43" s="197"/>
      <c r="O43" s="197"/>
      <c r="P43" s="197"/>
      <c r="Q43" s="200"/>
      <c r="R43" s="124"/>
    </row>
    <row r="44" spans="1:18" x14ac:dyDescent="0.25">
      <c r="A44" s="124"/>
      <c r="B44" s="123" t="s">
        <v>732</v>
      </c>
      <c r="C44" s="197"/>
      <c r="D44" s="126"/>
      <c r="E44" s="126"/>
      <c r="F44" s="126"/>
      <c r="G44" s="126"/>
      <c r="H44" s="126"/>
      <c r="I44" s="126"/>
      <c r="J44" s="126"/>
      <c r="K44" s="126"/>
      <c r="L44" s="126"/>
      <c r="M44" s="126"/>
      <c r="N44" s="126"/>
      <c r="O44" s="126"/>
      <c r="P44" s="126"/>
      <c r="Q44" s="200"/>
      <c r="R44" s="124"/>
    </row>
    <row r="45" spans="1:18" x14ac:dyDescent="0.25">
      <c r="A45" s="124">
        <v>1100</v>
      </c>
      <c r="B45" s="198" t="s">
        <v>731</v>
      </c>
      <c r="C45" s="208">
        <f>SUM(D45:P45)/13</f>
        <v>1386528140.5092306</v>
      </c>
      <c r="D45" s="207">
        <v>1349907235.5699999</v>
      </c>
      <c r="E45" s="207">
        <v>1349907235.5699999</v>
      </c>
      <c r="F45" s="207">
        <v>1349907235.5699999</v>
      </c>
      <c r="G45" s="207">
        <v>1349907235.5699999</v>
      </c>
      <c r="H45" s="207">
        <v>1349907235.5699999</v>
      </c>
      <c r="I45" s="207">
        <v>1349907235.5699999</v>
      </c>
      <c r="J45" s="207">
        <v>1349907235.5699999</v>
      </c>
      <c r="K45" s="207">
        <v>1349907235.5699999</v>
      </c>
      <c r="L45" s="207">
        <v>1349907235.5699999</v>
      </c>
      <c r="M45" s="207">
        <v>1349907235.5699999</v>
      </c>
      <c r="N45" s="207">
        <v>1349907235.5699999</v>
      </c>
      <c r="O45" s="207">
        <v>1349907235.5699999</v>
      </c>
      <c r="P45" s="207">
        <v>1825978999.78</v>
      </c>
      <c r="Q45" s="206" t="s">
        <v>730</v>
      </c>
      <c r="R45" s="124">
        <f>A45</f>
        <v>1100</v>
      </c>
    </row>
    <row r="46" spans="1:18" x14ac:dyDescent="0.25">
      <c r="A46" s="124"/>
      <c r="B46" s="124"/>
      <c r="C46" s="197"/>
      <c r="D46" s="197"/>
      <c r="E46" s="197"/>
      <c r="F46" s="197"/>
      <c r="G46" s="197"/>
      <c r="H46" s="197"/>
      <c r="I46" s="197"/>
      <c r="J46" s="197"/>
      <c r="K46" s="197"/>
      <c r="L46" s="197"/>
      <c r="M46" s="197"/>
      <c r="N46" s="197"/>
      <c r="O46" s="197"/>
      <c r="P46" s="197"/>
      <c r="Q46" s="200"/>
      <c r="R46" s="124"/>
    </row>
    <row r="47" spans="1:18" x14ac:dyDescent="0.25">
      <c r="A47" s="124"/>
      <c r="B47" s="123" t="s">
        <v>729</v>
      </c>
      <c r="C47" s="197"/>
      <c r="D47" s="126"/>
      <c r="E47" s="126"/>
      <c r="F47" s="126"/>
      <c r="G47" s="126"/>
      <c r="H47" s="126"/>
      <c r="I47" s="126"/>
      <c r="J47" s="126"/>
      <c r="K47" s="126"/>
      <c r="L47" s="126"/>
      <c r="M47" s="126"/>
      <c r="N47" s="126"/>
      <c r="O47" s="126"/>
      <c r="P47" s="126"/>
      <c r="Q47" s="200"/>
      <c r="R47" s="124"/>
    </row>
    <row r="48" spans="1:18" x14ac:dyDescent="0.25">
      <c r="A48" s="124">
        <v>1200</v>
      </c>
      <c r="B48" s="198" t="s">
        <v>728</v>
      </c>
      <c r="C48" s="208">
        <f>SUM(D48:P48)/13</f>
        <v>-12415929.917692307</v>
      </c>
      <c r="D48" s="207">
        <v>-19599880.139999997</v>
      </c>
      <c r="E48" s="207">
        <v>-17747126.57</v>
      </c>
      <c r="F48" s="207">
        <v>-15889030.390000001</v>
      </c>
      <c r="G48" s="207">
        <v>-12518959.84</v>
      </c>
      <c r="H48" s="207">
        <v>-11089189.98</v>
      </c>
      <c r="I48" s="207">
        <v>-9149980.8800000008</v>
      </c>
      <c r="J48" s="207">
        <v>-5013274.5800000019</v>
      </c>
      <c r="K48" s="207">
        <v>-6986821.879999999</v>
      </c>
      <c r="L48" s="207">
        <v>-7473698.1799999997</v>
      </c>
      <c r="M48" s="207">
        <v>-7969633.879999999</v>
      </c>
      <c r="N48" s="207">
        <v>-12592941.850000001</v>
      </c>
      <c r="O48" s="207">
        <v>-11972652.34</v>
      </c>
      <c r="P48" s="207">
        <v>-23403898.420000002</v>
      </c>
      <c r="Q48" s="206" t="s">
        <v>727</v>
      </c>
      <c r="R48" s="124">
        <f>A48</f>
        <v>1200</v>
      </c>
    </row>
    <row r="49" spans="1:18" x14ac:dyDescent="0.25">
      <c r="A49" s="124"/>
      <c r="B49" s="124"/>
      <c r="C49" s="197"/>
      <c r="D49" s="197"/>
      <c r="E49" s="197"/>
      <c r="F49" s="197"/>
      <c r="G49" s="197"/>
      <c r="H49" s="197"/>
      <c r="I49" s="197"/>
      <c r="J49" s="197"/>
      <c r="K49" s="197"/>
      <c r="L49" s="197"/>
      <c r="M49" s="197"/>
      <c r="N49" s="197"/>
      <c r="O49" s="197"/>
      <c r="P49" s="197"/>
      <c r="Q49" s="200"/>
      <c r="R49" s="124"/>
    </row>
    <row r="50" spans="1:18" x14ac:dyDescent="0.25">
      <c r="A50" s="124"/>
      <c r="B50" s="123" t="s">
        <v>578</v>
      </c>
      <c r="C50" s="197"/>
      <c r="Q50" s="200"/>
      <c r="R50" s="124"/>
    </row>
    <row r="51" spans="1:18" x14ac:dyDescent="0.25">
      <c r="A51" s="124">
        <v>1300</v>
      </c>
      <c r="B51" s="198" t="s">
        <v>726</v>
      </c>
      <c r="C51" s="208">
        <f>SUM(D51:P51)/13</f>
        <v>44249252763.399994</v>
      </c>
      <c r="D51" s="207">
        <v>43082700311.5</v>
      </c>
      <c r="E51" s="207">
        <v>43271740660.830002</v>
      </c>
      <c r="F51" s="207">
        <v>43514997976.43</v>
      </c>
      <c r="G51" s="207">
        <v>43656766498.200005</v>
      </c>
      <c r="H51" s="207">
        <v>43895568086.949997</v>
      </c>
      <c r="I51" s="207">
        <v>43933495601.030006</v>
      </c>
      <c r="J51" s="207">
        <v>44022072785.760002</v>
      </c>
      <c r="K51" s="207">
        <v>44295397422.520004</v>
      </c>
      <c r="L51" s="207">
        <v>44636531909.660004</v>
      </c>
      <c r="M51" s="207">
        <v>44874217451.730003</v>
      </c>
      <c r="N51" s="207">
        <v>45189492292.220001</v>
      </c>
      <c r="O51" s="207">
        <v>45498535928.910004</v>
      </c>
      <c r="P51" s="207">
        <v>45368768998.460007</v>
      </c>
      <c r="Q51" s="206" t="s">
        <v>725</v>
      </c>
      <c r="R51" s="124">
        <v>1300</v>
      </c>
    </row>
    <row r="52" spans="1:18" x14ac:dyDescent="0.25">
      <c r="A52" s="124"/>
      <c r="B52" s="124"/>
      <c r="C52" s="197"/>
      <c r="D52" s="197"/>
      <c r="E52" s="197"/>
      <c r="F52" s="197"/>
      <c r="G52" s="197"/>
      <c r="H52" s="197"/>
      <c r="I52" s="197"/>
      <c r="J52" s="197"/>
      <c r="K52" s="197"/>
      <c r="L52" s="197"/>
      <c r="M52" s="197"/>
      <c r="N52" s="197"/>
      <c r="O52" s="197"/>
      <c r="P52" s="197"/>
      <c r="Q52" s="200"/>
      <c r="R52" s="124"/>
    </row>
    <row r="53" spans="1:18" x14ac:dyDescent="0.25">
      <c r="A53" s="124"/>
      <c r="B53" s="124"/>
      <c r="C53" s="205" t="s">
        <v>492</v>
      </c>
      <c r="D53" s="205" t="s">
        <v>491</v>
      </c>
      <c r="F53" s="197"/>
      <c r="G53" s="197"/>
      <c r="H53" s="197"/>
      <c r="I53" s="197"/>
      <c r="J53" s="197"/>
      <c r="K53" s="197"/>
      <c r="L53" s="197"/>
      <c r="M53" s="197"/>
      <c r="N53" s="197"/>
      <c r="O53" s="197"/>
      <c r="P53" s="197"/>
      <c r="Q53" s="200"/>
      <c r="R53" s="124"/>
    </row>
    <row r="54" spans="1:18" x14ac:dyDescent="0.25">
      <c r="A54" s="124"/>
      <c r="B54" s="124"/>
      <c r="C54" s="149">
        <v>2025</v>
      </c>
      <c r="D54" s="135" t="s">
        <v>724</v>
      </c>
      <c r="F54" s="197"/>
      <c r="G54" s="197"/>
      <c r="H54" s="197"/>
      <c r="I54" s="197"/>
      <c r="J54" s="197"/>
      <c r="K54" s="197"/>
      <c r="L54" s="197"/>
      <c r="M54" s="197"/>
      <c r="N54" s="197"/>
      <c r="O54" s="197"/>
      <c r="P54" s="197"/>
      <c r="Q54" s="200"/>
      <c r="R54" s="124"/>
    </row>
    <row r="55" spans="1:18" x14ac:dyDescent="0.25">
      <c r="A55" s="124"/>
      <c r="B55" s="124"/>
      <c r="C55" s="135"/>
      <c r="D55" s="197"/>
      <c r="F55" s="197"/>
      <c r="G55" s="197"/>
      <c r="H55" s="197"/>
      <c r="I55" s="197"/>
      <c r="J55" s="197"/>
      <c r="K55" s="197"/>
      <c r="L55" s="197"/>
      <c r="M55" s="197"/>
      <c r="N55" s="197"/>
      <c r="O55" s="197"/>
      <c r="P55" s="197"/>
      <c r="Q55" s="200"/>
      <c r="R55" s="124"/>
    </row>
    <row r="56" spans="1:18" x14ac:dyDescent="0.25">
      <c r="A56" s="124"/>
      <c r="B56" s="123" t="s">
        <v>723</v>
      </c>
      <c r="C56" s="197"/>
      <c r="D56" s="197"/>
      <c r="F56" s="197"/>
      <c r="G56" s="197"/>
      <c r="H56" s="197"/>
      <c r="I56" s="197"/>
      <c r="J56" s="197"/>
      <c r="K56" s="197"/>
      <c r="L56" s="197"/>
      <c r="M56" s="197"/>
      <c r="N56" s="197"/>
      <c r="O56" s="197"/>
      <c r="P56" s="197"/>
      <c r="Q56" s="200"/>
      <c r="R56" s="124"/>
    </row>
    <row r="57" spans="1:18" x14ac:dyDescent="0.25">
      <c r="A57" s="124">
        <v>1400</v>
      </c>
      <c r="B57" s="124"/>
      <c r="C57" s="203">
        <f>SUM(C58:C59)</f>
        <v>1852273907.7699997</v>
      </c>
      <c r="D57" s="197"/>
      <c r="F57" s="197"/>
      <c r="G57" s="197"/>
      <c r="H57" s="197"/>
      <c r="I57" s="197"/>
      <c r="J57" s="197"/>
      <c r="K57" s="197"/>
      <c r="L57" s="197"/>
      <c r="M57" s="197"/>
      <c r="N57" s="197"/>
      <c r="O57" s="197"/>
      <c r="P57" s="197"/>
      <c r="Q57" s="200"/>
      <c r="R57" s="124">
        <f>A57</f>
        <v>1400</v>
      </c>
    </row>
    <row r="58" spans="1:18" x14ac:dyDescent="0.25">
      <c r="A58" s="124">
        <f>A57+1</f>
        <v>1401</v>
      </c>
      <c r="B58" s="198" t="s">
        <v>722</v>
      </c>
      <c r="C58" s="201">
        <f>C98</f>
        <v>1853322015.9799998</v>
      </c>
      <c r="D58" s="202" t="s">
        <v>678</v>
      </c>
      <c r="F58" s="204" t="s">
        <v>721</v>
      </c>
      <c r="G58" s="197"/>
      <c r="H58" s="197"/>
      <c r="I58" s="197"/>
      <c r="J58" s="197"/>
      <c r="K58" s="197"/>
      <c r="L58" s="197"/>
      <c r="M58" s="197"/>
      <c r="N58" s="197"/>
      <c r="O58" s="197"/>
      <c r="P58" s="197"/>
      <c r="Q58" s="200"/>
      <c r="R58" s="124">
        <f>A58</f>
        <v>1401</v>
      </c>
    </row>
    <row r="59" spans="1:18" x14ac:dyDescent="0.25">
      <c r="A59" s="124">
        <f>A58+1</f>
        <v>1402</v>
      </c>
      <c r="B59" s="198" t="s">
        <v>720</v>
      </c>
      <c r="C59" s="201">
        <v>-1048108.2099999934</v>
      </c>
      <c r="D59" s="202" t="s">
        <v>719</v>
      </c>
      <c r="F59" s="197"/>
      <c r="G59" s="197"/>
      <c r="H59" s="197"/>
      <c r="I59" s="197"/>
      <c r="J59" s="197"/>
      <c r="K59" s="197"/>
      <c r="L59" s="197"/>
      <c r="M59" s="197"/>
      <c r="N59" s="197"/>
      <c r="O59" s="197"/>
      <c r="P59" s="197"/>
      <c r="Q59" s="200"/>
      <c r="R59" s="124">
        <f>A59</f>
        <v>1402</v>
      </c>
    </row>
    <row r="60" spans="1:18" x14ac:dyDescent="0.25">
      <c r="A60" s="124"/>
      <c r="B60" s="124"/>
      <c r="C60" s="197"/>
      <c r="D60" s="197"/>
      <c r="F60" s="197"/>
      <c r="G60" s="197"/>
      <c r="H60" s="197"/>
      <c r="I60" s="197"/>
      <c r="J60" s="197"/>
      <c r="K60" s="197"/>
      <c r="L60" s="197"/>
      <c r="M60" s="197"/>
      <c r="N60" s="197"/>
      <c r="O60" s="197"/>
      <c r="P60" s="197"/>
      <c r="Q60" s="200"/>
      <c r="R60" s="124"/>
    </row>
    <row r="61" spans="1:18" x14ac:dyDescent="0.25">
      <c r="A61" s="124"/>
      <c r="B61" s="123" t="s">
        <v>718</v>
      </c>
      <c r="C61" s="197"/>
      <c r="D61" s="197"/>
      <c r="F61" s="197"/>
      <c r="G61" s="197"/>
      <c r="H61" s="197"/>
      <c r="I61" s="197"/>
      <c r="J61" s="197"/>
      <c r="K61" s="197"/>
      <c r="L61" s="197"/>
      <c r="M61" s="197"/>
      <c r="N61" s="197"/>
      <c r="O61" s="197"/>
      <c r="P61" s="197"/>
      <c r="Q61" s="200"/>
      <c r="R61" s="124"/>
    </row>
    <row r="62" spans="1:18" x14ac:dyDescent="0.25">
      <c r="A62" s="124">
        <v>1500</v>
      </c>
      <c r="B62" s="124"/>
      <c r="C62" s="203">
        <f>SUM(C63:C66)</f>
        <v>43415289.919999994</v>
      </c>
      <c r="D62" s="197"/>
      <c r="F62" s="197"/>
      <c r="G62" s="197"/>
      <c r="H62" s="197"/>
      <c r="I62" s="197"/>
      <c r="J62" s="197"/>
      <c r="K62" s="197"/>
      <c r="L62" s="197"/>
      <c r="M62" s="197"/>
      <c r="N62" s="197"/>
      <c r="O62" s="197"/>
      <c r="P62" s="197"/>
      <c r="Q62" s="200"/>
      <c r="R62" s="124">
        <f>A62</f>
        <v>1500</v>
      </c>
    </row>
    <row r="63" spans="1:18" x14ac:dyDescent="0.25">
      <c r="A63" s="124">
        <f>A62+1</f>
        <v>1501</v>
      </c>
      <c r="B63" s="198" t="s">
        <v>717</v>
      </c>
      <c r="C63" s="201">
        <v>49181745.07</v>
      </c>
      <c r="D63" s="134" t="s">
        <v>716</v>
      </c>
      <c r="F63" s="197"/>
      <c r="G63" s="197"/>
      <c r="H63" s="197"/>
      <c r="I63" s="197"/>
      <c r="J63" s="197"/>
      <c r="K63" s="197"/>
      <c r="L63" s="197"/>
      <c r="M63" s="197"/>
      <c r="N63" s="197"/>
      <c r="O63" s="197"/>
      <c r="P63" s="197"/>
      <c r="Q63" s="200"/>
      <c r="R63" s="124">
        <f>A63</f>
        <v>1501</v>
      </c>
    </row>
    <row r="64" spans="1:18" x14ac:dyDescent="0.25">
      <c r="A64" s="124">
        <f>A63+1</f>
        <v>1502</v>
      </c>
      <c r="B64" s="202" t="s">
        <v>715</v>
      </c>
      <c r="C64" s="201">
        <v>-4299711</v>
      </c>
      <c r="D64" s="202" t="s">
        <v>712</v>
      </c>
      <c r="F64" s="197"/>
      <c r="G64" s="197"/>
      <c r="H64" s="197"/>
      <c r="I64" s="197"/>
      <c r="J64" s="197"/>
      <c r="K64" s="197"/>
      <c r="L64" s="197"/>
      <c r="M64" s="197"/>
      <c r="N64" s="197"/>
      <c r="O64" s="197"/>
      <c r="P64" s="197"/>
      <c r="Q64" s="200"/>
      <c r="R64" s="124">
        <f>A64</f>
        <v>1502</v>
      </c>
    </row>
    <row r="65" spans="1:18" x14ac:dyDescent="0.25">
      <c r="A65" s="124">
        <f>A64+1</f>
        <v>1503</v>
      </c>
      <c r="B65" s="202" t="s">
        <v>714</v>
      </c>
      <c r="C65" s="201">
        <v>-828325.81</v>
      </c>
      <c r="D65" s="202" t="s">
        <v>712</v>
      </c>
      <c r="F65" s="197"/>
      <c r="G65" s="197"/>
      <c r="H65" s="197"/>
      <c r="I65" s="197"/>
      <c r="J65" s="197"/>
      <c r="K65" s="197"/>
      <c r="L65" s="197"/>
      <c r="M65" s="197"/>
      <c r="N65" s="197"/>
      <c r="O65" s="197"/>
      <c r="P65" s="197"/>
      <c r="Q65" s="200"/>
      <c r="R65" s="124">
        <f>A65</f>
        <v>1503</v>
      </c>
    </row>
    <row r="66" spans="1:18" x14ac:dyDescent="0.25">
      <c r="A66" s="124">
        <f>A65+1</f>
        <v>1504</v>
      </c>
      <c r="B66" s="202" t="s">
        <v>713</v>
      </c>
      <c r="C66" s="201">
        <v>-638418.34</v>
      </c>
      <c r="D66" s="202" t="s">
        <v>712</v>
      </c>
      <c r="F66" s="197"/>
      <c r="G66" s="197"/>
      <c r="H66" s="197"/>
      <c r="I66" s="197"/>
      <c r="J66" s="197"/>
      <c r="K66" s="197"/>
      <c r="L66" s="197"/>
      <c r="M66" s="197"/>
      <c r="N66" s="197"/>
      <c r="O66" s="197"/>
      <c r="P66" s="197"/>
      <c r="Q66" s="200"/>
      <c r="R66" s="124">
        <f>A66</f>
        <v>1504</v>
      </c>
    </row>
    <row r="67" spans="1:18" x14ac:dyDescent="0.25">
      <c r="A67" s="124"/>
      <c r="B67" s="124"/>
      <c r="C67" s="197"/>
      <c r="D67" s="197"/>
      <c r="F67" s="197"/>
      <c r="G67" s="197"/>
      <c r="H67" s="197"/>
      <c r="I67" s="197"/>
      <c r="J67" s="197"/>
      <c r="K67" s="197"/>
      <c r="L67" s="197"/>
      <c r="M67" s="197"/>
      <c r="N67" s="197"/>
      <c r="O67" s="197"/>
      <c r="P67" s="197"/>
      <c r="Q67" s="200"/>
      <c r="R67" s="124"/>
    </row>
    <row r="68" spans="1:18" x14ac:dyDescent="0.25">
      <c r="A68" s="124"/>
      <c r="B68" s="123" t="s">
        <v>711</v>
      </c>
      <c r="C68" s="197"/>
      <c r="D68" s="197"/>
      <c r="F68" s="197"/>
      <c r="G68" s="197"/>
      <c r="H68" s="197"/>
      <c r="I68" s="197"/>
      <c r="J68" s="197"/>
      <c r="K68" s="197"/>
      <c r="L68" s="197"/>
      <c r="M68" s="197"/>
      <c r="N68" s="197"/>
      <c r="O68" s="197"/>
      <c r="P68" s="197"/>
      <c r="Q68" s="200"/>
      <c r="R68" s="124"/>
    </row>
    <row r="69" spans="1:18" x14ac:dyDescent="0.25">
      <c r="A69" s="124">
        <v>1600</v>
      </c>
      <c r="B69" s="198" t="s">
        <v>710</v>
      </c>
      <c r="C69" s="201">
        <v>6406587.129999999</v>
      </c>
      <c r="D69" s="134" t="s">
        <v>709</v>
      </c>
      <c r="F69" s="197"/>
      <c r="G69" s="197"/>
      <c r="H69" s="197"/>
      <c r="I69" s="197"/>
      <c r="J69" s="197"/>
      <c r="K69" s="197"/>
      <c r="L69" s="197"/>
      <c r="M69" s="197"/>
      <c r="N69" s="197"/>
      <c r="O69" s="197"/>
      <c r="P69" s="197"/>
      <c r="Q69" s="200"/>
      <c r="R69" s="124">
        <f>A69</f>
        <v>1600</v>
      </c>
    </row>
    <row r="70" spans="1:18" x14ac:dyDescent="0.25">
      <c r="A70" s="124"/>
      <c r="C70" s="197"/>
      <c r="D70" s="197"/>
      <c r="F70" s="197"/>
      <c r="G70" s="197"/>
      <c r="H70" s="197"/>
      <c r="I70" s="197"/>
      <c r="J70" s="197"/>
      <c r="K70" s="197"/>
      <c r="L70" s="197"/>
      <c r="M70" s="197"/>
      <c r="N70" s="197"/>
      <c r="O70" s="197"/>
      <c r="P70" s="197"/>
      <c r="Q70" s="200"/>
      <c r="R70" s="124"/>
    </row>
    <row r="71" spans="1:18" x14ac:dyDescent="0.25">
      <c r="A71" s="124"/>
      <c r="B71" s="123" t="s">
        <v>708</v>
      </c>
      <c r="C71" s="197"/>
      <c r="D71" s="197"/>
      <c r="F71" s="197"/>
      <c r="G71" s="197"/>
      <c r="H71" s="197"/>
      <c r="I71" s="197"/>
      <c r="J71" s="197"/>
      <c r="K71" s="197"/>
      <c r="L71" s="197"/>
      <c r="M71" s="197"/>
      <c r="N71" s="197"/>
      <c r="O71" s="197"/>
      <c r="P71" s="197"/>
      <c r="Q71" s="200"/>
      <c r="R71" s="124"/>
    </row>
    <row r="72" spans="1:18" x14ac:dyDescent="0.25">
      <c r="A72" s="124">
        <v>1700</v>
      </c>
      <c r="B72" s="198" t="s">
        <v>707</v>
      </c>
      <c r="C72" s="201">
        <v>2595160.5199999996</v>
      </c>
      <c r="D72" s="134" t="s">
        <v>706</v>
      </c>
      <c r="F72" s="197"/>
      <c r="G72" s="197"/>
      <c r="H72" s="197"/>
      <c r="I72" s="197"/>
      <c r="J72" s="197"/>
      <c r="K72" s="197"/>
      <c r="L72" s="197"/>
      <c r="M72" s="197"/>
      <c r="N72" s="197"/>
      <c r="O72" s="197"/>
      <c r="P72" s="197"/>
      <c r="Q72" s="200"/>
      <c r="R72" s="124">
        <f>A72</f>
        <v>1700</v>
      </c>
    </row>
    <row r="73" spans="1:18" x14ac:dyDescent="0.25">
      <c r="A73" s="124"/>
      <c r="B73" s="198"/>
      <c r="C73" s="197"/>
      <c r="D73" s="197"/>
      <c r="F73" s="197"/>
      <c r="G73" s="197"/>
      <c r="H73" s="197"/>
      <c r="I73" s="197"/>
      <c r="J73" s="197"/>
      <c r="K73" s="197"/>
      <c r="L73" s="197"/>
      <c r="M73" s="197"/>
      <c r="N73" s="197"/>
      <c r="O73" s="197"/>
      <c r="P73" s="197"/>
      <c r="Q73" s="200"/>
      <c r="R73" s="124"/>
    </row>
    <row r="74" spans="1:18" x14ac:dyDescent="0.25">
      <c r="A74" s="124"/>
      <c r="B74" s="123" t="s">
        <v>705</v>
      </c>
      <c r="C74" s="197"/>
      <c r="D74" s="197"/>
      <c r="F74" s="197"/>
      <c r="G74" s="197"/>
      <c r="H74" s="197"/>
      <c r="I74" s="197"/>
      <c r="J74" s="197"/>
      <c r="K74" s="197"/>
      <c r="L74" s="197"/>
      <c r="M74" s="197"/>
      <c r="N74" s="197"/>
      <c r="O74" s="197"/>
      <c r="P74" s="197"/>
      <c r="Q74" s="200"/>
      <c r="R74" s="124"/>
    </row>
    <row r="75" spans="1:18" x14ac:dyDescent="0.25">
      <c r="A75" s="124">
        <v>1800</v>
      </c>
      <c r="B75" s="198" t="s">
        <v>704</v>
      </c>
      <c r="C75" s="201">
        <v>13090031.860000001</v>
      </c>
      <c r="D75" s="134" t="s">
        <v>703</v>
      </c>
      <c r="F75" s="197"/>
      <c r="G75" s="197"/>
      <c r="H75" s="197"/>
      <c r="I75" s="197"/>
      <c r="J75" s="197"/>
      <c r="K75" s="197"/>
      <c r="L75" s="197"/>
      <c r="M75" s="197"/>
      <c r="N75" s="197"/>
      <c r="O75" s="197"/>
      <c r="P75" s="197"/>
      <c r="Q75" s="200"/>
      <c r="R75" s="124">
        <f>A75</f>
        <v>1800</v>
      </c>
    </row>
    <row r="76" spans="1:18" x14ac:dyDescent="0.25">
      <c r="A76" s="124"/>
      <c r="B76" s="198"/>
      <c r="C76" s="197"/>
      <c r="D76" s="126"/>
      <c r="F76" s="126"/>
      <c r="G76" s="126"/>
      <c r="H76" s="126"/>
      <c r="I76" s="126"/>
      <c r="J76" s="126"/>
      <c r="K76" s="126"/>
      <c r="L76" s="126"/>
      <c r="M76" s="126"/>
      <c r="N76" s="126"/>
      <c r="O76" s="126"/>
      <c r="P76" s="126"/>
      <c r="Q76" s="126"/>
      <c r="R76" s="124"/>
    </row>
    <row r="77" spans="1:18" x14ac:dyDescent="0.25">
      <c r="A77" s="124"/>
      <c r="B77" s="125" t="s">
        <v>702</v>
      </c>
      <c r="C77" s="197"/>
      <c r="D77" s="126"/>
      <c r="E77" s="126"/>
      <c r="F77" s="126"/>
      <c r="G77" s="126"/>
      <c r="H77" s="126"/>
      <c r="I77" s="126"/>
      <c r="J77" s="126"/>
      <c r="K77" s="126"/>
      <c r="L77" s="126"/>
      <c r="M77" s="126"/>
      <c r="N77" s="126"/>
      <c r="O77" s="126"/>
      <c r="P77" s="126"/>
      <c r="Q77" s="126"/>
      <c r="R77" s="124"/>
    </row>
    <row r="78" spans="1:18" x14ac:dyDescent="0.25">
      <c r="A78" s="124"/>
      <c r="B78" s="125"/>
      <c r="C78" s="197"/>
      <c r="D78" s="199" t="s">
        <v>153</v>
      </c>
      <c r="E78" s="126"/>
      <c r="F78" s="126"/>
      <c r="G78" s="126"/>
      <c r="H78" s="126"/>
      <c r="I78" s="126"/>
      <c r="J78" s="126"/>
      <c r="K78" s="126"/>
      <c r="L78" s="126"/>
      <c r="M78" s="126"/>
      <c r="N78" s="126"/>
      <c r="O78" s="126"/>
      <c r="P78" s="126"/>
      <c r="Q78" s="126"/>
      <c r="R78" s="124"/>
    </row>
    <row r="79" spans="1:18" x14ac:dyDescent="0.25">
      <c r="A79" s="124" t="s">
        <v>159</v>
      </c>
      <c r="B79" s="198" t="s">
        <v>701</v>
      </c>
      <c r="C79" s="197">
        <f>C11</f>
        <v>40273752447.619232</v>
      </c>
      <c r="D79" s="126" t="s">
        <v>700</v>
      </c>
      <c r="E79" s="126"/>
      <c r="F79" s="126"/>
      <c r="G79" s="126"/>
      <c r="H79" s="126"/>
      <c r="I79" s="126"/>
      <c r="J79" s="126"/>
      <c r="K79" s="126"/>
      <c r="L79" s="126"/>
      <c r="M79" s="126"/>
      <c r="N79" s="126"/>
      <c r="O79" s="126"/>
      <c r="P79" s="126"/>
      <c r="Q79" s="126"/>
      <c r="R79" s="124" t="str">
        <f>A79</f>
        <v>a</v>
      </c>
    </row>
    <row r="80" spans="1:18" x14ac:dyDescent="0.25">
      <c r="A80" s="124" t="s">
        <v>168</v>
      </c>
      <c r="B80" s="198" t="s">
        <v>699</v>
      </c>
      <c r="C80" s="197">
        <f>C16</f>
        <v>0</v>
      </c>
      <c r="D80" s="126" t="s">
        <v>698</v>
      </c>
      <c r="E80" s="126"/>
      <c r="F80" s="126"/>
      <c r="G80" s="126"/>
      <c r="H80" s="126"/>
      <c r="I80" s="126"/>
      <c r="J80" s="126"/>
      <c r="K80" s="126"/>
      <c r="L80" s="126"/>
      <c r="M80" s="126"/>
      <c r="N80" s="126"/>
      <c r="O80" s="126"/>
      <c r="P80" s="126"/>
      <c r="Q80" s="126"/>
      <c r="R80" s="124" t="str">
        <f>A80</f>
        <v>b</v>
      </c>
    </row>
    <row r="81" spans="1:18" x14ac:dyDescent="0.25">
      <c r="A81" s="124" t="s">
        <v>244</v>
      </c>
      <c r="B81" s="198" t="s">
        <v>697</v>
      </c>
      <c r="C81" s="197">
        <f>C19</f>
        <v>0</v>
      </c>
      <c r="D81" s="126" t="s">
        <v>696</v>
      </c>
      <c r="E81" s="126"/>
      <c r="F81" s="126"/>
      <c r="G81" s="126"/>
      <c r="H81" s="126"/>
      <c r="I81" s="126"/>
      <c r="J81" s="126"/>
      <c r="K81" s="126"/>
      <c r="L81" s="126"/>
      <c r="M81" s="126"/>
      <c r="N81" s="126"/>
      <c r="O81" s="126"/>
      <c r="P81" s="126"/>
      <c r="Q81" s="126"/>
      <c r="R81" s="124" t="str">
        <f>A81</f>
        <v>c</v>
      </c>
    </row>
    <row r="82" spans="1:18" x14ac:dyDescent="0.25">
      <c r="A82" s="124" t="s">
        <v>241</v>
      </c>
      <c r="B82" s="198" t="s">
        <v>695</v>
      </c>
      <c r="C82" s="197">
        <f>C22</f>
        <v>29539571.209230766</v>
      </c>
      <c r="D82" s="126" t="s">
        <v>694</v>
      </c>
      <c r="E82" s="126"/>
      <c r="F82" s="126"/>
      <c r="G82" s="126"/>
      <c r="H82" s="126"/>
      <c r="I82" s="126"/>
      <c r="J82" s="126"/>
      <c r="K82" s="126"/>
      <c r="L82" s="126"/>
      <c r="M82" s="126"/>
      <c r="N82" s="126"/>
      <c r="O82" s="126"/>
      <c r="P82" s="126"/>
      <c r="Q82" s="126"/>
      <c r="R82" s="124" t="str">
        <f>A82</f>
        <v>d</v>
      </c>
    </row>
    <row r="83" spans="1:18" x14ac:dyDescent="0.25">
      <c r="A83" s="124" t="s">
        <v>238</v>
      </c>
      <c r="B83" s="198" t="s">
        <v>693</v>
      </c>
      <c r="C83" s="197">
        <f>C25</f>
        <v>57804726.900000006</v>
      </c>
      <c r="D83" s="126" t="s">
        <v>692</v>
      </c>
      <c r="E83" s="126"/>
      <c r="F83" s="126"/>
      <c r="G83" s="126"/>
      <c r="H83" s="126"/>
      <c r="I83" s="126"/>
      <c r="J83" s="126"/>
      <c r="K83" s="126"/>
      <c r="L83" s="126"/>
      <c r="M83" s="126"/>
      <c r="N83" s="126"/>
      <c r="O83" s="126"/>
      <c r="P83" s="126"/>
      <c r="Q83" s="126"/>
      <c r="R83" s="124" t="str">
        <f>A83</f>
        <v>e</v>
      </c>
    </row>
    <row r="84" spans="1:18" x14ac:dyDescent="0.25">
      <c r="A84" s="124" t="s">
        <v>235</v>
      </c>
      <c r="B84" s="198" t="s">
        <v>691</v>
      </c>
      <c r="C84" s="197">
        <f>C28</f>
        <v>198341447.89076921</v>
      </c>
      <c r="D84" s="126" t="s">
        <v>690</v>
      </c>
      <c r="E84" s="126"/>
      <c r="F84" s="126"/>
      <c r="G84" s="126"/>
      <c r="H84" s="126"/>
      <c r="I84" s="126"/>
      <c r="J84" s="126"/>
      <c r="K84" s="126"/>
      <c r="L84" s="126"/>
      <c r="M84" s="126"/>
      <c r="N84" s="126"/>
      <c r="O84" s="126"/>
      <c r="P84" s="126"/>
      <c r="Q84" s="126"/>
      <c r="R84" s="124" t="str">
        <f>A84</f>
        <v>f</v>
      </c>
    </row>
    <row r="85" spans="1:18" x14ac:dyDescent="0.25">
      <c r="A85" s="124" t="s">
        <v>232</v>
      </c>
      <c r="B85" s="198" t="s">
        <v>689</v>
      </c>
      <c r="C85" s="197">
        <f>C33</f>
        <v>14973435.659230767</v>
      </c>
      <c r="D85" s="126" t="s">
        <v>688</v>
      </c>
      <c r="E85" s="126"/>
      <c r="F85" s="126"/>
      <c r="G85" s="126"/>
      <c r="H85" s="126"/>
      <c r="I85" s="126"/>
      <c r="J85" s="126"/>
      <c r="K85" s="126"/>
      <c r="L85" s="126"/>
      <c r="M85" s="126"/>
      <c r="N85" s="126"/>
      <c r="O85" s="126"/>
      <c r="P85" s="126"/>
      <c r="Q85" s="126"/>
      <c r="R85" s="124" t="str">
        <f>A85</f>
        <v>g</v>
      </c>
    </row>
    <row r="86" spans="1:18" ht="15.75" thickBot="1" x14ac:dyDescent="0.3">
      <c r="A86" s="124">
        <v>1900</v>
      </c>
      <c r="B86" s="138" t="s">
        <v>687</v>
      </c>
      <c r="C86" s="196">
        <f>SUM(C79,C81,C82,-C80,-C83,-C84,-C85)</f>
        <v>40032172408.378456</v>
      </c>
      <c r="D86" s="132" t="s">
        <v>686</v>
      </c>
      <c r="E86" s="126"/>
      <c r="F86" s="126"/>
      <c r="G86" s="126"/>
      <c r="H86" s="126"/>
      <c r="I86" s="126"/>
      <c r="J86" s="126"/>
      <c r="K86" s="126"/>
      <c r="L86" s="126"/>
      <c r="M86" s="126"/>
      <c r="N86" s="126"/>
      <c r="O86" s="126"/>
      <c r="P86" s="126"/>
      <c r="Q86" s="126"/>
      <c r="R86" s="124">
        <f>A86</f>
        <v>1900</v>
      </c>
    </row>
    <row r="87" spans="1:18" ht="15.75" thickTop="1" x14ac:dyDescent="0.25">
      <c r="A87" s="124"/>
      <c r="B87" s="138"/>
      <c r="C87" s="195"/>
      <c r="D87" s="132"/>
      <c r="E87" s="126"/>
      <c r="F87" s="126"/>
      <c r="G87" s="126"/>
      <c r="H87" s="126"/>
      <c r="I87" s="126"/>
      <c r="J87" s="126"/>
      <c r="K87" s="126"/>
      <c r="L87" s="126"/>
      <c r="M87" s="126"/>
      <c r="N87" s="126"/>
      <c r="O87" s="126"/>
      <c r="P87" s="126"/>
      <c r="Q87" s="126"/>
      <c r="R87" s="124"/>
    </row>
    <row r="89" spans="1:18" x14ac:dyDescent="0.25">
      <c r="B89" s="194" t="s">
        <v>685</v>
      </c>
      <c r="C89" s="188"/>
      <c r="D89" s="188"/>
    </row>
    <row r="90" spans="1:18" x14ac:dyDescent="0.25">
      <c r="B90" s="188" t="s">
        <v>684</v>
      </c>
      <c r="C90" s="188"/>
      <c r="D90" s="188"/>
    </row>
    <row r="91" spans="1:18" x14ac:dyDescent="0.25">
      <c r="B91" s="188" t="s">
        <v>683</v>
      </c>
      <c r="C91" s="188"/>
      <c r="D91" s="188"/>
    </row>
    <row r="92" spans="1:18" x14ac:dyDescent="0.25">
      <c r="B92" s="188" t="s">
        <v>682</v>
      </c>
      <c r="C92" s="188"/>
      <c r="D92" s="188"/>
    </row>
    <row r="93" spans="1:18" x14ac:dyDescent="0.25">
      <c r="B93" s="188" t="s">
        <v>681</v>
      </c>
      <c r="C93" s="188"/>
      <c r="D93" s="188"/>
    </row>
    <row r="94" spans="1:18" x14ac:dyDescent="0.25">
      <c r="B94" s="188"/>
      <c r="C94" s="188"/>
      <c r="D94" s="188"/>
    </row>
    <row r="95" spans="1:18" x14ac:dyDescent="0.25">
      <c r="B95" s="194" t="s">
        <v>680</v>
      </c>
      <c r="C95" s="193" t="s">
        <v>672</v>
      </c>
      <c r="D95" s="193" t="s">
        <v>154</v>
      </c>
    </row>
    <row r="96" spans="1:18" x14ac:dyDescent="0.25">
      <c r="B96" s="188" t="s">
        <v>679</v>
      </c>
      <c r="C96" s="190">
        <v>1855845885.6399999</v>
      </c>
      <c r="D96" s="192" t="s">
        <v>678</v>
      </c>
    </row>
    <row r="97" spans="2:4" x14ac:dyDescent="0.25">
      <c r="B97" s="191" t="s">
        <v>677</v>
      </c>
      <c r="C97" s="190">
        <v>-2523869.6599999997</v>
      </c>
      <c r="D97" s="188" t="s">
        <v>676</v>
      </c>
    </row>
    <row r="98" spans="2:4" ht="15.75" thickBot="1" x14ac:dyDescent="0.3">
      <c r="B98" s="188" t="s">
        <v>675</v>
      </c>
      <c r="C98" s="189">
        <f>C96+C97</f>
        <v>1853322015.9799998</v>
      </c>
      <c r="D98" s="188"/>
    </row>
    <row r="99" spans="2:4" ht="15.75" thickTop="1" x14ac:dyDescent="0.25"/>
  </sheetData>
  <printOptions horizontalCentered="1"/>
  <pageMargins left="1" right="1" top="1" bottom="1" header="0.5" footer="0.5"/>
  <pageSetup scale="25" fitToHeight="0" orientation="landscape" r:id="rId1"/>
  <headerFooter>
    <oddHeader>&amp;R&amp;F</oddHeader>
  </headerFooter>
  <customProperties>
    <customPr name="_pios_id" r:id="rId2"/>
  </customPropertie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726C68-572F-41A0-AD60-1D1B495949AA}">
  <sheetPr>
    <pageSetUpPr fitToPage="1"/>
  </sheetPr>
  <dimension ref="A1:L33"/>
  <sheetViews>
    <sheetView zoomScale="86" zoomScaleNormal="86" zoomScaleSheetLayoutView="80" workbookViewId="0">
      <selection activeCell="Q36" sqref="Q36"/>
    </sheetView>
  </sheetViews>
  <sheetFormatPr defaultColWidth="9.140625" defaultRowHeight="15" x14ac:dyDescent="0.25"/>
  <cols>
    <col min="1" max="1" width="5.42578125" style="6" customWidth="1"/>
    <col min="2" max="2" width="14.5703125" style="6" customWidth="1"/>
    <col min="3" max="3" width="50.85546875" style="6" bestFit="1" customWidth="1"/>
    <col min="4" max="4" width="22.85546875" style="6" customWidth="1"/>
    <col min="5" max="5" width="26.140625" style="6" customWidth="1"/>
    <col min="6" max="6" width="18.140625" style="6" customWidth="1"/>
    <col min="7" max="7" width="21.85546875" style="6" customWidth="1"/>
    <col min="8" max="8" width="41.85546875" style="6" bestFit="1" customWidth="1"/>
    <col min="9" max="9" width="20" style="6" customWidth="1"/>
    <col min="10" max="10" width="5.42578125" style="6" customWidth="1"/>
    <col min="11" max="16384" width="9.140625" style="6"/>
  </cols>
  <sheetData>
    <row r="1" spans="1:10" x14ac:dyDescent="0.25">
      <c r="B1" s="30" t="s">
        <v>827</v>
      </c>
      <c r="I1" s="76"/>
    </row>
    <row r="2" spans="1:10" x14ac:dyDescent="0.25">
      <c r="B2" s="30" t="s">
        <v>61</v>
      </c>
      <c r="E2" s="245"/>
      <c r="H2" s="76"/>
      <c r="I2" s="76" t="str">
        <f>CONCATENATE("Prior Year: ",'1-BaseTRR'!$G$3)</f>
        <v>Prior Year: 2025</v>
      </c>
    </row>
    <row r="3" spans="1:10" x14ac:dyDescent="0.25">
      <c r="B3" s="77" t="s">
        <v>367</v>
      </c>
      <c r="C3" s="77"/>
    </row>
    <row r="5" spans="1:10" x14ac:dyDescent="0.25">
      <c r="B5" s="83" t="s">
        <v>826</v>
      </c>
      <c r="C5" s="35"/>
      <c r="D5" s="35"/>
      <c r="E5" s="244"/>
      <c r="F5" s="244"/>
      <c r="G5" s="244"/>
      <c r="H5" s="244"/>
      <c r="I5" s="35"/>
    </row>
    <row r="6" spans="1:10" x14ac:dyDescent="0.25">
      <c r="B6" s="6" t="s">
        <v>825</v>
      </c>
    </row>
    <row r="7" spans="1:10" x14ac:dyDescent="0.25">
      <c r="B7" s="6" t="s">
        <v>824</v>
      </c>
    </row>
    <row r="8" spans="1:10" x14ac:dyDescent="0.25">
      <c r="B8" s="6" t="s">
        <v>823</v>
      </c>
    </row>
    <row r="10" spans="1:10" x14ac:dyDescent="0.25">
      <c r="D10" s="175" t="s">
        <v>492</v>
      </c>
      <c r="E10" s="175" t="s">
        <v>491</v>
      </c>
      <c r="F10" s="175" t="s">
        <v>490</v>
      </c>
      <c r="G10" s="175" t="s">
        <v>489</v>
      </c>
      <c r="H10" s="175" t="s">
        <v>519</v>
      </c>
      <c r="I10" s="175" t="s">
        <v>518</v>
      </c>
    </row>
    <row r="11" spans="1:10" x14ac:dyDescent="0.25">
      <c r="A11" s="231"/>
      <c r="B11" s="231"/>
      <c r="C11" s="231"/>
      <c r="D11" s="231"/>
      <c r="E11" s="231"/>
      <c r="F11" s="231" t="s">
        <v>99</v>
      </c>
      <c r="G11" s="231"/>
      <c r="H11" s="231"/>
      <c r="I11" s="231" t="s">
        <v>822</v>
      </c>
      <c r="J11" s="231"/>
    </row>
    <row r="12" spans="1:10" x14ac:dyDescent="0.25">
      <c r="A12" s="231"/>
      <c r="B12" s="231"/>
      <c r="C12" s="231"/>
      <c r="D12" s="231"/>
      <c r="E12" s="231"/>
      <c r="F12" s="231"/>
      <c r="G12" s="231"/>
      <c r="H12" s="231"/>
      <c r="I12" s="231"/>
      <c r="J12" s="231"/>
    </row>
    <row r="13" spans="1:10" x14ac:dyDescent="0.25">
      <c r="B13" s="30"/>
      <c r="C13" s="30"/>
      <c r="D13" s="8" t="s">
        <v>821</v>
      </c>
      <c r="E13" s="8"/>
      <c r="F13" s="8"/>
      <c r="G13" s="183" t="s">
        <v>511</v>
      </c>
      <c r="H13" s="183"/>
      <c r="I13" s="183" t="s">
        <v>820</v>
      </c>
    </row>
    <row r="14" spans="1:10" x14ac:dyDescent="0.25">
      <c r="A14" s="33" t="s">
        <v>106</v>
      </c>
      <c r="B14" s="33" t="s">
        <v>819</v>
      </c>
      <c r="C14" s="33" t="s">
        <v>818</v>
      </c>
      <c r="D14" s="33" t="s">
        <v>814</v>
      </c>
      <c r="E14" s="33" t="s">
        <v>817</v>
      </c>
      <c r="F14" s="33" t="s">
        <v>816</v>
      </c>
      <c r="G14" s="33" t="s">
        <v>814</v>
      </c>
      <c r="H14" s="33" t="s">
        <v>815</v>
      </c>
      <c r="I14" s="33" t="s">
        <v>814</v>
      </c>
      <c r="J14" s="33" t="str">
        <f>A14</f>
        <v>Line</v>
      </c>
    </row>
    <row r="15" spans="1:10" x14ac:dyDescent="0.25">
      <c r="A15" s="8">
        <v>100</v>
      </c>
      <c r="B15" s="23">
        <v>350</v>
      </c>
      <c r="C15" s="38" t="s">
        <v>813</v>
      </c>
      <c r="D15" s="241">
        <v>344045805</v>
      </c>
      <c r="E15" s="239" t="s">
        <v>812</v>
      </c>
      <c r="F15" s="241">
        <v>0</v>
      </c>
      <c r="G15" s="236">
        <f>'7-PlantInService'!D25+'7-PlantInService'!E25</f>
        <v>328254742.61666924</v>
      </c>
      <c r="H15" s="237" t="s">
        <v>811</v>
      </c>
      <c r="I15" s="236">
        <f>+D15+F15-G15</f>
        <v>15791062.383330762</v>
      </c>
      <c r="J15" s="8">
        <f>A15</f>
        <v>100</v>
      </c>
    </row>
    <row r="16" spans="1:10" x14ac:dyDescent="0.25">
      <c r="A16" s="8">
        <f>A15+1</f>
        <v>101</v>
      </c>
      <c r="B16" s="23">
        <v>351.1</v>
      </c>
      <c r="C16" s="38" t="s">
        <v>810</v>
      </c>
      <c r="D16" s="241">
        <v>27636163</v>
      </c>
      <c r="E16" s="239" t="s">
        <v>809</v>
      </c>
      <c r="F16" s="241">
        <v>0</v>
      </c>
      <c r="G16" s="242">
        <f>SUM('7-PlantInService'!Q25:R25)</f>
        <v>26346693.681351349</v>
      </c>
      <c r="H16" s="240" t="s">
        <v>808</v>
      </c>
      <c r="I16" s="242">
        <f>+D16+F16-G16</f>
        <v>1289469.3186486512</v>
      </c>
      <c r="J16" s="8">
        <f>A16</f>
        <v>101</v>
      </c>
    </row>
    <row r="17" spans="1:12" x14ac:dyDescent="0.25">
      <c r="A17" s="8">
        <f>A16+1</f>
        <v>102</v>
      </c>
      <c r="B17" s="23">
        <v>351.2</v>
      </c>
      <c r="C17" s="38" t="s">
        <v>807</v>
      </c>
      <c r="D17" s="241">
        <v>165073683</v>
      </c>
      <c r="E17" s="239" t="s">
        <v>806</v>
      </c>
      <c r="F17" s="241">
        <v>0</v>
      </c>
      <c r="G17" s="242">
        <f>SUM('7-PlantInService'!S25:U25)</f>
        <v>157371537.74302354</v>
      </c>
      <c r="H17" s="240" t="s">
        <v>805</v>
      </c>
      <c r="I17" s="242">
        <f>+D17+F17-G17</f>
        <v>7702145.2569764555</v>
      </c>
      <c r="J17" s="8">
        <f>A17</f>
        <v>102</v>
      </c>
    </row>
    <row r="18" spans="1:12" x14ac:dyDescent="0.25">
      <c r="A18" s="8">
        <f>A17+1</f>
        <v>103</v>
      </c>
      <c r="B18" s="23">
        <v>351.3</v>
      </c>
      <c r="C18" s="38" t="s">
        <v>804</v>
      </c>
      <c r="D18" s="241">
        <v>936087265</v>
      </c>
      <c r="E18" s="239" t="s">
        <v>803</v>
      </c>
      <c r="F18" s="241">
        <v>0</v>
      </c>
      <c r="G18" s="242">
        <f>SUM('7-PlantInService'!V25:AB25)</f>
        <v>889842694.98007607</v>
      </c>
      <c r="H18" s="240" t="s">
        <v>802</v>
      </c>
      <c r="I18" s="242">
        <f>+D18+F18-G18</f>
        <v>46244570.019923925</v>
      </c>
      <c r="J18" s="8">
        <f>A18</f>
        <v>103</v>
      </c>
    </row>
    <row r="19" spans="1:12" x14ac:dyDescent="0.25">
      <c r="A19" s="8">
        <f>A18+1</f>
        <v>104</v>
      </c>
      <c r="B19" s="23">
        <v>352</v>
      </c>
      <c r="C19" s="38" t="s">
        <v>801</v>
      </c>
      <c r="D19" s="241">
        <v>522417257</v>
      </c>
      <c r="E19" s="239" t="s">
        <v>800</v>
      </c>
      <c r="F19" s="241">
        <v>0</v>
      </c>
      <c r="G19" s="236">
        <f>'7-PlantInService'!F25+'7-PlantInService'!G25</f>
        <v>505607278.33714718</v>
      </c>
      <c r="H19" s="237" t="s">
        <v>799</v>
      </c>
      <c r="I19" s="236">
        <f>+D19+F19-G19</f>
        <v>16809978.662852824</v>
      </c>
      <c r="J19" s="8">
        <f>A19</f>
        <v>104</v>
      </c>
      <c r="K19" s="162"/>
    </row>
    <row r="20" spans="1:12" x14ac:dyDescent="0.25">
      <c r="A20" s="8">
        <f>A19+1</f>
        <v>105</v>
      </c>
      <c r="B20" s="23">
        <v>353</v>
      </c>
      <c r="C20" s="38" t="s">
        <v>798</v>
      </c>
      <c r="D20" s="241">
        <v>9639173256</v>
      </c>
      <c r="E20" s="239" t="s">
        <v>797</v>
      </c>
      <c r="F20" s="241">
        <v>0</v>
      </c>
      <c r="G20" s="236">
        <f>'7-PlantInService'!H25+'7-PlantInService'!I25</f>
        <v>9122243483.7699471</v>
      </c>
      <c r="H20" s="237" t="s">
        <v>796</v>
      </c>
      <c r="I20" s="236">
        <f>+D20+F20-G20</f>
        <v>516929772.23005295</v>
      </c>
      <c r="J20" s="8">
        <f>A20</f>
        <v>105</v>
      </c>
    </row>
    <row r="21" spans="1:12" x14ac:dyDescent="0.25">
      <c r="A21" s="8">
        <f>A20+1</f>
        <v>106</v>
      </c>
      <c r="B21" s="74">
        <v>354</v>
      </c>
      <c r="C21" s="243" t="s">
        <v>795</v>
      </c>
      <c r="D21" s="238">
        <v>1621625428</v>
      </c>
      <c r="E21" s="239" t="s">
        <v>794</v>
      </c>
      <c r="F21" s="241">
        <v>0</v>
      </c>
      <c r="G21" s="242">
        <f>'7-PlantInService'!J25+'7-PlantInService'!K25</f>
        <v>1525743594.419862</v>
      </c>
      <c r="H21" s="240" t="s">
        <v>793</v>
      </c>
      <c r="I21" s="236">
        <f>+D21+F21-G21</f>
        <v>95881833.580137968</v>
      </c>
      <c r="J21" s="8">
        <f>A21</f>
        <v>106</v>
      </c>
    </row>
    <row r="22" spans="1:12" x14ac:dyDescent="0.25">
      <c r="A22" s="8">
        <f>A21+1</f>
        <v>107</v>
      </c>
      <c r="B22" s="23">
        <v>355</v>
      </c>
      <c r="C22" s="38" t="s">
        <v>792</v>
      </c>
      <c r="D22" s="238">
        <v>3387071554</v>
      </c>
      <c r="E22" s="239" t="s">
        <v>791</v>
      </c>
      <c r="F22" s="238">
        <v>-23445.4</v>
      </c>
      <c r="G22" s="236">
        <f>'7-PlantInService'!L25</f>
        <v>3197201485.2027988</v>
      </c>
      <c r="H22" s="240" t="s">
        <v>790</v>
      </c>
      <c r="I22" s="236">
        <f>+D22+F22-G22</f>
        <v>189846623.39720106</v>
      </c>
      <c r="J22" s="8">
        <f>A22</f>
        <v>107</v>
      </c>
    </row>
    <row r="23" spans="1:12" x14ac:dyDescent="0.25">
      <c r="A23" s="8">
        <f>A22+1</f>
        <v>108</v>
      </c>
      <c r="B23" s="23">
        <v>356</v>
      </c>
      <c r="C23" s="38" t="s">
        <v>789</v>
      </c>
      <c r="D23" s="238">
        <v>3287670143</v>
      </c>
      <c r="E23" s="239" t="s">
        <v>788</v>
      </c>
      <c r="F23" s="238">
        <v>-17340</v>
      </c>
      <c r="G23" s="236">
        <f>'7-PlantInService'!M25</f>
        <v>3107549087.6383648</v>
      </c>
      <c r="H23" s="240" t="s">
        <v>787</v>
      </c>
      <c r="I23" s="236">
        <f>+D23+F23-G23</f>
        <v>180103715.36163521</v>
      </c>
      <c r="J23" s="8">
        <f>A23</f>
        <v>108</v>
      </c>
    </row>
    <row r="24" spans="1:12" x14ac:dyDescent="0.25">
      <c r="A24" s="8">
        <f>A23+1</f>
        <v>109</v>
      </c>
      <c r="B24" s="23">
        <v>357</v>
      </c>
      <c r="C24" s="38" t="s">
        <v>786</v>
      </c>
      <c r="D24" s="238">
        <v>540991225</v>
      </c>
      <c r="E24" s="239" t="s">
        <v>785</v>
      </c>
      <c r="F24" s="241">
        <v>0</v>
      </c>
      <c r="G24" s="236">
        <f>'7-PlantInService'!N25</f>
        <v>536877136.24501705</v>
      </c>
      <c r="H24" s="240" t="s">
        <v>784</v>
      </c>
      <c r="I24" s="236">
        <f>+D24+F24-G24</f>
        <v>4114088.7549829483</v>
      </c>
      <c r="J24" s="8">
        <f>A24</f>
        <v>109</v>
      </c>
    </row>
    <row r="25" spans="1:12" x14ac:dyDescent="0.25">
      <c r="A25" s="8">
        <f>A24+1</f>
        <v>110</v>
      </c>
      <c r="B25" s="23">
        <v>358</v>
      </c>
      <c r="C25" s="38" t="s">
        <v>783</v>
      </c>
      <c r="D25" s="238">
        <v>293789139</v>
      </c>
      <c r="E25" s="239" t="s">
        <v>782</v>
      </c>
      <c r="F25" s="241">
        <v>0</v>
      </c>
      <c r="G25" s="236">
        <f>'7-PlantInService'!O25</f>
        <v>286849895.21234781</v>
      </c>
      <c r="H25" s="240" t="s">
        <v>781</v>
      </c>
      <c r="I25" s="236">
        <f>+D25+F25-G25</f>
        <v>6939243.7876521945</v>
      </c>
      <c r="J25" s="8">
        <f>A25</f>
        <v>110</v>
      </c>
    </row>
    <row r="26" spans="1:12" x14ac:dyDescent="0.25">
      <c r="A26" s="8">
        <f>A25+1</f>
        <v>111</v>
      </c>
      <c r="B26" s="23">
        <v>359</v>
      </c>
      <c r="C26" s="38" t="s">
        <v>780</v>
      </c>
      <c r="D26" s="238">
        <v>297335858</v>
      </c>
      <c r="E26" s="239" t="s">
        <v>779</v>
      </c>
      <c r="F26" s="241">
        <v>0</v>
      </c>
      <c r="G26" s="236">
        <f>'7-PlantInService'!P25</f>
        <v>283940569.44711864</v>
      </c>
      <c r="H26" s="240" t="s">
        <v>778</v>
      </c>
      <c r="I26" s="236">
        <f>+D26+F26-G26</f>
        <v>13395288.55288136</v>
      </c>
      <c r="J26" s="8">
        <f>A26</f>
        <v>111</v>
      </c>
    </row>
    <row r="27" spans="1:12" x14ac:dyDescent="0.25">
      <c r="A27" s="8">
        <f>A26+1</f>
        <v>112</v>
      </c>
      <c r="B27" s="23">
        <v>359.1</v>
      </c>
      <c r="C27" s="38" t="s">
        <v>777</v>
      </c>
      <c r="D27" s="238">
        <v>-4712653</v>
      </c>
      <c r="E27" s="239" t="s">
        <v>776</v>
      </c>
      <c r="F27" s="238">
        <v>4712653</v>
      </c>
      <c r="G27" s="236">
        <v>0</v>
      </c>
      <c r="H27" s="237" t="s">
        <v>183</v>
      </c>
      <c r="I27" s="236">
        <f>+D27+F27-G27</f>
        <v>0</v>
      </c>
      <c r="J27" s="8">
        <f>A27</f>
        <v>112</v>
      </c>
    </row>
    <row r="28" spans="1:12" x14ac:dyDescent="0.25">
      <c r="A28" s="8">
        <f>A27+1</f>
        <v>113</v>
      </c>
      <c r="B28" s="235"/>
      <c r="C28" s="234" t="s">
        <v>775</v>
      </c>
      <c r="D28" s="232">
        <f>SUM(D15:D27)</f>
        <v>21058204123</v>
      </c>
      <c r="E28" s="233"/>
      <c r="F28" s="232">
        <f>SUM(F15:F27)</f>
        <v>4671867.5999999996</v>
      </c>
      <c r="G28" s="232">
        <f>SUM(G15:G27)</f>
        <v>19967828199.293724</v>
      </c>
      <c r="H28" s="233"/>
      <c r="I28" s="232">
        <f>SUM(I15:I27)</f>
        <v>1095047791.3062763</v>
      </c>
      <c r="J28" s="8">
        <f>A28</f>
        <v>113</v>
      </c>
    </row>
    <row r="29" spans="1:12" x14ac:dyDescent="0.25">
      <c r="A29" s="163"/>
      <c r="B29" s="163"/>
      <c r="C29" s="163"/>
      <c r="D29" s="231"/>
      <c r="E29" s="163"/>
      <c r="F29" s="163"/>
      <c r="G29" s="231"/>
      <c r="H29" s="163"/>
      <c r="I29" s="163"/>
      <c r="J29" s="163"/>
      <c r="K29" s="163"/>
      <c r="L29" s="163"/>
    </row>
    <row r="30" spans="1:12" x14ac:dyDescent="0.25">
      <c r="B30" s="25" t="s">
        <v>145</v>
      </c>
    </row>
    <row r="31" spans="1:12" x14ac:dyDescent="0.25">
      <c r="B31" s="6" t="s">
        <v>774</v>
      </c>
      <c r="C31" s="30"/>
      <c r="D31" s="30"/>
      <c r="E31" s="30"/>
      <c r="F31" s="30"/>
      <c r="G31" s="30"/>
      <c r="H31" s="30"/>
    </row>
    <row r="32" spans="1:12" ht="15" customHeight="1" x14ac:dyDescent="0.25">
      <c r="B32" s="6" t="s">
        <v>773</v>
      </c>
    </row>
    <row r="33" spans="1:1" ht="15" customHeight="1" x14ac:dyDescent="0.25">
      <c r="A33" s="47"/>
    </row>
  </sheetData>
  <printOptions horizontalCentered="1"/>
  <pageMargins left="1" right="1" top="1" bottom="1" header="0.5" footer="0.5"/>
  <pageSetup scale="50" fitToHeight="0" orientation="landscape" r:id="rId1"/>
  <headerFooter>
    <oddHeader>&amp;R&amp;F</oddHeader>
  </headerFooter>
  <customProperties>
    <customPr name="_pios_id" r:id="rId2"/>
  </customPropertie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E8DDD6-7538-441A-9909-09685FF2F16D}">
  <sheetPr>
    <pageSetUpPr fitToPage="1"/>
  </sheetPr>
  <dimension ref="A1:AG98"/>
  <sheetViews>
    <sheetView view="pageBreakPreview" topLeftCell="A84" zoomScale="98" zoomScaleNormal="100" zoomScaleSheetLayoutView="98" workbookViewId="0">
      <selection activeCell="Q36" sqref="Q36"/>
    </sheetView>
  </sheetViews>
  <sheetFormatPr defaultColWidth="8.85546875" defaultRowHeight="15" x14ac:dyDescent="0.25"/>
  <cols>
    <col min="1" max="1" width="6.85546875" style="23" bestFit="1" customWidth="1"/>
    <col min="2" max="2" width="14" style="6" customWidth="1"/>
    <col min="3" max="3" width="14.42578125" style="6" customWidth="1"/>
    <col min="4" max="4" width="21.5703125" style="6" bestFit="1" customWidth="1"/>
    <col min="5" max="5" width="17.5703125" style="6" customWidth="1"/>
    <col min="6" max="6" width="15.85546875" style="6" customWidth="1"/>
    <col min="7" max="8" width="17.85546875" style="6" customWidth="1"/>
    <col min="9" max="9" width="13.5703125" style="6" customWidth="1"/>
    <col min="10" max="10" width="15.42578125" style="6" customWidth="1"/>
    <col min="11" max="11" width="15.140625" style="6" customWidth="1"/>
    <col min="12" max="13" width="17.140625" style="6" customWidth="1"/>
    <col min="14" max="16" width="15.42578125" style="6" customWidth="1"/>
    <col min="17" max="28" width="15.140625" style="6" customWidth="1"/>
    <col min="29" max="29" width="21" style="6" bestFit="1" customWidth="1"/>
    <col min="30" max="30" width="20.5703125" style="6" customWidth="1"/>
    <col min="31" max="31" width="6.140625" style="23" customWidth="1"/>
    <col min="32" max="16384" width="8.85546875" style="6"/>
  </cols>
  <sheetData>
    <row r="1" spans="1:31" x14ac:dyDescent="0.25">
      <c r="B1" s="30" t="s">
        <v>910</v>
      </c>
      <c r="AD1" s="76"/>
    </row>
    <row r="2" spans="1:31" x14ac:dyDescent="0.25">
      <c r="B2" s="30" t="s">
        <v>59</v>
      </c>
      <c r="C2" s="30"/>
      <c r="F2" s="245"/>
      <c r="P2" s="8"/>
      <c r="AD2" s="76" t="str">
        <f>CONCATENATE("Prior Year: ",'1-BaseTRR'!$G$3)</f>
        <v>Prior Year: 2025</v>
      </c>
    </row>
    <row r="3" spans="1:31" x14ac:dyDescent="0.25">
      <c r="B3" s="77" t="s">
        <v>367</v>
      </c>
      <c r="C3" s="89"/>
      <c r="P3" s="76"/>
    </row>
    <row r="4" spans="1:31" x14ac:dyDescent="0.25">
      <c r="A4" s="33"/>
      <c r="B4" s="30"/>
      <c r="AE4" s="33"/>
    </row>
    <row r="5" spans="1:31" x14ac:dyDescent="0.25">
      <c r="B5" s="83" t="s">
        <v>909</v>
      </c>
      <c r="C5" s="83"/>
      <c r="D5" s="35"/>
      <c r="E5" s="35"/>
      <c r="F5" s="35"/>
      <c r="G5" s="35"/>
      <c r="H5" s="35"/>
      <c r="I5" s="35"/>
      <c r="J5" s="35"/>
      <c r="K5" s="35"/>
      <c r="L5" s="35"/>
      <c r="M5" s="35"/>
      <c r="N5" s="35"/>
      <c r="O5" s="35"/>
      <c r="P5" s="35"/>
      <c r="Q5" s="35"/>
      <c r="R5" s="35"/>
      <c r="S5" s="35"/>
      <c r="T5" s="35"/>
      <c r="U5" s="35"/>
      <c r="V5" s="35"/>
      <c r="W5" s="35"/>
      <c r="X5" s="35"/>
      <c r="Y5" s="35"/>
      <c r="Z5" s="35"/>
      <c r="AA5" s="35"/>
      <c r="AB5" s="35"/>
      <c r="AC5" s="35"/>
      <c r="AD5" s="35"/>
    </row>
    <row r="6" spans="1:31" x14ac:dyDescent="0.25">
      <c r="A6" s="8"/>
      <c r="B6" s="246" t="s">
        <v>908</v>
      </c>
      <c r="J6" s="23"/>
      <c r="K6" s="23"/>
      <c r="L6" s="183"/>
    </row>
    <row r="7" spans="1:31" x14ac:dyDescent="0.25">
      <c r="A7" s="8"/>
      <c r="J7" s="23"/>
      <c r="K7" s="23"/>
      <c r="L7" s="183"/>
    </row>
    <row r="8" spans="1:31" x14ac:dyDescent="0.25">
      <c r="A8" s="8"/>
      <c r="D8" s="175" t="s">
        <v>492</v>
      </c>
      <c r="E8" s="175" t="s">
        <v>491</v>
      </c>
      <c r="F8" s="175" t="s">
        <v>490</v>
      </c>
      <c r="G8" s="175" t="s">
        <v>489</v>
      </c>
      <c r="H8" s="175" t="s">
        <v>519</v>
      </c>
      <c r="I8" s="175" t="s">
        <v>518</v>
      </c>
      <c r="J8" s="175" t="s">
        <v>517</v>
      </c>
      <c r="K8" s="175" t="s">
        <v>538</v>
      </c>
      <c r="L8" s="175" t="s">
        <v>537</v>
      </c>
      <c r="M8" s="175" t="s">
        <v>770</v>
      </c>
      <c r="N8" s="175" t="s">
        <v>769</v>
      </c>
      <c r="O8" s="175" t="s">
        <v>768</v>
      </c>
      <c r="P8" s="175" t="s">
        <v>767</v>
      </c>
      <c r="Q8" s="175" t="s">
        <v>766</v>
      </c>
      <c r="R8" s="175" t="s">
        <v>765</v>
      </c>
      <c r="S8" s="175" t="s">
        <v>900</v>
      </c>
      <c r="T8" s="175" t="s">
        <v>899</v>
      </c>
      <c r="U8" s="175" t="s">
        <v>898</v>
      </c>
      <c r="V8" s="175" t="s">
        <v>897</v>
      </c>
      <c r="W8" s="175" t="s">
        <v>896</v>
      </c>
      <c r="X8" s="175" t="s">
        <v>895</v>
      </c>
      <c r="Y8" s="175" t="s">
        <v>894</v>
      </c>
      <c r="Z8" s="175" t="s">
        <v>893</v>
      </c>
      <c r="AA8" s="175" t="s">
        <v>892</v>
      </c>
      <c r="AB8" s="175" t="s">
        <v>891</v>
      </c>
      <c r="AC8" s="175" t="s">
        <v>890</v>
      </c>
      <c r="AD8" s="175"/>
    </row>
    <row r="9" spans="1:31" ht="30" x14ac:dyDescent="0.25">
      <c r="B9" s="8"/>
      <c r="C9" s="8"/>
      <c r="D9" s="264" t="s">
        <v>907</v>
      </c>
      <c r="E9" s="264" t="s">
        <v>907</v>
      </c>
      <c r="F9" s="264" t="s">
        <v>907</v>
      </c>
      <c r="G9" s="264" t="s">
        <v>907</v>
      </c>
      <c r="H9" s="264" t="s">
        <v>907</v>
      </c>
      <c r="I9" s="264" t="s">
        <v>907</v>
      </c>
      <c r="J9" s="264" t="s">
        <v>907</v>
      </c>
      <c r="K9" s="264" t="s">
        <v>907</v>
      </c>
      <c r="L9" s="264" t="s">
        <v>907</v>
      </c>
      <c r="M9" s="264" t="s">
        <v>907</v>
      </c>
      <c r="N9" s="264" t="s">
        <v>907</v>
      </c>
      <c r="O9" s="264" t="s">
        <v>907</v>
      </c>
      <c r="P9" s="264" t="s">
        <v>907</v>
      </c>
      <c r="Q9" s="264" t="s">
        <v>907</v>
      </c>
      <c r="R9" s="264" t="s">
        <v>907</v>
      </c>
      <c r="S9" s="264" t="s">
        <v>907</v>
      </c>
      <c r="T9" s="264" t="s">
        <v>907</v>
      </c>
      <c r="U9" s="264" t="s">
        <v>907</v>
      </c>
      <c r="V9" s="264" t="s">
        <v>907</v>
      </c>
      <c r="W9" s="264" t="s">
        <v>907</v>
      </c>
      <c r="X9" s="264" t="s">
        <v>907</v>
      </c>
      <c r="Y9" s="264" t="s">
        <v>907</v>
      </c>
      <c r="Z9" s="264" t="s">
        <v>907</v>
      </c>
      <c r="AA9" s="264" t="s">
        <v>907</v>
      </c>
      <c r="AB9" s="264" t="s">
        <v>907</v>
      </c>
      <c r="AC9" s="258" t="s">
        <v>889</v>
      </c>
      <c r="AD9" s="74"/>
    </row>
    <row r="10" spans="1:31" x14ac:dyDescent="0.25">
      <c r="B10" s="8"/>
      <c r="C10" s="8"/>
      <c r="H10" s="268"/>
      <c r="O10" s="23"/>
      <c r="Q10" s="8"/>
      <c r="R10" s="8"/>
      <c r="S10" s="8"/>
      <c r="T10" s="8"/>
      <c r="U10" s="8"/>
      <c r="V10" s="8"/>
      <c r="W10" s="8"/>
      <c r="X10" s="8"/>
      <c r="Y10" s="8"/>
      <c r="Z10" s="8"/>
      <c r="AA10" s="8"/>
      <c r="AB10" s="8"/>
      <c r="AC10" s="23"/>
      <c r="AD10" s="23"/>
    </row>
    <row r="11" spans="1:31" x14ac:dyDescent="0.25">
      <c r="C11" s="76" t="s">
        <v>888</v>
      </c>
      <c r="D11" s="183">
        <v>350.01</v>
      </c>
      <c r="E11" s="183">
        <v>350.02</v>
      </c>
      <c r="F11" s="183">
        <v>352.01</v>
      </c>
      <c r="G11" s="183">
        <v>352.02</v>
      </c>
      <c r="H11" s="183">
        <v>353.01</v>
      </c>
      <c r="I11" s="183">
        <v>353.02</v>
      </c>
      <c r="J11" s="183">
        <v>354</v>
      </c>
      <c r="K11" s="8">
        <v>354.02</v>
      </c>
      <c r="L11" s="183">
        <v>355</v>
      </c>
      <c r="M11" s="183">
        <v>356</v>
      </c>
      <c r="N11" s="183">
        <v>357</v>
      </c>
      <c r="O11" s="183">
        <v>358</v>
      </c>
      <c r="P11" s="183">
        <v>359</v>
      </c>
      <c r="Q11" s="183" t="s">
        <v>887</v>
      </c>
      <c r="R11" s="183" t="s">
        <v>886</v>
      </c>
      <c r="S11" s="183" t="s">
        <v>885</v>
      </c>
      <c r="T11" s="183" t="s">
        <v>884</v>
      </c>
      <c r="U11" s="183" t="s">
        <v>883</v>
      </c>
      <c r="V11" s="183" t="s">
        <v>882</v>
      </c>
      <c r="W11" s="183" t="s">
        <v>881</v>
      </c>
      <c r="X11" s="183" t="s">
        <v>880</v>
      </c>
      <c r="Y11" s="183" t="s">
        <v>879</v>
      </c>
      <c r="Z11" s="183" t="s">
        <v>878</v>
      </c>
      <c r="AA11" s="183" t="s">
        <v>877</v>
      </c>
      <c r="AB11" s="183" t="s">
        <v>876</v>
      </c>
    </row>
    <row r="12" spans="1:31" x14ac:dyDescent="0.25">
      <c r="A12" s="33" t="s">
        <v>106</v>
      </c>
      <c r="B12" s="33" t="s">
        <v>483</v>
      </c>
      <c r="C12" s="33" t="s">
        <v>510</v>
      </c>
      <c r="D12" s="175" t="s">
        <v>875</v>
      </c>
      <c r="E12" s="175" t="s">
        <v>874</v>
      </c>
      <c r="F12" s="175" t="s">
        <v>873</v>
      </c>
      <c r="G12" s="175" t="s">
        <v>872</v>
      </c>
      <c r="H12" s="175" t="s">
        <v>871</v>
      </c>
      <c r="I12" s="175" t="s">
        <v>870</v>
      </c>
      <c r="J12" s="175" t="s">
        <v>869</v>
      </c>
      <c r="K12" s="175" t="s">
        <v>868</v>
      </c>
      <c r="L12" s="175" t="s">
        <v>867</v>
      </c>
      <c r="M12" s="175" t="s">
        <v>866</v>
      </c>
      <c r="N12" s="175" t="s">
        <v>865</v>
      </c>
      <c r="O12" s="175" t="s">
        <v>864</v>
      </c>
      <c r="P12" s="175" t="s">
        <v>863</v>
      </c>
      <c r="Q12" s="33" t="s">
        <v>862</v>
      </c>
      <c r="R12" s="33" t="s">
        <v>861</v>
      </c>
      <c r="S12" s="33" t="s">
        <v>860</v>
      </c>
      <c r="T12" s="33" t="s">
        <v>859</v>
      </c>
      <c r="U12" s="33" t="s">
        <v>858</v>
      </c>
      <c r="V12" s="33" t="s">
        <v>857</v>
      </c>
      <c r="W12" s="33" t="s">
        <v>856</v>
      </c>
      <c r="X12" s="33" t="s">
        <v>855</v>
      </c>
      <c r="Y12" s="33" t="s">
        <v>854</v>
      </c>
      <c r="Z12" s="33" t="s">
        <v>853</v>
      </c>
      <c r="AA12" s="33" t="s">
        <v>852</v>
      </c>
      <c r="AB12" s="33" t="s">
        <v>851</v>
      </c>
      <c r="AC12" s="33" t="s">
        <v>466</v>
      </c>
      <c r="AD12" s="33" t="s">
        <v>154</v>
      </c>
      <c r="AE12" s="33" t="str">
        <f>A12</f>
        <v>Line</v>
      </c>
    </row>
    <row r="13" spans="1:31" x14ac:dyDescent="0.25">
      <c r="A13" s="8">
        <v>100</v>
      </c>
      <c r="B13" s="246" t="s">
        <v>467</v>
      </c>
      <c r="C13" s="255">
        <f>'1-BaseTRR'!$G$3-1</f>
        <v>2024</v>
      </c>
      <c r="D13" s="242">
        <f>+D38+D63</f>
        <v>96390545.044457167</v>
      </c>
      <c r="E13" s="242">
        <f>+E38+E63</f>
        <v>211676326.92220718</v>
      </c>
      <c r="F13" s="242">
        <f>+F38+F63</f>
        <v>370903638.21185184</v>
      </c>
      <c r="G13" s="242">
        <f>+G38+G63</f>
        <v>114041137.91252145</v>
      </c>
      <c r="H13" s="242">
        <f>+H38+H63</f>
        <v>8569738586.3336296</v>
      </c>
      <c r="I13" s="242">
        <f>+I38+I63</f>
        <v>5304411.6663986174</v>
      </c>
      <c r="J13" s="242">
        <f>+J38+J63</f>
        <v>1300593427.3494606</v>
      </c>
      <c r="K13" s="242">
        <f>+K38+K63</f>
        <v>0</v>
      </c>
      <c r="L13" s="242">
        <f>+L38+L63</f>
        <v>2959329319.009706</v>
      </c>
      <c r="M13" s="242">
        <f>+M38+M63</f>
        <v>2936125253.0181899</v>
      </c>
      <c r="N13" s="242">
        <f>+N38+N63</f>
        <v>518659142.81928337</v>
      </c>
      <c r="O13" s="242">
        <f>+O38+O63</f>
        <v>281778087.97570354</v>
      </c>
      <c r="P13" s="242">
        <f>+P38+P63</f>
        <v>263771827.26576984</v>
      </c>
      <c r="Q13" s="242">
        <f>Q38+Q63</f>
        <v>0</v>
      </c>
      <c r="R13" s="242">
        <f>R38+R63</f>
        <v>0</v>
      </c>
      <c r="S13" s="242">
        <f>S38+S63</f>
        <v>0</v>
      </c>
      <c r="T13" s="242">
        <f>T38+T63</f>
        <v>0</v>
      </c>
      <c r="U13" s="242">
        <f>U38+U63</f>
        <v>0</v>
      </c>
      <c r="V13" s="242">
        <f>V38+V63</f>
        <v>0</v>
      </c>
      <c r="W13" s="242">
        <f>W38+W63</f>
        <v>0</v>
      </c>
      <c r="X13" s="242">
        <f>X38+X63</f>
        <v>0</v>
      </c>
      <c r="Y13" s="242">
        <f>Y38+Y63</f>
        <v>0</v>
      </c>
      <c r="Z13" s="242">
        <f>Z38+Z63</f>
        <v>0</v>
      </c>
      <c r="AA13" s="267">
        <f>AA38+AA63</f>
        <v>0</v>
      </c>
      <c r="AB13" s="242">
        <f>AB38+AB63</f>
        <v>0</v>
      </c>
      <c r="AC13" s="24">
        <f>SUM(D13:AB13)</f>
        <v>17628311703.529179</v>
      </c>
      <c r="AD13" s="260" t="str">
        <f>"Line "&amp;A38&amp;" + Line "&amp;A63&amp;""</f>
        <v>Line 200 + Line 300</v>
      </c>
      <c r="AE13" s="8">
        <f>A13</f>
        <v>100</v>
      </c>
    </row>
    <row r="14" spans="1:31" x14ac:dyDescent="0.25">
      <c r="A14" s="8">
        <f>A13+1</f>
        <v>101</v>
      </c>
      <c r="B14" s="246" t="s">
        <v>478</v>
      </c>
      <c r="C14" s="255">
        <f>'1-BaseTRR'!$G$3</f>
        <v>2025</v>
      </c>
      <c r="D14" s="242">
        <f>+D39+D64</f>
        <v>91648074.788070977</v>
      </c>
      <c r="E14" s="242">
        <f>+E39+E64</f>
        <v>211634934.66519111</v>
      </c>
      <c r="F14" s="242">
        <f>+F39+F64</f>
        <v>371109307.36824584</v>
      </c>
      <c r="G14" s="242">
        <f>+G39+G64</f>
        <v>113823293.91719131</v>
      </c>
      <c r="H14" s="242">
        <f>+H39+H64</f>
        <v>8699345434.3683319</v>
      </c>
      <c r="I14" s="242">
        <f>+I39+I64</f>
        <v>5416802.1400000006</v>
      </c>
      <c r="J14" s="242">
        <f>+J39+J64</f>
        <v>1292642409.8503489</v>
      </c>
      <c r="K14" s="242">
        <f>+K39+K64</f>
        <v>0</v>
      </c>
      <c r="L14" s="242">
        <f>+L39+L64</f>
        <v>2965489062.7440033</v>
      </c>
      <c r="M14" s="242">
        <f>+M39+M64</f>
        <v>2922530817.9323492</v>
      </c>
      <c r="N14" s="242">
        <f>+N39+N64</f>
        <v>519011621.94460797</v>
      </c>
      <c r="O14" s="242">
        <f>+O39+O64</f>
        <v>281812576.29710537</v>
      </c>
      <c r="P14" s="242">
        <f>+P39+P64</f>
        <v>264381997.08918834</v>
      </c>
      <c r="Q14" s="242">
        <f>Q39+Q64</f>
        <v>18520775.391917396</v>
      </c>
      <c r="R14" s="242">
        <f>R39+R64</f>
        <v>13363698.203113073</v>
      </c>
      <c r="S14" s="242">
        <f>S39+S64</f>
        <v>140592923.04921234</v>
      </c>
      <c r="T14" s="242">
        <f>T39+T64</f>
        <v>415697.82953747327</v>
      </c>
      <c r="U14" s="242">
        <f>U39+U64</f>
        <v>12136066.631079229</v>
      </c>
      <c r="V14" s="242">
        <f>V39+V64</f>
        <v>32540597.832759723</v>
      </c>
      <c r="W14" s="242">
        <f>W39+W64</f>
        <v>50758181.322081082</v>
      </c>
      <c r="X14" s="242">
        <f>X39+X64</f>
        <v>5141226.6048445385</v>
      </c>
      <c r="Y14" s="242">
        <f>Y39+Y64</f>
        <v>334347.08249421878</v>
      </c>
      <c r="Z14" s="242">
        <f>Z39+Z64</f>
        <v>79646206.913259208</v>
      </c>
      <c r="AA14" s="267">
        <f>AA39+AA64</f>
        <v>63581.411444501486</v>
      </c>
      <c r="AB14" s="242">
        <f>AB39+AB64</f>
        <v>650781603.74049103</v>
      </c>
      <c r="AC14" s="24">
        <f>SUM(D14:AB14)</f>
        <v>18743141239.116863</v>
      </c>
      <c r="AD14" s="260" t="str">
        <f>"Line "&amp;A39&amp;" + Line "&amp;A64&amp;""</f>
        <v>Line 201 + Line 301</v>
      </c>
      <c r="AE14" s="8">
        <f>A14</f>
        <v>101</v>
      </c>
    </row>
    <row r="15" spans="1:31" x14ac:dyDescent="0.25">
      <c r="A15" s="8">
        <f>A14+1</f>
        <v>102</v>
      </c>
      <c r="B15" s="246" t="s">
        <v>477</v>
      </c>
      <c r="C15" s="255">
        <f>'1-BaseTRR'!$G$3</f>
        <v>2025</v>
      </c>
      <c r="D15" s="242">
        <f>+D40+D65</f>
        <v>91672560.393109143</v>
      </c>
      <c r="E15" s="242">
        <f>+E40+E65</f>
        <v>211674466.39903003</v>
      </c>
      <c r="F15" s="242">
        <f>+F40+F65</f>
        <v>370892829.73464048</v>
      </c>
      <c r="G15" s="242">
        <f>+G40+G65</f>
        <v>104046784.91186117</v>
      </c>
      <c r="H15" s="242">
        <f>+H40+H65</f>
        <v>8746923734.5097141</v>
      </c>
      <c r="I15" s="242">
        <f>+I40+I65</f>
        <v>5416802.1400000006</v>
      </c>
      <c r="J15" s="242">
        <f>+J40+J65</f>
        <v>1305692997.0420413</v>
      </c>
      <c r="K15" s="242">
        <f>+K40+K65</f>
        <v>0</v>
      </c>
      <c r="L15" s="242">
        <f>+L40+L65</f>
        <v>2979950706.0979381</v>
      </c>
      <c r="M15" s="242">
        <f>+M40+M65</f>
        <v>2923545413.7631073</v>
      </c>
      <c r="N15" s="242">
        <f>+N40+N65</f>
        <v>519010511.04913348</v>
      </c>
      <c r="O15" s="242">
        <f>+O40+O65</f>
        <v>281810274.35389233</v>
      </c>
      <c r="P15" s="242">
        <f>+P40+P65</f>
        <v>265049761.99260688</v>
      </c>
      <c r="Q15" s="242">
        <f>Q40+Q65</f>
        <v>19160387.283913799</v>
      </c>
      <c r="R15" s="242">
        <f>R40+R65</f>
        <v>13363697.735975899</v>
      </c>
      <c r="S15" s="242">
        <f>S40+S65</f>
        <v>133820043.26037593</v>
      </c>
      <c r="T15" s="242">
        <f>T40+T65</f>
        <v>10160571.534611549</v>
      </c>
      <c r="U15" s="242">
        <f>U40+U65</f>
        <v>15637957.80951659</v>
      </c>
      <c r="V15" s="242">
        <f>V40+V65</f>
        <v>32329124.853500877</v>
      </c>
      <c r="W15" s="242">
        <f>W40+W65</f>
        <v>47981858.412008695</v>
      </c>
      <c r="X15" s="242">
        <f>X40+X65</f>
        <v>5141606.3968997933</v>
      </c>
      <c r="Y15" s="242">
        <f>Y40+Y65</f>
        <v>2725603.8632909311</v>
      </c>
      <c r="Z15" s="242">
        <f>Z40+Z65</f>
        <v>81979185.462137341</v>
      </c>
      <c r="AA15" s="267">
        <f>AA40+AA65</f>
        <v>63581.411444501486</v>
      </c>
      <c r="AB15" s="242">
        <f>AB40+AB65</f>
        <v>657753983.64936686</v>
      </c>
      <c r="AC15" s="24">
        <f>SUM(D15:AB15)</f>
        <v>18825804444.060127</v>
      </c>
      <c r="AD15" s="260" t="str">
        <f>"Line "&amp;A40&amp;" + Line "&amp;A65&amp;""</f>
        <v>Line 202 + Line 302</v>
      </c>
      <c r="AE15" s="8">
        <f>A15</f>
        <v>102</v>
      </c>
    </row>
    <row r="16" spans="1:31" x14ac:dyDescent="0.25">
      <c r="A16" s="8">
        <f>A15+1</f>
        <v>103</v>
      </c>
      <c r="B16" s="246" t="s">
        <v>476</v>
      </c>
      <c r="C16" s="255">
        <f>'1-BaseTRR'!$G$3</f>
        <v>2025</v>
      </c>
      <c r="D16" s="242">
        <f>+D41+D66</f>
        <v>91812203.619084537</v>
      </c>
      <c r="E16" s="242">
        <f>+E41+E66</f>
        <v>211703419.06712639</v>
      </c>
      <c r="F16" s="242">
        <f>+F41+F66</f>
        <v>371366214.35103512</v>
      </c>
      <c r="G16" s="242">
        <f>+G41+G66</f>
        <v>106821341.32653099</v>
      </c>
      <c r="H16" s="242">
        <f>+H41+H66</f>
        <v>8788878578.4850998</v>
      </c>
      <c r="I16" s="242">
        <f>+I41+I66</f>
        <v>5416802.1400000006</v>
      </c>
      <c r="J16" s="242">
        <f>+J41+J66</f>
        <v>1339549361.8728707</v>
      </c>
      <c r="K16" s="242">
        <f>+K41+K66</f>
        <v>0</v>
      </c>
      <c r="L16" s="242">
        <f>+L41+L66</f>
        <v>3005982852.5225267</v>
      </c>
      <c r="M16" s="242">
        <f>+M41+M66</f>
        <v>2993370398.1565995</v>
      </c>
      <c r="N16" s="242">
        <f>+N41+N66</f>
        <v>519070311.18083072</v>
      </c>
      <c r="O16" s="242">
        <f>+O41+O66</f>
        <v>281813132.98326784</v>
      </c>
      <c r="P16" s="242">
        <f>+P41+P66</f>
        <v>265403407.54577309</v>
      </c>
      <c r="Q16" s="242">
        <f>Q41+Q66</f>
        <v>19205367.502854947</v>
      </c>
      <c r="R16" s="242">
        <f>R41+R66</f>
        <v>13363697.735975901</v>
      </c>
      <c r="S16" s="242">
        <f>S41+S66</f>
        <v>134353879.64248884</v>
      </c>
      <c r="T16" s="242">
        <f>T41+T66</f>
        <v>10370377.89237063</v>
      </c>
      <c r="U16" s="242">
        <f>U41+U66</f>
        <v>16299271.35016902</v>
      </c>
      <c r="V16" s="242">
        <f>V41+V66</f>
        <v>33184707.330993488</v>
      </c>
      <c r="W16" s="242">
        <f>W41+W66</f>
        <v>61204968.937212653</v>
      </c>
      <c r="X16" s="242">
        <f>X41+X66</f>
        <v>5141606.3968997933</v>
      </c>
      <c r="Y16" s="242">
        <f>Y41+Y66</f>
        <v>2725603.8632909311</v>
      </c>
      <c r="Z16" s="242">
        <f>Z41+Z66</f>
        <v>88774421.006073236</v>
      </c>
      <c r="AA16" s="267">
        <f>AA41+AA66</f>
        <v>75891.238632306966</v>
      </c>
      <c r="AB16" s="242">
        <f>AB41+AB66</f>
        <v>611226575.6741091</v>
      </c>
      <c r="AC16" s="24">
        <f>SUM(D16:AB16)</f>
        <v>18977114391.821823</v>
      </c>
      <c r="AD16" s="260" t="str">
        <f>"Line "&amp;A41&amp;" + Line "&amp;A66&amp;""</f>
        <v>Line 203 + Line 303</v>
      </c>
      <c r="AE16" s="8">
        <f>A16</f>
        <v>103</v>
      </c>
    </row>
    <row r="17" spans="1:32" x14ac:dyDescent="0.25">
      <c r="A17" s="8">
        <f>A16+1</f>
        <v>104</v>
      </c>
      <c r="B17" s="246" t="s">
        <v>475</v>
      </c>
      <c r="C17" s="255">
        <f>'1-BaseTRR'!$G$3</f>
        <v>2025</v>
      </c>
      <c r="D17" s="242">
        <f>+D42+D67</f>
        <v>91867559.072308958</v>
      </c>
      <c r="E17" s="242">
        <f>+E42+E67</f>
        <v>211876314.2557168</v>
      </c>
      <c r="F17" s="242">
        <f>+F42+F67</f>
        <v>370777186.86742985</v>
      </c>
      <c r="G17" s="242">
        <f>+G42+G67</f>
        <v>105957410.29120085</v>
      </c>
      <c r="H17" s="242">
        <f>+H42+H67</f>
        <v>8799311359.4321537</v>
      </c>
      <c r="I17" s="242">
        <f>+I42+I67</f>
        <v>5416802.1400000006</v>
      </c>
      <c r="J17" s="242">
        <f>+J42+J67</f>
        <v>1401202078.2666397</v>
      </c>
      <c r="K17" s="242">
        <f>+K42+K67</f>
        <v>0</v>
      </c>
      <c r="L17" s="242">
        <f>+L42+L67</f>
        <v>3019908516.0659742</v>
      </c>
      <c r="M17" s="242">
        <f>+M42+M67</f>
        <v>3002230393.2577219</v>
      </c>
      <c r="N17" s="242">
        <f>+N42+N67</f>
        <v>519249258.35798144</v>
      </c>
      <c r="O17" s="242">
        <f>+O42+O67</f>
        <v>281812237.44848919</v>
      </c>
      <c r="P17" s="242">
        <f>+P42+P67</f>
        <v>266499066.21360132</v>
      </c>
      <c r="Q17" s="242">
        <f>Q42+Q67</f>
        <v>19205367.502854951</v>
      </c>
      <c r="R17" s="242">
        <f>R42+R67</f>
        <v>13363697.735975901</v>
      </c>
      <c r="S17" s="242">
        <f>S42+S67</f>
        <v>145749538.29655281</v>
      </c>
      <c r="T17" s="242">
        <f>T42+T67</f>
        <v>1220343.6982602468</v>
      </c>
      <c r="U17" s="242">
        <f>U42+U67</f>
        <v>16497696.396906108</v>
      </c>
      <c r="V17" s="242">
        <f>V42+V67</f>
        <v>35453745.840545841</v>
      </c>
      <c r="W17" s="242">
        <f>W42+W67</f>
        <v>63845330.123934999</v>
      </c>
      <c r="X17" s="242">
        <f>X42+X67</f>
        <v>5907376.2425250839</v>
      </c>
      <c r="Y17" s="242">
        <f>Y42+Y67</f>
        <v>2725603.8632909311</v>
      </c>
      <c r="Z17" s="242">
        <f>Z42+Z67</f>
        <v>89311221.53561832</v>
      </c>
      <c r="AA17" s="267">
        <f>AA42+AA67</f>
        <v>75891.238632306966</v>
      </c>
      <c r="AB17" s="242">
        <f>AB42+AB67</f>
        <v>613579869.91651177</v>
      </c>
      <c r="AC17" s="24">
        <f>SUM(D17:AB17)</f>
        <v>19083043864.060829</v>
      </c>
      <c r="AD17" s="260" t="str">
        <f>"Line "&amp;A42&amp;" + Line "&amp;A67&amp;""</f>
        <v>Line 204 + Line 304</v>
      </c>
      <c r="AE17" s="8">
        <f>A17</f>
        <v>104</v>
      </c>
    </row>
    <row r="18" spans="1:32" x14ac:dyDescent="0.25">
      <c r="A18" s="8">
        <f>A17+1</f>
        <v>105</v>
      </c>
      <c r="B18" s="246" t="s">
        <v>474</v>
      </c>
      <c r="C18" s="255">
        <f>'1-BaseTRR'!$G$3</f>
        <v>2025</v>
      </c>
      <c r="D18" s="242">
        <f>+D43+D68</f>
        <v>91863653.683453605</v>
      </c>
      <c r="E18" s="242">
        <f>+E43+E68</f>
        <v>211965681.37740663</v>
      </c>
      <c r="F18" s="242">
        <f>+F43+F68</f>
        <v>382986529.55382442</v>
      </c>
      <c r="G18" s="242">
        <f>+G43+G68</f>
        <v>107004696.8758707</v>
      </c>
      <c r="H18" s="242">
        <f>+H43+H68</f>
        <v>8864066015.3294582</v>
      </c>
      <c r="I18" s="242">
        <f>+I43+I68</f>
        <v>5416802.1400000006</v>
      </c>
      <c r="J18" s="242">
        <f>+J43+J68</f>
        <v>1406151878.5376325</v>
      </c>
      <c r="K18" s="242">
        <f>+K43+K68</f>
        <v>0</v>
      </c>
      <c r="L18" s="242">
        <f>+L43+L68</f>
        <v>3018688142.1992931</v>
      </c>
      <c r="M18" s="242">
        <f>+M43+M68</f>
        <v>3004986049.4877281</v>
      </c>
      <c r="N18" s="242">
        <f>+N43+N68</f>
        <v>519238328.00372016</v>
      </c>
      <c r="O18" s="242">
        <f>+O43+O68</f>
        <v>281811338.06440872</v>
      </c>
      <c r="P18" s="242">
        <f>+P43+P68</f>
        <v>267494006.43420607</v>
      </c>
      <c r="Q18" s="242">
        <f>Q43+Q68</f>
        <v>19205367.502854947</v>
      </c>
      <c r="R18" s="242">
        <f>R43+R68</f>
        <v>13363697.735975901</v>
      </c>
      <c r="S18" s="242">
        <f>S43+S68</f>
        <v>146501682.67557561</v>
      </c>
      <c r="T18" s="242">
        <f>T43+T68</f>
        <v>1914777.8555668998</v>
      </c>
      <c r="U18" s="242">
        <f>U43+U68</f>
        <v>16538005.511050386</v>
      </c>
      <c r="V18" s="242">
        <f>V43+V68</f>
        <v>35466047.373665452</v>
      </c>
      <c r="W18" s="242">
        <f>W43+W68</f>
        <v>65726538.17708867</v>
      </c>
      <c r="X18" s="242">
        <f>X43+X68</f>
        <v>6110899.681571383</v>
      </c>
      <c r="Y18" s="242">
        <f>Y43+Y68</f>
        <v>2725603.8632909311</v>
      </c>
      <c r="Z18" s="242">
        <f>Z43+Z68</f>
        <v>90004128.621505678</v>
      </c>
      <c r="AA18" s="267">
        <f>AA43+AA68</f>
        <v>75891.238632306966</v>
      </c>
      <c r="AB18" s="242">
        <f>AB43+AB68</f>
        <v>622839837.72608471</v>
      </c>
      <c r="AC18" s="24">
        <f>SUM(D18:AB18)</f>
        <v>19182145599.649868</v>
      </c>
      <c r="AD18" s="260" t="str">
        <f>"Line "&amp;A43&amp;" + Line "&amp;A68&amp;""</f>
        <v>Line 205 + Line 305</v>
      </c>
      <c r="AE18" s="8">
        <f>A18</f>
        <v>105</v>
      </c>
    </row>
    <row r="19" spans="1:32" x14ac:dyDescent="0.25">
      <c r="A19" s="8">
        <f>A18+1</f>
        <v>106</v>
      </c>
      <c r="B19" s="246" t="s">
        <v>763</v>
      </c>
      <c r="C19" s="255">
        <f>'1-BaseTRR'!$G$3</f>
        <v>2025</v>
      </c>
      <c r="D19" s="242">
        <f>+D44+D69</f>
        <v>91913031.193264395</v>
      </c>
      <c r="E19" s="242">
        <f>+E44+E69</f>
        <v>212363730.50245494</v>
      </c>
      <c r="F19" s="242">
        <f>+F44+F69</f>
        <v>383489118.28021914</v>
      </c>
      <c r="G19" s="242">
        <f>+G44+G69</f>
        <v>107898088.38054053</v>
      </c>
      <c r="H19" s="242">
        <f>+H44+H69</f>
        <v>8908731093.7426872</v>
      </c>
      <c r="I19" s="242">
        <f>+I44+I69</f>
        <v>5420027.3700000001</v>
      </c>
      <c r="J19" s="242">
        <f>+J44+J69</f>
        <v>1414580189.4770291</v>
      </c>
      <c r="K19" s="242">
        <f>+K44+K69</f>
        <v>0</v>
      </c>
      <c r="L19" s="242">
        <f>+L44+L69</f>
        <v>3037553652.0590868</v>
      </c>
      <c r="M19" s="242">
        <f>+M44+M69</f>
        <v>3009838922.4178514</v>
      </c>
      <c r="N19" s="242">
        <f>+N44+N69</f>
        <v>519303192.64716315</v>
      </c>
      <c r="O19" s="242">
        <f>+O44+O69</f>
        <v>281811009.77948982</v>
      </c>
      <c r="P19" s="242">
        <f>+P44+P69</f>
        <v>270449206.53866899</v>
      </c>
      <c r="Q19" s="242">
        <f>Q44+Q69</f>
        <v>19205367.502854947</v>
      </c>
      <c r="R19" s="242">
        <f>R44+R69</f>
        <v>13363697.735975901</v>
      </c>
      <c r="S19" s="242">
        <f>S44+S69</f>
        <v>147863195.99026185</v>
      </c>
      <c r="T19" s="242">
        <f>T44+T69</f>
        <v>2663543.6506841439</v>
      </c>
      <c r="U19" s="242">
        <f>U44+U69</f>
        <v>17003048.937346112</v>
      </c>
      <c r="V19" s="242">
        <f>V44+V69</f>
        <v>35878569.471231483</v>
      </c>
      <c r="W19" s="242">
        <f>W44+W69</f>
        <v>65733721.593270287</v>
      </c>
      <c r="X19" s="242">
        <f>X44+X69</f>
        <v>6111225.8577192444</v>
      </c>
      <c r="Y19" s="242">
        <f>Y44+Y69</f>
        <v>2725603.8632909311</v>
      </c>
      <c r="Z19" s="242">
        <f>Z44+Z69</f>
        <v>90543462.826811105</v>
      </c>
      <c r="AA19" s="267">
        <f>AA44+AA69</f>
        <v>75891.238632306966</v>
      </c>
      <c r="AB19" s="242">
        <f>AB44+AB69</f>
        <v>633007122.02308798</v>
      </c>
      <c r="AC19" s="24">
        <f>SUM(D19:AB19)</f>
        <v>19277525713.079628</v>
      </c>
      <c r="AD19" s="260" t="str">
        <f>"Line "&amp;A44&amp;" + Line "&amp;A69&amp;""</f>
        <v>Line 206 + Line 306</v>
      </c>
      <c r="AE19" s="8">
        <f>A19</f>
        <v>106</v>
      </c>
    </row>
    <row r="20" spans="1:32" x14ac:dyDescent="0.25">
      <c r="A20" s="8">
        <f>A19+1</f>
        <v>107</v>
      </c>
      <c r="B20" s="246" t="s">
        <v>472</v>
      </c>
      <c r="C20" s="255">
        <f>'1-BaseTRR'!$G$3</f>
        <v>2025</v>
      </c>
      <c r="D20" s="242">
        <f>+D45+D70</f>
        <v>92067171.751440421</v>
      </c>
      <c r="E20" s="242">
        <f>+E45+E70</f>
        <v>213780112.91155016</v>
      </c>
      <c r="F20" s="242">
        <f>+F45+F70</f>
        <v>383798469.58661383</v>
      </c>
      <c r="G20" s="242">
        <f>+G45+G70</f>
        <v>108481854.43521042</v>
      </c>
      <c r="H20" s="242">
        <f>+H45+H70</f>
        <v>8934439341.9520798</v>
      </c>
      <c r="I20" s="242">
        <f>+I45+I70</f>
        <v>5420567.6799999997</v>
      </c>
      <c r="J20" s="242">
        <f>+J45+J70</f>
        <v>1417338478.4761829</v>
      </c>
      <c r="K20" s="242">
        <f>+K45+K70</f>
        <v>0</v>
      </c>
      <c r="L20" s="242">
        <f>+L45+L70</f>
        <v>3053708492.3088183</v>
      </c>
      <c r="M20" s="242">
        <f>+M45+M70</f>
        <v>3004945947.1683493</v>
      </c>
      <c r="N20" s="242">
        <f>+N45+N70</f>
        <v>520212610.59058613</v>
      </c>
      <c r="O20" s="242">
        <f>+O45+O70</f>
        <v>281809862.92834175</v>
      </c>
      <c r="P20" s="242">
        <f>+P45+P70</f>
        <v>271808293.31939995</v>
      </c>
      <c r="Q20" s="242">
        <f>Q45+Q70</f>
        <v>12982995.945375454</v>
      </c>
      <c r="R20" s="242">
        <f>R45+R70</f>
        <v>13363697.735975901</v>
      </c>
      <c r="S20" s="242">
        <f>S45+S70</f>
        <v>112419538.66337782</v>
      </c>
      <c r="T20" s="242">
        <f>T45+T70</f>
        <v>2974636.291958251</v>
      </c>
      <c r="U20" s="242">
        <f>U45+U70</f>
        <v>20119352.137084819</v>
      </c>
      <c r="V20" s="242">
        <f>V45+V70</f>
        <v>32769240.534155138</v>
      </c>
      <c r="W20" s="242">
        <f>W45+W70</f>
        <v>57242102.267851666</v>
      </c>
      <c r="X20" s="242">
        <f>X45+X70</f>
        <v>4432241.9635316953</v>
      </c>
      <c r="Y20" s="242">
        <f>Y45+Y70</f>
        <v>2655170.4837893476</v>
      </c>
      <c r="Z20" s="242">
        <f>Z45+Z70</f>
        <v>90668588.578888565</v>
      </c>
      <c r="AA20" s="267">
        <f>AA45+AA70</f>
        <v>75891.238632306966</v>
      </c>
      <c r="AB20" s="242">
        <f>AB45+AB70</f>
        <v>651081150.28139603</v>
      </c>
      <c r="AC20" s="24">
        <f>SUM(D20:AB20)</f>
        <v>19288595809.230595</v>
      </c>
      <c r="AD20" s="260" t="str">
        <f>"Line "&amp;A45&amp;" + Line "&amp;A70&amp;""</f>
        <v>Line 207 + Line 307</v>
      </c>
      <c r="AE20" s="8">
        <f>A20</f>
        <v>107</v>
      </c>
    </row>
    <row r="21" spans="1:32" x14ac:dyDescent="0.25">
      <c r="A21" s="8">
        <f>A20+1</f>
        <v>108</v>
      </c>
      <c r="B21" s="246" t="s">
        <v>471</v>
      </c>
      <c r="C21" s="255">
        <f>'1-BaseTRR'!$G$3</f>
        <v>2025</v>
      </c>
      <c r="D21" s="242">
        <f>+D46+D71</f>
        <v>92335992.817345768</v>
      </c>
      <c r="E21" s="242">
        <f>+E46+E71</f>
        <v>217663646.5241183</v>
      </c>
      <c r="F21" s="242">
        <f>+F46+F71</f>
        <v>382796684.53300858</v>
      </c>
      <c r="G21" s="242">
        <f>+G46+G71</f>
        <v>126454595.3898803</v>
      </c>
      <c r="H21" s="242">
        <f>+H46+H71</f>
        <v>8942994300.3540611</v>
      </c>
      <c r="I21" s="242">
        <f>+I46+I71</f>
        <v>5421870.4800000004</v>
      </c>
      <c r="J21" s="242">
        <f>+J46+J71</f>
        <v>1356092667.2162485</v>
      </c>
      <c r="K21" s="242">
        <f>+K46+K71</f>
        <v>51108335.62763083</v>
      </c>
      <c r="L21" s="242">
        <f>+L46+L71</f>
        <v>3089355277.5585866</v>
      </c>
      <c r="M21" s="242">
        <f>+M46+M71</f>
        <v>3032197713.1627464</v>
      </c>
      <c r="N21" s="242">
        <f>+N46+N71</f>
        <v>519455342.43892622</v>
      </c>
      <c r="O21" s="242">
        <f>+O46+O71</f>
        <v>281808963.62866932</v>
      </c>
      <c r="P21" s="242">
        <f>+P46+P71</f>
        <v>272852352.38576126</v>
      </c>
      <c r="Q21" s="242">
        <f>Q46+Q71</f>
        <v>12982995.945375454</v>
      </c>
      <c r="R21" s="242">
        <f>R46+R71</f>
        <v>13363697.735975901</v>
      </c>
      <c r="S21" s="242">
        <f>S46+S71</f>
        <v>112438605.48677535</v>
      </c>
      <c r="T21" s="242">
        <f>T46+T71</f>
        <v>3681875.6039243429</v>
      </c>
      <c r="U21" s="242">
        <f>U46+U71</f>
        <v>21050277.901305526</v>
      </c>
      <c r="V21" s="242">
        <f>V46+V71</f>
        <v>33384881.882711664</v>
      </c>
      <c r="W21" s="242">
        <f>W46+W71</f>
        <v>58355240.892543949</v>
      </c>
      <c r="X21" s="242">
        <f>X46+X71</f>
        <v>4432338.7276604371</v>
      </c>
      <c r="Y21" s="242">
        <f>Y46+Y71</f>
        <v>2655170.4837893476</v>
      </c>
      <c r="Z21" s="242">
        <f>Z46+Z71</f>
        <v>90932866.296140075</v>
      </c>
      <c r="AA21" s="267">
        <f>AA46+AA71</f>
        <v>75891.238632306966</v>
      </c>
      <c r="AB21" s="242">
        <f>AB46+AB71</f>
        <v>648050248.84615171</v>
      </c>
      <c r="AC21" s="24">
        <f>SUM(D21:AB21)</f>
        <v>19371941833.157974</v>
      </c>
      <c r="AD21" s="260" t="str">
        <f>"Line "&amp;A46&amp;" + Line "&amp;A71&amp;""</f>
        <v>Line 208 + Line 308</v>
      </c>
      <c r="AE21" s="8">
        <f>A21</f>
        <v>108</v>
      </c>
    </row>
    <row r="22" spans="1:32" x14ac:dyDescent="0.25">
      <c r="A22" s="8">
        <f>A21+1</f>
        <v>109</v>
      </c>
      <c r="B22" s="246" t="s">
        <v>470</v>
      </c>
      <c r="C22" s="255">
        <f>'1-BaseTRR'!$G$3</f>
        <v>2025</v>
      </c>
      <c r="D22" s="242">
        <f>+D47+D72</f>
        <v>93808690.867886424</v>
      </c>
      <c r="E22" s="242">
        <f>+E47+E72</f>
        <v>219803427.3613497</v>
      </c>
      <c r="F22" s="242">
        <f>+F47+F72</f>
        <v>383667962.17940319</v>
      </c>
      <c r="G22" s="242">
        <f>+G47+G72</f>
        <v>122505131.99455015</v>
      </c>
      <c r="H22" s="242">
        <f>+H47+H72</f>
        <v>8985415195.3293037</v>
      </c>
      <c r="I22" s="242">
        <f>+I47+I72</f>
        <v>5422832.0700000003</v>
      </c>
      <c r="J22" s="242">
        <f>+J47+J72</f>
        <v>1367191076.5121737</v>
      </c>
      <c r="K22" s="242">
        <f>+K47+K72</f>
        <v>60334856.456084676</v>
      </c>
      <c r="L22" s="242">
        <f>+L47+L72</f>
        <v>3119510885.2927318</v>
      </c>
      <c r="M22" s="242">
        <f>+M47+M72</f>
        <v>3034939064.3642659</v>
      </c>
      <c r="N22" s="242">
        <f>+N47+N72</f>
        <v>519471086.55539954</v>
      </c>
      <c r="O22" s="242">
        <f>+O47+O72</f>
        <v>281807741.1343056</v>
      </c>
      <c r="P22" s="242">
        <f>+P47+P72</f>
        <v>273939484.45861804</v>
      </c>
      <c r="Q22" s="242">
        <f>Q47+Q72</f>
        <v>12982995.945375454</v>
      </c>
      <c r="R22" s="242">
        <f>R47+R72</f>
        <v>13363697.735975901</v>
      </c>
      <c r="S22" s="242">
        <f>S47+S72</f>
        <v>112439364.89928445</v>
      </c>
      <c r="T22" s="242">
        <f>T47+T72</f>
        <v>4460254.9595341887</v>
      </c>
      <c r="U22" s="242">
        <f>U47+U72</f>
        <v>21555414.509970553</v>
      </c>
      <c r="V22" s="242">
        <f>V47+V72</f>
        <v>33663096.675660446</v>
      </c>
      <c r="W22" s="242">
        <f>W47+W72</f>
        <v>58378564.6321337</v>
      </c>
      <c r="X22" s="242">
        <f>X47+X72</f>
        <v>5557530.6068314658</v>
      </c>
      <c r="Y22" s="242">
        <f>Y47+Y72</f>
        <v>2655170.4837893476</v>
      </c>
      <c r="Z22" s="242">
        <f>Z47+Z72</f>
        <v>99401520.385915905</v>
      </c>
      <c r="AA22" s="267">
        <f>AA47+AA72</f>
        <v>212400.55161690421</v>
      </c>
      <c r="AB22" s="242">
        <f>AB47+AB72</f>
        <v>660509135.28961325</v>
      </c>
      <c r="AC22" s="24">
        <f>SUM(D22:AB22)</f>
        <v>19492996581.251774</v>
      </c>
      <c r="AD22" s="260" t="str">
        <f>"Line "&amp;A47&amp;" + Line "&amp;A72&amp;""</f>
        <v>Line 209 + Line 309</v>
      </c>
      <c r="AE22" s="8">
        <f>A22</f>
        <v>109</v>
      </c>
    </row>
    <row r="23" spans="1:32" x14ac:dyDescent="0.25">
      <c r="A23" s="8">
        <f>A22+1</f>
        <v>110</v>
      </c>
      <c r="B23" s="246" t="s">
        <v>469</v>
      </c>
      <c r="C23" s="255">
        <f>'1-BaseTRR'!$G$3</f>
        <v>2025</v>
      </c>
      <c r="D23" s="242">
        <f>+D48+D73</f>
        <v>109973942.97778869</v>
      </c>
      <c r="E23" s="242">
        <f>+E48+E73</f>
        <v>219347873.51726291</v>
      </c>
      <c r="F23" s="242">
        <f>+F48+F73</f>
        <v>383997308.24579781</v>
      </c>
      <c r="G23" s="242">
        <f>+G48+G73</f>
        <v>101179363.68921997</v>
      </c>
      <c r="H23" s="242">
        <f>+H48+H73</f>
        <v>9008620896.292284</v>
      </c>
      <c r="I23" s="242">
        <f>+I48+I73</f>
        <v>5422804.2699999996</v>
      </c>
      <c r="J23" s="242">
        <f>+J48+J73</f>
        <v>1339429752.0608768</v>
      </c>
      <c r="K23" s="242">
        <f>+K48+K73</f>
        <v>123878412.89453849</v>
      </c>
      <c r="L23" s="242">
        <f>+L48+L73</f>
        <v>3131255037.45927</v>
      </c>
      <c r="M23" s="242">
        <f>+M48+M73</f>
        <v>3051689855.5242367</v>
      </c>
      <c r="N23" s="242">
        <f>+N48+N73</f>
        <v>519468833.7918157</v>
      </c>
      <c r="O23" s="242">
        <f>+O48+O73</f>
        <v>281306745.89946526</v>
      </c>
      <c r="P23" s="242">
        <f>+P48+P73</f>
        <v>277754690.82042229</v>
      </c>
      <c r="Q23" s="242">
        <f>Q48+Q73</f>
        <v>12982995.945375454</v>
      </c>
      <c r="R23" s="242">
        <f>R48+R73</f>
        <v>13363697.735975901</v>
      </c>
      <c r="S23" s="242">
        <f>S48+S73</f>
        <v>113192808.38678604</v>
      </c>
      <c r="T23" s="242">
        <f>T48+T73</f>
        <v>5414844.1578702964</v>
      </c>
      <c r="U23" s="242">
        <f>U48+U73</f>
        <v>24396335.979781818</v>
      </c>
      <c r="V23" s="242">
        <f>V48+V73</f>
        <v>34158558.940201566</v>
      </c>
      <c r="W23" s="242">
        <f>W48+W73</f>
        <v>58834851.162180334</v>
      </c>
      <c r="X23" s="242">
        <f>X48+X73</f>
        <v>8317751.7847462762</v>
      </c>
      <c r="Y23" s="242">
        <f>Y48+Y73</f>
        <v>2655170.4837893476</v>
      </c>
      <c r="Z23" s="242">
        <f>Z48+Z73</f>
        <v>99827317.053799987</v>
      </c>
      <c r="AA23" s="267">
        <f>AA48+AA73</f>
        <v>212400.55161690421</v>
      </c>
      <c r="AB23" s="242">
        <f>AB48+AB73</f>
        <v>641395225.33853114</v>
      </c>
      <c r="AC23" s="24">
        <f>SUM(D23:AB23)</f>
        <v>19568077474.963638</v>
      </c>
      <c r="AD23" s="260" t="str">
        <f>"Line "&amp;A48&amp;" + Line "&amp;A73&amp;""</f>
        <v>Line 210 + Line 310</v>
      </c>
      <c r="AE23" s="8">
        <f>A23</f>
        <v>110</v>
      </c>
    </row>
    <row r="24" spans="1:32" x14ac:dyDescent="0.25">
      <c r="A24" s="8">
        <f>A23+1</f>
        <v>111</v>
      </c>
      <c r="B24" s="246" t="s">
        <v>468</v>
      </c>
      <c r="C24" s="255">
        <f>'1-BaseTRR'!$G$3</f>
        <v>2025</v>
      </c>
      <c r="D24" s="242">
        <f>+D49+D74</f>
        <v>110892241.40824814</v>
      </c>
      <c r="E24" s="242">
        <f>+E49+E74</f>
        <v>219287575.63756171</v>
      </c>
      <c r="F24" s="242">
        <f>+F49+F74</f>
        <v>384179295.72219253</v>
      </c>
      <c r="G24" s="242">
        <f>+G49+G74</f>
        <v>118723960.6238898</v>
      </c>
      <c r="H24" s="242">
        <f>+H49+H74</f>
        <v>9100089833.6411476</v>
      </c>
      <c r="I24" s="242">
        <f>+I49+I74</f>
        <v>5422804.2699999996</v>
      </c>
      <c r="J24" s="242">
        <f>+J49+J74</f>
        <v>1338103596.8220658</v>
      </c>
      <c r="K24" s="242">
        <f>+K49+K74</f>
        <v>129529806.26299235</v>
      </c>
      <c r="L24" s="242">
        <f>+L49+L74</f>
        <v>3165492768.1485682</v>
      </c>
      <c r="M24" s="242">
        <f>+M49+M74</f>
        <v>3077703960.161109</v>
      </c>
      <c r="N24" s="242">
        <f>+N49+N74</f>
        <v>519488805.57445014</v>
      </c>
      <c r="O24" s="242">
        <f>+O49+O74</f>
        <v>282552067.28778756</v>
      </c>
      <c r="P24" s="242">
        <f>+P49+P74</f>
        <v>282589330.25957394</v>
      </c>
      <c r="Q24" s="242">
        <f>Q49+Q74</f>
        <v>12982995.945375454</v>
      </c>
      <c r="R24" s="242">
        <f>R49+R74</f>
        <v>13363697.735975901</v>
      </c>
      <c r="S24" s="242">
        <f>S49+S74</f>
        <v>115739060.01371998</v>
      </c>
      <c r="T24" s="242">
        <f>T49+T74</f>
        <v>6829217.9714742638</v>
      </c>
      <c r="U24" s="242">
        <f>U49+U74</f>
        <v>24941749.889596283</v>
      </c>
      <c r="V24" s="242">
        <f>V49+V74</f>
        <v>34835712.606661126</v>
      </c>
      <c r="W24" s="242">
        <f>W49+W74</f>
        <v>62678556.744293928</v>
      </c>
      <c r="X24" s="242">
        <f>X49+X74</f>
        <v>8801105.7965565398</v>
      </c>
      <c r="Y24" s="242">
        <f>Y49+Y74</f>
        <v>2655170.4837893476</v>
      </c>
      <c r="Z24" s="242">
        <f>Z49+Z74</f>
        <v>101123321.11052799</v>
      </c>
      <c r="AA24" s="267">
        <f>AA49+AA74</f>
        <v>212400.55161690421</v>
      </c>
      <c r="AB24" s="242">
        <f>AB49+AB74</f>
        <v>664453480.34183395</v>
      </c>
      <c r="AC24" s="24">
        <f>SUM(D24:AB24)</f>
        <v>19782672515.011017</v>
      </c>
      <c r="AD24" s="260" t="str">
        <f>"Line "&amp;A49&amp;" + Line "&amp;A74&amp;""</f>
        <v>Line 211 + Line 311</v>
      </c>
      <c r="AE24" s="8">
        <f>A24</f>
        <v>111</v>
      </c>
      <c r="AF24" s="260"/>
    </row>
    <row r="25" spans="1:32" x14ac:dyDescent="0.25">
      <c r="A25" s="8">
        <f>A24+1</f>
        <v>112</v>
      </c>
      <c r="B25" s="254" t="s">
        <v>467</v>
      </c>
      <c r="C25" s="253">
        <f>'1-BaseTRR'!$G$3</f>
        <v>2025</v>
      </c>
      <c r="D25" s="251">
        <f>+D50+D75</f>
        <v>108208078.692839</v>
      </c>
      <c r="E25" s="251">
        <f>+E50+E75</f>
        <v>220046663.92383024</v>
      </c>
      <c r="F25" s="251">
        <f>+F50+F75</f>
        <v>386753222.08858752</v>
      </c>
      <c r="G25" s="251">
        <f>+G50+G75</f>
        <v>118854056.24855964</v>
      </c>
      <c r="H25" s="251">
        <f>+H50+H75</f>
        <v>9116820679.8303223</v>
      </c>
      <c r="I25" s="251">
        <f>+I50+I75</f>
        <v>5422803.9396241782</v>
      </c>
      <c r="J25" s="251">
        <f>+J50+J75</f>
        <v>1392889808.7384157</v>
      </c>
      <c r="K25" s="251">
        <f>+K50+K75</f>
        <v>132853785.6814464</v>
      </c>
      <c r="L25" s="251">
        <f>+L50+L75</f>
        <v>3197201485.2027988</v>
      </c>
      <c r="M25" s="251">
        <f>+M50+M75</f>
        <v>3107549087.6383648</v>
      </c>
      <c r="N25" s="251">
        <f>+N50+N75</f>
        <v>536877136.24501705</v>
      </c>
      <c r="O25" s="251">
        <f>+O50+O75</f>
        <v>286849895.21234781</v>
      </c>
      <c r="P25" s="251">
        <f>+P50+P75</f>
        <v>283940569.44711864</v>
      </c>
      <c r="Q25" s="251">
        <f>Q50+Q75</f>
        <v>12982995.94537545</v>
      </c>
      <c r="R25" s="251">
        <f>R50+R75</f>
        <v>13363697.735975899</v>
      </c>
      <c r="S25" s="251">
        <f>S50+S75</f>
        <v>121320885.13792104</v>
      </c>
      <c r="T25" s="251">
        <f>T50+T75</f>
        <v>10525870.077529352</v>
      </c>
      <c r="U25" s="251">
        <f>U50+U75</f>
        <v>25524782.527573153</v>
      </c>
      <c r="V25" s="251">
        <f>V50+V75</f>
        <v>34863136.847757347</v>
      </c>
      <c r="W25" s="251">
        <f>W50+W75</f>
        <v>63742045.961463928</v>
      </c>
      <c r="X25" s="251">
        <f>X50+X75</f>
        <v>8801105.796556538</v>
      </c>
      <c r="Y25" s="251">
        <f>Y50+Y75</f>
        <v>2655170.4837893476</v>
      </c>
      <c r="Z25" s="251">
        <f>Z50+Z75</f>
        <v>101782522.94328865</v>
      </c>
      <c r="AA25" s="266">
        <f>AA50+AA75</f>
        <v>212400.55161690415</v>
      </c>
      <c r="AB25" s="251">
        <f>AB50+AB75</f>
        <v>677786312.3956033</v>
      </c>
      <c r="AC25" s="263">
        <f>SUM(D25:AB25)</f>
        <v>19967828199.293724</v>
      </c>
      <c r="AD25" s="260" t="str">
        <f>"Line "&amp;A50&amp;" + Line "&amp;A75&amp;""</f>
        <v>Line 212 + Line 312</v>
      </c>
      <c r="AE25" s="8">
        <f>A25</f>
        <v>112</v>
      </c>
      <c r="AF25" s="260"/>
    </row>
    <row r="26" spans="1:32" x14ac:dyDescent="0.25">
      <c r="A26" s="8">
        <f>A25+1</f>
        <v>113</v>
      </c>
      <c r="B26" s="262" t="s">
        <v>850</v>
      </c>
      <c r="C26" s="249"/>
      <c r="D26" s="248">
        <f>SUM(D13:D25)/13</f>
        <v>96496442.023792088</v>
      </c>
      <c r="E26" s="248">
        <f>SUM(E13:E25)/13</f>
        <v>214832628.69729277</v>
      </c>
      <c r="F26" s="248">
        <f>SUM(F13:F25)/13</f>
        <v>378978289.74791151</v>
      </c>
      <c r="G26" s="248">
        <f>SUM(G13:G25)/13</f>
        <v>111983978.15361747</v>
      </c>
      <c r="H26" s="248">
        <f>SUM(H13:H25)/13</f>
        <v>8881951926.8923302</v>
      </c>
      <c r="I26" s="248">
        <f>SUM(I13:I25)/13</f>
        <v>5410933.2650786769</v>
      </c>
      <c r="J26" s="248">
        <f>SUM(J13:J25)/13</f>
        <v>1359342901.7093835</v>
      </c>
      <c r="K26" s="248">
        <f>SUM(K13:K25)/13</f>
        <v>38285015.147899441</v>
      </c>
      <c r="L26" s="248">
        <f>SUM(L13:L25)/13</f>
        <v>3057186630.5130234</v>
      </c>
      <c r="M26" s="248">
        <f>SUM(M13:M25)/13</f>
        <v>3007819452.0040479</v>
      </c>
      <c r="N26" s="248">
        <f>SUM(N13:N25)/13</f>
        <v>520655090.86145508</v>
      </c>
      <c r="O26" s="248">
        <f>SUM(O13:O25)/13</f>
        <v>282214148.69179028</v>
      </c>
      <c r="P26" s="248">
        <f>SUM(P13:P25)/13</f>
        <v>271225691.82851607</v>
      </c>
      <c r="Q26" s="248">
        <f>SUM(Q13:Q25)/13</f>
        <v>14800046.796884896</v>
      </c>
      <c r="R26" s="248">
        <f>SUM(R13:R25)/13</f>
        <v>12335721.022988306</v>
      </c>
      <c r="S26" s="248">
        <f>SUM(S13:S25)/13</f>
        <v>118187040.42325631</v>
      </c>
      <c r="T26" s="248">
        <f>SUM(T13:T25)/13</f>
        <v>4664000.8864093572</v>
      </c>
      <c r="U26" s="248">
        <f>SUM(U13:U25)/13</f>
        <v>17823073.813952275</v>
      </c>
      <c r="V26" s="248">
        <f>SUM(V13:V25)/13</f>
        <v>31425186.168449547</v>
      </c>
      <c r="W26" s="248">
        <f>SUM(W13:W25)/13</f>
        <v>54960150.786620304</v>
      </c>
      <c r="X26" s="248">
        <f>SUM(X13:X25)/13</f>
        <v>5684308.912026369</v>
      </c>
      <c r="Y26" s="248">
        <f>SUM(Y13:Y25)/13</f>
        <v>2299491.4847449968</v>
      </c>
      <c r="Z26" s="248">
        <f>SUM(Z13:Z25)/13</f>
        <v>84922674.05645892</v>
      </c>
      <c r="AA26" s="261">
        <f>SUM(AA13:AA25)/13</f>
        <v>110162.49701157397</v>
      </c>
      <c r="AB26" s="248">
        <f>SUM(AB13:AB25)/13</f>
        <v>594804965.01713705</v>
      </c>
      <c r="AC26" s="261">
        <f>SUM(AC13:AC25)/13</f>
        <v>19168399951.402077</v>
      </c>
      <c r="AD26" s="260"/>
      <c r="AE26" s="8">
        <f>A26</f>
        <v>113</v>
      </c>
      <c r="AF26" s="260"/>
    </row>
    <row r="27" spans="1:32" x14ac:dyDescent="0.25">
      <c r="AE27" s="8"/>
    </row>
    <row r="28" spans="1:32" x14ac:dyDescent="0.25">
      <c r="AE28" s="8"/>
    </row>
    <row r="29" spans="1:32" x14ac:dyDescent="0.25">
      <c r="B29" s="83" t="s">
        <v>906</v>
      </c>
      <c r="C29" s="83"/>
      <c r="D29" s="35"/>
      <c r="E29" s="35"/>
      <c r="F29" s="35"/>
      <c r="G29" s="35"/>
      <c r="H29" s="35"/>
      <c r="I29" s="35"/>
      <c r="J29" s="35"/>
      <c r="K29" s="83"/>
      <c r="L29" s="35"/>
      <c r="M29" s="35"/>
      <c r="N29" s="35"/>
      <c r="O29" s="35"/>
      <c r="P29" s="35"/>
      <c r="Q29" s="83"/>
      <c r="R29" s="83"/>
      <c r="S29" s="83"/>
      <c r="T29" s="83"/>
      <c r="U29" s="83"/>
      <c r="V29" s="83"/>
      <c r="W29" s="83"/>
      <c r="X29" s="83"/>
      <c r="Y29" s="83"/>
      <c r="Z29" s="83"/>
      <c r="AA29" s="83"/>
      <c r="AB29" s="83"/>
      <c r="AC29" s="83"/>
      <c r="AD29" s="35"/>
    </row>
    <row r="30" spans="1:32" x14ac:dyDescent="0.25">
      <c r="B30" s="246" t="s">
        <v>905</v>
      </c>
      <c r="C30" s="30"/>
      <c r="K30" s="30"/>
      <c r="Q30" s="30"/>
      <c r="R30" s="30"/>
      <c r="S30" s="30"/>
      <c r="T30" s="30"/>
      <c r="U30" s="30"/>
      <c r="V30" s="30"/>
      <c r="W30" s="30"/>
      <c r="X30" s="30"/>
      <c r="Y30" s="30"/>
      <c r="Z30" s="30"/>
      <c r="AA30" s="30"/>
      <c r="AB30" s="30"/>
      <c r="AC30" s="30"/>
    </row>
    <row r="31" spans="1:32" x14ac:dyDescent="0.25">
      <c r="B31" s="6" t="s">
        <v>904</v>
      </c>
      <c r="C31" s="30"/>
      <c r="K31" s="30"/>
      <c r="Q31" s="30"/>
      <c r="R31" s="30"/>
      <c r="S31" s="30"/>
      <c r="T31" s="30"/>
      <c r="U31" s="30"/>
      <c r="V31" s="30"/>
      <c r="W31" s="30"/>
      <c r="X31" s="30"/>
      <c r="Y31" s="30"/>
      <c r="Z31" s="30"/>
      <c r="AA31" s="30"/>
      <c r="AB31" s="30"/>
      <c r="AC31" s="30"/>
    </row>
    <row r="32" spans="1:32" x14ac:dyDescent="0.25">
      <c r="C32" s="30"/>
      <c r="K32" s="30"/>
      <c r="Q32" s="30"/>
      <c r="R32" s="30"/>
      <c r="S32" s="30"/>
      <c r="T32" s="30"/>
      <c r="U32" s="30"/>
      <c r="V32" s="30"/>
      <c r="W32" s="30"/>
      <c r="X32" s="30"/>
      <c r="Y32" s="30"/>
      <c r="Z32" s="30"/>
      <c r="AA32" s="30"/>
      <c r="AB32" s="30"/>
      <c r="AC32" s="30"/>
    </row>
    <row r="33" spans="1:31" x14ac:dyDescent="0.25">
      <c r="A33" s="8"/>
      <c r="D33" s="175" t="s">
        <v>492</v>
      </c>
      <c r="E33" s="175" t="s">
        <v>491</v>
      </c>
      <c r="F33" s="175" t="s">
        <v>490</v>
      </c>
      <c r="G33" s="175" t="s">
        <v>489</v>
      </c>
      <c r="H33" s="175" t="s">
        <v>519</v>
      </c>
      <c r="I33" s="175" t="s">
        <v>518</v>
      </c>
      <c r="J33" s="175" t="s">
        <v>517</v>
      </c>
      <c r="K33" s="175" t="s">
        <v>538</v>
      </c>
      <c r="L33" s="175" t="s">
        <v>537</v>
      </c>
      <c r="M33" s="175" t="s">
        <v>770</v>
      </c>
      <c r="N33" s="175" t="s">
        <v>769</v>
      </c>
      <c r="O33" s="175" t="s">
        <v>768</v>
      </c>
      <c r="P33" s="175" t="s">
        <v>767</v>
      </c>
      <c r="Q33" s="175" t="s">
        <v>766</v>
      </c>
      <c r="R33" s="175" t="s">
        <v>765</v>
      </c>
      <c r="S33" s="175" t="s">
        <v>900</v>
      </c>
      <c r="T33" s="175" t="s">
        <v>899</v>
      </c>
      <c r="U33" s="175" t="s">
        <v>898</v>
      </c>
      <c r="V33" s="175" t="s">
        <v>897</v>
      </c>
      <c r="W33" s="175" t="s">
        <v>896</v>
      </c>
      <c r="X33" s="175" t="s">
        <v>895</v>
      </c>
      <c r="Y33" s="175" t="s">
        <v>894</v>
      </c>
      <c r="Z33" s="175" t="s">
        <v>893</v>
      </c>
      <c r="AA33" s="175" t="s">
        <v>892</v>
      </c>
      <c r="AB33" s="175" t="s">
        <v>891</v>
      </c>
      <c r="AC33" s="175" t="s">
        <v>890</v>
      </c>
      <c r="AD33" s="175"/>
    </row>
    <row r="34" spans="1:31" x14ac:dyDescent="0.25">
      <c r="B34" s="8"/>
      <c r="C34" s="8"/>
      <c r="D34" s="265"/>
      <c r="E34" s="265"/>
      <c r="F34" s="265"/>
      <c r="G34" s="265"/>
      <c r="H34" s="265"/>
      <c r="I34" s="265"/>
      <c r="J34" s="265"/>
      <c r="K34" s="265"/>
      <c r="L34" s="265"/>
      <c r="M34" s="265"/>
      <c r="N34" s="265"/>
      <c r="O34" s="265"/>
      <c r="P34" s="265"/>
      <c r="Q34" s="264"/>
      <c r="R34" s="264"/>
      <c r="S34" s="264"/>
      <c r="T34" s="264"/>
      <c r="U34" s="264"/>
      <c r="V34" s="264"/>
      <c r="W34" s="264"/>
      <c r="X34" s="264"/>
      <c r="Y34" s="264"/>
      <c r="Z34" s="264"/>
      <c r="AA34" s="264"/>
      <c r="AB34" s="264"/>
      <c r="AC34" s="258" t="s">
        <v>889</v>
      </c>
      <c r="AD34" s="23"/>
    </row>
    <row r="35" spans="1:31" x14ac:dyDescent="0.25">
      <c r="B35" s="8"/>
      <c r="C35" s="8"/>
      <c r="Q35" s="8"/>
      <c r="R35" s="8"/>
      <c r="S35" s="8"/>
      <c r="T35" s="8"/>
      <c r="U35" s="8"/>
      <c r="V35" s="8"/>
      <c r="W35" s="8"/>
      <c r="X35" s="8"/>
      <c r="Y35" s="8"/>
      <c r="Z35" s="8"/>
      <c r="AA35" s="8"/>
      <c r="AB35" s="8"/>
      <c r="AC35" s="23"/>
      <c r="AD35" s="23"/>
    </row>
    <row r="36" spans="1:31" x14ac:dyDescent="0.25">
      <c r="A36" s="8"/>
      <c r="B36" s="8"/>
      <c r="C36" s="76" t="s">
        <v>888</v>
      </c>
      <c r="D36" s="183">
        <v>350.01</v>
      </c>
      <c r="E36" s="183">
        <v>350.02</v>
      </c>
      <c r="F36" s="183">
        <v>352.01</v>
      </c>
      <c r="G36" s="183">
        <v>352.02</v>
      </c>
      <c r="H36" s="183">
        <v>353.01</v>
      </c>
      <c r="I36" s="183">
        <v>353.02</v>
      </c>
      <c r="J36" s="183">
        <v>354</v>
      </c>
      <c r="K36" s="8">
        <v>354.02</v>
      </c>
      <c r="L36" s="183">
        <v>355</v>
      </c>
      <c r="M36" s="183">
        <v>356</v>
      </c>
      <c r="N36" s="183">
        <v>357</v>
      </c>
      <c r="O36" s="183">
        <v>358</v>
      </c>
      <c r="P36" s="183">
        <v>359</v>
      </c>
      <c r="Q36" s="183" t="s">
        <v>887</v>
      </c>
      <c r="R36" s="183" t="s">
        <v>886</v>
      </c>
      <c r="S36" s="183" t="s">
        <v>885</v>
      </c>
      <c r="T36" s="183" t="s">
        <v>884</v>
      </c>
      <c r="U36" s="183" t="s">
        <v>883</v>
      </c>
      <c r="V36" s="183" t="s">
        <v>882</v>
      </c>
      <c r="W36" s="183" t="s">
        <v>881</v>
      </c>
      <c r="X36" s="183" t="s">
        <v>880</v>
      </c>
      <c r="Y36" s="183" t="s">
        <v>879</v>
      </c>
      <c r="Z36" s="183" t="s">
        <v>878</v>
      </c>
      <c r="AA36" s="183" t="s">
        <v>877</v>
      </c>
      <c r="AB36" s="183" t="s">
        <v>876</v>
      </c>
    </row>
    <row r="37" spans="1:31" x14ac:dyDescent="0.25">
      <c r="A37" s="33" t="s">
        <v>106</v>
      </c>
      <c r="B37" s="33" t="s">
        <v>483</v>
      </c>
      <c r="C37" s="33" t="s">
        <v>510</v>
      </c>
      <c r="D37" s="175" t="s">
        <v>875</v>
      </c>
      <c r="E37" s="175" t="s">
        <v>874</v>
      </c>
      <c r="F37" s="175" t="s">
        <v>873</v>
      </c>
      <c r="G37" s="175" t="s">
        <v>872</v>
      </c>
      <c r="H37" s="175" t="s">
        <v>871</v>
      </c>
      <c r="I37" s="175" t="s">
        <v>870</v>
      </c>
      <c r="J37" s="175" t="s">
        <v>869</v>
      </c>
      <c r="K37" s="175" t="s">
        <v>868</v>
      </c>
      <c r="L37" s="175" t="s">
        <v>867</v>
      </c>
      <c r="M37" s="175" t="s">
        <v>866</v>
      </c>
      <c r="N37" s="175" t="s">
        <v>865</v>
      </c>
      <c r="O37" s="175" t="s">
        <v>864</v>
      </c>
      <c r="P37" s="175" t="s">
        <v>863</v>
      </c>
      <c r="Q37" s="33" t="s">
        <v>862</v>
      </c>
      <c r="R37" s="33" t="s">
        <v>861</v>
      </c>
      <c r="S37" s="33" t="s">
        <v>860</v>
      </c>
      <c r="T37" s="33" t="s">
        <v>859</v>
      </c>
      <c r="U37" s="33" t="s">
        <v>858</v>
      </c>
      <c r="V37" s="33" t="s">
        <v>857</v>
      </c>
      <c r="W37" s="33" t="s">
        <v>856</v>
      </c>
      <c r="X37" s="33" t="s">
        <v>855</v>
      </c>
      <c r="Y37" s="33" t="s">
        <v>854</v>
      </c>
      <c r="Z37" s="33" t="s">
        <v>853</v>
      </c>
      <c r="AA37" s="33" t="s">
        <v>852</v>
      </c>
      <c r="AB37" s="33" t="s">
        <v>851</v>
      </c>
      <c r="AC37" s="33" t="s">
        <v>466</v>
      </c>
      <c r="AD37" s="33"/>
      <c r="AE37" s="33" t="str">
        <f>A37</f>
        <v>Line</v>
      </c>
    </row>
    <row r="38" spans="1:31" x14ac:dyDescent="0.25">
      <c r="A38" s="8">
        <v>200</v>
      </c>
      <c r="B38" s="246" t="s">
        <v>467</v>
      </c>
      <c r="C38" s="255">
        <f>'1-BaseTRR'!$G$3-1</f>
        <v>2024</v>
      </c>
      <c r="D38" s="241">
        <v>56546070.854673788</v>
      </c>
      <c r="E38" s="241">
        <v>100961696.87947735</v>
      </c>
      <c r="F38" s="241">
        <v>165205643.14726287</v>
      </c>
      <c r="G38" s="241">
        <v>34197769.744318329</v>
      </c>
      <c r="H38" s="241">
        <v>3352932639.9799104</v>
      </c>
      <c r="I38" s="241">
        <v>2009075.5168966411</v>
      </c>
      <c r="J38" s="241">
        <v>596343506.40245795</v>
      </c>
      <c r="K38" s="241">
        <v>0</v>
      </c>
      <c r="L38" s="241">
        <v>218061385.14913601</v>
      </c>
      <c r="M38" s="241">
        <v>1096916319.9345598</v>
      </c>
      <c r="N38" s="241">
        <v>351366625.00909096</v>
      </c>
      <c r="O38" s="241">
        <v>117269509.86752249</v>
      </c>
      <c r="P38" s="241">
        <v>110173719.99638094</v>
      </c>
      <c r="Q38" s="241">
        <v>0</v>
      </c>
      <c r="R38" s="241">
        <v>0</v>
      </c>
      <c r="S38" s="241">
        <v>0</v>
      </c>
      <c r="T38" s="241">
        <v>0</v>
      </c>
      <c r="U38" s="241">
        <v>0</v>
      </c>
      <c r="V38" s="241">
        <v>0</v>
      </c>
      <c r="W38" s="241">
        <v>0</v>
      </c>
      <c r="X38" s="241">
        <v>0</v>
      </c>
      <c r="Y38" s="241">
        <v>0</v>
      </c>
      <c r="Z38" s="241">
        <v>0</v>
      </c>
      <c r="AA38" s="241">
        <v>0</v>
      </c>
      <c r="AB38" s="241">
        <v>0</v>
      </c>
      <c r="AC38" s="24">
        <f>SUM(D38:AB38)</f>
        <v>6201983962.4816875</v>
      </c>
      <c r="AD38" s="260"/>
      <c r="AE38" s="8">
        <f>A38</f>
        <v>200</v>
      </c>
    </row>
    <row r="39" spans="1:31" x14ac:dyDescent="0.25">
      <c r="A39" s="8">
        <f>A38+1</f>
        <v>201</v>
      </c>
      <c r="B39" s="246" t="s">
        <v>478</v>
      </c>
      <c r="C39" s="255">
        <f>'1-BaseTRR'!$G$3</f>
        <v>2025</v>
      </c>
      <c r="D39" s="241">
        <v>56498500.097373903</v>
      </c>
      <c r="E39" s="241">
        <v>99510909.289684132</v>
      </c>
      <c r="F39" s="241">
        <v>165274589.83953205</v>
      </c>
      <c r="G39" s="241">
        <v>34200756.039433971</v>
      </c>
      <c r="H39" s="241">
        <v>3394424312.1925259</v>
      </c>
      <c r="I39" s="241">
        <v>1995339.7975551686</v>
      </c>
      <c r="J39" s="241">
        <v>596351148.36357558</v>
      </c>
      <c r="K39" s="241">
        <v>0</v>
      </c>
      <c r="L39" s="241">
        <v>219221466.79635611</v>
      </c>
      <c r="M39" s="241">
        <v>1051841383.3857243</v>
      </c>
      <c r="N39" s="241">
        <v>351368295.02705067</v>
      </c>
      <c r="O39" s="241">
        <v>117269660.12973367</v>
      </c>
      <c r="P39" s="241">
        <v>110355310.21292999</v>
      </c>
      <c r="Q39" s="241">
        <v>6486203.8404753376</v>
      </c>
      <c r="R39" s="241">
        <v>4680131.8397183865</v>
      </c>
      <c r="S39" s="241">
        <v>49237374.684832081</v>
      </c>
      <c r="T39" s="241">
        <v>145582.50404569492</v>
      </c>
      <c r="U39" s="241">
        <v>4250200.1306664171</v>
      </c>
      <c r="V39" s="241">
        <v>11396118.476028811</v>
      </c>
      <c r="W39" s="241">
        <v>17776140.774889119</v>
      </c>
      <c r="X39" s="241">
        <v>1800520.9308703956</v>
      </c>
      <c r="Y39" s="241">
        <v>117092.46965287092</v>
      </c>
      <c r="Z39" s="241">
        <v>27893083.428111982</v>
      </c>
      <c r="AA39" s="241">
        <v>22266.994030614042</v>
      </c>
      <c r="AB39" s="241">
        <v>227911739.55569875</v>
      </c>
      <c r="AC39" s="24">
        <f>SUM(D39:AB39)</f>
        <v>6550028126.8004951</v>
      </c>
      <c r="AD39" s="260"/>
      <c r="AE39" s="8">
        <f>A39</f>
        <v>201</v>
      </c>
    </row>
    <row r="40" spans="1:31" x14ac:dyDescent="0.25">
      <c r="A40" s="8">
        <f>A39+1</f>
        <v>202</v>
      </c>
      <c r="B40" s="246" t="s">
        <v>477</v>
      </c>
      <c r="C40" s="255">
        <f>'1-BaseTRR'!$G$3</f>
        <v>2025</v>
      </c>
      <c r="D40" s="241">
        <v>56531337.86125119</v>
      </c>
      <c r="E40" s="241">
        <v>99471485.519726649</v>
      </c>
      <c r="F40" s="241">
        <v>165261953.22650173</v>
      </c>
      <c r="G40" s="241">
        <v>32018063.522716995</v>
      </c>
      <c r="H40" s="241">
        <v>3422488260.9670138</v>
      </c>
      <c r="I40" s="241">
        <v>1995339.7975551686</v>
      </c>
      <c r="J40" s="241">
        <v>602003518.87227273</v>
      </c>
      <c r="K40" s="241">
        <v>0</v>
      </c>
      <c r="L40" s="241">
        <v>218533691.13777825</v>
      </c>
      <c r="M40" s="241">
        <v>1036343947.230047</v>
      </c>
      <c r="N40" s="241">
        <v>351367519.84184754</v>
      </c>
      <c r="O40" s="241">
        <v>117268914.86494085</v>
      </c>
      <c r="P40" s="241">
        <v>110488473.74868493</v>
      </c>
      <c r="Q40" s="241">
        <v>6710203.8092936659</v>
      </c>
      <c r="R40" s="241">
        <v>4680131.6761211902</v>
      </c>
      <c r="S40" s="241">
        <v>46865428.696188435</v>
      </c>
      <c r="T40" s="241">
        <v>3558357.3967417488</v>
      </c>
      <c r="U40" s="241">
        <v>5476605.5877737729</v>
      </c>
      <c r="V40" s="241">
        <v>11322058.031949125</v>
      </c>
      <c r="W40" s="241">
        <v>16803838.269154403</v>
      </c>
      <c r="X40" s="241">
        <v>1800653.9387296916</v>
      </c>
      <c r="Y40" s="241">
        <v>954540.07035835134</v>
      </c>
      <c r="Z40" s="241">
        <v>31177160.762714483</v>
      </c>
      <c r="AA40" s="241">
        <v>22266.994030614042</v>
      </c>
      <c r="AB40" s="241">
        <v>230353552.94553879</v>
      </c>
      <c r="AC40" s="24">
        <f>SUM(D40:AB40)</f>
        <v>6573497304.7689295</v>
      </c>
      <c r="AD40" s="260"/>
      <c r="AE40" s="8">
        <f>A40</f>
        <v>202</v>
      </c>
    </row>
    <row r="41" spans="1:31" x14ac:dyDescent="0.25">
      <c r="A41" s="8">
        <f>A40+1</f>
        <v>203</v>
      </c>
      <c r="B41" s="246" t="s">
        <v>476</v>
      </c>
      <c r="C41" s="255">
        <f>'1-BaseTRR'!$G$3</f>
        <v>2025</v>
      </c>
      <c r="D41" s="241">
        <v>56642444.35128133</v>
      </c>
      <c r="E41" s="241">
        <v>99468852.523501903</v>
      </c>
      <c r="F41" s="241">
        <v>165705968.4470526</v>
      </c>
      <c r="G41" s="241">
        <v>33852720.139034063</v>
      </c>
      <c r="H41" s="241">
        <v>3441803446.8671131</v>
      </c>
      <c r="I41" s="241">
        <v>1995339.7975551686</v>
      </c>
      <c r="J41" s="241">
        <v>613990690.20684183</v>
      </c>
      <c r="K41" s="241">
        <v>0</v>
      </c>
      <c r="L41" s="241">
        <v>223395099.33625197</v>
      </c>
      <c r="M41" s="241">
        <v>1046668871.1688422</v>
      </c>
      <c r="N41" s="241">
        <v>351374964.95668727</v>
      </c>
      <c r="O41" s="241">
        <v>117270784.25463337</v>
      </c>
      <c r="P41" s="241">
        <v>110871950.63739571</v>
      </c>
      <c r="Q41" s="241">
        <v>6725956.4364201101</v>
      </c>
      <c r="R41" s="241">
        <v>4680131.6761211902</v>
      </c>
      <c r="S41" s="241">
        <v>47052384.777592972</v>
      </c>
      <c r="T41" s="241">
        <v>3631834.1694284352</v>
      </c>
      <c r="U41" s="241">
        <v>5708205.7414590269</v>
      </c>
      <c r="V41" s="241">
        <v>11621693.561991664</v>
      </c>
      <c r="W41" s="241">
        <v>21434734.571100675</v>
      </c>
      <c r="X41" s="241">
        <v>1800653.9387296916</v>
      </c>
      <c r="Y41" s="241">
        <v>954540.07035835134</v>
      </c>
      <c r="Z41" s="241">
        <v>33087258.180349495</v>
      </c>
      <c r="AA41" s="241">
        <v>12022.114652503858</v>
      </c>
      <c r="AB41" s="241">
        <v>213314065.41099343</v>
      </c>
      <c r="AC41" s="24">
        <f>SUM(D41:AB41)</f>
        <v>6613064613.3353863</v>
      </c>
      <c r="AD41" s="260"/>
      <c r="AE41" s="8">
        <f>A41</f>
        <v>203</v>
      </c>
    </row>
    <row r="42" spans="1:31" x14ac:dyDescent="0.25">
      <c r="A42" s="8">
        <f>A41+1</f>
        <v>204</v>
      </c>
      <c r="B42" s="246" t="s">
        <v>475</v>
      </c>
      <c r="C42" s="255">
        <f>'1-BaseTRR'!$G$3</f>
        <v>2025</v>
      </c>
      <c r="D42" s="241">
        <v>56687104.263275757</v>
      </c>
      <c r="E42" s="241">
        <v>100088791.43812934</v>
      </c>
      <c r="F42" s="241">
        <v>165822385.79876906</v>
      </c>
      <c r="G42" s="241">
        <v>33763518.905292161</v>
      </c>
      <c r="H42" s="241">
        <v>3445919176.7152491</v>
      </c>
      <c r="I42" s="241">
        <v>1995339.7975551686</v>
      </c>
      <c r="J42" s="241">
        <v>671576931.39565086</v>
      </c>
      <c r="K42" s="241">
        <v>0</v>
      </c>
      <c r="L42" s="241">
        <v>225688387.46393707</v>
      </c>
      <c r="M42" s="241">
        <v>1057654933.5183213</v>
      </c>
      <c r="N42" s="241">
        <v>351388574.06369972</v>
      </c>
      <c r="O42" s="241">
        <v>117270751.56040475</v>
      </c>
      <c r="P42" s="241">
        <v>111365180.38156462</v>
      </c>
      <c r="Q42" s="241">
        <v>6725956.4364201119</v>
      </c>
      <c r="R42" s="241">
        <v>4680131.6761211902</v>
      </c>
      <c r="S42" s="241">
        <v>51043284.907994226</v>
      </c>
      <c r="T42" s="241">
        <v>427379.4058217362</v>
      </c>
      <c r="U42" s="241">
        <v>5777696.6387329213</v>
      </c>
      <c r="V42" s="241">
        <v>12416338.817571392</v>
      </c>
      <c r="W42" s="241">
        <v>22359421.605372168</v>
      </c>
      <c r="X42" s="241">
        <v>2068835.9780077324</v>
      </c>
      <c r="Y42" s="241">
        <v>954540.07035835134</v>
      </c>
      <c r="Z42" s="241">
        <v>33275252.342722632</v>
      </c>
      <c r="AA42" s="241">
        <v>12022.114652503858</v>
      </c>
      <c r="AB42" s="241">
        <v>210499348.27698594</v>
      </c>
      <c r="AC42" s="24">
        <f>SUM(D42:AB42)</f>
        <v>6689461283.5726089</v>
      </c>
      <c r="AD42" s="260"/>
      <c r="AE42" s="8">
        <f>A42</f>
        <v>204</v>
      </c>
    </row>
    <row r="43" spans="1:31" x14ac:dyDescent="0.25">
      <c r="A43" s="8">
        <f>A42+1</f>
        <v>205</v>
      </c>
      <c r="B43" s="246" t="s">
        <v>474</v>
      </c>
      <c r="C43" s="255">
        <f>'1-BaseTRR'!$G$3</f>
        <v>2025</v>
      </c>
      <c r="D43" s="241">
        <v>56694281.206899211</v>
      </c>
      <c r="E43" s="241">
        <v>100092141.79759432</v>
      </c>
      <c r="F43" s="241">
        <v>173205860.85055751</v>
      </c>
      <c r="G43" s="241">
        <v>34023107.280484915</v>
      </c>
      <c r="H43" s="241">
        <v>3467905080.7392335</v>
      </c>
      <c r="I43" s="241">
        <v>1995339.7975551686</v>
      </c>
      <c r="J43" s="241">
        <v>673969143.48249567</v>
      </c>
      <c r="K43" s="241">
        <v>0</v>
      </c>
      <c r="L43" s="241">
        <v>230980492.59181014</v>
      </c>
      <c r="M43" s="241">
        <v>1062298179.5266299</v>
      </c>
      <c r="N43" s="241">
        <v>351389483.19505924</v>
      </c>
      <c r="O43" s="241">
        <v>117270716.91588983</v>
      </c>
      <c r="P43" s="241">
        <v>111873296.74329634</v>
      </c>
      <c r="Q43" s="241">
        <v>6725956.4364201101</v>
      </c>
      <c r="R43" s="241">
        <v>4680131.6761211902</v>
      </c>
      <c r="S43" s="241">
        <v>51306695.140912369</v>
      </c>
      <c r="T43" s="241">
        <v>670578.8077239563</v>
      </c>
      <c r="U43" s="241">
        <v>5791813.3873806521</v>
      </c>
      <c r="V43" s="241">
        <v>12420646.966105983</v>
      </c>
      <c r="W43" s="241">
        <v>23018243.854489416</v>
      </c>
      <c r="X43" s="241">
        <v>2140112.3951141648</v>
      </c>
      <c r="Y43" s="241">
        <v>954540.07035835134</v>
      </c>
      <c r="Z43" s="241">
        <v>33517916.945390213</v>
      </c>
      <c r="AA43" s="241">
        <v>12022.114652503858</v>
      </c>
      <c r="AB43" s="241">
        <v>212803367.82821727</v>
      </c>
      <c r="AC43" s="24">
        <f>SUM(D43:AB43)</f>
        <v>6735739149.750391</v>
      </c>
      <c r="AD43" s="260"/>
      <c r="AE43" s="8">
        <f>A43</f>
        <v>205</v>
      </c>
    </row>
    <row r="44" spans="1:31" x14ac:dyDescent="0.25">
      <c r="A44" s="8">
        <f>A43+1</f>
        <v>206</v>
      </c>
      <c r="B44" s="246" t="s">
        <v>763</v>
      </c>
      <c r="C44" s="255">
        <f>'1-BaseTRR'!$G$3</f>
        <v>2025</v>
      </c>
      <c r="D44" s="241">
        <v>56731713.810710013</v>
      </c>
      <c r="E44" s="241">
        <v>100136231.65409756</v>
      </c>
      <c r="F44" s="241">
        <v>173486071.20183963</v>
      </c>
      <c r="G44" s="241">
        <v>34324555.956629574</v>
      </c>
      <c r="H44" s="241">
        <v>3477044136.4440594</v>
      </c>
      <c r="I44" s="241">
        <v>1998565.0275551686</v>
      </c>
      <c r="J44" s="241">
        <v>678568575.14690375</v>
      </c>
      <c r="K44" s="241">
        <v>0</v>
      </c>
      <c r="L44" s="241">
        <v>232188291.55279556</v>
      </c>
      <c r="M44" s="241">
        <v>1062008312.1485407</v>
      </c>
      <c r="N44" s="241">
        <v>351392425.23396951</v>
      </c>
      <c r="O44" s="241">
        <v>117270971.62434079</v>
      </c>
      <c r="P44" s="241">
        <v>112320760.64924371</v>
      </c>
      <c r="Q44" s="241">
        <v>6725956.4364201101</v>
      </c>
      <c r="R44" s="241">
        <v>4680131.6761211902</v>
      </c>
      <c r="S44" s="241">
        <v>51783513.886548169</v>
      </c>
      <c r="T44" s="241">
        <v>932805.81891191751</v>
      </c>
      <c r="U44" s="241">
        <v>5954677.3276746152</v>
      </c>
      <c r="V44" s="241">
        <v>12565117.289669292</v>
      </c>
      <c r="W44" s="241">
        <v>23020759.575383332</v>
      </c>
      <c r="X44" s="241">
        <v>2140226.6260217894</v>
      </c>
      <c r="Y44" s="241">
        <v>954540.07035835134</v>
      </c>
      <c r="Z44" s="241">
        <v>33706798.432246238</v>
      </c>
      <c r="AA44" s="241">
        <v>12022.114652503858</v>
      </c>
      <c r="AB44" s="241">
        <v>211946261.05927369</v>
      </c>
      <c r="AC44" s="24">
        <f>SUM(D44:AB44)</f>
        <v>6751893420.7639647</v>
      </c>
      <c r="AD44" s="260"/>
      <c r="AE44" s="8">
        <f>A44</f>
        <v>206</v>
      </c>
    </row>
    <row r="45" spans="1:31" x14ac:dyDescent="0.25">
      <c r="A45" s="8">
        <f>A44+1</f>
        <v>207</v>
      </c>
      <c r="B45" s="246" t="s">
        <v>472</v>
      </c>
      <c r="C45" s="255">
        <f>'1-BaseTRR'!$G$3</f>
        <v>2025</v>
      </c>
      <c r="D45" s="241">
        <v>56870640.319386601</v>
      </c>
      <c r="E45" s="241">
        <v>101495758.09352972</v>
      </c>
      <c r="F45" s="241">
        <v>173571529.31465569</v>
      </c>
      <c r="G45" s="241">
        <v>34537908.600398421</v>
      </c>
      <c r="H45" s="241">
        <v>3495632189.119091</v>
      </c>
      <c r="I45" s="241">
        <v>1999105.3375551687</v>
      </c>
      <c r="J45" s="241">
        <v>681151447.37888598</v>
      </c>
      <c r="K45" s="241">
        <v>0</v>
      </c>
      <c r="L45" s="241">
        <v>233245464.96654853</v>
      </c>
      <c r="M45" s="241">
        <v>1052856122.3525131</v>
      </c>
      <c r="N45" s="241">
        <v>352155422.6537202</v>
      </c>
      <c r="O45" s="241">
        <v>117270811.59822001</v>
      </c>
      <c r="P45" s="241">
        <v>112569009.45993267</v>
      </c>
      <c r="Q45" s="241">
        <v>4546805.216293484</v>
      </c>
      <c r="R45" s="241">
        <v>4680131.6761211902</v>
      </c>
      <c r="S45" s="241">
        <v>39370708.190818228</v>
      </c>
      <c r="T45" s="241">
        <v>1041754.2966012652</v>
      </c>
      <c r="U45" s="241">
        <v>7046045.1216521766</v>
      </c>
      <c r="V45" s="241">
        <v>11476191.96844505</v>
      </c>
      <c r="W45" s="241">
        <v>20046889.814810485</v>
      </c>
      <c r="X45" s="241">
        <v>1552225.7701111832</v>
      </c>
      <c r="Y45" s="241">
        <v>929873.43265266449</v>
      </c>
      <c r="Z45" s="241">
        <v>33750619.012999102</v>
      </c>
      <c r="AA45" s="241">
        <v>12022.114652503858</v>
      </c>
      <c r="AB45" s="241">
        <v>226952455.2346448</v>
      </c>
      <c r="AC45" s="24">
        <f>SUM(D45:AB45)</f>
        <v>6764761131.044239</v>
      </c>
      <c r="AD45" s="260"/>
      <c r="AE45" s="8">
        <f>A45</f>
        <v>207</v>
      </c>
    </row>
    <row r="46" spans="1:31" x14ac:dyDescent="0.25">
      <c r="A46" s="8">
        <f>A45+1</f>
        <v>208</v>
      </c>
      <c r="B46" s="246" t="s">
        <v>471</v>
      </c>
      <c r="C46" s="255">
        <f>'1-BaseTRR'!$G$3</f>
        <v>2025</v>
      </c>
      <c r="D46" s="241">
        <v>57159807.912633106</v>
      </c>
      <c r="E46" s="241">
        <v>101487292.6680181</v>
      </c>
      <c r="F46" s="241">
        <v>175444550.64638445</v>
      </c>
      <c r="G46" s="241">
        <v>38079688.04278519</v>
      </c>
      <c r="H46" s="241">
        <v>3495808281.7661352</v>
      </c>
      <c r="I46" s="241">
        <v>2000408.1375551685</v>
      </c>
      <c r="J46" s="241">
        <v>659775415.3219564</v>
      </c>
      <c r="K46" s="241">
        <v>18922611.381015942</v>
      </c>
      <c r="L46" s="241">
        <v>230559227.96853468</v>
      </c>
      <c r="M46" s="241">
        <v>1067141228.942634</v>
      </c>
      <c r="N46" s="241">
        <v>351411703.69590026</v>
      </c>
      <c r="O46" s="241">
        <v>117270776.99647121</v>
      </c>
      <c r="P46" s="241">
        <v>112738455.96008286</v>
      </c>
      <c r="Q46" s="241">
        <v>4546805.216293484</v>
      </c>
      <c r="R46" s="241">
        <v>4680131.6761211902</v>
      </c>
      <c r="S46" s="241">
        <v>39377385.627401188</v>
      </c>
      <c r="T46" s="241">
        <v>1289438.2215092648</v>
      </c>
      <c r="U46" s="241">
        <v>7372066.7994335983</v>
      </c>
      <c r="V46" s="241">
        <v>11691797.157475388</v>
      </c>
      <c r="W46" s="241">
        <v>20436724.682394452</v>
      </c>
      <c r="X46" s="241">
        <v>1552259.6581018416</v>
      </c>
      <c r="Y46" s="241">
        <v>929873.43265266449</v>
      </c>
      <c r="Z46" s="241">
        <v>33843172.32722681</v>
      </c>
      <c r="AA46" s="241">
        <v>12022.114652503858</v>
      </c>
      <c r="AB46" s="241">
        <v>222013451.01086658</v>
      </c>
      <c r="AC46" s="24">
        <f>SUM(D46:AB46)</f>
        <v>6775544577.364233</v>
      </c>
      <c r="AD46" s="260"/>
      <c r="AE46" s="8">
        <f>A46</f>
        <v>208</v>
      </c>
    </row>
    <row r="47" spans="1:31" x14ac:dyDescent="0.25">
      <c r="A47" s="8">
        <f>A46+1</f>
        <v>209</v>
      </c>
      <c r="B47" s="246" t="s">
        <v>470</v>
      </c>
      <c r="C47" s="255">
        <f>'1-BaseTRR'!$G$3</f>
        <v>2025</v>
      </c>
      <c r="D47" s="241">
        <v>59252743.620592892</v>
      </c>
      <c r="E47" s="241">
        <v>101487257.03338537</v>
      </c>
      <c r="F47" s="241">
        <v>176035328.97766656</v>
      </c>
      <c r="G47" s="241">
        <v>35432417.047933266</v>
      </c>
      <c r="H47" s="241">
        <v>3519995425.9189053</v>
      </c>
      <c r="I47" s="241">
        <v>2001369.7275551686</v>
      </c>
      <c r="J47" s="241">
        <v>661658506.67330551</v>
      </c>
      <c r="K47" s="241">
        <v>23431343.589981422</v>
      </c>
      <c r="L47" s="241">
        <v>232192288.99023977</v>
      </c>
      <c r="M47" s="241">
        <v>1069872665.6177093</v>
      </c>
      <c r="N47" s="241">
        <v>351427179.19122869</v>
      </c>
      <c r="O47" s="241">
        <v>117270578.64497674</v>
      </c>
      <c r="P47" s="241">
        <v>113180996.58713588</v>
      </c>
      <c r="Q47" s="241">
        <v>4546805.216293484</v>
      </c>
      <c r="R47" s="241">
        <v>4680131.6761211902</v>
      </c>
      <c r="S47" s="241">
        <v>39377651.583022848</v>
      </c>
      <c r="T47" s="241">
        <v>1562036.2666163074</v>
      </c>
      <c r="U47" s="241">
        <v>7548971.8664059909</v>
      </c>
      <c r="V47" s="241">
        <v>11789231.407409057</v>
      </c>
      <c r="W47" s="241">
        <v>20444892.943501234</v>
      </c>
      <c r="X47" s="241">
        <v>1946315.723979936</v>
      </c>
      <c r="Y47" s="241">
        <v>929873.43265266449</v>
      </c>
      <c r="Z47" s="241">
        <v>37035480.124134749</v>
      </c>
      <c r="AA47" s="241">
        <v>59829.358755671994</v>
      </c>
      <c r="AB47" s="241">
        <v>226700896.09881431</v>
      </c>
      <c r="AC47" s="24">
        <f>SUM(D47:AB47)</f>
        <v>6819860217.3183231</v>
      </c>
      <c r="AD47" s="260"/>
      <c r="AE47" s="8">
        <f>A47</f>
        <v>209</v>
      </c>
    </row>
    <row r="48" spans="1:31" x14ac:dyDescent="0.25">
      <c r="A48" s="8">
        <f>A47+1</f>
        <v>210</v>
      </c>
      <c r="B48" s="246" t="s">
        <v>469</v>
      </c>
      <c r="C48" s="255">
        <f>'1-BaseTRR'!$G$3</f>
        <v>2025</v>
      </c>
      <c r="D48" s="241">
        <v>75308234.946035162</v>
      </c>
      <c r="E48" s="241">
        <v>101504430.57050222</v>
      </c>
      <c r="F48" s="241">
        <v>176199850.73419693</v>
      </c>
      <c r="G48" s="241">
        <v>25836841.847745698</v>
      </c>
      <c r="H48" s="241">
        <v>3529054182.3441482</v>
      </c>
      <c r="I48" s="241">
        <v>2001341.9275551685</v>
      </c>
      <c r="J48" s="241">
        <v>659773939.28148711</v>
      </c>
      <c r="K48" s="241">
        <v>44784978.259481877</v>
      </c>
      <c r="L48" s="241">
        <v>232327771.0607127</v>
      </c>
      <c r="M48" s="241">
        <v>1073958960.4511051</v>
      </c>
      <c r="N48" s="241">
        <v>351423814.6390571</v>
      </c>
      <c r="O48" s="241">
        <v>117095382.55089118</v>
      </c>
      <c r="P48" s="241">
        <v>115815600.77517956</v>
      </c>
      <c r="Q48" s="241">
        <v>4546805.216293484</v>
      </c>
      <c r="R48" s="241">
        <v>4680131.6761211902</v>
      </c>
      <c r="S48" s="241">
        <v>39641516.779743858</v>
      </c>
      <c r="T48" s="241">
        <v>1896345.1707146759</v>
      </c>
      <c r="U48" s="241">
        <v>8543897.5840419959</v>
      </c>
      <c r="V48" s="241">
        <v>11962748.399817469</v>
      </c>
      <c r="W48" s="241">
        <v>20604690.110785995</v>
      </c>
      <c r="X48" s="241">
        <v>2912979.2046334273</v>
      </c>
      <c r="Y48" s="241">
        <v>929873.43265266449</v>
      </c>
      <c r="Z48" s="241">
        <v>37184599.365853786</v>
      </c>
      <c r="AA48" s="241">
        <v>59829.358755671994</v>
      </c>
      <c r="AB48" s="241">
        <v>212062324.64381853</v>
      </c>
      <c r="AC48" s="24">
        <f>SUM(D48:AB48)</f>
        <v>6850111070.3313313</v>
      </c>
      <c r="AD48" s="260"/>
      <c r="AE48" s="8">
        <f>A48</f>
        <v>210</v>
      </c>
    </row>
    <row r="49" spans="1:31" x14ac:dyDescent="0.25">
      <c r="A49" s="8">
        <f>A48+1</f>
        <v>211</v>
      </c>
      <c r="B49" s="246" t="s">
        <v>468</v>
      </c>
      <c r="C49" s="255">
        <f>'1-BaseTRR'!$G$3</f>
        <v>2025</v>
      </c>
      <c r="D49" s="241">
        <v>75277774.525704131</v>
      </c>
      <c r="E49" s="241">
        <v>101503460.41018073</v>
      </c>
      <c r="F49" s="241">
        <v>176325043.31823298</v>
      </c>
      <c r="G49" s="241">
        <v>33209080.949825168</v>
      </c>
      <c r="H49" s="241">
        <v>3594356717.5396318</v>
      </c>
      <c r="I49" s="241">
        <v>2001341.9275551685</v>
      </c>
      <c r="J49" s="241">
        <v>656620308.47027111</v>
      </c>
      <c r="K49" s="241">
        <v>47055705.704207577</v>
      </c>
      <c r="L49" s="241">
        <v>234956962.59964442</v>
      </c>
      <c r="M49" s="241">
        <v>1075625999.58373</v>
      </c>
      <c r="N49" s="241">
        <v>351442269.65861362</v>
      </c>
      <c r="O49" s="241">
        <v>117270735.30170061</v>
      </c>
      <c r="P49" s="241">
        <v>116897463.23928335</v>
      </c>
      <c r="Q49" s="241">
        <v>4546805.216293484</v>
      </c>
      <c r="R49" s="241">
        <v>4680131.6761211902</v>
      </c>
      <c r="S49" s="241">
        <v>40533245.486126371</v>
      </c>
      <c r="T49" s="241">
        <v>2391676.314661779</v>
      </c>
      <c r="U49" s="241">
        <v>8734908.2583591808</v>
      </c>
      <c r="V49" s="241">
        <v>12199895.960815307</v>
      </c>
      <c r="W49" s="241">
        <v>21950803.18547086</v>
      </c>
      <c r="X49" s="241">
        <v>3082255.7376818806</v>
      </c>
      <c r="Y49" s="241">
        <v>929873.43265266449</v>
      </c>
      <c r="Z49" s="241">
        <v>37638475.961846054</v>
      </c>
      <c r="AA49" s="241">
        <v>59829.358755671994</v>
      </c>
      <c r="AB49" s="241">
        <v>220347175.29316163</v>
      </c>
      <c r="AC49" s="24">
        <f>SUM(D49:AB49)</f>
        <v>6939637939.1105261</v>
      </c>
      <c r="AD49" s="260"/>
      <c r="AE49" s="8">
        <f>A49</f>
        <v>211</v>
      </c>
    </row>
    <row r="50" spans="1:31" x14ac:dyDescent="0.25">
      <c r="A50" s="8">
        <f>A49+1</f>
        <v>212</v>
      </c>
      <c r="B50" s="254" t="s">
        <v>467</v>
      </c>
      <c r="C50" s="253">
        <f>'1-BaseTRR'!$G$3</f>
        <v>2025</v>
      </c>
      <c r="D50" s="252">
        <v>74140594.341923773</v>
      </c>
      <c r="E50" s="252">
        <v>101503088.19070986</v>
      </c>
      <c r="F50" s="252">
        <v>177226918.67580497</v>
      </c>
      <c r="G50" s="252">
        <v>33228653.365300257</v>
      </c>
      <c r="H50" s="252">
        <v>3589707899.6554613</v>
      </c>
      <c r="I50" s="252">
        <v>2000743.6045653627</v>
      </c>
      <c r="J50" s="252">
        <v>668777617.68562794</v>
      </c>
      <c r="K50" s="252">
        <v>47265734.044449992</v>
      </c>
      <c r="L50" s="252">
        <v>234883340.88514596</v>
      </c>
      <c r="M50" s="252">
        <v>1081258428.273751</v>
      </c>
      <c r="N50" s="252">
        <v>368821341.79422241</v>
      </c>
      <c r="O50" s="252">
        <v>121569172.26843737</v>
      </c>
      <c r="P50" s="252">
        <v>117572394.57675943</v>
      </c>
      <c r="Q50" s="252">
        <v>4545280.502717468</v>
      </c>
      <c r="R50" s="252">
        <v>4678562.2532045124</v>
      </c>
      <c r="S50" s="252">
        <v>42473821.613280274</v>
      </c>
      <c r="T50" s="252">
        <v>3685053.2988553448</v>
      </c>
      <c r="U50" s="252">
        <v>8936095.8631437588</v>
      </c>
      <c r="V50" s="252">
        <v>12205405.966727341</v>
      </c>
      <c r="W50" s="252">
        <v>22315764.399138018</v>
      </c>
      <c r="X50" s="252">
        <v>3081222.1422353126</v>
      </c>
      <c r="Y50" s="252">
        <v>929561.61136732332</v>
      </c>
      <c r="Z50" s="252">
        <v>37858100.576442204</v>
      </c>
      <c r="AA50" s="252">
        <v>59813.275201825236</v>
      </c>
      <c r="AB50" s="252">
        <v>231909954.81574938</v>
      </c>
      <c r="AC50" s="263">
        <f>SUM(D50:AB50)</f>
        <v>6990634563.6802235</v>
      </c>
      <c r="AD50" s="260"/>
      <c r="AE50" s="8">
        <f>A50</f>
        <v>212</v>
      </c>
    </row>
    <row r="51" spans="1:31" x14ac:dyDescent="0.25">
      <c r="A51" s="8">
        <f>A50+1</f>
        <v>213</v>
      </c>
      <c r="B51" s="262" t="s">
        <v>850</v>
      </c>
      <c r="C51" s="249"/>
      <c r="D51" s="248">
        <f>SUM(D38:D50)/13</f>
        <v>61103172.931672372</v>
      </c>
      <c r="E51" s="248">
        <f>SUM(E38:E50)/13</f>
        <v>100670107.38988748</v>
      </c>
      <c r="F51" s="248">
        <f>SUM(F38:F50)/13</f>
        <v>171443514.93680441</v>
      </c>
      <c r="G51" s="248">
        <f>SUM(G38:G50)/13</f>
        <v>33592698.572453693</v>
      </c>
      <c r="H51" s="248">
        <f>SUM(H38:H50)/13</f>
        <v>3479005519.2498832</v>
      </c>
      <c r="I51" s="248">
        <f>SUM(I38:I50)/13</f>
        <v>1999126.9380437585</v>
      </c>
      <c r="J51" s="248">
        <f>SUM(J38:J50)/13</f>
        <v>647735442.20628715</v>
      </c>
      <c r="K51" s="248">
        <f>SUM(K38:K50)/13</f>
        <v>13958490.229164369</v>
      </c>
      <c r="L51" s="248">
        <f>SUM(L38:L50)/13</f>
        <v>228171836.19222245</v>
      </c>
      <c r="M51" s="248">
        <f>SUM(M38:M50)/13</f>
        <v>1064188104.010316</v>
      </c>
      <c r="N51" s="248">
        <f>SUM(N38:N50)/13</f>
        <v>352794586.07385755</v>
      </c>
      <c r="O51" s="248">
        <f>SUM(O38:O50)/13</f>
        <v>117587597.42908946</v>
      </c>
      <c r="P51" s="248">
        <f>SUM(P38:P50)/13</f>
        <v>112786354.8436823</v>
      </c>
      <c r="Q51" s="248">
        <f>SUM(Q38:Q50)/13</f>
        <v>5183041.5368949482</v>
      </c>
      <c r="R51" s="248">
        <f>SUM(R38:R50)/13</f>
        <v>4320000.8349334458</v>
      </c>
      <c r="S51" s="248">
        <f>SUM(S38:S50)/13</f>
        <v>41389462.413420074</v>
      </c>
      <c r="T51" s="248">
        <f>SUM(T38:T50)/13</f>
        <v>1633295.5132024714</v>
      </c>
      <c r="U51" s="248">
        <f>SUM(U38:U50)/13</f>
        <v>6241629.5620557014</v>
      </c>
      <c r="V51" s="248">
        <f>SUM(V38:V50)/13</f>
        <v>11005172.615692761</v>
      </c>
      <c r="W51" s="248">
        <f>SUM(W38:W50)/13</f>
        <v>19247146.445114627</v>
      </c>
      <c r="X51" s="248">
        <f>SUM(X38:X50)/13</f>
        <v>1990635.5418628496</v>
      </c>
      <c r="Y51" s="248">
        <f>SUM(Y38:Y50)/13</f>
        <v>805286.27662117488</v>
      </c>
      <c r="Z51" s="248">
        <f>SUM(Z38:Z50)/13</f>
        <v>31535993.650772132</v>
      </c>
      <c r="AA51" s="261">
        <f>SUM(AA38:AA50)/13</f>
        <v>27382.155957314808</v>
      </c>
      <c r="AB51" s="248">
        <f>SUM(AB38:AB50)/13</f>
        <v>203601122.47490487</v>
      </c>
      <c r="AC51" s="94">
        <f>SUM(AC38:AC50)/13</f>
        <v>6712016720.0247946</v>
      </c>
      <c r="AD51" s="260"/>
      <c r="AE51" s="8">
        <f>A51</f>
        <v>213</v>
      </c>
    </row>
    <row r="52" spans="1:31" x14ac:dyDescent="0.25">
      <c r="AE52" s="8"/>
    </row>
    <row r="53" spans="1:31" x14ac:dyDescent="0.25">
      <c r="AE53" s="8"/>
    </row>
    <row r="54" spans="1:31" x14ac:dyDescent="0.25">
      <c r="B54" s="83" t="s">
        <v>903</v>
      </c>
      <c r="C54" s="83"/>
      <c r="D54" s="35"/>
      <c r="E54" s="35"/>
      <c r="F54" s="35"/>
      <c r="G54" s="35"/>
      <c r="H54" s="35"/>
      <c r="I54" s="35"/>
      <c r="J54" s="35"/>
      <c r="K54" s="83"/>
      <c r="L54" s="35"/>
      <c r="M54" s="35"/>
      <c r="N54" s="35"/>
      <c r="O54" s="35"/>
      <c r="P54" s="35"/>
      <c r="Q54" s="83"/>
      <c r="R54" s="83"/>
      <c r="S54" s="83"/>
      <c r="T54" s="83"/>
      <c r="U54" s="83"/>
      <c r="V54" s="83"/>
      <c r="W54" s="83"/>
      <c r="X54" s="83"/>
      <c r="Y54" s="83"/>
      <c r="Z54" s="83"/>
      <c r="AA54" s="83"/>
      <c r="AB54" s="83"/>
      <c r="AC54" s="83"/>
      <c r="AD54" s="35"/>
    </row>
    <row r="55" spans="1:31" x14ac:dyDescent="0.25">
      <c r="B55" s="246" t="s">
        <v>902</v>
      </c>
      <c r="C55" s="30"/>
      <c r="K55" s="30"/>
      <c r="Q55" s="30"/>
      <c r="R55" s="30"/>
      <c r="S55" s="30"/>
      <c r="T55" s="30"/>
      <c r="U55" s="30"/>
      <c r="V55" s="30"/>
      <c r="W55" s="30"/>
      <c r="X55" s="30"/>
      <c r="Y55" s="30"/>
      <c r="Z55" s="30"/>
      <c r="AA55" s="30"/>
      <c r="AB55" s="30"/>
      <c r="AC55" s="30"/>
    </row>
    <row r="56" spans="1:31" x14ac:dyDescent="0.25">
      <c r="B56" s="6" t="s">
        <v>901</v>
      </c>
      <c r="C56" s="30"/>
      <c r="K56" s="30"/>
      <c r="Q56" s="30"/>
      <c r="R56" s="30"/>
      <c r="S56" s="30"/>
      <c r="T56" s="30"/>
      <c r="U56" s="30"/>
      <c r="V56" s="30"/>
      <c r="W56" s="30"/>
      <c r="X56" s="30"/>
      <c r="Y56" s="30"/>
      <c r="Z56" s="30"/>
      <c r="AA56" s="30"/>
      <c r="AB56" s="30"/>
      <c r="AC56" s="30"/>
    </row>
    <row r="57" spans="1:31" x14ac:dyDescent="0.25">
      <c r="B57" s="246"/>
      <c r="C57" s="30"/>
      <c r="K57" s="30"/>
      <c r="Q57" s="30"/>
      <c r="R57" s="30"/>
      <c r="S57" s="30"/>
      <c r="T57" s="30"/>
      <c r="U57" s="30"/>
      <c r="V57" s="30"/>
      <c r="W57" s="30"/>
      <c r="X57" s="30"/>
      <c r="Y57" s="30"/>
      <c r="Z57" s="30"/>
      <c r="AA57" s="30"/>
      <c r="AB57" s="30"/>
      <c r="AC57" s="30"/>
    </row>
    <row r="58" spans="1:31" x14ac:dyDescent="0.25">
      <c r="A58" s="8"/>
      <c r="D58" s="175" t="s">
        <v>492</v>
      </c>
      <c r="E58" s="175" t="s">
        <v>491</v>
      </c>
      <c r="F58" s="175" t="s">
        <v>490</v>
      </c>
      <c r="G58" s="175" t="s">
        <v>489</v>
      </c>
      <c r="H58" s="175" t="s">
        <v>519</v>
      </c>
      <c r="I58" s="175" t="s">
        <v>518</v>
      </c>
      <c r="J58" s="175" t="s">
        <v>517</v>
      </c>
      <c r="K58" s="175" t="s">
        <v>538</v>
      </c>
      <c r="L58" s="175" t="s">
        <v>537</v>
      </c>
      <c r="M58" s="175" t="s">
        <v>770</v>
      </c>
      <c r="N58" s="175" t="s">
        <v>769</v>
      </c>
      <c r="O58" s="175" t="s">
        <v>768</v>
      </c>
      <c r="P58" s="175" t="s">
        <v>767</v>
      </c>
      <c r="Q58" s="175" t="s">
        <v>766</v>
      </c>
      <c r="R58" s="175" t="s">
        <v>765</v>
      </c>
      <c r="S58" s="175" t="s">
        <v>900</v>
      </c>
      <c r="T58" s="175" t="s">
        <v>899</v>
      </c>
      <c r="U58" s="175" t="s">
        <v>898</v>
      </c>
      <c r="V58" s="175" t="s">
        <v>897</v>
      </c>
      <c r="W58" s="175" t="s">
        <v>896</v>
      </c>
      <c r="X58" s="175" t="s">
        <v>895</v>
      </c>
      <c r="Y58" s="175" t="s">
        <v>894</v>
      </c>
      <c r="Z58" s="175" t="s">
        <v>893</v>
      </c>
      <c r="AA58" s="175" t="s">
        <v>892</v>
      </c>
      <c r="AB58" s="175" t="s">
        <v>891</v>
      </c>
      <c r="AC58" s="175" t="s">
        <v>890</v>
      </c>
      <c r="AD58" s="175"/>
      <c r="AE58" s="8"/>
    </row>
    <row r="59" spans="1:31" x14ac:dyDescent="0.25">
      <c r="B59" s="8"/>
      <c r="C59" s="8"/>
      <c r="D59" s="265"/>
      <c r="E59" s="265"/>
      <c r="F59" s="265"/>
      <c r="G59" s="265"/>
      <c r="H59" s="265"/>
      <c r="I59" s="265"/>
      <c r="J59" s="265"/>
      <c r="K59" s="265"/>
      <c r="L59" s="265"/>
      <c r="M59" s="265"/>
      <c r="N59" s="265"/>
      <c r="O59" s="265"/>
      <c r="P59" s="265"/>
      <c r="Q59" s="264"/>
      <c r="R59" s="264"/>
      <c r="S59" s="264"/>
      <c r="T59" s="264"/>
      <c r="U59" s="264"/>
      <c r="V59" s="264"/>
      <c r="W59" s="264"/>
      <c r="X59" s="264"/>
      <c r="Y59" s="264"/>
      <c r="Z59" s="264"/>
      <c r="AA59" s="264"/>
      <c r="AB59" s="264"/>
      <c r="AC59" s="258" t="s">
        <v>889</v>
      </c>
      <c r="AD59" s="23"/>
      <c r="AE59" s="8"/>
    </row>
    <row r="60" spans="1:31" x14ac:dyDescent="0.25">
      <c r="B60" s="8"/>
      <c r="C60" s="8"/>
      <c r="O60" s="23"/>
      <c r="Q60" s="8"/>
      <c r="R60" s="8"/>
      <c r="S60" s="8"/>
      <c r="T60" s="8"/>
      <c r="U60" s="8"/>
      <c r="V60" s="8"/>
      <c r="W60" s="8"/>
      <c r="X60" s="8"/>
      <c r="Y60" s="8"/>
      <c r="Z60" s="8"/>
      <c r="AA60" s="8"/>
      <c r="AB60" s="8"/>
      <c r="AC60" s="23"/>
      <c r="AD60" s="23"/>
      <c r="AE60" s="8"/>
    </row>
    <row r="61" spans="1:31" x14ac:dyDescent="0.25">
      <c r="A61" s="8"/>
      <c r="B61" s="8"/>
      <c r="C61" s="76" t="s">
        <v>888</v>
      </c>
      <c r="D61" s="183">
        <v>350.01</v>
      </c>
      <c r="E61" s="183">
        <v>350.02</v>
      </c>
      <c r="F61" s="183">
        <v>352.01</v>
      </c>
      <c r="G61" s="183">
        <v>352.02</v>
      </c>
      <c r="H61" s="183">
        <v>353.01</v>
      </c>
      <c r="I61" s="183">
        <v>353.02</v>
      </c>
      <c r="J61" s="183">
        <v>354</v>
      </c>
      <c r="K61" s="8">
        <v>354.02</v>
      </c>
      <c r="L61" s="183">
        <v>355</v>
      </c>
      <c r="M61" s="183">
        <v>356</v>
      </c>
      <c r="N61" s="183">
        <v>357</v>
      </c>
      <c r="O61" s="183">
        <v>358</v>
      </c>
      <c r="P61" s="183">
        <v>359</v>
      </c>
      <c r="Q61" s="183" t="s">
        <v>887</v>
      </c>
      <c r="R61" s="183" t="s">
        <v>886</v>
      </c>
      <c r="S61" s="183" t="s">
        <v>885</v>
      </c>
      <c r="T61" s="183" t="s">
        <v>884</v>
      </c>
      <c r="U61" s="183" t="s">
        <v>883</v>
      </c>
      <c r="V61" s="183" t="s">
        <v>882</v>
      </c>
      <c r="W61" s="183" t="s">
        <v>881</v>
      </c>
      <c r="X61" s="183" t="s">
        <v>880</v>
      </c>
      <c r="Y61" s="183" t="s">
        <v>879</v>
      </c>
      <c r="Z61" s="183" t="s">
        <v>878</v>
      </c>
      <c r="AA61" s="183" t="s">
        <v>877</v>
      </c>
      <c r="AB61" s="183" t="s">
        <v>876</v>
      </c>
      <c r="AE61" s="8"/>
    </row>
    <row r="62" spans="1:31" x14ac:dyDescent="0.25">
      <c r="A62" s="33" t="s">
        <v>106</v>
      </c>
      <c r="B62" s="33" t="s">
        <v>483</v>
      </c>
      <c r="C62" s="33" t="s">
        <v>510</v>
      </c>
      <c r="D62" s="175" t="s">
        <v>875</v>
      </c>
      <c r="E62" s="175" t="s">
        <v>874</v>
      </c>
      <c r="F62" s="175" t="s">
        <v>873</v>
      </c>
      <c r="G62" s="175" t="s">
        <v>872</v>
      </c>
      <c r="H62" s="175" t="s">
        <v>871</v>
      </c>
      <c r="I62" s="175" t="s">
        <v>870</v>
      </c>
      <c r="J62" s="175" t="s">
        <v>869</v>
      </c>
      <c r="K62" s="175" t="s">
        <v>868</v>
      </c>
      <c r="L62" s="175" t="s">
        <v>867</v>
      </c>
      <c r="M62" s="175" t="s">
        <v>866</v>
      </c>
      <c r="N62" s="175" t="s">
        <v>865</v>
      </c>
      <c r="O62" s="175" t="s">
        <v>864</v>
      </c>
      <c r="P62" s="175" t="s">
        <v>863</v>
      </c>
      <c r="Q62" s="33" t="s">
        <v>862</v>
      </c>
      <c r="R62" s="33" t="s">
        <v>861</v>
      </c>
      <c r="S62" s="33" t="s">
        <v>860</v>
      </c>
      <c r="T62" s="33" t="s">
        <v>859</v>
      </c>
      <c r="U62" s="33" t="s">
        <v>858</v>
      </c>
      <c r="V62" s="33" t="s">
        <v>857</v>
      </c>
      <c r="W62" s="33" t="s">
        <v>856</v>
      </c>
      <c r="X62" s="33" t="s">
        <v>855</v>
      </c>
      <c r="Y62" s="33" t="s">
        <v>854</v>
      </c>
      <c r="Z62" s="33" t="s">
        <v>853</v>
      </c>
      <c r="AA62" s="33" t="s">
        <v>852</v>
      </c>
      <c r="AB62" s="33" t="s">
        <v>851</v>
      </c>
      <c r="AC62" s="33" t="s">
        <v>466</v>
      </c>
      <c r="AD62" s="33"/>
      <c r="AE62" s="33" t="str">
        <f>A62</f>
        <v>Line</v>
      </c>
    </row>
    <row r="63" spans="1:31" x14ac:dyDescent="0.25">
      <c r="A63" s="8">
        <v>300</v>
      </c>
      <c r="B63" s="246" t="s">
        <v>467</v>
      </c>
      <c r="C63" s="255">
        <f>'1-BaseTRR'!$G$3-1</f>
        <v>2024</v>
      </c>
      <c r="D63" s="241">
        <v>39844474.189783372</v>
      </c>
      <c r="E63" s="241">
        <v>110714630.04272981</v>
      </c>
      <c r="F63" s="241">
        <v>205697995.06458899</v>
      </c>
      <c r="G63" s="241">
        <v>79843368.168203115</v>
      </c>
      <c r="H63" s="241">
        <v>5216805946.3537197</v>
      </c>
      <c r="I63" s="241">
        <v>3295336.1495019766</v>
      </c>
      <c r="J63" s="241">
        <v>704249920.94700253</v>
      </c>
      <c r="K63" s="241">
        <v>0</v>
      </c>
      <c r="L63" s="241">
        <v>2741267933.86057</v>
      </c>
      <c r="M63" s="241">
        <v>1839208933.0836301</v>
      </c>
      <c r="N63" s="241">
        <v>167292517.81019241</v>
      </c>
      <c r="O63" s="241">
        <v>164508578.10818103</v>
      </c>
      <c r="P63" s="241">
        <v>153598107.26938888</v>
      </c>
      <c r="Q63" s="241">
        <v>0</v>
      </c>
      <c r="R63" s="241">
        <v>0</v>
      </c>
      <c r="S63" s="241">
        <v>0</v>
      </c>
      <c r="T63" s="241">
        <v>0</v>
      </c>
      <c r="U63" s="241">
        <v>0</v>
      </c>
      <c r="V63" s="241">
        <v>0</v>
      </c>
      <c r="W63" s="241">
        <v>0</v>
      </c>
      <c r="X63" s="241">
        <v>0</v>
      </c>
      <c r="Y63" s="241">
        <v>0</v>
      </c>
      <c r="Z63" s="241">
        <v>0</v>
      </c>
      <c r="AA63" s="241">
        <v>0</v>
      </c>
      <c r="AB63" s="241">
        <v>0</v>
      </c>
      <c r="AC63" s="24">
        <f>SUM(D63:AB63)</f>
        <v>11426327741.047491</v>
      </c>
      <c r="AD63" s="260"/>
      <c r="AE63" s="8">
        <f>A63</f>
        <v>300</v>
      </c>
    </row>
    <row r="64" spans="1:31" x14ac:dyDescent="0.25">
      <c r="A64" s="8">
        <f>A63+1</f>
        <v>301</v>
      </c>
      <c r="B64" s="246" t="s">
        <v>478</v>
      </c>
      <c r="C64" s="255">
        <f>'1-BaseTRR'!$G$3</f>
        <v>2025</v>
      </c>
      <c r="D64" s="241">
        <v>35149574.690697066</v>
      </c>
      <c r="E64" s="241">
        <v>112124025.37550698</v>
      </c>
      <c r="F64" s="241">
        <v>205834717.52871376</v>
      </c>
      <c r="G64" s="241">
        <v>79622537.877757341</v>
      </c>
      <c r="H64" s="241">
        <v>5304921122.175807</v>
      </c>
      <c r="I64" s="241">
        <v>3421462.3424448315</v>
      </c>
      <c r="J64" s="241">
        <v>696291261.48677337</v>
      </c>
      <c r="K64" s="241">
        <v>0</v>
      </c>
      <c r="L64" s="241">
        <v>2746267595.9476471</v>
      </c>
      <c r="M64" s="241">
        <v>1870689434.5466249</v>
      </c>
      <c r="N64" s="241">
        <v>167643326.9175573</v>
      </c>
      <c r="O64" s="241">
        <v>164542916.16737169</v>
      </c>
      <c r="P64" s="241">
        <v>154026686.87625834</v>
      </c>
      <c r="Q64" s="241">
        <v>12034571.551442059</v>
      </c>
      <c r="R64" s="241">
        <v>8683566.363394687</v>
      </c>
      <c r="S64" s="241">
        <v>91355548.36438024</v>
      </c>
      <c r="T64" s="241">
        <v>270115.32549177832</v>
      </c>
      <c r="U64" s="241">
        <v>7885866.5004128115</v>
      </c>
      <c r="V64" s="241">
        <v>21144479.356730912</v>
      </c>
      <c r="W64" s="241">
        <v>32982040.547191963</v>
      </c>
      <c r="X64" s="241">
        <v>3340705.6739741424</v>
      </c>
      <c r="Y64" s="241">
        <v>217254.61284134784</v>
      </c>
      <c r="Z64" s="241">
        <v>51753123.48514723</v>
      </c>
      <c r="AA64" s="241">
        <v>41314.417413887444</v>
      </c>
      <c r="AB64" s="241">
        <v>422869864.18479228</v>
      </c>
      <c r="AC64" s="24">
        <f>SUM(D64:AB64)</f>
        <v>12193113112.316368</v>
      </c>
      <c r="AD64" s="260"/>
      <c r="AE64" s="8">
        <f>A64</f>
        <v>301</v>
      </c>
    </row>
    <row r="65" spans="1:31" x14ac:dyDescent="0.25">
      <c r="A65" s="8">
        <f>A64+1</f>
        <v>302</v>
      </c>
      <c r="B65" s="246" t="s">
        <v>477</v>
      </c>
      <c r="C65" s="255">
        <f>'1-BaseTRR'!$G$3</f>
        <v>2025</v>
      </c>
      <c r="D65" s="241">
        <v>35141222.531857945</v>
      </c>
      <c r="E65" s="241">
        <v>112202980.8793034</v>
      </c>
      <c r="F65" s="241">
        <v>205630876.50813878</v>
      </c>
      <c r="G65" s="241">
        <v>72028721.389144167</v>
      </c>
      <c r="H65" s="241">
        <v>5324435473.5426998</v>
      </c>
      <c r="I65" s="241">
        <v>3421462.3424448315</v>
      </c>
      <c r="J65" s="241">
        <v>703689478.16976869</v>
      </c>
      <c r="K65" s="241">
        <v>0</v>
      </c>
      <c r="L65" s="241">
        <v>2761417014.9601598</v>
      </c>
      <c r="M65" s="241">
        <v>1887201466.5330601</v>
      </c>
      <c r="N65" s="241">
        <v>167642991.20728594</v>
      </c>
      <c r="O65" s="241">
        <v>164541359.48895144</v>
      </c>
      <c r="P65" s="241">
        <v>154561288.24392197</v>
      </c>
      <c r="Q65" s="241">
        <v>12450183.474620132</v>
      </c>
      <c r="R65" s="241">
        <v>8683566.0598547086</v>
      </c>
      <c r="S65" s="241">
        <v>86954614.564187497</v>
      </c>
      <c r="T65" s="241">
        <v>6602214.1378698004</v>
      </c>
      <c r="U65" s="241">
        <v>10161352.221742816</v>
      </c>
      <c r="V65" s="241">
        <v>21007066.821551751</v>
      </c>
      <c r="W65" s="241">
        <v>31178020.142854292</v>
      </c>
      <c r="X65" s="241">
        <v>3340952.458170102</v>
      </c>
      <c r="Y65" s="241">
        <v>1771063.7929325795</v>
      </c>
      <c r="Z65" s="241">
        <v>50802024.699422851</v>
      </c>
      <c r="AA65" s="241">
        <v>41314.417413887444</v>
      </c>
      <c r="AB65" s="241">
        <v>427400430.7038281</v>
      </c>
      <c r="AC65" s="24">
        <f>SUM(D65:AB65)</f>
        <v>12252307139.291185</v>
      </c>
      <c r="AD65" s="260"/>
      <c r="AE65" s="8">
        <f>A65</f>
        <v>302</v>
      </c>
    </row>
    <row r="66" spans="1:31" x14ac:dyDescent="0.25">
      <c r="A66" s="8">
        <f>A65+1</f>
        <v>303</v>
      </c>
      <c r="B66" s="246" t="s">
        <v>476</v>
      </c>
      <c r="C66" s="255">
        <f>'1-BaseTRR'!$G$3</f>
        <v>2025</v>
      </c>
      <c r="D66" s="241">
        <v>35169759.2678032</v>
      </c>
      <c r="E66" s="241">
        <v>112234566.54362448</v>
      </c>
      <c r="F66" s="241">
        <v>205660245.90398255</v>
      </c>
      <c r="G66" s="241">
        <v>72968621.18749693</v>
      </c>
      <c r="H66" s="241">
        <v>5347075131.6179857</v>
      </c>
      <c r="I66" s="241">
        <v>3421462.3424448315</v>
      </c>
      <c r="J66" s="241">
        <v>725558671.66602886</v>
      </c>
      <c r="K66" s="241">
        <v>0</v>
      </c>
      <c r="L66" s="241">
        <v>2782587753.1862745</v>
      </c>
      <c r="M66" s="241">
        <v>1946701526.9877574</v>
      </c>
      <c r="N66" s="241">
        <v>167695346.22414345</v>
      </c>
      <c r="O66" s="241">
        <v>164542348.72863448</v>
      </c>
      <c r="P66" s="241">
        <v>154531456.90837738</v>
      </c>
      <c r="Q66" s="241">
        <v>12479411.066434836</v>
      </c>
      <c r="R66" s="241">
        <v>8683566.0598547105</v>
      </c>
      <c r="S66" s="241">
        <v>87301494.86489588</v>
      </c>
      <c r="T66" s="241">
        <v>6738543.722942194</v>
      </c>
      <c r="U66" s="241">
        <v>10591065.608709993</v>
      </c>
      <c r="V66" s="241">
        <v>21563013.769001823</v>
      </c>
      <c r="W66" s="241">
        <v>39770234.366111979</v>
      </c>
      <c r="X66" s="241">
        <v>3340952.458170102</v>
      </c>
      <c r="Y66" s="241">
        <v>1771063.7929325795</v>
      </c>
      <c r="Z66" s="241">
        <v>55687162.825723745</v>
      </c>
      <c r="AA66" s="241">
        <v>63869.123979803109</v>
      </c>
      <c r="AB66" s="241">
        <v>397912510.26311564</v>
      </c>
      <c r="AC66" s="24">
        <f>SUM(D66:AB66)</f>
        <v>12364049778.486423</v>
      </c>
      <c r="AD66" s="260"/>
      <c r="AE66" s="8">
        <f>A66</f>
        <v>303</v>
      </c>
    </row>
    <row r="67" spans="1:31" x14ac:dyDescent="0.25">
      <c r="A67" s="8">
        <f>A66+1</f>
        <v>304</v>
      </c>
      <c r="B67" s="246" t="s">
        <v>475</v>
      </c>
      <c r="C67" s="255">
        <f>'1-BaseTRR'!$G$3</f>
        <v>2025</v>
      </c>
      <c r="D67" s="241">
        <v>35180454.8090332</v>
      </c>
      <c r="E67" s="241">
        <v>111787522.81758747</v>
      </c>
      <c r="F67" s="241">
        <v>204954801.06866077</v>
      </c>
      <c r="G67" s="241">
        <v>72193891.385908693</v>
      </c>
      <c r="H67" s="241">
        <v>5353392182.7169046</v>
      </c>
      <c r="I67" s="241">
        <v>3421462.3424448315</v>
      </c>
      <c r="J67" s="241">
        <v>729625146.87098873</v>
      </c>
      <c r="K67" s="241">
        <v>0</v>
      </c>
      <c r="L67" s="241">
        <v>2794220128.602037</v>
      </c>
      <c r="M67" s="241">
        <v>1944575459.7394004</v>
      </c>
      <c r="N67" s="241">
        <v>167860684.29428169</v>
      </c>
      <c r="O67" s="241">
        <v>164541485.88808441</v>
      </c>
      <c r="P67" s="241">
        <v>155133885.8320367</v>
      </c>
      <c r="Q67" s="241">
        <v>12479411.066434838</v>
      </c>
      <c r="R67" s="241">
        <v>8683566.0598547105</v>
      </c>
      <c r="S67" s="241">
        <v>94706253.388558581</v>
      </c>
      <c r="T67" s="241">
        <v>792964.29243851057</v>
      </c>
      <c r="U67" s="241">
        <v>10719999.758173186</v>
      </c>
      <c r="V67" s="241">
        <v>23037407.02297445</v>
      </c>
      <c r="W67" s="241">
        <v>41485908.518562831</v>
      </c>
      <c r="X67" s="241">
        <v>3838540.2645173515</v>
      </c>
      <c r="Y67" s="241">
        <v>1771063.7929325795</v>
      </c>
      <c r="Z67" s="241">
        <v>56035969.192895688</v>
      </c>
      <c r="AA67" s="241">
        <v>63869.123979803109</v>
      </c>
      <c r="AB67" s="241">
        <v>403080521.63952583</v>
      </c>
      <c r="AC67" s="24">
        <f>SUM(D67:AB67)</f>
        <v>12393582580.488216</v>
      </c>
      <c r="AD67" s="260"/>
      <c r="AE67" s="8">
        <f>A67</f>
        <v>304</v>
      </c>
    </row>
    <row r="68" spans="1:31" x14ac:dyDescent="0.25">
      <c r="A68" s="8">
        <f>A67+1</f>
        <v>305</v>
      </c>
      <c r="B68" s="246" t="s">
        <v>474</v>
      </c>
      <c r="C68" s="255">
        <f>'1-BaseTRR'!$G$3</f>
        <v>2025</v>
      </c>
      <c r="D68" s="241">
        <v>35169372.476554394</v>
      </c>
      <c r="E68" s="241">
        <v>111873539.5798123</v>
      </c>
      <c r="F68" s="241">
        <v>209780668.70326695</v>
      </c>
      <c r="G68" s="241">
        <v>72981589.59538579</v>
      </c>
      <c r="H68" s="241">
        <v>5396160934.5902243</v>
      </c>
      <c r="I68" s="241">
        <v>3421462.3424448315</v>
      </c>
      <c r="J68" s="241">
        <v>732182735.05513668</v>
      </c>
      <c r="K68" s="241">
        <v>0</v>
      </c>
      <c r="L68" s="241">
        <v>2787707649.6074829</v>
      </c>
      <c r="M68" s="241">
        <v>1942687869.9610984</v>
      </c>
      <c r="N68" s="241">
        <v>167848844.80866095</v>
      </c>
      <c r="O68" s="241">
        <v>164540621.14851889</v>
      </c>
      <c r="P68" s="241">
        <v>155620709.69090971</v>
      </c>
      <c r="Q68" s="241">
        <v>12479411.066434836</v>
      </c>
      <c r="R68" s="241">
        <v>8683566.0598547105</v>
      </c>
      <c r="S68" s="241">
        <v>95194987.53466323</v>
      </c>
      <c r="T68" s="241">
        <v>1244199.0478429436</v>
      </c>
      <c r="U68" s="241">
        <v>10746192.123669734</v>
      </c>
      <c r="V68" s="241">
        <v>23045400.407559473</v>
      </c>
      <c r="W68" s="241">
        <v>42708294.322599255</v>
      </c>
      <c r="X68" s="241">
        <v>3970787.2864572178</v>
      </c>
      <c r="Y68" s="241">
        <v>1771063.7929325795</v>
      </c>
      <c r="Z68" s="241">
        <v>56486211.676115461</v>
      </c>
      <c r="AA68" s="241">
        <v>63869.123979803109</v>
      </c>
      <c r="AB68" s="241">
        <v>410036469.8978675</v>
      </c>
      <c r="AC68" s="24">
        <f>SUM(D68:AB68)</f>
        <v>12446406449.899473</v>
      </c>
      <c r="AD68" s="260"/>
      <c r="AE68" s="8">
        <f>A68</f>
        <v>305</v>
      </c>
    </row>
    <row r="69" spans="1:31" x14ac:dyDescent="0.25">
      <c r="A69" s="8">
        <f>A68+1</f>
        <v>306</v>
      </c>
      <c r="B69" s="246" t="s">
        <v>763</v>
      </c>
      <c r="C69" s="255">
        <f>'1-BaseTRR'!$G$3</f>
        <v>2025</v>
      </c>
      <c r="D69" s="241">
        <v>35181317.382554382</v>
      </c>
      <c r="E69" s="241">
        <v>112227498.84835736</v>
      </c>
      <c r="F69" s="241">
        <v>210003047.07837951</v>
      </c>
      <c r="G69" s="241">
        <v>73573532.423910961</v>
      </c>
      <c r="H69" s="241">
        <v>5431686957.2986279</v>
      </c>
      <c r="I69" s="241">
        <v>3421462.3424448315</v>
      </c>
      <c r="J69" s="241">
        <v>736011614.33012533</v>
      </c>
      <c r="K69" s="241">
        <v>0</v>
      </c>
      <c r="L69" s="241">
        <v>2805365360.5062914</v>
      </c>
      <c r="M69" s="241">
        <v>1947830610.269311</v>
      </c>
      <c r="N69" s="241">
        <v>167910767.41319361</v>
      </c>
      <c r="O69" s="241">
        <v>164540038.15514901</v>
      </c>
      <c r="P69" s="241">
        <v>158128445.88942528</v>
      </c>
      <c r="Q69" s="241">
        <v>12479411.066434836</v>
      </c>
      <c r="R69" s="241">
        <v>8683566.0598547105</v>
      </c>
      <c r="S69" s="241">
        <v>96079682.103713691</v>
      </c>
      <c r="T69" s="241">
        <v>1730737.8317722264</v>
      </c>
      <c r="U69" s="241">
        <v>11048371.609671496</v>
      </c>
      <c r="V69" s="241">
        <v>23313452.181562189</v>
      </c>
      <c r="W69" s="241">
        <v>42712962.017886959</v>
      </c>
      <c r="X69" s="241">
        <v>3970999.2316974555</v>
      </c>
      <c r="Y69" s="241">
        <v>1771063.7929325795</v>
      </c>
      <c r="Z69" s="241">
        <v>56836664.39456486</v>
      </c>
      <c r="AA69" s="241">
        <v>63869.123979803109</v>
      </c>
      <c r="AB69" s="241">
        <v>421060860.96381432</v>
      </c>
      <c r="AC69" s="24">
        <f>SUM(D69:AB69)</f>
        <v>12525632292.315651</v>
      </c>
      <c r="AD69" s="260"/>
      <c r="AE69" s="8">
        <f>A69</f>
        <v>306</v>
      </c>
    </row>
    <row r="70" spans="1:31" x14ac:dyDescent="0.25">
      <c r="A70" s="8">
        <f>A69+1</f>
        <v>307</v>
      </c>
      <c r="B70" s="246" t="s">
        <v>472</v>
      </c>
      <c r="C70" s="255">
        <f>'1-BaseTRR'!$G$3</f>
        <v>2025</v>
      </c>
      <c r="D70" s="241">
        <v>35196531.432053819</v>
      </c>
      <c r="E70" s="241">
        <v>112284354.81802046</v>
      </c>
      <c r="F70" s="241">
        <v>210226940.27195814</v>
      </c>
      <c r="G70" s="241">
        <v>73943945.834812</v>
      </c>
      <c r="H70" s="241">
        <v>5438807152.8329897</v>
      </c>
      <c r="I70" s="241">
        <v>3421462.3424448315</v>
      </c>
      <c r="J70" s="241">
        <v>736187031.09729707</v>
      </c>
      <c r="K70" s="241">
        <v>0</v>
      </c>
      <c r="L70" s="241">
        <v>2820463027.3422699</v>
      </c>
      <c r="M70" s="241">
        <v>1952089824.8158364</v>
      </c>
      <c r="N70" s="241">
        <v>168057187.93686593</v>
      </c>
      <c r="O70" s="241">
        <v>164539051.33012176</v>
      </c>
      <c r="P70" s="241">
        <v>159239283.85946727</v>
      </c>
      <c r="Q70" s="241">
        <v>8436190.7290819697</v>
      </c>
      <c r="R70" s="241">
        <v>8683566.0598547105</v>
      </c>
      <c r="S70" s="241">
        <v>73048830.472559586</v>
      </c>
      <c r="T70" s="241">
        <v>1932881.9953569861</v>
      </c>
      <c r="U70" s="241">
        <v>13073307.015432643</v>
      </c>
      <c r="V70" s="241">
        <v>21293048.565710086</v>
      </c>
      <c r="W70" s="241">
        <v>37195212.453041181</v>
      </c>
      <c r="X70" s="241">
        <v>2880016.1934205117</v>
      </c>
      <c r="Y70" s="241">
        <v>1725297.051136683</v>
      </c>
      <c r="Z70" s="241">
        <v>56917969.565889455</v>
      </c>
      <c r="AA70" s="241">
        <v>63869.123979803109</v>
      </c>
      <c r="AB70" s="241">
        <v>424128695.04675126</v>
      </c>
      <c r="AC70" s="24">
        <f>SUM(D70:AB70)</f>
        <v>12523834678.186348</v>
      </c>
      <c r="AD70" s="260"/>
      <c r="AE70" s="8">
        <f>A70</f>
        <v>307</v>
      </c>
    </row>
    <row r="71" spans="1:31" x14ac:dyDescent="0.25">
      <c r="A71" s="8">
        <f>A70+1</f>
        <v>308</v>
      </c>
      <c r="B71" s="246" t="s">
        <v>471</v>
      </c>
      <c r="C71" s="255">
        <f>'1-BaseTRR'!$G$3</f>
        <v>2025</v>
      </c>
      <c r="D71" s="241">
        <v>35176184.904712655</v>
      </c>
      <c r="E71" s="241">
        <v>116176353.85610022</v>
      </c>
      <c r="F71" s="241">
        <v>207352133.8866241</v>
      </c>
      <c r="G71" s="241">
        <v>88374907.347095117</v>
      </c>
      <c r="H71" s="241">
        <v>5447186018.5879269</v>
      </c>
      <c r="I71" s="241">
        <v>3421462.3424448315</v>
      </c>
      <c r="J71" s="241">
        <v>696317251.89429212</v>
      </c>
      <c r="K71" s="241">
        <v>32185724.246614888</v>
      </c>
      <c r="L71" s="241">
        <v>2858796049.5900521</v>
      </c>
      <c r="M71" s="241">
        <v>1965056484.2201123</v>
      </c>
      <c r="N71" s="241">
        <v>168043638.74302599</v>
      </c>
      <c r="O71" s="241">
        <v>164538186.6321981</v>
      </c>
      <c r="P71" s="241">
        <v>160113896.4256784</v>
      </c>
      <c r="Q71" s="241">
        <v>8436190.7290819697</v>
      </c>
      <c r="R71" s="241">
        <v>8683566.0598547105</v>
      </c>
      <c r="S71" s="241">
        <v>73061219.859374166</v>
      </c>
      <c r="T71" s="241">
        <v>2392437.3824150781</v>
      </c>
      <c r="U71" s="241">
        <v>13678211.101871926</v>
      </c>
      <c r="V71" s="241">
        <v>21693084.725236278</v>
      </c>
      <c r="W71" s="241">
        <v>37918516.210149497</v>
      </c>
      <c r="X71" s="241">
        <v>2880079.0695585953</v>
      </c>
      <c r="Y71" s="241">
        <v>1725297.051136683</v>
      </c>
      <c r="Z71" s="241">
        <v>57089693.968913272</v>
      </c>
      <c r="AA71" s="241">
        <v>63869.123979803109</v>
      </c>
      <c r="AB71" s="241">
        <v>426036797.83528513</v>
      </c>
      <c r="AC71" s="24">
        <f>SUM(D71:AB71)</f>
        <v>12596397255.793736</v>
      </c>
      <c r="AD71" s="260"/>
      <c r="AE71" s="8">
        <f>A71</f>
        <v>308</v>
      </c>
    </row>
    <row r="72" spans="1:31" x14ac:dyDescent="0.25">
      <c r="A72" s="8">
        <f>A71+1</f>
        <v>309</v>
      </c>
      <c r="B72" s="246" t="s">
        <v>470</v>
      </c>
      <c r="C72" s="255">
        <f>'1-BaseTRR'!$G$3</f>
        <v>2025</v>
      </c>
      <c r="D72" s="241">
        <v>34555947.247293532</v>
      </c>
      <c r="E72" s="241">
        <v>118316170.32796432</v>
      </c>
      <c r="F72" s="241">
        <v>207632633.20173663</v>
      </c>
      <c r="G72" s="241">
        <v>87072714.946616888</v>
      </c>
      <c r="H72" s="241">
        <v>5465419769.4103985</v>
      </c>
      <c r="I72" s="241">
        <v>3421462.3424448315</v>
      </c>
      <c r="J72" s="241">
        <v>705532569.83886826</v>
      </c>
      <c r="K72" s="241">
        <v>36903512.866103254</v>
      </c>
      <c r="L72" s="241">
        <v>2887318596.3024921</v>
      </c>
      <c r="M72" s="241">
        <v>1965066398.7465568</v>
      </c>
      <c r="N72" s="241">
        <v>168043907.36417085</v>
      </c>
      <c r="O72" s="241">
        <v>164537162.48932889</v>
      </c>
      <c r="P72" s="241">
        <v>160758487.87148219</v>
      </c>
      <c r="Q72" s="241">
        <v>8436190.7290819697</v>
      </c>
      <c r="R72" s="241">
        <v>8683566.0598547105</v>
      </c>
      <c r="S72" s="241">
        <v>73061713.316261604</v>
      </c>
      <c r="T72" s="241">
        <v>2898218.6929178815</v>
      </c>
      <c r="U72" s="241">
        <v>14006442.643564561</v>
      </c>
      <c r="V72" s="241">
        <v>21873865.268251389</v>
      </c>
      <c r="W72" s="241">
        <v>37933671.688632466</v>
      </c>
      <c r="X72" s="241">
        <v>3611214.8828515299</v>
      </c>
      <c r="Y72" s="241">
        <v>1725297.051136683</v>
      </c>
      <c r="Z72" s="241">
        <v>62366040.261781149</v>
      </c>
      <c r="AA72" s="241">
        <v>152571.19286123221</v>
      </c>
      <c r="AB72" s="241">
        <v>433808239.19079894</v>
      </c>
      <c r="AC72" s="24">
        <f>SUM(D72:AB72)</f>
        <v>12673136363.933451</v>
      </c>
      <c r="AD72" s="260"/>
      <c r="AE72" s="8">
        <f>A72</f>
        <v>309</v>
      </c>
    </row>
    <row r="73" spans="1:31" x14ac:dyDescent="0.25">
      <c r="A73" s="8">
        <f>A72+1</f>
        <v>310</v>
      </c>
      <c r="B73" s="246" t="s">
        <v>469</v>
      </c>
      <c r="C73" s="255">
        <f>'1-BaseTRR'!$G$3</f>
        <v>2025</v>
      </c>
      <c r="D73" s="241">
        <v>34665708.031753518</v>
      </c>
      <c r="E73" s="241">
        <v>117843442.94676068</v>
      </c>
      <c r="F73" s="241">
        <v>207797457.51160088</v>
      </c>
      <c r="G73" s="241">
        <v>75342521.841474265</v>
      </c>
      <c r="H73" s="241">
        <v>5479566713.9481354</v>
      </c>
      <c r="I73" s="241">
        <v>3421462.3424448315</v>
      </c>
      <c r="J73" s="241">
        <v>679655812.77938962</v>
      </c>
      <c r="K73" s="241">
        <v>79093434.635056615</v>
      </c>
      <c r="L73" s="241">
        <v>2898927266.3985572</v>
      </c>
      <c r="M73" s="241">
        <v>1977730895.0731318</v>
      </c>
      <c r="N73" s="241">
        <v>168045019.1527586</v>
      </c>
      <c r="O73" s="241">
        <v>164211363.34857407</v>
      </c>
      <c r="P73" s="241">
        <v>161939090.04524273</v>
      </c>
      <c r="Q73" s="241">
        <v>8436190.7290819697</v>
      </c>
      <c r="R73" s="241">
        <v>8683566.0598547105</v>
      </c>
      <c r="S73" s="241">
        <v>73551291.607042193</v>
      </c>
      <c r="T73" s="241">
        <v>3518498.9871556209</v>
      </c>
      <c r="U73" s="241">
        <v>15852438.395739822</v>
      </c>
      <c r="V73" s="241">
        <v>22195810.540384095</v>
      </c>
      <c r="W73" s="241">
        <v>38230161.051394343</v>
      </c>
      <c r="X73" s="241">
        <v>5404772.5801128484</v>
      </c>
      <c r="Y73" s="241">
        <v>1725297.051136683</v>
      </c>
      <c r="Z73" s="241">
        <v>62642717.687946193</v>
      </c>
      <c r="AA73" s="241">
        <v>152571.19286123221</v>
      </c>
      <c r="AB73" s="241">
        <v>429332900.69471264</v>
      </c>
      <c r="AC73" s="24">
        <f>SUM(D73:AB73)</f>
        <v>12717966404.632301</v>
      </c>
      <c r="AD73" s="260"/>
      <c r="AE73" s="8">
        <f>A73</f>
        <v>310</v>
      </c>
    </row>
    <row r="74" spans="1:31" x14ac:dyDescent="0.25">
      <c r="A74" s="8">
        <f>A73+1</f>
        <v>311</v>
      </c>
      <c r="B74" s="246" t="s">
        <v>468</v>
      </c>
      <c r="C74" s="255">
        <f>'1-BaseTRR'!$G$3</f>
        <v>2025</v>
      </c>
      <c r="D74" s="241">
        <v>35614466.882544011</v>
      </c>
      <c r="E74" s="241">
        <v>117784115.22738098</v>
      </c>
      <c r="F74" s="241">
        <v>207854252.40395954</v>
      </c>
      <c r="G74" s="241">
        <v>85514879.674064636</v>
      </c>
      <c r="H74" s="241">
        <v>5505733116.1015167</v>
      </c>
      <c r="I74" s="241">
        <v>3421462.3424448315</v>
      </c>
      <c r="J74" s="241">
        <v>681483288.3517946</v>
      </c>
      <c r="K74" s="241">
        <v>82474100.558784768</v>
      </c>
      <c r="L74" s="241">
        <v>2930535805.5489235</v>
      </c>
      <c r="M74" s="241">
        <v>2002077960.5773787</v>
      </c>
      <c r="N74" s="241">
        <v>168046535.91583651</v>
      </c>
      <c r="O74" s="241">
        <v>165281331.98608696</v>
      </c>
      <c r="P74" s="241">
        <v>165691867.02029055</v>
      </c>
      <c r="Q74" s="241">
        <v>8436190.7290819697</v>
      </c>
      <c r="R74" s="241">
        <v>8683566.0598547105</v>
      </c>
      <c r="S74" s="241">
        <v>75205814.527593613</v>
      </c>
      <c r="T74" s="241">
        <v>4437541.6568124844</v>
      </c>
      <c r="U74" s="241">
        <v>16206841.631237103</v>
      </c>
      <c r="V74" s="241">
        <v>22635816.645845823</v>
      </c>
      <c r="W74" s="241">
        <v>40727753.558823071</v>
      </c>
      <c r="X74" s="241">
        <v>5718850.0588746583</v>
      </c>
      <c r="Y74" s="241">
        <v>1725297.051136683</v>
      </c>
      <c r="Z74" s="241">
        <v>63484845.148681939</v>
      </c>
      <c r="AA74" s="241">
        <v>152571.19286123221</v>
      </c>
      <c r="AB74" s="241">
        <v>444106305.04867232</v>
      </c>
      <c r="AC74" s="24">
        <f>SUM(D74:AB74)</f>
        <v>12843034575.900478</v>
      </c>
      <c r="AD74" s="260"/>
      <c r="AE74" s="8">
        <f>A74</f>
        <v>311</v>
      </c>
    </row>
    <row r="75" spans="1:31" x14ac:dyDescent="0.25">
      <c r="A75" s="8">
        <f>A74+1</f>
        <v>312</v>
      </c>
      <c r="B75" s="254" t="s">
        <v>467</v>
      </c>
      <c r="C75" s="253">
        <f>'1-BaseTRR'!$G$3</f>
        <v>2025</v>
      </c>
      <c r="D75" s="252">
        <v>34067484.350915216</v>
      </c>
      <c r="E75" s="252">
        <v>118543575.73312038</v>
      </c>
      <c r="F75" s="252">
        <v>209526303.41278258</v>
      </c>
      <c r="G75" s="252">
        <v>85625402.883259386</v>
      </c>
      <c r="H75" s="252">
        <v>5527112780.17486</v>
      </c>
      <c r="I75" s="252">
        <v>3422060.3350588153</v>
      </c>
      <c r="J75" s="252">
        <v>724112191.0527879</v>
      </c>
      <c r="K75" s="252">
        <v>85588051.636996418</v>
      </c>
      <c r="L75" s="252">
        <v>2962318144.3176527</v>
      </c>
      <c r="M75" s="252">
        <v>2026290659.3646138</v>
      </c>
      <c r="N75" s="252">
        <v>168055794.45079464</v>
      </c>
      <c r="O75" s="252">
        <v>165280722.94391042</v>
      </c>
      <c r="P75" s="252">
        <v>166368174.87035921</v>
      </c>
      <c r="Q75" s="252">
        <v>8437715.4426579829</v>
      </c>
      <c r="R75" s="252">
        <v>8685135.4827713855</v>
      </c>
      <c r="S75" s="252">
        <v>78847063.524640769</v>
      </c>
      <c r="T75" s="252">
        <v>6840816.7786740074</v>
      </c>
      <c r="U75" s="252">
        <v>16588686.664429396</v>
      </c>
      <c r="V75" s="252">
        <v>22657730.881030004</v>
      </c>
      <c r="W75" s="252">
        <v>41426281.56232591</v>
      </c>
      <c r="X75" s="252">
        <v>5719883.6543212254</v>
      </c>
      <c r="Y75" s="252">
        <v>1725608.8724220241</v>
      </c>
      <c r="Z75" s="252">
        <v>63924422.366846442</v>
      </c>
      <c r="AA75" s="252">
        <v>152587.27641507893</v>
      </c>
      <c r="AB75" s="252">
        <v>445876357.57985389</v>
      </c>
      <c r="AC75" s="263">
        <f>SUM(D75:AB75)</f>
        <v>12977193635.613497</v>
      </c>
      <c r="AD75" s="260"/>
      <c r="AE75" s="8">
        <f>A75</f>
        <v>312</v>
      </c>
    </row>
    <row r="76" spans="1:31" x14ac:dyDescent="0.25">
      <c r="A76" s="8">
        <f>A75+1</f>
        <v>313</v>
      </c>
      <c r="B76" s="262" t="s">
        <v>850</v>
      </c>
      <c r="C76" s="249"/>
      <c r="D76" s="248">
        <f>SUM(D63:D75)/13</f>
        <v>35393269.092119724</v>
      </c>
      <c r="E76" s="248">
        <f>SUM(E63:E75)/13</f>
        <v>114162521.30740529</v>
      </c>
      <c r="F76" s="248">
        <f>SUM(F63:F75)/13</f>
        <v>207534774.81110716</v>
      </c>
      <c r="G76" s="248">
        <f>SUM(G63:G75)/13</f>
        <v>78391279.581163794</v>
      </c>
      <c r="H76" s="248">
        <f>SUM(H63:H75)/13</f>
        <v>5402946407.6424465</v>
      </c>
      <c r="I76" s="248">
        <f>SUM(I63:I75)/13</f>
        <v>3411806.3270349177</v>
      </c>
      <c r="J76" s="248">
        <f>SUM(J63:J75)/13</f>
        <v>711607459.50309634</v>
      </c>
      <c r="K76" s="248">
        <f>SUM(K63:K75)/13</f>
        <v>24326524.918735072</v>
      </c>
      <c r="L76" s="248">
        <f>SUM(L63:L75)/13</f>
        <v>2829014794.3208008</v>
      </c>
      <c r="M76" s="248">
        <f>SUM(M63:M75)/13</f>
        <v>1943631347.9937313</v>
      </c>
      <c r="N76" s="248">
        <f>SUM(N63:N75)/13</f>
        <v>167860504.78759751</v>
      </c>
      <c r="O76" s="248">
        <f>SUM(O63:O75)/13</f>
        <v>164626551.26270086</v>
      </c>
      <c r="P76" s="248">
        <f>SUM(P63:P75)/13</f>
        <v>158439336.98483375</v>
      </c>
      <c r="Q76" s="248">
        <f>SUM(Q63:Q75)/13</f>
        <v>9617005.2599899527</v>
      </c>
      <c r="R76" s="248">
        <f>SUM(R63:R75)/13</f>
        <v>8015720.1880548596</v>
      </c>
      <c r="S76" s="248">
        <f>SUM(S63:S75)/13</f>
        <v>76797578.009836227</v>
      </c>
      <c r="T76" s="248">
        <f>SUM(T63:T75)/13</f>
        <v>3030705.3732068855</v>
      </c>
      <c r="U76" s="248">
        <f>SUM(U63:U75)/13</f>
        <v>11581444.251896577</v>
      </c>
      <c r="V76" s="248">
        <f>SUM(V63:V75)/13</f>
        <v>20420013.55275679</v>
      </c>
      <c r="W76" s="248">
        <f>SUM(W63:W75)/13</f>
        <v>35713004.341505677</v>
      </c>
      <c r="X76" s="248">
        <f>SUM(X63:X75)/13</f>
        <v>3693673.370163518</v>
      </c>
      <c r="Y76" s="248">
        <f>SUM(Y63:Y75)/13</f>
        <v>1494205.208123822</v>
      </c>
      <c r="Z76" s="248">
        <f>SUM(Z63:Z75)/13</f>
        <v>53386680.405686788</v>
      </c>
      <c r="AA76" s="261">
        <f>SUM(AA63:AA75)/13</f>
        <v>82780.341054259159</v>
      </c>
      <c r="AB76" s="248">
        <f>SUM(AB63:AB75)/13</f>
        <v>391203842.54223216</v>
      </c>
      <c r="AC76" s="94">
        <f>SUM(AC63:AC75)/13</f>
        <v>12456383231.377279</v>
      </c>
      <c r="AD76" s="260"/>
      <c r="AE76" s="8">
        <f>A76</f>
        <v>313</v>
      </c>
    </row>
    <row r="77" spans="1:31" x14ac:dyDescent="0.25">
      <c r="A77" s="8"/>
      <c r="B77" s="247"/>
      <c r="C77" s="247"/>
      <c r="D77" s="102"/>
      <c r="E77" s="102"/>
      <c r="F77" s="102"/>
      <c r="G77" s="102"/>
      <c r="H77" s="102"/>
      <c r="I77" s="102"/>
      <c r="J77" s="102"/>
      <c r="K77" s="102"/>
      <c r="L77" s="102"/>
      <c r="M77" s="102"/>
      <c r="N77" s="102"/>
      <c r="O77" s="102"/>
      <c r="AE77" s="8"/>
    </row>
    <row r="78" spans="1:31" ht="14.25" customHeight="1" x14ac:dyDescent="0.25">
      <c r="A78" s="8"/>
      <c r="B78" s="246"/>
      <c r="C78" s="246"/>
      <c r="D78" s="102"/>
      <c r="E78" s="102"/>
      <c r="F78" s="102"/>
      <c r="G78" s="102"/>
      <c r="H78" s="102"/>
      <c r="I78" s="102"/>
      <c r="J78" s="102"/>
      <c r="K78" s="102"/>
      <c r="L78" s="102"/>
      <c r="M78" s="102"/>
      <c r="N78" s="102"/>
      <c r="O78" s="102"/>
      <c r="AE78" s="8"/>
    </row>
    <row r="79" spans="1:31" x14ac:dyDescent="0.25">
      <c r="B79" s="83" t="s">
        <v>849</v>
      </c>
      <c r="C79" s="83"/>
      <c r="D79" s="35"/>
      <c r="E79" s="35"/>
      <c r="F79" s="35"/>
      <c r="G79" s="35"/>
      <c r="H79" s="35"/>
      <c r="I79" s="35"/>
      <c r="J79" s="35"/>
      <c r="K79" s="35"/>
      <c r="L79" s="35"/>
      <c r="M79" s="35"/>
      <c r="N79" s="35"/>
      <c r="O79" s="35"/>
      <c r="P79" s="35"/>
      <c r="Q79" s="35"/>
      <c r="R79" s="35"/>
      <c r="S79" s="35"/>
      <c r="T79" s="35"/>
      <c r="U79" s="35"/>
      <c r="V79" s="35"/>
      <c r="W79" s="35"/>
      <c r="X79" s="35"/>
      <c r="Y79" s="35"/>
      <c r="Z79" s="35"/>
      <c r="AA79" s="35"/>
      <c r="AB79" s="35"/>
      <c r="AC79" s="35"/>
      <c r="AD79" s="35"/>
    </row>
    <row r="80" spans="1:31" x14ac:dyDescent="0.25">
      <c r="B80" s="246" t="s">
        <v>848</v>
      </c>
      <c r="C80" s="246"/>
      <c r="D80" s="246"/>
      <c r="E80" s="246"/>
      <c r="F80" s="246"/>
      <c r="G80" s="246"/>
      <c r="H80" s="246"/>
      <c r="I80" s="246"/>
      <c r="J80" s="246"/>
      <c r="K80" s="246"/>
      <c r="L80" s="246"/>
      <c r="M80" s="246"/>
      <c r="N80" s="246"/>
      <c r="O80" s="246"/>
      <c r="P80" s="246"/>
      <c r="Q80" s="246"/>
      <c r="R80" s="246"/>
      <c r="S80" s="246"/>
      <c r="T80" s="246"/>
      <c r="U80" s="246"/>
      <c r="V80" s="246"/>
      <c r="W80" s="246"/>
      <c r="X80" s="246"/>
      <c r="Y80" s="246"/>
      <c r="Z80" s="246"/>
      <c r="AA80" s="246"/>
      <c r="AB80" s="246"/>
      <c r="AC80" s="246"/>
      <c r="AD80" s="246"/>
      <c r="AE80" s="8"/>
    </row>
    <row r="83" spans="1:33" x14ac:dyDescent="0.25">
      <c r="C83" s="246"/>
      <c r="D83" s="246"/>
      <c r="E83" s="246"/>
      <c r="F83" s="246"/>
      <c r="G83" s="246"/>
      <c r="H83" s="246"/>
      <c r="I83" s="246"/>
      <c r="J83" s="246"/>
      <c r="K83" s="246"/>
      <c r="L83" s="246"/>
      <c r="M83" s="246"/>
      <c r="N83" s="246"/>
      <c r="O83" s="246"/>
      <c r="P83" s="246"/>
      <c r="Q83" s="246"/>
      <c r="R83" s="246"/>
      <c r="S83" s="246"/>
      <c r="T83" s="246"/>
      <c r="U83" s="246"/>
      <c r="V83" s="246"/>
      <c r="W83" s="246"/>
      <c r="X83" s="246"/>
      <c r="Y83" s="246"/>
      <c r="Z83" s="246"/>
      <c r="AA83" s="246"/>
      <c r="AB83" s="246"/>
      <c r="AC83" s="246"/>
      <c r="AD83" s="246"/>
      <c r="AE83" s="8"/>
    </row>
    <row r="84" spans="1:33" x14ac:dyDescent="0.25">
      <c r="D84" s="175" t="s">
        <v>492</v>
      </c>
      <c r="E84" s="175" t="s">
        <v>491</v>
      </c>
      <c r="F84" s="175" t="s">
        <v>490</v>
      </c>
      <c r="G84" s="175" t="s">
        <v>489</v>
      </c>
      <c r="H84" s="175" t="s">
        <v>519</v>
      </c>
      <c r="AE84" s="8"/>
    </row>
    <row r="85" spans="1:33" ht="30" x14ac:dyDescent="0.25">
      <c r="A85" s="8"/>
      <c r="D85" s="258"/>
      <c r="E85" s="258" t="s">
        <v>847</v>
      </c>
      <c r="F85" s="259" t="s">
        <v>846</v>
      </c>
      <c r="G85" s="258" t="s">
        <v>845</v>
      </c>
      <c r="H85" s="258" t="s">
        <v>844</v>
      </c>
      <c r="I85" s="175"/>
      <c r="J85" s="175"/>
      <c r="K85" s="175"/>
      <c r="L85" s="175"/>
      <c r="M85" s="175"/>
      <c r="N85" s="175"/>
      <c r="O85" s="175"/>
      <c r="P85" s="175"/>
      <c r="Q85" s="175"/>
      <c r="R85" s="175"/>
      <c r="S85" s="175"/>
      <c r="T85" s="175"/>
      <c r="U85" s="175"/>
      <c r="V85" s="175"/>
      <c r="W85" s="175"/>
      <c r="X85" s="175"/>
      <c r="Y85" s="175"/>
      <c r="Z85" s="175"/>
      <c r="AA85" s="175"/>
      <c r="AB85" s="175"/>
      <c r="AC85" s="175"/>
      <c r="AE85" s="6"/>
      <c r="AG85" s="8"/>
    </row>
    <row r="86" spans="1:33" x14ac:dyDescent="0.25">
      <c r="B86" s="8"/>
      <c r="C86" s="8"/>
      <c r="D86" s="175"/>
      <c r="F86" s="258"/>
      <c r="G86" s="258"/>
      <c r="H86" s="258"/>
      <c r="AE86" s="6"/>
      <c r="AG86" s="8"/>
    </row>
    <row r="87" spans="1:33" x14ac:dyDescent="0.25">
      <c r="B87" s="8"/>
      <c r="C87" s="8"/>
      <c r="D87" s="183"/>
      <c r="E87" s="8" t="s">
        <v>843</v>
      </c>
      <c r="F87" s="8"/>
      <c r="G87" s="8"/>
      <c r="H87" s="8"/>
      <c r="AE87" s="6"/>
      <c r="AG87" s="8"/>
    </row>
    <row r="88" spans="1:33" x14ac:dyDescent="0.25">
      <c r="B88" s="8"/>
      <c r="C88" s="8"/>
      <c r="D88" s="183"/>
      <c r="E88" s="8" t="s">
        <v>529</v>
      </c>
      <c r="F88" s="8" t="s">
        <v>842</v>
      </c>
      <c r="G88" s="257" t="s">
        <v>841</v>
      </c>
      <c r="H88" s="257" t="s">
        <v>840</v>
      </c>
      <c r="AE88" s="6"/>
      <c r="AG88" s="8"/>
    </row>
    <row r="89" spans="1:33" x14ac:dyDescent="0.25">
      <c r="B89" s="8"/>
      <c r="C89" s="8"/>
      <c r="D89" s="183" t="s">
        <v>839</v>
      </c>
      <c r="E89" s="8" t="s">
        <v>838</v>
      </c>
      <c r="F89" s="8" t="s">
        <v>529</v>
      </c>
      <c r="G89" s="257" t="s">
        <v>837</v>
      </c>
      <c r="H89" s="257" t="s">
        <v>837</v>
      </c>
      <c r="AE89" s="6"/>
      <c r="AG89" s="8"/>
    </row>
    <row r="90" spans="1:33" x14ac:dyDescent="0.25">
      <c r="A90" s="33" t="s">
        <v>106</v>
      </c>
      <c r="B90" s="33" t="s">
        <v>483</v>
      </c>
      <c r="C90" s="33" t="s">
        <v>510</v>
      </c>
      <c r="D90" s="110" t="s">
        <v>835</v>
      </c>
      <c r="E90" s="110" t="s">
        <v>836</v>
      </c>
      <c r="F90" s="33" t="s">
        <v>835</v>
      </c>
      <c r="G90" s="256" t="s">
        <v>835</v>
      </c>
      <c r="H90" s="256" t="s">
        <v>835</v>
      </c>
      <c r="I90" s="175" t="s">
        <v>154</v>
      </c>
      <c r="J90" s="175"/>
      <c r="K90" s="175"/>
      <c r="L90" s="175"/>
      <c r="M90" s="175"/>
      <c r="N90" s="175"/>
      <c r="O90" s="175"/>
      <c r="P90" s="175"/>
      <c r="Q90" s="175"/>
      <c r="R90" s="175"/>
      <c r="S90" s="175"/>
      <c r="T90" s="175"/>
      <c r="U90" s="175"/>
      <c r="V90" s="175"/>
      <c r="W90" s="175"/>
      <c r="X90" s="175"/>
      <c r="Y90" s="175"/>
      <c r="Z90" s="175"/>
      <c r="AA90" s="175"/>
      <c r="AB90" s="175"/>
      <c r="AC90" s="33"/>
      <c r="AE90" s="33" t="str">
        <f>A90</f>
        <v>Line</v>
      </c>
    </row>
    <row r="91" spans="1:33" x14ac:dyDescent="0.25">
      <c r="A91" s="8">
        <v>400</v>
      </c>
      <c r="B91" s="246" t="s">
        <v>467</v>
      </c>
      <c r="C91" s="255">
        <f>'1-BaseTRR'!$G$3-1</f>
        <v>2024</v>
      </c>
      <c r="D91" s="241">
        <f>10679049914-2213614147</f>
        <v>8465435767</v>
      </c>
      <c r="E91" s="50">
        <f>'24-Allocators'!$C$25</f>
        <v>9.874046921587705E-2</v>
      </c>
      <c r="F91" s="242">
        <f>D91*E91</f>
        <v>835881099.75044799</v>
      </c>
      <c r="G91" s="242">
        <f>F91*'24-Allocators'!$C$44</f>
        <v>292637699.43940127</v>
      </c>
      <c r="H91" s="242">
        <f>F91*'24-Allocators'!$C$45</f>
        <v>543243400.31104648</v>
      </c>
      <c r="I91" s="102" t="s">
        <v>834</v>
      </c>
      <c r="J91" s="102"/>
      <c r="K91" s="102"/>
      <c r="L91" s="102"/>
      <c r="M91" s="102"/>
      <c r="N91" s="102"/>
      <c r="O91" s="102"/>
      <c r="P91" s="102"/>
      <c r="Q91" s="102"/>
      <c r="R91" s="102"/>
      <c r="S91" s="102"/>
      <c r="T91" s="102"/>
      <c r="U91" s="102"/>
      <c r="V91" s="102"/>
      <c r="W91" s="102"/>
      <c r="X91" s="102"/>
      <c r="Y91" s="102"/>
      <c r="Z91" s="102"/>
      <c r="AA91" s="102"/>
      <c r="AB91" s="102"/>
      <c r="AC91" s="102"/>
      <c r="AE91" s="8">
        <f>A91</f>
        <v>400</v>
      </c>
    </row>
    <row r="92" spans="1:33" x14ac:dyDescent="0.25">
      <c r="A92" s="8">
        <f>+A91+1</f>
        <v>401</v>
      </c>
      <c r="B92" s="254" t="s">
        <v>467</v>
      </c>
      <c r="C92" s="253">
        <f>'1-BaseTRR'!$G$3</f>
        <v>2025</v>
      </c>
      <c r="D92" s="252">
        <v>10229095299.52</v>
      </c>
      <c r="E92" s="55">
        <f>'24-Allocators'!$C$25</f>
        <v>9.874046921587705E-2</v>
      </c>
      <c r="F92" s="251">
        <f>D92*E92</f>
        <v>1010025669.5285273</v>
      </c>
      <c r="G92" s="251">
        <f>F92*'24-Allocators'!$C$44</f>
        <v>353604822.97519588</v>
      </c>
      <c r="H92" s="251">
        <f>F92*'24-Allocators'!$C$45</f>
        <v>656420846.55333114</v>
      </c>
      <c r="I92" s="102" t="s">
        <v>833</v>
      </c>
      <c r="J92" s="250"/>
      <c r="K92" s="250"/>
      <c r="L92" s="250"/>
      <c r="M92" s="250"/>
      <c r="N92" s="250"/>
      <c r="O92" s="250"/>
      <c r="P92" s="250"/>
      <c r="Q92" s="250"/>
      <c r="R92" s="250"/>
      <c r="S92" s="250"/>
      <c r="T92" s="250"/>
      <c r="U92" s="250"/>
      <c r="V92" s="250"/>
      <c r="W92" s="250"/>
      <c r="X92" s="250"/>
      <c r="Y92" s="250"/>
      <c r="Z92" s="250"/>
      <c r="AA92" s="250"/>
      <c r="AB92" s="250"/>
      <c r="AC92" s="250"/>
      <c r="AE92" s="8">
        <f>A92</f>
        <v>401</v>
      </c>
    </row>
    <row r="93" spans="1:33" x14ac:dyDescent="0.25">
      <c r="A93" s="8">
        <f>A92+1</f>
        <v>402</v>
      </c>
      <c r="B93" s="249" t="s">
        <v>832</v>
      </c>
      <c r="C93" s="249"/>
      <c r="D93" s="248">
        <f>AVERAGE(D91:D92)</f>
        <v>9347265533.2600002</v>
      </c>
      <c r="E93" s="30"/>
      <c r="F93" s="248">
        <f>AVERAGE(F91:F92)</f>
        <v>922953384.63948762</v>
      </c>
      <c r="G93" s="248">
        <f>AVERAGE(G91:G92)</f>
        <v>323121261.20729858</v>
      </c>
      <c r="H93" s="248">
        <f>AVERAGE(H91:H92)</f>
        <v>599832123.43218875</v>
      </c>
      <c r="I93" s="102" t="s">
        <v>831</v>
      </c>
      <c r="J93" s="102"/>
      <c r="K93" s="102"/>
      <c r="L93" s="102"/>
      <c r="M93" s="102"/>
      <c r="N93" s="102"/>
      <c r="O93" s="102"/>
      <c r="P93" s="102"/>
      <c r="Q93" s="102"/>
      <c r="R93" s="102"/>
      <c r="S93" s="102"/>
      <c r="T93" s="102"/>
      <c r="U93" s="102"/>
      <c r="V93" s="102"/>
      <c r="W93" s="102"/>
      <c r="X93" s="102"/>
      <c r="Y93" s="102"/>
      <c r="Z93" s="102"/>
      <c r="AA93" s="102"/>
      <c r="AB93" s="102"/>
      <c r="AC93" s="102"/>
      <c r="AE93" s="8">
        <f>A93</f>
        <v>402</v>
      </c>
    </row>
    <row r="94" spans="1:33" x14ac:dyDescent="0.25">
      <c r="A94" s="8"/>
      <c r="B94" s="247"/>
      <c r="C94" s="247"/>
      <c r="D94" s="102"/>
      <c r="E94" s="102"/>
      <c r="F94" s="102"/>
      <c r="G94" s="102"/>
      <c r="H94" s="102"/>
      <c r="I94" s="102"/>
      <c r="J94" s="102"/>
      <c r="K94" s="102"/>
      <c r="L94" s="102"/>
      <c r="M94" s="102"/>
      <c r="N94" s="102"/>
      <c r="O94" s="102"/>
    </row>
    <row r="95" spans="1:33" x14ac:dyDescent="0.25">
      <c r="A95" s="8"/>
      <c r="B95" s="25" t="s">
        <v>145</v>
      </c>
      <c r="C95" s="247"/>
      <c r="D95" s="102"/>
      <c r="E95" s="102"/>
      <c r="F95" s="102"/>
      <c r="G95" s="102"/>
      <c r="H95" s="102"/>
      <c r="I95" s="102"/>
      <c r="J95" s="102"/>
      <c r="K95" s="102"/>
      <c r="L95" s="102"/>
      <c r="M95" s="102"/>
      <c r="N95" s="102"/>
      <c r="O95" s="102"/>
    </row>
    <row r="96" spans="1:33" x14ac:dyDescent="0.25">
      <c r="B96" s="6" t="s">
        <v>830</v>
      </c>
      <c r="C96" s="246"/>
      <c r="D96" s="246"/>
      <c r="E96" s="246"/>
      <c r="F96" s="246"/>
      <c r="G96" s="246"/>
      <c r="H96" s="246"/>
      <c r="I96" s="246"/>
      <c r="J96" s="246"/>
      <c r="K96" s="246"/>
      <c r="L96" s="246"/>
      <c r="M96" s="246"/>
      <c r="N96" s="246"/>
      <c r="O96" s="246"/>
      <c r="P96" s="246"/>
      <c r="Q96" s="246"/>
      <c r="R96" s="246"/>
      <c r="S96" s="246"/>
      <c r="T96" s="246"/>
      <c r="U96" s="246"/>
      <c r="V96" s="246"/>
      <c r="W96" s="246"/>
      <c r="X96" s="246"/>
      <c r="Y96" s="246"/>
      <c r="Z96" s="246"/>
      <c r="AA96" s="246"/>
      <c r="AB96" s="246"/>
      <c r="AC96" s="246"/>
      <c r="AD96" s="246"/>
      <c r="AE96" s="8"/>
    </row>
    <row r="97" spans="2:31" x14ac:dyDescent="0.25">
      <c r="B97" s="6" t="s">
        <v>829</v>
      </c>
      <c r="C97" s="246"/>
      <c r="D97" s="246"/>
      <c r="E97" s="246"/>
      <c r="F97" s="246"/>
      <c r="G97" s="246"/>
      <c r="H97" s="246"/>
      <c r="I97" s="246"/>
      <c r="J97" s="246"/>
      <c r="K97" s="246"/>
      <c r="L97" s="246"/>
      <c r="M97" s="246"/>
      <c r="N97" s="246"/>
      <c r="O97" s="246"/>
      <c r="P97" s="246"/>
      <c r="Q97" s="246"/>
      <c r="R97" s="246"/>
      <c r="S97" s="246"/>
      <c r="T97" s="246"/>
      <c r="U97" s="246"/>
      <c r="V97" s="246"/>
      <c r="W97" s="246"/>
      <c r="X97" s="246"/>
      <c r="Y97" s="246"/>
      <c r="Z97" s="246"/>
      <c r="AA97" s="246"/>
      <c r="AB97" s="246"/>
      <c r="AC97" s="246"/>
      <c r="AD97" s="246"/>
      <c r="AE97" s="8"/>
    </row>
    <row r="98" spans="2:31" x14ac:dyDescent="0.25">
      <c r="B98" s="6" t="s">
        <v>828</v>
      </c>
      <c r="C98" s="8"/>
      <c r="D98" s="102"/>
      <c r="E98" s="175"/>
    </row>
  </sheetData>
  <printOptions horizontalCentered="1"/>
  <pageMargins left="1" right="1" top="1" bottom="1" header="0.5" footer="0.5"/>
  <pageSetup scale="23" fitToHeight="0" orientation="landscape" r:id="rId1"/>
  <headerFooter>
    <oddHeader>&amp;R&amp;F</oddHeader>
  </headerFooter>
  <rowBreaks count="1" manualBreakCount="1">
    <brk id="51" max="33" man="1"/>
  </rowBreaks>
  <customProperties>
    <customPr name="_pios_id" r:id="rId2"/>
  </customPropertie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27C5B0-85CB-4110-9F1A-D156C608029E}">
  <sheetPr>
    <pageSetUpPr fitToPage="1"/>
  </sheetPr>
  <dimension ref="A1:Q23"/>
  <sheetViews>
    <sheetView view="pageBreakPreview" zoomScaleNormal="100" zoomScaleSheetLayoutView="100" workbookViewId="0">
      <selection activeCell="Q36" sqref="Q36"/>
    </sheetView>
  </sheetViews>
  <sheetFormatPr defaultColWidth="9.140625" defaultRowHeight="15" x14ac:dyDescent="0.25"/>
  <cols>
    <col min="1" max="1" width="6.85546875" style="149" bestFit="1" customWidth="1"/>
    <col min="2" max="2" width="66.140625" style="121" customWidth="1"/>
    <col min="3" max="3" width="7.85546875" style="121" bestFit="1" customWidth="1"/>
    <col min="4" max="4" width="12.140625" style="121" bestFit="1" customWidth="1"/>
    <col min="5" max="5" width="12.42578125" style="121" bestFit="1" customWidth="1"/>
    <col min="6" max="7" width="12.5703125" style="121" bestFit="1" customWidth="1"/>
    <col min="8" max="8" width="12" style="149" bestFit="1" customWidth="1"/>
    <col min="9" max="9" width="12.5703125" style="149" bestFit="1" customWidth="1"/>
    <col min="10" max="10" width="11.85546875" style="121" bestFit="1" customWidth="1"/>
    <col min="11" max="11" width="14.85546875" style="121" bestFit="1" customWidth="1"/>
    <col min="12" max="12" width="25" style="121" bestFit="1" customWidth="1"/>
    <col min="13" max="13" width="12.140625" style="121" bestFit="1" customWidth="1"/>
    <col min="14" max="14" width="15.85546875" style="121" bestFit="1" customWidth="1"/>
    <col min="15" max="15" width="15" style="121" bestFit="1" customWidth="1"/>
    <col min="16" max="16" width="14.85546875" style="121" bestFit="1" customWidth="1"/>
    <col min="17" max="17" width="7.140625" style="121" customWidth="1"/>
    <col min="18" max="16384" width="9.140625" style="121"/>
  </cols>
  <sheetData>
    <row r="1" spans="1:17" x14ac:dyDescent="0.25">
      <c r="B1" s="125" t="s">
        <v>943</v>
      </c>
      <c r="P1" s="76"/>
    </row>
    <row r="2" spans="1:17" x14ac:dyDescent="0.25">
      <c r="B2" s="125" t="s">
        <v>942</v>
      </c>
      <c r="G2" s="245"/>
      <c r="H2" s="8"/>
      <c r="I2" s="8"/>
      <c r="P2" s="76" t="str">
        <f>CONCATENATE("Prior Year: ",'1-BaseTRR'!$G$3)</f>
        <v>Prior Year: 2025</v>
      </c>
    </row>
    <row r="3" spans="1:17" x14ac:dyDescent="0.25">
      <c r="B3" s="77" t="s">
        <v>367</v>
      </c>
      <c r="C3" s="230"/>
      <c r="D3" s="230"/>
      <c r="H3" s="8"/>
      <c r="I3" s="8"/>
      <c r="J3" s="76"/>
    </row>
    <row r="4" spans="1:17" x14ac:dyDescent="0.25">
      <c r="B4" s="121" t="s">
        <v>941</v>
      </c>
      <c r="H4" s="121"/>
      <c r="I4" s="121"/>
    </row>
    <row r="6" spans="1:17" x14ac:dyDescent="0.25">
      <c r="B6" s="283" t="s">
        <v>940</v>
      </c>
      <c r="C6" s="283"/>
      <c r="D6" s="283"/>
      <c r="E6" s="281"/>
      <c r="F6" s="281"/>
      <c r="G6" s="281"/>
      <c r="H6" s="281"/>
      <c r="I6" s="281"/>
      <c r="J6" s="282"/>
      <c r="K6" s="281"/>
      <c r="L6" s="281"/>
      <c r="M6" s="281"/>
      <c r="N6" s="281"/>
      <c r="O6" s="281"/>
      <c r="P6" s="281"/>
      <c r="Q6" s="149"/>
    </row>
    <row r="7" spans="1:17" x14ac:dyDescent="0.25">
      <c r="A7" s="23"/>
      <c r="E7" s="279"/>
      <c r="F7" s="279"/>
      <c r="G7" s="279"/>
      <c r="H7" s="6"/>
      <c r="I7" s="6"/>
      <c r="J7" s="280"/>
      <c r="K7" s="6"/>
      <c r="L7" s="6"/>
      <c r="M7" s="6"/>
      <c r="N7" s="6"/>
      <c r="O7" s="6"/>
      <c r="P7" s="6"/>
      <c r="Q7" s="23"/>
    </row>
    <row r="8" spans="1:17" x14ac:dyDescent="0.25">
      <c r="A8" s="23"/>
      <c r="C8" s="280" t="s">
        <v>492</v>
      </c>
      <c r="D8" s="280" t="s">
        <v>491</v>
      </c>
      <c r="E8" s="280" t="s">
        <v>490</v>
      </c>
      <c r="F8" s="280" t="s">
        <v>489</v>
      </c>
      <c r="G8" s="280" t="s">
        <v>519</v>
      </c>
      <c r="H8" s="280" t="s">
        <v>518</v>
      </c>
      <c r="I8" s="280" t="s">
        <v>517</v>
      </c>
      <c r="J8" s="280" t="s">
        <v>538</v>
      </c>
      <c r="K8" s="280" t="s">
        <v>537</v>
      </c>
      <c r="L8" s="280" t="s">
        <v>770</v>
      </c>
      <c r="M8" s="280" t="s">
        <v>769</v>
      </c>
      <c r="N8" s="280" t="s">
        <v>768</v>
      </c>
      <c r="O8" s="280" t="s">
        <v>767</v>
      </c>
      <c r="P8" s="280" t="s">
        <v>766</v>
      </c>
      <c r="Q8" s="23"/>
    </row>
    <row r="9" spans="1:17" x14ac:dyDescent="0.25">
      <c r="A9" s="23"/>
      <c r="C9" s="279"/>
      <c r="D9" s="279"/>
      <c r="E9" s="279"/>
      <c r="F9" s="279"/>
      <c r="G9" s="280"/>
      <c r="J9" s="149"/>
      <c r="K9" s="149" t="s">
        <v>939</v>
      </c>
      <c r="L9" s="149" t="s">
        <v>938</v>
      </c>
      <c r="M9" s="149" t="s">
        <v>937</v>
      </c>
      <c r="N9" s="149" t="s">
        <v>936</v>
      </c>
      <c r="O9" s="149"/>
      <c r="P9" s="149"/>
      <c r="Q9" s="23"/>
    </row>
    <row r="10" spans="1:17" x14ac:dyDescent="0.25">
      <c r="A10" s="23"/>
      <c r="E10" s="279"/>
      <c r="F10" s="279"/>
      <c r="G10" s="279"/>
      <c r="H10" s="6"/>
      <c r="I10" s="6"/>
      <c r="J10" s="278"/>
      <c r="K10" s="6"/>
      <c r="L10" s="6"/>
      <c r="M10" s="6"/>
      <c r="N10" s="6"/>
      <c r="O10" s="6"/>
      <c r="P10" s="6"/>
      <c r="Q10" s="23"/>
    </row>
    <row r="11" spans="1:17" x14ac:dyDescent="0.25">
      <c r="A11" s="23"/>
      <c r="D11" s="8" t="s">
        <v>935</v>
      </c>
      <c r="E11" s="8" t="s">
        <v>934</v>
      </c>
      <c r="F11" s="8" t="s">
        <v>508</v>
      </c>
      <c r="G11" s="8" t="s">
        <v>933</v>
      </c>
      <c r="H11" s="6"/>
      <c r="I11" s="8" t="s">
        <v>482</v>
      </c>
      <c r="J11" s="277" t="s">
        <v>932</v>
      </c>
      <c r="K11" s="8" t="s">
        <v>931</v>
      </c>
      <c r="L11" s="6"/>
      <c r="M11" s="277" t="s">
        <v>930</v>
      </c>
      <c r="N11" s="8" t="s">
        <v>929</v>
      </c>
      <c r="O11" s="8" t="s">
        <v>511</v>
      </c>
      <c r="P11" s="8" t="s">
        <v>928</v>
      </c>
      <c r="Q11" s="23"/>
    </row>
    <row r="12" spans="1:17" ht="30" x14ac:dyDescent="0.25">
      <c r="A12" s="226" t="s">
        <v>106</v>
      </c>
      <c r="C12" s="226" t="s">
        <v>837</v>
      </c>
      <c r="D12" s="226" t="s">
        <v>927</v>
      </c>
      <c r="E12" s="226" t="s">
        <v>927</v>
      </c>
      <c r="F12" s="33" t="s">
        <v>926</v>
      </c>
      <c r="G12" s="33" t="s">
        <v>508</v>
      </c>
      <c r="H12" s="226" t="s">
        <v>925</v>
      </c>
      <c r="I12" s="226" t="s">
        <v>508</v>
      </c>
      <c r="J12" s="226" t="s">
        <v>509</v>
      </c>
      <c r="K12" s="226" t="s">
        <v>509</v>
      </c>
      <c r="L12" s="226" t="s">
        <v>924</v>
      </c>
      <c r="M12" s="33" t="s">
        <v>923</v>
      </c>
      <c r="N12" s="33" t="s">
        <v>923</v>
      </c>
      <c r="O12" s="110" t="s">
        <v>922</v>
      </c>
      <c r="P12" s="110" t="s">
        <v>921</v>
      </c>
      <c r="Q12" s="226" t="str">
        <f>A12</f>
        <v>Line</v>
      </c>
    </row>
    <row r="13" spans="1:17" x14ac:dyDescent="0.25">
      <c r="A13" s="124">
        <v>100</v>
      </c>
      <c r="B13" s="121" t="s">
        <v>920</v>
      </c>
      <c r="C13" s="149" t="s">
        <v>916</v>
      </c>
      <c r="D13" s="269">
        <f ca="1">SUMIF($C$18:$P20,$C13,D$18:D$20)</f>
        <v>14678473</v>
      </c>
      <c r="E13" s="269">
        <f ca="1">SUMIF($C$18:$P20,$C13,E$18:E$20)</f>
        <v>7629115.9999999972</v>
      </c>
      <c r="F13" s="276"/>
      <c r="G13" s="276"/>
      <c r="H13" s="269">
        <f ca="1">SUMIF($C$18:$P20,$C13,H$18:H$20)</f>
        <v>3814557.9999999995</v>
      </c>
      <c r="I13" s="269">
        <f ca="1">SUMIF($C$18:$P20,$C13,I$18:I$20)</f>
        <v>3814557.9999999995</v>
      </c>
      <c r="J13" s="269">
        <f ca="1">SUMIF($C$18:$P20,$C13,J$18:J$20)</f>
        <v>0</v>
      </c>
      <c r="K13" s="269">
        <f ca="1">SUMIF($C$18:$P20,$C13,K$18:K$20)</f>
        <v>1907278.9999999998</v>
      </c>
      <c r="L13" s="269">
        <f ca="1">SUMIF($C$18:$P20,$C13,L$18:L$20)</f>
        <v>533725.32624399988</v>
      </c>
      <c r="M13" s="269">
        <f ca="1">SUMIF($C$18:$P20,$C13,M$18:M$20)</f>
        <v>-533725.32624399988</v>
      </c>
      <c r="N13" s="269">
        <f ca="1">SUMIF($C$18:$P20,$C13,N$18:N$20)</f>
        <v>1373553.6737559999</v>
      </c>
      <c r="O13" s="276"/>
      <c r="P13" s="276"/>
      <c r="Q13" s="124">
        <f>A13</f>
        <v>100</v>
      </c>
    </row>
    <row r="14" spans="1:17" x14ac:dyDescent="0.25">
      <c r="A14" s="124">
        <f>A13+1</f>
        <v>101</v>
      </c>
      <c r="B14" s="275" t="s">
        <v>919</v>
      </c>
      <c r="C14" s="274" t="s">
        <v>913</v>
      </c>
      <c r="D14" s="273">
        <f ca="1">SUMIF($C$18:$P20,$C14,D$18:D$20)</f>
        <v>1204944</v>
      </c>
      <c r="E14" s="273">
        <f ca="1">SUMIF($C$18:$P20,$C14,E$18:E$20)</f>
        <v>602472</v>
      </c>
      <c r="F14" s="272"/>
      <c r="G14" s="272"/>
      <c r="H14" s="273">
        <f ca="1">SUMIF($C$18:$P20,$C14,H$18:H$20)</f>
        <v>602472</v>
      </c>
      <c r="I14" s="273">
        <f ca="1">SUMIF($C$18:$P20,$C14,I$18:I$20)</f>
        <v>602472</v>
      </c>
      <c r="J14" s="273">
        <f ca="1">SUMIF($C$18:$P20,$C14,J$18:J$20)</f>
        <v>0</v>
      </c>
      <c r="K14" s="273">
        <f ca="1">SUMIF($C$18:$P20,$C14,K$18:K$20)</f>
        <v>301236</v>
      </c>
      <c r="L14" s="273">
        <f ca="1">SUMIF($C$18:$P20,$C14,L$18:L$20)</f>
        <v>84296.677295999994</v>
      </c>
      <c r="M14" s="273">
        <f ca="1">SUMIF($C$18:$P20,$C14,M$18:M$20)</f>
        <v>-84296.677295999994</v>
      </c>
      <c r="N14" s="273">
        <f ca="1">SUMIF($C$18:$P20,$C14,N$18:N$20)</f>
        <v>216939.32270399999</v>
      </c>
      <c r="O14" s="272"/>
      <c r="P14" s="272"/>
      <c r="Q14" s="124">
        <f>A14</f>
        <v>101</v>
      </c>
    </row>
    <row r="15" spans="1:17" x14ac:dyDescent="0.25">
      <c r="A15" s="124">
        <f>A14+1</f>
        <v>102</v>
      </c>
      <c r="B15" s="198" t="s">
        <v>918</v>
      </c>
      <c r="C15" s="198"/>
      <c r="D15" s="198"/>
      <c r="E15" s="269">
        <f ca="1">E13+E14</f>
        <v>8231587.9999999972</v>
      </c>
      <c r="F15" s="269"/>
      <c r="G15" s="269"/>
      <c r="H15" s="269">
        <f ca="1">H13+H14</f>
        <v>4417030</v>
      </c>
      <c r="I15" s="269">
        <f ca="1">I13+I14</f>
        <v>4417030</v>
      </c>
      <c r="J15" s="269">
        <f ca="1">J13+J14</f>
        <v>0</v>
      </c>
      <c r="K15" s="269">
        <f ca="1">K13+K14</f>
        <v>2208515</v>
      </c>
      <c r="L15" s="269">
        <f ca="1">L13+L14</f>
        <v>618022.00353999983</v>
      </c>
      <c r="M15" s="269">
        <f ca="1">M13+M14</f>
        <v>-618022.00353999983</v>
      </c>
      <c r="N15" s="269">
        <f ca="1">N13+N14</f>
        <v>1590492.9964599998</v>
      </c>
      <c r="O15" s="269"/>
      <c r="P15" s="6"/>
      <c r="Q15" s="124">
        <f>A15</f>
        <v>102</v>
      </c>
    </row>
    <row r="16" spans="1:17" x14ac:dyDescent="0.25">
      <c r="A16" s="226"/>
      <c r="C16" s="226"/>
      <c r="D16" s="226"/>
      <c r="E16" s="226"/>
      <c r="F16" s="33"/>
      <c r="G16" s="33"/>
      <c r="H16" s="226"/>
      <c r="I16" s="226"/>
      <c r="J16" s="226"/>
      <c r="K16" s="226"/>
      <c r="L16" s="226"/>
      <c r="M16" s="226"/>
      <c r="N16" s="33"/>
      <c r="O16" s="110"/>
      <c r="P16" s="110"/>
      <c r="Q16" s="226"/>
    </row>
    <row r="17" spans="1:17" x14ac:dyDescent="0.25">
      <c r="A17" s="226"/>
      <c r="C17" s="226"/>
      <c r="D17" s="226"/>
      <c r="E17" s="226"/>
      <c r="F17" s="33"/>
      <c r="G17" s="33"/>
      <c r="H17" s="226"/>
      <c r="I17" s="226"/>
      <c r="J17" s="226"/>
      <c r="K17" s="226"/>
      <c r="L17" s="226"/>
      <c r="M17" s="226"/>
      <c r="N17" s="33"/>
      <c r="O17" s="110"/>
      <c r="P17" s="110"/>
      <c r="Q17" s="226"/>
    </row>
    <row r="18" spans="1:17" x14ac:dyDescent="0.25">
      <c r="A18" s="124">
        <f>A15+1</f>
        <v>103</v>
      </c>
      <c r="B18" s="271" t="s">
        <v>917</v>
      </c>
      <c r="C18" s="167" t="s">
        <v>916</v>
      </c>
      <c r="D18" s="57">
        <v>14678473</v>
      </c>
      <c r="E18" s="178">
        <v>7629115.9999999972</v>
      </c>
      <c r="F18" s="167">
        <v>2</v>
      </c>
      <c r="G18" s="270">
        <v>45292</v>
      </c>
      <c r="H18" s="178">
        <v>3814557.9999999995</v>
      </c>
      <c r="I18" s="178">
        <v>3814557.9999999995</v>
      </c>
      <c r="J18" s="178">
        <v>0</v>
      </c>
      <c r="K18" s="269">
        <f>(H18+J18)/2</f>
        <v>1907278.9999999998</v>
      </c>
      <c r="L18" s="269">
        <f>K18*'1-BaseTRR'!$E$101</f>
        <v>533725.32624399988</v>
      </c>
      <c r="M18" s="269">
        <f>J18-L18</f>
        <v>-533725.32624399988</v>
      </c>
      <c r="N18" s="269">
        <f>K18-L18</f>
        <v>1373553.6737559999</v>
      </c>
      <c r="O18" s="167" t="s">
        <v>915</v>
      </c>
      <c r="P18" s="167" t="s">
        <v>911</v>
      </c>
      <c r="Q18" s="124">
        <f>A18</f>
        <v>103</v>
      </c>
    </row>
    <row r="19" spans="1:17" x14ac:dyDescent="0.25">
      <c r="A19" s="124">
        <f>A18+1</f>
        <v>104</v>
      </c>
      <c r="B19" s="271" t="s">
        <v>914</v>
      </c>
      <c r="C19" s="167" t="s">
        <v>913</v>
      </c>
      <c r="D19" s="57">
        <v>1204944</v>
      </c>
      <c r="E19" s="178">
        <v>602472</v>
      </c>
      <c r="F19" s="167">
        <v>1</v>
      </c>
      <c r="G19" s="270">
        <v>45658</v>
      </c>
      <c r="H19" s="178">
        <v>602472</v>
      </c>
      <c r="I19" s="178">
        <v>602472</v>
      </c>
      <c r="J19" s="178">
        <v>0</v>
      </c>
      <c r="K19" s="269">
        <f>(H19+J19)/2</f>
        <v>301236</v>
      </c>
      <c r="L19" s="269">
        <f>K19*'1-BaseTRR'!$E$101</f>
        <v>84296.677295999994</v>
      </c>
      <c r="M19" s="269">
        <f>J19-L19</f>
        <v>-84296.677295999994</v>
      </c>
      <c r="N19" s="269">
        <f>K19-L19</f>
        <v>216939.32270399999</v>
      </c>
      <c r="O19" s="167" t="s">
        <v>912</v>
      </c>
      <c r="P19" s="167" t="s">
        <v>911</v>
      </c>
      <c r="Q19" s="124">
        <f>A19</f>
        <v>104</v>
      </c>
    </row>
    <row r="20" spans="1:17" x14ac:dyDescent="0.25">
      <c r="A20" s="124">
        <f>A19+1</f>
        <v>105</v>
      </c>
      <c r="B20" s="89" t="s">
        <v>83</v>
      </c>
      <c r="C20" s="167"/>
      <c r="D20" s="57"/>
      <c r="E20" s="178"/>
      <c r="F20" s="167"/>
      <c r="G20" s="270"/>
      <c r="H20" s="178"/>
      <c r="I20" s="178"/>
      <c r="J20" s="178"/>
      <c r="K20" s="269">
        <f>(H20+J20)/2</f>
        <v>0</v>
      </c>
      <c r="L20" s="269">
        <f>K20*'1-BaseTRR'!$E$101</f>
        <v>0</v>
      </c>
      <c r="M20" s="269">
        <f>J20-L20</f>
        <v>0</v>
      </c>
      <c r="N20" s="269">
        <f>K20-L20</f>
        <v>0</v>
      </c>
      <c r="O20" s="167"/>
      <c r="P20" s="167"/>
      <c r="Q20" s="124">
        <f>A20</f>
        <v>105</v>
      </c>
    </row>
    <row r="21" spans="1:17" x14ac:dyDescent="0.25">
      <c r="H21" s="121"/>
      <c r="I21" s="121"/>
      <c r="K21" s="269"/>
      <c r="L21" s="269"/>
      <c r="M21" s="269"/>
      <c r="N21" s="269"/>
      <c r="Q21" s="149"/>
    </row>
    <row r="22" spans="1:17" x14ac:dyDescent="0.25">
      <c r="B22" s="25" t="s">
        <v>145</v>
      </c>
      <c r="H22" s="121"/>
      <c r="I22" s="121"/>
      <c r="K22" s="269"/>
      <c r="L22" s="269"/>
      <c r="M22" s="269"/>
      <c r="N22" s="269"/>
    </row>
    <row r="23" spans="1:17" x14ac:dyDescent="0.25">
      <c r="B23" s="89" t="s">
        <v>83</v>
      </c>
      <c r="C23" s="89"/>
      <c r="D23" s="89"/>
      <c r="E23" s="89"/>
      <c r="F23" s="89"/>
      <c r="G23" s="89"/>
      <c r="H23" s="89"/>
      <c r="I23" s="89"/>
      <c r="J23" s="89"/>
      <c r="K23" s="89"/>
      <c r="L23" s="89"/>
      <c r="M23" s="89"/>
      <c r="N23" s="89"/>
      <c r="O23" s="89"/>
      <c r="P23" s="89"/>
    </row>
  </sheetData>
  <printOptions horizontalCentered="1"/>
  <pageMargins left="1" right="1" top="1" bottom="1" header="0.5" footer="0.5"/>
  <pageSetup scale="42" fitToHeight="0" orientation="landscape" r:id="rId1"/>
  <headerFooter>
    <oddHeader>&amp;R&amp;F</oddHeader>
  </headerFooter>
  <customProperties>
    <customPr name="_pios_id" r:id="rId2"/>
  </customPropertie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725207-C328-4D2F-BD5F-31D0FBA49E8C}">
  <sheetPr>
    <pageSetUpPr fitToPage="1"/>
  </sheetPr>
  <dimension ref="A1:V129"/>
  <sheetViews>
    <sheetView view="pageBreakPreview" topLeftCell="A10" zoomScale="82" zoomScaleNormal="100" zoomScaleSheetLayoutView="82" workbookViewId="0">
      <selection activeCell="Q36" sqref="Q36"/>
    </sheetView>
  </sheetViews>
  <sheetFormatPr defaultColWidth="9.140625" defaultRowHeight="15" x14ac:dyDescent="0.25"/>
  <cols>
    <col min="1" max="1" width="6.140625" style="284" customWidth="1"/>
    <col min="2" max="2" width="15.42578125" style="284" customWidth="1"/>
    <col min="3" max="3" width="18.140625" style="284" bestFit="1" customWidth="1"/>
    <col min="4" max="4" width="29" style="284" customWidth="1"/>
    <col min="5" max="5" width="18.85546875" style="284" customWidth="1"/>
    <col min="6" max="6" width="28.42578125" style="284" bestFit="1" customWidth="1"/>
    <col min="7" max="7" width="18.85546875" style="284" customWidth="1"/>
    <col min="8" max="8" width="26.85546875" style="284" customWidth="1"/>
    <col min="9" max="9" width="25.140625" style="284" customWidth="1"/>
    <col min="10" max="10" width="7" style="285" customWidth="1"/>
    <col min="11" max="12" width="15.5703125" style="284" customWidth="1"/>
    <col min="13" max="14" width="18.5703125" style="284" customWidth="1"/>
    <col min="15" max="27" width="15.5703125" style="284" customWidth="1"/>
    <col min="28" max="16384" width="9.140625" style="284"/>
  </cols>
  <sheetData>
    <row r="1" spans="1:22" x14ac:dyDescent="0.25">
      <c r="B1" s="290" t="s">
        <v>980</v>
      </c>
      <c r="I1" s="76"/>
    </row>
    <row r="2" spans="1:22" x14ac:dyDescent="0.25">
      <c r="B2" s="290" t="s">
        <v>55</v>
      </c>
      <c r="F2" s="245"/>
      <c r="G2" s="122"/>
      <c r="H2" s="8"/>
      <c r="I2" s="76" t="str">
        <f>CONCATENATE("Prior Year: ",'1-BaseTRR'!$G$3)</f>
        <v>Prior Year: 2025</v>
      </c>
    </row>
    <row r="3" spans="1:22" x14ac:dyDescent="0.25">
      <c r="B3" s="77" t="s">
        <v>367</v>
      </c>
      <c r="C3" s="77"/>
      <c r="G3" s="122"/>
      <c r="H3" s="76"/>
    </row>
    <row r="4" spans="1:22" x14ac:dyDescent="0.25">
      <c r="B4" s="30"/>
    </row>
    <row r="5" spans="1:22" x14ac:dyDescent="0.25">
      <c r="B5" s="284" t="s">
        <v>979</v>
      </c>
    </row>
    <row r="6" spans="1:22" x14ac:dyDescent="0.25">
      <c r="B6" s="284" t="s">
        <v>978</v>
      </c>
    </row>
    <row r="8" spans="1:22" x14ac:dyDescent="0.25">
      <c r="B8" s="303" t="s">
        <v>977</v>
      </c>
      <c r="C8" s="301"/>
      <c r="D8" s="301"/>
      <c r="E8" s="301"/>
      <c r="F8" s="301"/>
      <c r="G8" s="301"/>
      <c r="H8" s="301"/>
      <c r="I8" s="301"/>
    </row>
    <row r="9" spans="1:22" x14ac:dyDescent="0.25">
      <c r="B9" s="284" t="s">
        <v>976</v>
      </c>
    </row>
    <row r="10" spans="1:22" x14ac:dyDescent="0.25">
      <c r="B10" s="296"/>
    </row>
    <row r="11" spans="1:22" x14ac:dyDescent="0.25">
      <c r="D11" s="280" t="s">
        <v>492</v>
      </c>
      <c r="E11" s="280" t="s">
        <v>491</v>
      </c>
      <c r="F11" s="280" t="s">
        <v>490</v>
      </c>
      <c r="G11" s="280" t="s">
        <v>489</v>
      </c>
      <c r="H11" s="280" t="s">
        <v>519</v>
      </c>
      <c r="I11" s="280" t="s">
        <v>518</v>
      </c>
      <c r="J11" s="286"/>
      <c r="M11" s="297"/>
      <c r="N11" s="297"/>
      <c r="O11" s="297"/>
      <c r="P11" s="297"/>
      <c r="Q11" s="297"/>
      <c r="R11" s="297"/>
      <c r="S11" s="297"/>
      <c r="T11" s="297"/>
      <c r="U11" s="297"/>
      <c r="V11" s="297"/>
    </row>
    <row r="12" spans="1:22" ht="30" x14ac:dyDescent="0.25">
      <c r="D12" s="307" t="s">
        <v>975</v>
      </c>
      <c r="E12" s="307" t="s">
        <v>975</v>
      </c>
      <c r="F12" s="307" t="s">
        <v>975</v>
      </c>
      <c r="G12" s="307" t="s">
        <v>975</v>
      </c>
      <c r="H12" s="307" t="s">
        <v>975</v>
      </c>
      <c r="I12" s="307" t="s">
        <v>975</v>
      </c>
      <c r="J12" s="286"/>
    </row>
    <row r="13" spans="1:22" x14ac:dyDescent="0.25">
      <c r="E13" s="286"/>
      <c r="F13" s="286"/>
      <c r="G13" s="286"/>
      <c r="H13" s="286"/>
      <c r="J13" s="286"/>
      <c r="M13" s="286"/>
      <c r="N13" s="286"/>
      <c r="O13" s="286"/>
      <c r="P13" s="286"/>
      <c r="Q13" s="286"/>
      <c r="R13" s="286"/>
      <c r="S13" s="286"/>
      <c r="T13" s="286"/>
      <c r="U13" s="286"/>
      <c r="V13" s="286"/>
    </row>
    <row r="14" spans="1:22" x14ac:dyDescent="0.25">
      <c r="B14" s="299" t="s">
        <v>974</v>
      </c>
      <c r="C14" s="299"/>
      <c r="D14" s="286" t="s">
        <v>957</v>
      </c>
      <c r="E14" s="286" t="s">
        <v>954</v>
      </c>
      <c r="F14" s="286" t="s">
        <v>956</v>
      </c>
      <c r="G14" s="286" t="s">
        <v>955</v>
      </c>
      <c r="H14" s="286" t="s">
        <v>954</v>
      </c>
      <c r="I14" s="286" t="s">
        <v>953</v>
      </c>
      <c r="J14" s="286"/>
      <c r="M14" s="286"/>
      <c r="N14" s="286"/>
      <c r="O14" s="286"/>
      <c r="P14" s="286"/>
      <c r="Q14" s="286"/>
      <c r="R14" s="286"/>
      <c r="S14" s="286"/>
      <c r="T14" s="286"/>
      <c r="U14" s="286"/>
      <c r="V14" s="286"/>
    </row>
    <row r="15" spans="1:22" x14ac:dyDescent="0.25">
      <c r="A15" s="297" t="s">
        <v>106</v>
      </c>
      <c r="B15" s="297" t="s">
        <v>483</v>
      </c>
      <c r="C15" s="297" t="s">
        <v>510</v>
      </c>
      <c r="D15" s="297" t="s">
        <v>973</v>
      </c>
      <c r="E15" s="297" t="s">
        <v>952</v>
      </c>
      <c r="F15" s="297" t="s">
        <v>951</v>
      </c>
      <c r="G15" s="297" t="s">
        <v>950</v>
      </c>
      <c r="H15" s="297" t="s">
        <v>949</v>
      </c>
      <c r="I15" s="297" t="s">
        <v>948</v>
      </c>
      <c r="J15" s="297" t="str">
        <f>A15</f>
        <v>Line</v>
      </c>
      <c r="M15" s="297"/>
      <c r="N15" s="297"/>
      <c r="O15" s="297"/>
      <c r="P15" s="297"/>
      <c r="Q15" s="297"/>
      <c r="R15" s="297"/>
      <c r="S15" s="297"/>
      <c r="T15" s="297"/>
      <c r="U15" s="297"/>
      <c r="V15" s="297"/>
    </row>
    <row r="16" spans="1:22" x14ac:dyDescent="0.25">
      <c r="A16" s="286">
        <v>100</v>
      </c>
      <c r="B16" s="284" t="str">
        <f>B53</f>
        <v>January</v>
      </c>
      <c r="C16" s="255">
        <f>'1-BaseTRR'!$G$3+1</f>
        <v>2026</v>
      </c>
      <c r="D16" s="242">
        <f>D53+D89</f>
        <v>137069106.79218054</v>
      </c>
      <c r="E16" s="242">
        <f>E53+E89</f>
        <v>137069106.79218054</v>
      </c>
      <c r="F16" s="242">
        <f>F53+F89</f>
        <v>373025.61520429509</v>
      </c>
      <c r="G16" s="242">
        <f>G53+G89</f>
        <v>7211845.8521212488</v>
      </c>
      <c r="H16" s="242">
        <f>H53+H89</f>
        <v>-6838820.2369169537</v>
      </c>
      <c r="I16" s="242">
        <f>I53+I89</f>
        <v>143907927.0290975</v>
      </c>
      <c r="J16" s="286">
        <f>A16</f>
        <v>100</v>
      </c>
      <c r="M16" s="49"/>
      <c r="N16" s="288"/>
      <c r="O16" s="288"/>
      <c r="P16" s="288"/>
      <c r="Q16" s="288"/>
      <c r="R16" s="288"/>
      <c r="S16" s="288"/>
      <c r="T16" s="288"/>
      <c r="U16" s="288"/>
      <c r="V16" s="288"/>
    </row>
    <row r="17" spans="1:22" x14ac:dyDescent="0.25">
      <c r="A17" s="286">
        <f>A16+1</f>
        <v>101</v>
      </c>
      <c r="B17" s="284" t="str">
        <f>B54</f>
        <v>February</v>
      </c>
      <c r="C17" s="255">
        <f>'1-BaseTRR'!$G$3+1</f>
        <v>2026</v>
      </c>
      <c r="D17" s="242">
        <f>D54+D90</f>
        <v>60877149.269343317</v>
      </c>
      <c r="E17" s="242">
        <f>E54+E90</f>
        <v>197946256.06152385</v>
      </c>
      <c r="F17" s="242">
        <f>F54+F90</f>
        <v>538699.24210339424</v>
      </c>
      <c r="G17" s="242">
        <f>G54+G90</f>
        <v>7585847.4353724495</v>
      </c>
      <c r="H17" s="242">
        <f>H54+H90</f>
        <v>-13885968.430186007</v>
      </c>
      <c r="I17" s="242">
        <f>I54+I90</f>
        <v>211832224.49170983</v>
      </c>
      <c r="J17" s="286">
        <f>A17</f>
        <v>101</v>
      </c>
      <c r="M17" s="49"/>
      <c r="N17" s="288"/>
      <c r="O17" s="288"/>
      <c r="P17" s="288"/>
      <c r="Q17" s="288"/>
      <c r="R17" s="288"/>
      <c r="S17" s="288"/>
      <c r="T17" s="288"/>
      <c r="U17" s="288"/>
      <c r="V17" s="288"/>
    </row>
    <row r="18" spans="1:22" x14ac:dyDescent="0.25">
      <c r="A18" s="286">
        <f>A17+1</f>
        <v>102</v>
      </c>
      <c r="B18" s="284" t="str">
        <f>B55</f>
        <v>March</v>
      </c>
      <c r="C18" s="255">
        <f>'1-BaseTRR'!$G$3+1</f>
        <v>2026</v>
      </c>
      <c r="D18" s="242">
        <f>D55+D91</f>
        <v>117282659.9793767</v>
      </c>
      <c r="E18" s="242">
        <f>E55+E91</f>
        <v>315228916.04090053</v>
      </c>
      <c r="F18" s="242">
        <f>F55+F91</f>
        <v>857877.19120854558</v>
      </c>
      <c r="G18" s="242">
        <f>G55+G91</f>
        <v>8320190.5485029677</v>
      </c>
      <c r="H18" s="242">
        <f>H55+H91</f>
        <v>-21348281.787480429</v>
      </c>
      <c r="I18" s="242">
        <f>I55+I91</f>
        <v>336577197.82838094</v>
      </c>
      <c r="J18" s="286">
        <f>A18</f>
        <v>102</v>
      </c>
      <c r="M18" s="49"/>
      <c r="N18" s="288"/>
      <c r="O18" s="288"/>
      <c r="P18" s="288"/>
      <c r="Q18" s="288"/>
      <c r="R18" s="288"/>
      <c r="S18" s="288"/>
      <c r="T18" s="288"/>
      <c r="U18" s="288"/>
      <c r="V18" s="288"/>
    </row>
    <row r="19" spans="1:22" x14ac:dyDescent="0.25">
      <c r="A19" s="286">
        <f>A18+1</f>
        <v>103</v>
      </c>
      <c r="B19" s="284" t="str">
        <f>B56</f>
        <v>April</v>
      </c>
      <c r="C19" s="255">
        <f>'1-BaseTRR'!$G$3+1</f>
        <v>2026</v>
      </c>
      <c r="D19" s="242">
        <f>D56+D92</f>
        <v>190203577.52175152</v>
      </c>
      <c r="E19" s="242">
        <f>E56+E92</f>
        <v>505432493.56265205</v>
      </c>
      <c r="F19" s="242">
        <f>F56+F92</f>
        <v>1375505.1832453096</v>
      </c>
      <c r="G19" s="242">
        <f>G56+G92</f>
        <v>6735195.723871029</v>
      </c>
      <c r="H19" s="242">
        <f>H56+H92</f>
        <v>-26707972.32810615</v>
      </c>
      <c r="I19" s="242">
        <f>I56+I92</f>
        <v>532140465.89075816</v>
      </c>
      <c r="J19" s="286">
        <f>A19</f>
        <v>103</v>
      </c>
      <c r="M19" s="49"/>
      <c r="N19" s="288"/>
      <c r="O19" s="288"/>
      <c r="P19" s="288"/>
      <c r="Q19" s="288"/>
      <c r="R19" s="288"/>
      <c r="S19" s="288"/>
      <c r="T19" s="288"/>
      <c r="U19" s="288"/>
      <c r="V19" s="288"/>
    </row>
    <row r="20" spans="1:22" x14ac:dyDescent="0.25">
      <c r="A20" s="286">
        <f>A19+1</f>
        <v>104</v>
      </c>
      <c r="B20" s="284" t="str">
        <f>B57</f>
        <v>May</v>
      </c>
      <c r="C20" s="255">
        <f>'1-BaseTRR'!$G$3+1</f>
        <v>2026</v>
      </c>
      <c r="D20" s="242">
        <f>D57+D93</f>
        <v>122739020.19238505</v>
      </c>
      <c r="E20" s="242">
        <f>E57+E93</f>
        <v>628171513.75503707</v>
      </c>
      <c r="F20" s="242">
        <f>F57+F93</f>
        <v>1709532.2998460922</v>
      </c>
      <c r="G20" s="242">
        <f>G57+G93</f>
        <v>7298859.8926918861</v>
      </c>
      <c r="H20" s="242">
        <f>H57+H93</f>
        <v>-32297299.92095194</v>
      </c>
      <c r="I20" s="242">
        <f>I57+I93</f>
        <v>660468813.67598891</v>
      </c>
      <c r="J20" s="286">
        <f>A20</f>
        <v>104</v>
      </c>
      <c r="M20" s="49"/>
      <c r="N20" s="288"/>
      <c r="O20" s="288"/>
      <c r="P20" s="288"/>
      <c r="Q20" s="288"/>
      <c r="R20" s="288"/>
      <c r="S20" s="288"/>
      <c r="T20" s="288"/>
      <c r="U20" s="288"/>
      <c r="V20" s="288"/>
    </row>
    <row r="21" spans="1:22" x14ac:dyDescent="0.25">
      <c r="A21" s="286">
        <f>A20+1</f>
        <v>105</v>
      </c>
      <c r="B21" s="284" t="str">
        <f>B58</f>
        <v xml:space="preserve">June </v>
      </c>
      <c r="C21" s="255">
        <f>'1-BaseTRR'!$G$3+1</f>
        <v>2026</v>
      </c>
      <c r="D21" s="242">
        <f>D58+D94</f>
        <v>143332859.50526816</v>
      </c>
      <c r="E21" s="242">
        <f>E58+E94</f>
        <v>771504373.26030517</v>
      </c>
      <c r="F21" s="242">
        <f>F58+F94</f>
        <v>2099604.3543536626</v>
      </c>
      <c r="G21" s="242">
        <f>G58+G94</f>
        <v>7397134.4070466617</v>
      </c>
      <c r="H21" s="242">
        <f>H58+H94</f>
        <v>-37594829.973644942</v>
      </c>
      <c r="I21" s="242">
        <f>I58+I94</f>
        <v>809099203.23395014</v>
      </c>
      <c r="J21" s="286">
        <f>A21</f>
        <v>105</v>
      </c>
      <c r="M21" s="49"/>
      <c r="N21" s="288"/>
      <c r="O21" s="288"/>
      <c r="P21" s="288"/>
      <c r="Q21" s="288"/>
      <c r="R21" s="288"/>
      <c r="S21" s="288"/>
      <c r="T21" s="288"/>
      <c r="U21" s="288"/>
      <c r="V21" s="288"/>
    </row>
    <row r="22" spans="1:22" x14ac:dyDescent="0.25">
      <c r="A22" s="286">
        <f>A21+1</f>
        <v>106</v>
      </c>
      <c r="B22" s="284" t="str">
        <f>B59</f>
        <v>July</v>
      </c>
      <c r="C22" s="255">
        <f>'1-BaseTRR'!$G$3+1</f>
        <v>2026</v>
      </c>
      <c r="D22" s="242">
        <f>D59+D95</f>
        <v>88269990.370008141</v>
      </c>
      <c r="E22" s="242">
        <f>E59+E95</f>
        <v>859774363.6303134</v>
      </c>
      <c r="F22" s="242">
        <f>F59+F95</f>
        <v>2339826.0077403169</v>
      </c>
      <c r="G22" s="242">
        <f>G59+G95</f>
        <v>7763349.3861905094</v>
      </c>
      <c r="H22" s="242">
        <f>H59+H95</f>
        <v>-43018353.352095135</v>
      </c>
      <c r="I22" s="242">
        <f>I59+I95</f>
        <v>902792716.98240852</v>
      </c>
      <c r="J22" s="286">
        <f>A22</f>
        <v>106</v>
      </c>
      <c r="M22" s="49"/>
      <c r="N22" s="288"/>
      <c r="O22" s="288"/>
      <c r="P22" s="288"/>
      <c r="Q22" s="288"/>
      <c r="R22" s="288"/>
      <c r="S22" s="288"/>
      <c r="T22" s="288"/>
      <c r="U22" s="288"/>
      <c r="V22" s="288"/>
    </row>
    <row r="23" spans="1:22" x14ac:dyDescent="0.25">
      <c r="A23" s="286">
        <f>A22+1</f>
        <v>107</v>
      </c>
      <c r="B23" s="284" t="str">
        <f>B60</f>
        <v>August</v>
      </c>
      <c r="C23" s="255">
        <f>'1-BaseTRR'!$G$3+1</f>
        <v>2026</v>
      </c>
      <c r="D23" s="242">
        <f>D60+D96</f>
        <v>75095661.18434763</v>
      </c>
      <c r="E23" s="242">
        <f>E60+E96</f>
        <v>934870024.81466103</v>
      </c>
      <c r="F23" s="242">
        <f>F60+F96</f>
        <v>2544194.4892168641</v>
      </c>
      <c r="G23" s="242">
        <f>G60+G96</f>
        <v>7506052.8740689754</v>
      </c>
      <c r="H23" s="242">
        <f>H60+H96</f>
        <v>-47980211.736947246</v>
      </c>
      <c r="I23" s="242">
        <f>I60+I96</f>
        <v>982850236.55160832</v>
      </c>
      <c r="J23" s="286">
        <f>A23</f>
        <v>107</v>
      </c>
      <c r="M23" s="49"/>
      <c r="N23" s="288"/>
      <c r="O23" s="288"/>
      <c r="P23" s="288"/>
      <c r="Q23" s="288"/>
      <c r="R23" s="288"/>
      <c r="S23" s="288"/>
      <c r="T23" s="288"/>
      <c r="U23" s="288"/>
      <c r="V23" s="288"/>
    </row>
    <row r="24" spans="1:22" x14ac:dyDescent="0.25">
      <c r="A24" s="286">
        <f>A23+1</f>
        <v>108</v>
      </c>
      <c r="B24" s="284" t="str">
        <f>B61</f>
        <v>September</v>
      </c>
      <c r="C24" s="255">
        <f>'1-BaseTRR'!$G$3+1</f>
        <v>2026</v>
      </c>
      <c r="D24" s="242">
        <f>D61+D97</f>
        <v>113150558.72607712</v>
      </c>
      <c r="E24" s="242">
        <f>E61+E97</f>
        <v>1048020583.5407381</v>
      </c>
      <c r="F24" s="242">
        <f>F61+F97</f>
        <v>2852127.1646920098</v>
      </c>
      <c r="G24" s="242">
        <f>G61+G97</f>
        <v>8580447.8759794105</v>
      </c>
      <c r="H24" s="242">
        <f>H61+H97</f>
        <v>-53708532.448234648</v>
      </c>
      <c r="I24" s="242">
        <f>I61+I97</f>
        <v>1101729115.9889727</v>
      </c>
      <c r="J24" s="286">
        <f>A24</f>
        <v>108</v>
      </c>
      <c r="M24" s="49"/>
      <c r="N24" s="288"/>
      <c r="O24" s="288"/>
      <c r="P24" s="288"/>
      <c r="Q24" s="288"/>
      <c r="R24" s="288"/>
      <c r="S24" s="288"/>
      <c r="T24" s="288"/>
      <c r="U24" s="288"/>
      <c r="V24" s="288"/>
    </row>
    <row r="25" spans="1:22" x14ac:dyDescent="0.25">
      <c r="A25" s="286">
        <f>A24+1</f>
        <v>109</v>
      </c>
      <c r="B25" s="284" t="str">
        <f>B62</f>
        <v xml:space="preserve">October </v>
      </c>
      <c r="C25" s="255">
        <f>'1-BaseTRR'!$G$3+1</f>
        <v>2026</v>
      </c>
      <c r="D25" s="242">
        <f>D62+D98</f>
        <v>123384846.41907731</v>
      </c>
      <c r="E25" s="242">
        <f>E62+E98</f>
        <v>1171405429.9598155</v>
      </c>
      <c r="F25" s="242">
        <f>F62+F98</f>
        <v>3187911.8598687751</v>
      </c>
      <c r="G25" s="242">
        <f>G62+G98</f>
        <v>9669531.7893203609</v>
      </c>
      <c r="H25" s="242">
        <f>H62+H98</f>
        <v>-60190152.377686232</v>
      </c>
      <c r="I25" s="242">
        <f>I62+I98</f>
        <v>1231595582.3375018</v>
      </c>
      <c r="J25" s="286">
        <f>A25</f>
        <v>109</v>
      </c>
      <c r="M25" s="49"/>
      <c r="N25" s="288"/>
      <c r="O25" s="288"/>
      <c r="P25" s="288"/>
      <c r="Q25" s="288"/>
      <c r="R25" s="288"/>
      <c r="S25" s="288"/>
      <c r="T25" s="288"/>
      <c r="U25" s="288"/>
      <c r="V25" s="288"/>
    </row>
    <row r="26" spans="1:22" x14ac:dyDescent="0.25">
      <c r="A26" s="286">
        <f>A25+1</f>
        <v>110</v>
      </c>
      <c r="B26" s="284" t="str">
        <f>B63</f>
        <v>November</v>
      </c>
      <c r="C26" s="255">
        <f>'1-BaseTRR'!$G$3+1</f>
        <v>2026</v>
      </c>
      <c r="D26" s="242">
        <f>D63+D99</f>
        <v>52559024.270846695</v>
      </c>
      <c r="E26" s="242">
        <f>E63+E99</f>
        <v>1223964454.2306621</v>
      </c>
      <c r="F26" s="242">
        <f>F63+F99</f>
        <v>3330948.1925771786</v>
      </c>
      <c r="G26" s="242">
        <f>G63+G99</f>
        <v>7759315.1817351896</v>
      </c>
      <c r="H26" s="242">
        <f>H63+H99</f>
        <v>-64618519.366844244</v>
      </c>
      <c r="I26" s="242">
        <f>I63+I99</f>
        <v>1288582973.5975065</v>
      </c>
      <c r="J26" s="286">
        <f>A26</f>
        <v>110</v>
      </c>
      <c r="M26" s="49"/>
      <c r="N26" s="288"/>
      <c r="O26" s="288"/>
      <c r="P26" s="288"/>
      <c r="Q26" s="288"/>
      <c r="R26" s="288"/>
      <c r="S26" s="288"/>
      <c r="T26" s="288"/>
      <c r="U26" s="288"/>
      <c r="V26" s="288"/>
    </row>
    <row r="27" spans="1:22" x14ac:dyDescent="0.25">
      <c r="A27" s="286">
        <f>A26+1</f>
        <v>111</v>
      </c>
      <c r="B27" s="284" t="str">
        <f>B64</f>
        <v>December</v>
      </c>
      <c r="C27" s="255">
        <f>'1-BaseTRR'!$G$3+1</f>
        <v>2026</v>
      </c>
      <c r="D27" s="242">
        <f>D64+D100</f>
        <v>132984042.44474281</v>
      </c>
      <c r="E27" s="242">
        <f>E64+E100</f>
        <v>1356948496.675405</v>
      </c>
      <c r="F27" s="242">
        <f>F64+F100</f>
        <v>3692856.5423595686</v>
      </c>
      <c r="G27" s="242">
        <f>G64+G100</f>
        <v>8684660.2491338588</v>
      </c>
      <c r="H27" s="242">
        <f>H64+H100</f>
        <v>-69610323.073618531</v>
      </c>
      <c r="I27" s="242">
        <f>I64+I100</f>
        <v>1426558819.7490234</v>
      </c>
      <c r="J27" s="286">
        <f>A27</f>
        <v>111</v>
      </c>
      <c r="M27" s="49"/>
      <c r="N27" s="288"/>
      <c r="O27" s="288"/>
      <c r="P27" s="288"/>
      <c r="Q27" s="288"/>
      <c r="R27" s="288"/>
      <c r="S27" s="288"/>
      <c r="T27" s="288"/>
      <c r="U27" s="288"/>
      <c r="V27" s="288"/>
    </row>
    <row r="28" spans="1:22" x14ac:dyDescent="0.25">
      <c r="A28" s="286">
        <f>A27+1</f>
        <v>112</v>
      </c>
      <c r="B28" s="284" t="str">
        <f>B65</f>
        <v>January</v>
      </c>
      <c r="C28" s="255">
        <f>'1-BaseTRR'!$G$2</f>
        <v>2027</v>
      </c>
      <c r="D28" s="242">
        <f>D65+D101</f>
        <v>140789397.69193333</v>
      </c>
      <c r="E28" s="242">
        <f>E65+E101</f>
        <v>1497737894.3673382</v>
      </c>
      <c r="F28" s="242">
        <f>F65+F101</f>
        <v>4076006.7132284986</v>
      </c>
      <c r="G28" s="242">
        <f>G65+G101</f>
        <v>6871616.1096495371</v>
      </c>
      <c r="H28" s="242">
        <f>H65+H101</f>
        <v>-72405932.470039576</v>
      </c>
      <c r="I28" s="242">
        <f>I65+I101</f>
        <v>1570143826.8373778</v>
      </c>
      <c r="J28" s="286">
        <f>A28</f>
        <v>112</v>
      </c>
      <c r="M28" s="49"/>
      <c r="N28" s="288"/>
      <c r="O28" s="288"/>
      <c r="P28" s="288"/>
      <c r="Q28" s="288"/>
      <c r="R28" s="288"/>
      <c r="S28" s="288"/>
      <c r="T28" s="288"/>
      <c r="U28" s="288"/>
      <c r="V28" s="288"/>
    </row>
    <row r="29" spans="1:22" x14ac:dyDescent="0.25">
      <c r="A29" s="286">
        <f>A28+1</f>
        <v>113</v>
      </c>
      <c r="B29" s="284" t="str">
        <f>B66</f>
        <v>February</v>
      </c>
      <c r="C29" s="295">
        <f>'1-BaseTRR'!$G$2</f>
        <v>2027</v>
      </c>
      <c r="D29" s="242">
        <f>D66+D102</f>
        <v>103556583.83412759</v>
      </c>
      <c r="E29" s="242">
        <f>E66+E102</f>
        <v>1601294478.2014656</v>
      </c>
      <c r="F29" s="242">
        <f>F66+F102</f>
        <v>4357829.9431102611</v>
      </c>
      <c r="G29" s="242">
        <f>G66+G102</f>
        <v>6018374.8085830165</v>
      </c>
      <c r="H29" s="242">
        <f>H66+H102</f>
        <v>-74066477.335512325</v>
      </c>
      <c r="I29" s="242">
        <f>I66+I102</f>
        <v>1675360955.536978</v>
      </c>
      <c r="J29" s="286">
        <f>A29</f>
        <v>113</v>
      </c>
      <c r="M29" s="49"/>
      <c r="N29" s="288"/>
      <c r="O29" s="288"/>
      <c r="P29" s="288"/>
      <c r="Q29" s="288"/>
      <c r="R29" s="288"/>
      <c r="S29" s="288"/>
      <c r="T29" s="288"/>
      <c r="U29" s="288"/>
      <c r="V29" s="288"/>
    </row>
    <row r="30" spans="1:22" x14ac:dyDescent="0.25">
      <c r="A30" s="286">
        <f>A29+1</f>
        <v>114</v>
      </c>
      <c r="B30" s="284" t="str">
        <f>B67</f>
        <v>March</v>
      </c>
      <c r="C30" s="295">
        <f>'1-BaseTRR'!$G$2</f>
        <v>2027</v>
      </c>
      <c r="D30" s="242">
        <f>D67+D103</f>
        <v>164902442.23168951</v>
      </c>
      <c r="E30" s="242">
        <f>E67+E103</f>
        <v>1766196920.4331551</v>
      </c>
      <c r="F30" s="242">
        <f>F67+F103</f>
        <v>4806602.3645679299</v>
      </c>
      <c r="G30" s="242">
        <f>G67+G103</f>
        <v>6331082.8686147155</v>
      </c>
      <c r="H30" s="242">
        <f>H67+H103</f>
        <v>-75590957.839559108</v>
      </c>
      <c r="I30" s="242">
        <f>I67+I103</f>
        <v>1841787878.2727144</v>
      </c>
      <c r="J30" s="286">
        <f>A30</f>
        <v>114</v>
      </c>
      <c r="M30" s="49"/>
      <c r="N30" s="288"/>
      <c r="O30" s="288"/>
      <c r="P30" s="288"/>
      <c r="Q30" s="288"/>
      <c r="R30" s="288"/>
      <c r="S30" s="288"/>
      <c r="T30" s="288"/>
      <c r="U30" s="288"/>
      <c r="V30" s="288"/>
    </row>
    <row r="31" spans="1:22" x14ac:dyDescent="0.25">
      <c r="A31" s="286">
        <f>A30+1</f>
        <v>115</v>
      </c>
      <c r="B31" s="284" t="str">
        <f>B68</f>
        <v>April</v>
      </c>
      <c r="C31" s="295">
        <f>'1-BaseTRR'!$G$2</f>
        <v>2027</v>
      </c>
      <c r="D31" s="242">
        <f>D68+D104</f>
        <v>167294250.42184058</v>
      </c>
      <c r="E31" s="242">
        <f>E68+E104</f>
        <v>1933491170.8549957</v>
      </c>
      <c r="F31" s="242">
        <f>F68+F104</f>
        <v>5261883.9531345274</v>
      </c>
      <c r="G31" s="242">
        <f>G68+G104</f>
        <v>4932746.8323956039</v>
      </c>
      <c r="H31" s="242">
        <f>H68+H104</f>
        <v>-75261820.718820184</v>
      </c>
      <c r="I31" s="242">
        <f>I68+I104</f>
        <v>2008752991.5738158</v>
      </c>
      <c r="J31" s="286">
        <f>A31</f>
        <v>115</v>
      </c>
      <c r="M31" s="49"/>
      <c r="N31" s="288"/>
      <c r="O31" s="288"/>
      <c r="P31" s="288"/>
      <c r="Q31" s="288"/>
      <c r="R31" s="288"/>
      <c r="S31" s="288"/>
      <c r="T31" s="288"/>
      <c r="U31" s="288"/>
      <c r="V31" s="288"/>
    </row>
    <row r="32" spans="1:22" x14ac:dyDescent="0.25">
      <c r="A32" s="286">
        <f>A31+1</f>
        <v>116</v>
      </c>
      <c r="B32" s="284" t="str">
        <f>B69</f>
        <v>May</v>
      </c>
      <c r="C32" s="295">
        <f>'1-BaseTRR'!$G$2</f>
        <v>2027</v>
      </c>
      <c r="D32" s="242">
        <f>D69+D105</f>
        <v>128521410.14476296</v>
      </c>
      <c r="E32" s="242">
        <f>E69+E105</f>
        <v>2062012580.9997587</v>
      </c>
      <c r="F32" s="242">
        <f>F69+F105</f>
        <v>5611647.5082356874</v>
      </c>
      <c r="G32" s="242">
        <f>G69+G105</f>
        <v>4750200.8433179259</v>
      </c>
      <c r="H32" s="242">
        <f>H69+H105</f>
        <v>-74400374.053902417</v>
      </c>
      <c r="I32" s="242">
        <f>I69+I105</f>
        <v>2136412955.0536613</v>
      </c>
      <c r="J32" s="286">
        <f>A32</f>
        <v>116</v>
      </c>
      <c r="M32" s="49"/>
      <c r="N32" s="288"/>
      <c r="O32" s="288"/>
      <c r="P32" s="288"/>
      <c r="Q32" s="288"/>
      <c r="R32" s="288"/>
      <c r="S32" s="288"/>
      <c r="T32" s="288"/>
      <c r="U32" s="288"/>
      <c r="V32" s="288"/>
    </row>
    <row r="33" spans="1:22" x14ac:dyDescent="0.25">
      <c r="A33" s="286">
        <f>A32+1</f>
        <v>117</v>
      </c>
      <c r="B33" s="284" t="str">
        <f>B70</f>
        <v xml:space="preserve">June </v>
      </c>
      <c r="C33" s="295">
        <f>'1-BaseTRR'!$G$2</f>
        <v>2027</v>
      </c>
      <c r="D33" s="242">
        <f>D70+D106</f>
        <v>108442330.33429155</v>
      </c>
      <c r="E33" s="242">
        <f>E70+E106</f>
        <v>2170454911.3340502</v>
      </c>
      <c r="F33" s="242">
        <f>F70+F106</f>
        <v>5906767.0135263149</v>
      </c>
      <c r="G33" s="242">
        <f>G70+G106</f>
        <v>4449984.0930047445</v>
      </c>
      <c r="H33" s="242">
        <f>H70+H106</f>
        <v>-72943591.13338086</v>
      </c>
      <c r="I33" s="242">
        <f>I70+I106</f>
        <v>2243398502.4674311</v>
      </c>
      <c r="J33" s="286">
        <f>A33</f>
        <v>117</v>
      </c>
      <c r="M33" s="49"/>
      <c r="N33" s="288"/>
      <c r="O33" s="288"/>
      <c r="P33" s="288"/>
      <c r="Q33" s="288"/>
      <c r="R33" s="288"/>
      <c r="S33" s="288"/>
      <c r="T33" s="288"/>
      <c r="U33" s="288"/>
      <c r="V33" s="288"/>
    </row>
    <row r="34" spans="1:22" x14ac:dyDescent="0.25">
      <c r="A34" s="286">
        <f>A33+1</f>
        <v>118</v>
      </c>
      <c r="B34" s="284" t="str">
        <f>B71</f>
        <v>July</v>
      </c>
      <c r="C34" s="295">
        <f>'1-BaseTRR'!$G$2</f>
        <v>2027</v>
      </c>
      <c r="D34" s="242">
        <f>D71+D107</f>
        <v>71008866.722165629</v>
      </c>
      <c r="E34" s="242">
        <f>E71+E107</f>
        <v>2241463778.0562158</v>
      </c>
      <c r="F34" s="242">
        <f>F71+F107</f>
        <v>6100013.5211741403</v>
      </c>
      <c r="G34" s="242">
        <f>G71+G107</f>
        <v>3908934.8905350557</v>
      </c>
      <c r="H34" s="242">
        <f>H71+H107</f>
        <v>-70752512.502741784</v>
      </c>
      <c r="I34" s="242">
        <f>I71+I107</f>
        <v>2312216290.5589576</v>
      </c>
      <c r="J34" s="286">
        <f>A34</f>
        <v>118</v>
      </c>
      <c r="M34" s="49"/>
      <c r="N34" s="288"/>
      <c r="O34" s="288"/>
      <c r="P34" s="288"/>
      <c r="Q34" s="288"/>
      <c r="R34" s="288"/>
      <c r="S34" s="288"/>
      <c r="T34" s="288"/>
      <c r="U34" s="288"/>
      <c r="V34" s="288"/>
    </row>
    <row r="35" spans="1:22" x14ac:dyDescent="0.25">
      <c r="A35" s="286">
        <f>A34+1</f>
        <v>119</v>
      </c>
      <c r="B35" s="284" t="str">
        <f>B72</f>
        <v>August</v>
      </c>
      <c r="C35" s="295">
        <f>'1-BaseTRR'!$G$2</f>
        <v>2027</v>
      </c>
      <c r="D35" s="242">
        <f>D72+D108</f>
        <v>57962586.763334848</v>
      </c>
      <c r="E35" s="242">
        <f>E72+E108</f>
        <v>2299426364.8195505</v>
      </c>
      <c r="F35" s="242">
        <f>F72+F108</f>
        <v>6257755.3354474846</v>
      </c>
      <c r="G35" s="242">
        <f>G72+G108</f>
        <v>4429617.3286722321</v>
      </c>
      <c r="H35" s="242">
        <f>H72+H108</f>
        <v>-68924374.495966524</v>
      </c>
      <c r="I35" s="242">
        <f>I72+I108</f>
        <v>2368350739.3155174</v>
      </c>
      <c r="J35" s="286">
        <f>A35</f>
        <v>119</v>
      </c>
      <c r="M35" s="49"/>
      <c r="N35" s="288"/>
      <c r="O35" s="288"/>
      <c r="P35" s="288"/>
      <c r="Q35" s="288"/>
      <c r="R35" s="288"/>
      <c r="S35" s="288"/>
      <c r="T35" s="288"/>
      <c r="U35" s="288"/>
      <c r="V35" s="288"/>
    </row>
    <row r="36" spans="1:22" x14ac:dyDescent="0.25">
      <c r="A36" s="286">
        <f>A35+1</f>
        <v>120</v>
      </c>
      <c r="B36" s="284" t="str">
        <f>B73</f>
        <v>September</v>
      </c>
      <c r="C36" s="295">
        <f>'1-BaseTRR'!$G$2</f>
        <v>2027</v>
      </c>
      <c r="D36" s="242">
        <f>D73+D109</f>
        <v>67935953.176021531</v>
      </c>
      <c r="E36" s="242">
        <f>E73+E109</f>
        <v>2367362317.9955721</v>
      </c>
      <c r="F36" s="242">
        <f>F73+F109</f>
        <v>6442639.0873084925</v>
      </c>
      <c r="G36" s="242">
        <f>G73+G109</f>
        <v>4214262.798398545</v>
      </c>
      <c r="H36" s="242">
        <f>H73+H109</f>
        <v>-66695998.207056575</v>
      </c>
      <c r="I36" s="242">
        <f>I73+I109</f>
        <v>2434058316.2026291</v>
      </c>
      <c r="J36" s="286">
        <f>A36</f>
        <v>120</v>
      </c>
      <c r="M36" s="49"/>
      <c r="N36" s="288"/>
      <c r="O36" s="288"/>
      <c r="P36" s="288"/>
      <c r="Q36" s="288"/>
      <c r="R36" s="288"/>
      <c r="S36" s="288"/>
      <c r="T36" s="288"/>
      <c r="U36" s="288"/>
      <c r="V36" s="288"/>
    </row>
    <row r="37" spans="1:22" x14ac:dyDescent="0.25">
      <c r="A37" s="286">
        <f>A36+1</f>
        <v>121</v>
      </c>
      <c r="B37" s="284" t="str">
        <f>B74</f>
        <v>October</v>
      </c>
      <c r="C37" s="295">
        <f>'1-BaseTRR'!$G$2</f>
        <v>2027</v>
      </c>
      <c r="D37" s="242">
        <f>D74+D110</f>
        <v>76667408.872873634</v>
      </c>
      <c r="E37" s="242">
        <f>E74+E110</f>
        <v>2444029726.8684459</v>
      </c>
      <c r="F37" s="242">
        <f>F74+F110</f>
        <v>6651284.988855686</v>
      </c>
      <c r="G37" s="242">
        <f>G74+G110</f>
        <v>4630611.8801442599</v>
      </c>
      <c r="H37" s="242">
        <f>H74+H110</f>
        <v>-64675325.098345146</v>
      </c>
      <c r="I37" s="242">
        <f>I74+I110</f>
        <v>2508705051.9667912</v>
      </c>
      <c r="J37" s="286">
        <f>A37</f>
        <v>121</v>
      </c>
      <c r="M37" s="49"/>
      <c r="N37" s="288"/>
      <c r="O37" s="288"/>
      <c r="P37" s="288"/>
      <c r="Q37" s="288"/>
      <c r="R37" s="288"/>
      <c r="S37" s="288"/>
      <c r="T37" s="288"/>
      <c r="U37" s="288"/>
      <c r="V37" s="288"/>
    </row>
    <row r="38" spans="1:22" x14ac:dyDescent="0.25">
      <c r="A38" s="286">
        <f>A37+1</f>
        <v>122</v>
      </c>
      <c r="B38" s="284" t="str">
        <f>B75</f>
        <v>November</v>
      </c>
      <c r="C38" s="295">
        <f>'1-BaseTRR'!$G$2</f>
        <v>2027</v>
      </c>
      <c r="D38" s="242">
        <f>D75+D111</f>
        <v>125904164.64747858</v>
      </c>
      <c r="E38" s="242">
        <f>E75+E111</f>
        <v>2569933891.5159245</v>
      </c>
      <c r="F38" s="242">
        <f>F75+F111</f>
        <v>6993925.8623065939</v>
      </c>
      <c r="G38" s="242">
        <f>G75+G111</f>
        <v>4453004.4158179201</v>
      </c>
      <c r="H38" s="242">
        <f>H75+H111</f>
        <v>-62134403.651856467</v>
      </c>
      <c r="I38" s="242">
        <f>I75+I111</f>
        <v>2632068295.1677809</v>
      </c>
      <c r="J38" s="286">
        <f>A38</f>
        <v>122</v>
      </c>
      <c r="M38" s="49"/>
      <c r="N38" s="288"/>
      <c r="O38" s="288"/>
      <c r="P38" s="288"/>
      <c r="Q38" s="288"/>
      <c r="R38" s="288"/>
      <c r="S38" s="288"/>
      <c r="T38" s="288"/>
      <c r="U38" s="288"/>
      <c r="V38" s="288"/>
    </row>
    <row r="39" spans="1:22" x14ac:dyDescent="0.25">
      <c r="A39" s="286">
        <f>A38+1</f>
        <v>123</v>
      </c>
      <c r="B39" s="306" t="str">
        <f>B76</f>
        <v>December</v>
      </c>
      <c r="C39" s="293">
        <f>'1-BaseTRR'!$G$2</f>
        <v>2027</v>
      </c>
      <c r="D39" s="251">
        <f>D76+D112</f>
        <v>464839649.30742598</v>
      </c>
      <c r="E39" s="251">
        <f>E76+E112</f>
        <v>3034773540.82335</v>
      </c>
      <c r="F39" s="251">
        <f>F76+F112</f>
        <v>8258959.9769386379</v>
      </c>
      <c r="G39" s="251">
        <f>G76+G112</f>
        <v>4317740.509525218</v>
      </c>
      <c r="H39" s="251">
        <f>H76+H112</f>
        <v>-58193184.184443057</v>
      </c>
      <c r="I39" s="251">
        <f>I76+I112</f>
        <v>3092966725.0077934</v>
      </c>
      <c r="J39" s="286">
        <f>A39</f>
        <v>123</v>
      </c>
      <c r="M39" s="49"/>
      <c r="N39" s="288"/>
      <c r="O39" s="288"/>
      <c r="P39" s="288"/>
      <c r="Q39" s="288"/>
      <c r="R39" s="288"/>
      <c r="S39" s="288"/>
      <c r="T39" s="288"/>
      <c r="U39" s="288"/>
      <c r="V39" s="288"/>
    </row>
    <row r="40" spans="1:22" s="290" customFormat="1" x14ac:dyDescent="0.25">
      <c r="A40" s="286">
        <f>A39+1</f>
        <v>124</v>
      </c>
      <c r="C40" s="290" t="s">
        <v>972</v>
      </c>
      <c r="D40" s="248"/>
      <c r="E40" s="248">
        <f>SUM(E27:E39)/13</f>
        <v>2103471236.3804021</v>
      </c>
      <c r="H40" s="242"/>
      <c r="I40" s="248">
        <f>SUM(I27:I39)/13</f>
        <v>2173137026.7469592</v>
      </c>
      <c r="J40" s="286">
        <f>A40</f>
        <v>124</v>
      </c>
    </row>
    <row r="41" spans="1:22" x14ac:dyDescent="0.25">
      <c r="A41" s="286">
        <v>125</v>
      </c>
      <c r="C41" s="262" t="s">
        <v>971</v>
      </c>
      <c r="F41" s="248">
        <f>SUM(F28:F39)</f>
        <v>70725316.267834246</v>
      </c>
      <c r="J41" s="286">
        <v>125</v>
      </c>
      <c r="N41" s="288"/>
    </row>
    <row r="42" spans="1:22" x14ac:dyDescent="0.25">
      <c r="A42" s="286"/>
      <c r="C42" s="262"/>
      <c r="F42" s="248"/>
      <c r="J42" s="286"/>
      <c r="N42" s="288"/>
    </row>
    <row r="43" spans="1:22" x14ac:dyDescent="0.25">
      <c r="B43" s="303" t="s">
        <v>970</v>
      </c>
      <c r="C43" s="301"/>
      <c r="D43" s="301"/>
      <c r="E43" s="301"/>
      <c r="F43" s="305"/>
      <c r="G43" s="301"/>
      <c r="H43" s="301"/>
      <c r="I43" s="305"/>
    </row>
    <row r="44" spans="1:22" x14ac:dyDescent="0.25">
      <c r="B44" s="284" t="s">
        <v>969</v>
      </c>
    </row>
    <row r="45" spans="1:22" x14ac:dyDescent="0.25">
      <c r="B45" s="284" t="s">
        <v>968</v>
      </c>
    </row>
    <row r="46" spans="1:22" x14ac:dyDescent="0.25">
      <c r="B46" s="284" t="s">
        <v>967</v>
      </c>
    </row>
    <row r="48" spans="1:22" x14ac:dyDescent="0.25">
      <c r="A48" s="286"/>
      <c r="D48" s="280" t="s">
        <v>492</v>
      </c>
      <c r="E48" s="280" t="s">
        <v>491</v>
      </c>
      <c r="F48" s="280" t="s">
        <v>490</v>
      </c>
      <c r="G48" s="280" t="s">
        <v>489</v>
      </c>
      <c r="H48" s="280" t="s">
        <v>519</v>
      </c>
      <c r="I48" s="280" t="s">
        <v>518</v>
      </c>
      <c r="J48" s="286"/>
    </row>
    <row r="49" spans="1:13" ht="69" customHeight="1" x14ac:dyDescent="0.25">
      <c r="A49" s="286"/>
      <c r="D49" s="300" t="s">
        <v>99</v>
      </c>
      <c r="E49" s="300" t="s">
        <v>961</v>
      </c>
      <c r="F49" s="300" t="s">
        <v>960</v>
      </c>
      <c r="G49" s="300" t="s">
        <v>183</v>
      </c>
      <c r="H49" s="300" t="s">
        <v>959</v>
      </c>
      <c r="I49" s="300" t="s">
        <v>958</v>
      </c>
      <c r="J49" s="286"/>
    </row>
    <row r="50" spans="1:13" x14ac:dyDescent="0.25">
      <c r="A50" s="286"/>
      <c r="E50" s="286"/>
      <c r="F50" s="286"/>
      <c r="G50" s="286"/>
      <c r="H50" s="286"/>
      <c r="J50" s="286"/>
    </row>
    <row r="51" spans="1:13" x14ac:dyDescent="0.25">
      <c r="A51" s="286"/>
      <c r="B51" s="299" t="str">
        <f>B14</f>
        <v>Forecast Period</v>
      </c>
      <c r="C51" s="299"/>
      <c r="D51" s="286" t="s">
        <v>957</v>
      </c>
      <c r="E51" s="286" t="s">
        <v>954</v>
      </c>
      <c r="F51" s="286" t="s">
        <v>956</v>
      </c>
      <c r="G51" s="286" t="s">
        <v>955</v>
      </c>
      <c r="H51" s="286" t="s">
        <v>954</v>
      </c>
      <c r="I51" s="286" t="s">
        <v>953</v>
      </c>
      <c r="J51" s="286"/>
    </row>
    <row r="52" spans="1:13" x14ac:dyDescent="0.25">
      <c r="A52" s="297" t="s">
        <v>106</v>
      </c>
      <c r="B52" s="297" t="str">
        <f>B15</f>
        <v>Month</v>
      </c>
      <c r="C52" s="297" t="str">
        <f>C15</f>
        <v>Year</v>
      </c>
      <c r="D52" s="297" t="s">
        <v>948</v>
      </c>
      <c r="E52" s="297" t="s">
        <v>952</v>
      </c>
      <c r="F52" s="297" t="s">
        <v>951</v>
      </c>
      <c r="G52" s="297" t="s">
        <v>950</v>
      </c>
      <c r="H52" s="297" t="s">
        <v>949</v>
      </c>
      <c r="I52" s="297" t="s">
        <v>948</v>
      </c>
      <c r="J52" s="297" t="str">
        <f>A52</f>
        <v>Line</v>
      </c>
      <c r="M52" s="297"/>
    </row>
    <row r="53" spans="1:13" x14ac:dyDescent="0.25">
      <c r="A53" s="286">
        <v>200</v>
      </c>
      <c r="B53" s="296" t="s">
        <v>478</v>
      </c>
      <c r="C53" s="255">
        <f>'1-BaseTRR'!$G$3+1</f>
        <v>2026</v>
      </c>
      <c r="D53" s="241">
        <v>75242832.884214267</v>
      </c>
      <c r="E53" s="242">
        <f>D53</f>
        <v>75242832.884214267</v>
      </c>
      <c r="F53" s="242">
        <f>E53*IF(C53=2023,'12-DepRates'!$N$57/12,'12-DepRates'!$N$35/12)</f>
        <v>204769.00071219532</v>
      </c>
      <c r="G53" s="241">
        <v>2999005.916981664</v>
      </c>
      <c r="H53" s="242">
        <f>F53-G53</f>
        <v>-2794236.9162694686</v>
      </c>
      <c r="I53" s="242">
        <f>E53-H53</f>
        <v>78037069.800483733</v>
      </c>
      <c r="J53" s="286">
        <f>A53</f>
        <v>200</v>
      </c>
      <c r="L53" s="288"/>
    </row>
    <row r="54" spans="1:13" x14ac:dyDescent="0.25">
      <c r="A54" s="286">
        <f>A53+1</f>
        <v>201</v>
      </c>
      <c r="B54" s="296" t="s">
        <v>477</v>
      </c>
      <c r="C54" s="255">
        <f>'1-BaseTRR'!$G$3+1</f>
        <v>2026</v>
      </c>
      <c r="D54" s="241">
        <v>31252347.962707251</v>
      </c>
      <c r="E54" s="242">
        <f>E53+D54</f>
        <v>106495180.84692152</v>
      </c>
      <c r="F54" s="242">
        <f>E54*IF(C54=2023,'12-DepRates'!$N$57/12,'12-DepRates'!$N$35/12)</f>
        <v>289820.45102216868</v>
      </c>
      <c r="G54" s="241">
        <v>3063059.5278049461</v>
      </c>
      <c r="H54" s="242">
        <f>H53+F54-G54</f>
        <v>-5567475.993052246</v>
      </c>
      <c r="I54" s="242">
        <f>E54-H54</f>
        <v>112062656.83997376</v>
      </c>
      <c r="J54" s="286">
        <f>A54</f>
        <v>201</v>
      </c>
      <c r="L54" s="288"/>
    </row>
    <row r="55" spans="1:13" x14ac:dyDescent="0.25">
      <c r="A55" s="286">
        <f>A54+1</f>
        <v>202</v>
      </c>
      <c r="B55" s="296" t="s">
        <v>476</v>
      </c>
      <c r="C55" s="255">
        <f>'1-BaseTRR'!$G$3+1</f>
        <v>2026</v>
      </c>
      <c r="D55" s="241">
        <v>70502440.562219501</v>
      </c>
      <c r="E55" s="242">
        <f>E54+D55</f>
        <v>176997621.409141</v>
      </c>
      <c r="F55" s="242">
        <f>E55*IF(C55=2023,'12-DepRates'!$N$57/12,'12-DepRates'!$N$35/12)</f>
        <v>481688.74928138283</v>
      </c>
      <c r="G55" s="241">
        <v>4307790.4024542766</v>
      </c>
      <c r="H55" s="242">
        <f>H54+F55-G55</f>
        <v>-9393577.6462251395</v>
      </c>
      <c r="I55" s="242">
        <f>E55-H55</f>
        <v>186391199.05536616</v>
      </c>
      <c r="J55" s="286">
        <f>A55</f>
        <v>202</v>
      </c>
      <c r="L55" s="288"/>
    </row>
    <row r="56" spans="1:13" x14ac:dyDescent="0.25">
      <c r="A56" s="286">
        <f>A55+1</f>
        <v>203</v>
      </c>
      <c r="B56" s="296" t="s">
        <v>475</v>
      </c>
      <c r="C56" s="255">
        <f>'1-BaseTRR'!$G$3+1</f>
        <v>2026</v>
      </c>
      <c r="D56" s="241">
        <v>81362461.872782126</v>
      </c>
      <c r="E56" s="242">
        <f>E55+D56</f>
        <v>258360083.28192312</v>
      </c>
      <c r="F56" s="242">
        <f>E56*IF(C56=2023,'12-DepRates'!$N$57/12,'12-DepRates'!$N$35/12)</f>
        <v>703111.96494913066</v>
      </c>
      <c r="G56" s="241">
        <v>2732458.4091183315</v>
      </c>
      <c r="H56" s="242">
        <f>H55+F56-G56</f>
        <v>-11422924.09039434</v>
      </c>
      <c r="I56" s="242">
        <f>E56-H56</f>
        <v>269783007.37231743</v>
      </c>
      <c r="J56" s="286">
        <f>A56</f>
        <v>203</v>
      </c>
      <c r="L56" s="288"/>
    </row>
    <row r="57" spans="1:13" x14ac:dyDescent="0.25">
      <c r="A57" s="286">
        <f>A56+1</f>
        <v>204</v>
      </c>
      <c r="B57" s="296" t="s">
        <v>474</v>
      </c>
      <c r="C57" s="255">
        <f>'1-BaseTRR'!$G$3+1</f>
        <v>2026</v>
      </c>
      <c r="D57" s="241">
        <v>88935112.980815023</v>
      </c>
      <c r="E57" s="242">
        <f>E56+D57</f>
        <v>347295196.26273811</v>
      </c>
      <c r="F57" s="242">
        <f>E57*IF(C57=2023,'12-DepRates'!$N$57/12,'12-DepRates'!$N$35/12)</f>
        <v>945143.71090068854</v>
      </c>
      <c r="G57" s="241">
        <v>2931101.4303004993</v>
      </c>
      <c r="H57" s="242">
        <f>H56+F57-G57</f>
        <v>-13408881.80979415</v>
      </c>
      <c r="I57" s="242">
        <f>E57-H57</f>
        <v>360704078.07253224</v>
      </c>
      <c r="J57" s="286">
        <f>A57</f>
        <v>204</v>
      </c>
      <c r="L57" s="288"/>
    </row>
    <row r="58" spans="1:13" x14ac:dyDescent="0.25">
      <c r="A58" s="286">
        <f>A57+1</f>
        <v>205</v>
      </c>
      <c r="B58" s="296" t="s">
        <v>473</v>
      </c>
      <c r="C58" s="255">
        <f>'1-BaseTRR'!$G$3+1</f>
        <v>2026</v>
      </c>
      <c r="D58" s="241">
        <v>79482601.939882413</v>
      </c>
      <c r="E58" s="242">
        <f>E57+D58</f>
        <v>426777798.20262051</v>
      </c>
      <c r="F58" s="242">
        <f>E58*IF(C58=2023,'12-DepRates'!$N$57/12,'12-DepRates'!$N$35/12)</f>
        <v>1161450.9969152943</v>
      </c>
      <c r="G58" s="241">
        <v>2960904.2240928831</v>
      </c>
      <c r="H58" s="242">
        <f>H57+F58-G58</f>
        <v>-15208335.03697174</v>
      </c>
      <c r="I58" s="242">
        <f>E58-H58</f>
        <v>441986133.23959225</v>
      </c>
      <c r="J58" s="286">
        <f>A58</f>
        <v>205</v>
      </c>
    </row>
    <row r="59" spans="1:13" x14ac:dyDescent="0.25">
      <c r="A59" s="286">
        <f>A58+1</f>
        <v>206</v>
      </c>
      <c r="B59" s="296" t="s">
        <v>472</v>
      </c>
      <c r="C59" s="255">
        <f>'1-BaseTRR'!$G$3+1</f>
        <v>2026</v>
      </c>
      <c r="D59" s="241">
        <v>34816215.635973021</v>
      </c>
      <c r="E59" s="242">
        <f>E58+D59</f>
        <v>461594013.83859354</v>
      </c>
      <c r="F59" s="242">
        <f>E59*IF(C59=2023,'12-DepRates'!$N$57/12,'12-DepRates'!$N$35/12)</f>
        <v>1256201.3061617475</v>
      </c>
      <c r="G59" s="241">
        <v>2904920.8701436967</v>
      </c>
      <c r="H59" s="242">
        <f>H58+F59-G59</f>
        <v>-16857054.600953691</v>
      </c>
      <c r="I59" s="242">
        <f>E59-H59</f>
        <v>478451068.43954724</v>
      </c>
      <c r="J59" s="286">
        <f>A59</f>
        <v>206</v>
      </c>
      <c r="L59" s="288"/>
    </row>
    <row r="60" spans="1:13" x14ac:dyDescent="0.25">
      <c r="A60" s="286">
        <f>A59+1</f>
        <v>207</v>
      </c>
      <c r="B60" s="296" t="s">
        <v>471</v>
      </c>
      <c r="C60" s="255">
        <f>'1-BaseTRR'!$G$3+1</f>
        <v>2026</v>
      </c>
      <c r="D60" s="241">
        <v>31076780.342903234</v>
      </c>
      <c r="E60" s="242">
        <f>E59+D60</f>
        <v>492670794.1814968</v>
      </c>
      <c r="F60" s="242">
        <f>E60*IF(C60=2023,'12-DepRates'!$N$57/12,'12-DepRates'!$N$35/12)</f>
        <v>1340774.9593887748</v>
      </c>
      <c r="G60" s="241">
        <v>2643474.0175685617</v>
      </c>
      <c r="H60" s="242">
        <f>H59+F60-G60</f>
        <v>-18159753.659133479</v>
      </c>
      <c r="I60" s="242">
        <f>E60-H60</f>
        <v>510830547.84063029</v>
      </c>
      <c r="J60" s="286">
        <f>A60</f>
        <v>207</v>
      </c>
      <c r="L60" s="288"/>
    </row>
    <row r="61" spans="1:13" x14ac:dyDescent="0.25">
      <c r="A61" s="286">
        <f>A60+1</f>
        <v>208</v>
      </c>
      <c r="B61" s="296" t="s">
        <v>470</v>
      </c>
      <c r="C61" s="255">
        <f>'1-BaseTRR'!$G$3+1</f>
        <v>2026</v>
      </c>
      <c r="D61" s="241">
        <v>32021624.701828793</v>
      </c>
      <c r="E61" s="242">
        <f>E60+D61</f>
        <v>524692418.88332558</v>
      </c>
      <c r="F61" s="242">
        <f>E61*IF(C61=2023,'12-DepRates'!$N$57/12,'12-DepRates'!$N$35/12)</f>
        <v>1427919.9516761408</v>
      </c>
      <c r="G61" s="241">
        <v>3118464.6114042709</v>
      </c>
      <c r="H61" s="242">
        <f>H60+F61-G61</f>
        <v>-19850298.318861607</v>
      </c>
      <c r="I61" s="242">
        <f>E61-H61</f>
        <v>544542717.20218718</v>
      </c>
      <c r="J61" s="286">
        <f>A61</f>
        <v>208</v>
      </c>
      <c r="L61" s="288"/>
    </row>
    <row r="62" spans="1:13" x14ac:dyDescent="0.25">
      <c r="A62" s="286">
        <f>A61+1</f>
        <v>209</v>
      </c>
      <c r="B62" s="296" t="s">
        <v>966</v>
      </c>
      <c r="C62" s="255">
        <f>'1-BaseTRR'!$G$3+1</f>
        <v>2026</v>
      </c>
      <c r="D62" s="241">
        <v>73663025.510408819</v>
      </c>
      <c r="E62" s="242">
        <f>E61+D62</f>
        <v>598355444.39373446</v>
      </c>
      <c r="F62" s="242">
        <f>E62*IF(C62=2023,'12-DepRates'!$N$57/12,'12-DepRates'!$N$35/12)</f>
        <v>1628389.5983521892</v>
      </c>
      <c r="G62" s="241">
        <v>2791795.3186593773</v>
      </c>
      <c r="H62" s="242">
        <f>H61+F62-G62</f>
        <v>-21013704.039168794</v>
      </c>
      <c r="I62" s="242">
        <f>E62-H62</f>
        <v>619369148.43290329</v>
      </c>
      <c r="J62" s="286">
        <f>A62</f>
        <v>209</v>
      </c>
      <c r="L62" s="288"/>
    </row>
    <row r="63" spans="1:13" x14ac:dyDescent="0.25">
      <c r="A63" s="286">
        <f>A62+1</f>
        <v>210</v>
      </c>
      <c r="B63" s="296" t="s">
        <v>468</v>
      </c>
      <c r="C63" s="255">
        <f>'1-BaseTRR'!$G$3+1</f>
        <v>2026</v>
      </c>
      <c r="D63" s="241">
        <v>20225178.238649774</v>
      </c>
      <c r="E63" s="242">
        <f>E62+D63</f>
        <v>618580622.63238418</v>
      </c>
      <c r="F63" s="242">
        <f>E63*IF(C63=2023,'12-DepRates'!$N$57/12,'12-DepRates'!$N$35/12)</f>
        <v>1683431.2465517907</v>
      </c>
      <c r="G63" s="241">
        <v>2186115.8008647677</v>
      </c>
      <c r="H63" s="242">
        <f>H62+F63-G63</f>
        <v>-21516388.593481772</v>
      </c>
      <c r="I63" s="242">
        <f>E63-H63</f>
        <v>640097011.22586596</v>
      </c>
      <c r="J63" s="286">
        <f>A63</f>
        <v>210</v>
      </c>
      <c r="L63" s="288"/>
    </row>
    <row r="64" spans="1:13" x14ac:dyDescent="0.25">
      <c r="A64" s="286">
        <f>A63+1</f>
        <v>211</v>
      </c>
      <c r="B64" s="296" t="s">
        <v>467</v>
      </c>
      <c r="C64" s="255">
        <f>'1-BaseTRR'!$G$3+1</f>
        <v>2026</v>
      </c>
      <c r="D64" s="241">
        <v>54298667.767626956</v>
      </c>
      <c r="E64" s="242">
        <f>E63+D64</f>
        <v>672879290.40001118</v>
      </c>
      <c r="F64" s="242">
        <f>E64*IF(C64=2023,'12-DepRates'!$N$57/12,'12-DepRates'!$N$35/12)</f>
        <v>1831201.9180241183</v>
      </c>
      <c r="G64" s="241">
        <v>2848049.1911232914</v>
      </c>
      <c r="H64" s="242">
        <f>H63+F64-G64</f>
        <v>-22533235.866580945</v>
      </c>
      <c r="I64" s="242">
        <f>E64-H64</f>
        <v>695412526.26659214</v>
      </c>
      <c r="J64" s="286">
        <f>A64</f>
        <v>211</v>
      </c>
      <c r="L64" s="288"/>
    </row>
    <row r="65" spans="1:12" x14ac:dyDescent="0.25">
      <c r="A65" s="286">
        <f>A64+1</f>
        <v>212</v>
      </c>
      <c r="B65" s="296" t="s">
        <v>478</v>
      </c>
      <c r="C65" s="255">
        <f>'1-BaseTRR'!$G$2</f>
        <v>2027</v>
      </c>
      <c r="D65" s="241">
        <v>49047129.075812265</v>
      </c>
      <c r="E65" s="242">
        <f>E64+D65</f>
        <v>721926419.4758234</v>
      </c>
      <c r="F65" s="242">
        <f>E65*'12-DepRates'!$N$35/12</f>
        <v>1964680.8318777618</v>
      </c>
      <c r="G65" s="241">
        <v>2296079.8695961516</v>
      </c>
      <c r="H65" s="242">
        <f>H64+F65-G65</f>
        <v>-22864634.904299334</v>
      </c>
      <c r="I65" s="242">
        <f>E65-H65</f>
        <v>744791054.38012278</v>
      </c>
      <c r="J65" s="286">
        <f>A65</f>
        <v>212</v>
      </c>
      <c r="L65" s="288"/>
    </row>
    <row r="66" spans="1:12" x14ac:dyDescent="0.25">
      <c r="A66" s="286">
        <f>A65+1</f>
        <v>213</v>
      </c>
      <c r="B66" s="296" t="s">
        <v>477</v>
      </c>
      <c r="C66" s="295">
        <f>'1-BaseTRR'!$G$2</f>
        <v>2027</v>
      </c>
      <c r="D66" s="241">
        <v>31584671.285307322</v>
      </c>
      <c r="E66" s="242">
        <f>E65+D66</f>
        <v>753511090.76113069</v>
      </c>
      <c r="F66" s="242">
        <f>E66*'12-DepRates'!$N$35/12</f>
        <v>2050636.6808138059</v>
      </c>
      <c r="G66" s="241">
        <v>2177940.749610051</v>
      </c>
      <c r="H66" s="242">
        <f>H65+F66-G66</f>
        <v>-22991938.973095581</v>
      </c>
      <c r="I66" s="242">
        <f>E66-H66</f>
        <v>776503029.73422623</v>
      </c>
      <c r="J66" s="286">
        <f>A66</f>
        <v>213</v>
      </c>
      <c r="L66" s="288"/>
    </row>
    <row r="67" spans="1:12" x14ac:dyDescent="0.25">
      <c r="A67" s="286">
        <f>A66+1</f>
        <v>214</v>
      </c>
      <c r="B67" s="296" t="s">
        <v>476</v>
      </c>
      <c r="C67" s="295">
        <f>'1-BaseTRR'!$G$2</f>
        <v>2027</v>
      </c>
      <c r="D67" s="241">
        <v>62397087.292722501</v>
      </c>
      <c r="E67" s="242">
        <f>E66+D67</f>
        <v>815908178.05385315</v>
      </c>
      <c r="F67" s="242">
        <f>E67*'12-DepRates'!$N$35/12</f>
        <v>2220446.7307881867</v>
      </c>
      <c r="G67" s="241">
        <v>2117443.1239602463</v>
      </c>
      <c r="H67" s="242">
        <f>H66+F67-G67</f>
        <v>-22888935.36626764</v>
      </c>
      <c r="I67" s="242">
        <f>E67-H67</f>
        <v>838797113.42012084</v>
      </c>
      <c r="J67" s="286">
        <f>A67</f>
        <v>214</v>
      </c>
      <c r="L67" s="288"/>
    </row>
    <row r="68" spans="1:12" x14ac:dyDescent="0.25">
      <c r="A68" s="286">
        <f>A67+1</f>
        <v>215</v>
      </c>
      <c r="B68" s="296" t="s">
        <v>475</v>
      </c>
      <c r="C68" s="295">
        <f>'1-BaseTRR'!$G$2</f>
        <v>2027</v>
      </c>
      <c r="D68" s="241">
        <v>29409841.794497322</v>
      </c>
      <c r="E68" s="242">
        <f>E67+D68</f>
        <v>845318019.84835052</v>
      </c>
      <c r="F68" s="242">
        <f>E68*'12-DepRates'!$N$35/12</f>
        <v>2300483.9075466716</v>
      </c>
      <c r="G68" s="241">
        <v>1519621.3742285382</v>
      </c>
      <c r="H68" s="242">
        <f>H67+F68-G68</f>
        <v>-22108072.832949504</v>
      </c>
      <c r="I68" s="242">
        <f>E68-H68</f>
        <v>867426092.68130004</v>
      </c>
      <c r="J68" s="286">
        <f>A68</f>
        <v>215</v>
      </c>
      <c r="L68" s="288"/>
    </row>
    <row r="69" spans="1:12" x14ac:dyDescent="0.25">
      <c r="A69" s="286">
        <f>A68+1</f>
        <v>216</v>
      </c>
      <c r="B69" s="296" t="s">
        <v>474</v>
      </c>
      <c r="C69" s="295">
        <f>'1-BaseTRR'!$G$2</f>
        <v>2027</v>
      </c>
      <c r="D69" s="241">
        <v>65701569.936034918</v>
      </c>
      <c r="E69" s="242">
        <f>E68+D69</f>
        <v>911019589.78438544</v>
      </c>
      <c r="F69" s="242">
        <f>E69*'12-DepRates'!$N$35/12</f>
        <v>2479286.9151597302</v>
      </c>
      <c r="G69" s="241">
        <v>1652531.7324285791</v>
      </c>
      <c r="H69" s="242">
        <f>H68+F69-G69</f>
        <v>-21281317.650218353</v>
      </c>
      <c r="I69" s="242">
        <f>E69-H69</f>
        <v>932300907.43460381</v>
      </c>
      <c r="J69" s="286">
        <f>A69</f>
        <v>216</v>
      </c>
      <c r="L69" s="288"/>
    </row>
    <row r="70" spans="1:12" x14ac:dyDescent="0.25">
      <c r="A70" s="286">
        <f>A69+1</f>
        <v>217</v>
      </c>
      <c r="B70" s="296" t="s">
        <v>473</v>
      </c>
      <c r="C70" s="295">
        <f>'1-BaseTRR'!$G$2</f>
        <v>2027</v>
      </c>
      <c r="D70" s="241">
        <v>45999203.802921861</v>
      </c>
      <c r="E70" s="242">
        <f>E69+D70</f>
        <v>957018793.58730733</v>
      </c>
      <c r="F70" s="242">
        <f>E70*'12-DepRates'!$N$35/12</f>
        <v>2604471.0773612713</v>
      </c>
      <c r="G70" s="241">
        <v>1604803.9203051832</v>
      </c>
      <c r="H70" s="242">
        <f>H69+F70-G70</f>
        <v>-20281650.493162267</v>
      </c>
      <c r="I70" s="242">
        <f>E70-H70</f>
        <v>977300444.08046961</v>
      </c>
      <c r="J70" s="286">
        <f>A70</f>
        <v>217</v>
      </c>
      <c r="L70" s="288"/>
    </row>
    <row r="71" spans="1:12" x14ac:dyDescent="0.25">
      <c r="A71" s="286">
        <f>A70+1</f>
        <v>218</v>
      </c>
      <c r="B71" s="296" t="s">
        <v>472</v>
      </c>
      <c r="C71" s="295">
        <f>'1-BaseTRR'!$G$2</f>
        <v>2027</v>
      </c>
      <c r="D71" s="241">
        <v>33314167.254537117</v>
      </c>
      <c r="E71" s="242">
        <f>E70+D71</f>
        <v>990332960.84184444</v>
      </c>
      <c r="F71" s="242">
        <f>E71*'12-DepRates'!$N$35/12</f>
        <v>2695133.6491542277</v>
      </c>
      <c r="G71" s="241">
        <v>1389449.6345838471</v>
      </c>
      <c r="H71" s="242">
        <f>H70+F71-G71</f>
        <v>-18975966.478591885</v>
      </c>
      <c r="I71" s="242">
        <f>E71-H71</f>
        <v>1009308927.3204364</v>
      </c>
      <c r="J71" s="286">
        <f>A71</f>
        <v>218</v>
      </c>
      <c r="L71" s="288"/>
    </row>
    <row r="72" spans="1:12" x14ac:dyDescent="0.25">
      <c r="A72" s="286">
        <f>A71+1</f>
        <v>219</v>
      </c>
      <c r="B72" s="296" t="s">
        <v>471</v>
      </c>
      <c r="C72" s="295">
        <f>'1-BaseTRR'!$G$2</f>
        <v>2027</v>
      </c>
      <c r="D72" s="241">
        <v>22731388.676447518</v>
      </c>
      <c r="E72" s="242">
        <f>E71+D72</f>
        <v>1013064349.518292</v>
      </c>
      <c r="F72" s="242">
        <f>E72*'12-DepRates'!$N$35/12</f>
        <v>2756995.8035369506</v>
      </c>
      <c r="G72" s="241">
        <v>1292543.0177631881</v>
      </c>
      <c r="H72" s="242">
        <f>H71+F72-G72</f>
        <v>-17511513.69281812</v>
      </c>
      <c r="I72" s="242">
        <f>E72-H72</f>
        <v>1030575863.2111101</v>
      </c>
      <c r="J72" s="286">
        <f>A72</f>
        <v>219</v>
      </c>
      <c r="L72" s="288"/>
    </row>
    <row r="73" spans="1:12" x14ac:dyDescent="0.25">
      <c r="A73" s="286">
        <f>A72+1</f>
        <v>220</v>
      </c>
      <c r="B73" s="296" t="s">
        <v>470</v>
      </c>
      <c r="C73" s="295">
        <f>'1-BaseTRR'!$G$2</f>
        <v>2027</v>
      </c>
      <c r="D73" s="241">
        <v>27179850.616913874</v>
      </c>
      <c r="E73" s="242">
        <f>E72+D73</f>
        <v>1040244200.1352059</v>
      </c>
      <c r="F73" s="242">
        <f>E73*'12-DepRates'!$N$35/12</f>
        <v>2830964.1887902902</v>
      </c>
      <c r="G73" s="241">
        <v>1108822.0740762618</v>
      </c>
      <c r="H73" s="242">
        <f>H72+F73-G73</f>
        <v>-15789371.578104092</v>
      </c>
      <c r="I73" s="242">
        <f>E73-H73</f>
        <v>1056033571.71331</v>
      </c>
      <c r="J73" s="286">
        <f>A73</f>
        <v>220</v>
      </c>
      <c r="L73" s="288"/>
    </row>
    <row r="74" spans="1:12" x14ac:dyDescent="0.25">
      <c r="A74" s="286">
        <f>A73+1</f>
        <v>221</v>
      </c>
      <c r="B74" s="296" t="s">
        <v>469</v>
      </c>
      <c r="C74" s="295">
        <f>'1-BaseTRR'!$G$2</f>
        <v>2027</v>
      </c>
      <c r="D74" s="241">
        <v>16665362.027233919</v>
      </c>
      <c r="E74" s="242">
        <f>E73+D74</f>
        <v>1056909562.1624398</v>
      </c>
      <c r="F74" s="242">
        <f>E74*'12-DepRates'!$N$35/12</f>
        <v>2876318.003871588</v>
      </c>
      <c r="G74" s="241">
        <v>972557.61945228104</v>
      </c>
      <c r="H74" s="242">
        <f>H73+F74-G74</f>
        <v>-13885611.193684785</v>
      </c>
      <c r="I74" s="242">
        <f>E74-H74</f>
        <v>1070795173.3561246</v>
      </c>
      <c r="J74" s="286">
        <f>A74</f>
        <v>221</v>
      </c>
      <c r="L74" s="288"/>
    </row>
    <row r="75" spans="1:12" x14ac:dyDescent="0.25">
      <c r="A75" s="286">
        <f>A74+1</f>
        <v>222</v>
      </c>
      <c r="B75" s="296" t="s">
        <v>468</v>
      </c>
      <c r="C75" s="295">
        <f>'1-BaseTRR'!$G$2</f>
        <v>2027</v>
      </c>
      <c r="D75" s="241">
        <v>9613589.2450260278</v>
      </c>
      <c r="E75" s="242">
        <f>E74+D75</f>
        <v>1066523151.4074658</v>
      </c>
      <c r="F75" s="242">
        <f>E75*'12-DepRates'!$N$35/12</f>
        <v>2902480.8287879596</v>
      </c>
      <c r="G75" s="241">
        <v>949081.51830746513</v>
      </c>
      <c r="H75" s="242">
        <f>H74+F75-G75</f>
        <v>-11932211.883204289</v>
      </c>
      <c r="I75" s="242">
        <f>E75-H75</f>
        <v>1078455363.2906702</v>
      </c>
      <c r="J75" s="286">
        <f>A75</f>
        <v>222</v>
      </c>
      <c r="L75" s="288"/>
    </row>
    <row r="76" spans="1:12" x14ac:dyDescent="0.25">
      <c r="A76" s="286">
        <f>A75+1</f>
        <v>223</v>
      </c>
      <c r="B76" s="294" t="s">
        <v>467</v>
      </c>
      <c r="C76" s="293">
        <f>'1-BaseTRR'!$G$2</f>
        <v>2027</v>
      </c>
      <c r="D76" s="252">
        <v>101326419.37906072</v>
      </c>
      <c r="E76" s="251">
        <f>E75+D76</f>
        <v>1167849570.7865264</v>
      </c>
      <c r="F76" s="251">
        <f>E76*'12-DepRates'!$N$35/12</f>
        <v>3178234.7955999672</v>
      </c>
      <c r="G76" s="252">
        <v>1017950.6462335992</v>
      </c>
      <c r="H76" s="251">
        <f>H75+F76-G76</f>
        <v>-9771927.7338379212</v>
      </c>
      <c r="I76" s="251">
        <f>E76-H76</f>
        <v>1177621498.5203643</v>
      </c>
      <c r="J76" s="286">
        <f>A76</f>
        <v>223</v>
      </c>
      <c r="L76" s="288"/>
    </row>
    <row r="77" spans="1:12" x14ac:dyDescent="0.25">
      <c r="A77" s="286">
        <f>A76+1</f>
        <v>224</v>
      </c>
      <c r="B77" s="290"/>
      <c r="C77" s="286" t="s">
        <v>947</v>
      </c>
      <c r="D77" s="248"/>
      <c r="E77" s="248">
        <f>SUM(E64:E76)/13</f>
        <v>924038859.75097191</v>
      </c>
      <c r="F77" s="242"/>
      <c r="G77" s="242"/>
      <c r="H77" s="242"/>
      <c r="I77" s="248">
        <f>SUM(I64:I76)/13</f>
        <v>942717043.49303484</v>
      </c>
      <c r="J77" s="286">
        <f>A77</f>
        <v>224</v>
      </c>
    </row>
    <row r="78" spans="1:12" x14ac:dyDescent="0.25">
      <c r="A78" s="286"/>
      <c r="D78" s="304"/>
      <c r="J78" s="286"/>
    </row>
    <row r="79" spans="1:12" x14ac:dyDescent="0.25">
      <c r="B79" s="303" t="s">
        <v>965</v>
      </c>
      <c r="C79" s="301"/>
      <c r="D79" s="302"/>
      <c r="E79" s="301"/>
      <c r="F79" s="301"/>
      <c r="G79" s="301"/>
      <c r="H79" s="301"/>
      <c r="I79" s="301"/>
    </row>
    <row r="80" spans="1:12" x14ac:dyDescent="0.25">
      <c r="B80" s="284" t="s">
        <v>964</v>
      </c>
    </row>
    <row r="81" spans="1:13" x14ac:dyDescent="0.25">
      <c r="B81" s="284" t="s">
        <v>963</v>
      </c>
    </row>
    <row r="82" spans="1:13" x14ac:dyDescent="0.25">
      <c r="B82" s="284" t="s">
        <v>962</v>
      </c>
    </row>
    <row r="84" spans="1:13" x14ac:dyDescent="0.25">
      <c r="A84" s="286"/>
      <c r="D84" s="280" t="s">
        <v>492</v>
      </c>
      <c r="E84" s="280" t="s">
        <v>491</v>
      </c>
      <c r="F84" s="280" t="s">
        <v>490</v>
      </c>
      <c r="G84" s="280" t="s">
        <v>489</v>
      </c>
      <c r="H84" s="280" t="s">
        <v>519</v>
      </c>
      <c r="I84" s="280" t="s">
        <v>518</v>
      </c>
      <c r="J84" s="286"/>
    </row>
    <row r="85" spans="1:13" ht="63" customHeight="1" x14ac:dyDescent="0.25">
      <c r="A85" s="286"/>
      <c r="D85" s="300" t="s">
        <v>99</v>
      </c>
      <c r="E85" s="300" t="s">
        <v>961</v>
      </c>
      <c r="F85" s="300" t="s">
        <v>960</v>
      </c>
      <c r="G85" s="300" t="s">
        <v>183</v>
      </c>
      <c r="H85" s="300" t="s">
        <v>959</v>
      </c>
      <c r="I85" s="300" t="s">
        <v>958</v>
      </c>
      <c r="J85" s="286"/>
    </row>
    <row r="86" spans="1:13" x14ac:dyDescent="0.25">
      <c r="A86" s="286"/>
      <c r="E86" s="286"/>
      <c r="F86" s="286"/>
      <c r="G86" s="286"/>
      <c r="H86" s="286"/>
      <c r="I86" s="295"/>
      <c r="J86" s="286"/>
    </row>
    <row r="87" spans="1:13" x14ac:dyDescent="0.25">
      <c r="A87" s="286"/>
      <c r="B87" s="299" t="str">
        <f>B14</f>
        <v>Forecast Period</v>
      </c>
      <c r="C87" s="299"/>
      <c r="D87" s="286" t="s">
        <v>957</v>
      </c>
      <c r="E87" s="286" t="s">
        <v>954</v>
      </c>
      <c r="F87" s="286" t="s">
        <v>956</v>
      </c>
      <c r="G87" s="286" t="s">
        <v>955</v>
      </c>
      <c r="H87" s="286" t="s">
        <v>954</v>
      </c>
      <c r="I87" s="286" t="s">
        <v>953</v>
      </c>
      <c r="J87" s="286"/>
    </row>
    <row r="88" spans="1:13" x14ac:dyDescent="0.25">
      <c r="A88" s="297" t="s">
        <v>106</v>
      </c>
      <c r="B88" s="297" t="str">
        <f>B15</f>
        <v>Month</v>
      </c>
      <c r="C88" s="297" t="str">
        <f>C15</f>
        <v>Year</v>
      </c>
      <c r="D88" s="297" t="s">
        <v>948</v>
      </c>
      <c r="E88" s="297" t="s">
        <v>952</v>
      </c>
      <c r="F88" s="297" t="s">
        <v>951</v>
      </c>
      <c r="G88" s="297" t="s">
        <v>950</v>
      </c>
      <c r="H88" s="297" t="s">
        <v>949</v>
      </c>
      <c r="I88" s="297" t="s">
        <v>948</v>
      </c>
      <c r="J88" s="297" t="str">
        <f>A88</f>
        <v>Line</v>
      </c>
      <c r="L88" s="298"/>
      <c r="M88" s="297"/>
    </row>
    <row r="89" spans="1:13" x14ac:dyDescent="0.25">
      <c r="A89" s="286">
        <v>300</v>
      </c>
      <c r="B89" s="296" t="str">
        <f>B53</f>
        <v>January</v>
      </c>
      <c r="C89" s="255">
        <f>'1-BaseTRR'!$G$3+1</f>
        <v>2026</v>
      </c>
      <c r="D89" s="241">
        <v>61826273.907966264</v>
      </c>
      <c r="E89" s="242">
        <f>D89</f>
        <v>61826273.907966264</v>
      </c>
      <c r="F89" s="242">
        <f>E89*IF(C89=2023,'12-DepRates'!$N$57/12,'12-DepRates'!$N$35/12)</f>
        <v>168256.61449209976</v>
      </c>
      <c r="G89" s="241">
        <v>4212839.9351395844</v>
      </c>
      <c r="H89" s="242">
        <f>F89-G89</f>
        <v>-4044583.3206474846</v>
      </c>
      <c r="I89" s="242">
        <f>E89-H89</f>
        <v>65870857.228613749</v>
      </c>
      <c r="J89" s="286">
        <f>A89</f>
        <v>300</v>
      </c>
      <c r="K89" s="292"/>
      <c r="L89" s="291"/>
      <c r="M89" s="49"/>
    </row>
    <row r="90" spans="1:13" x14ac:dyDescent="0.25">
      <c r="A90" s="286">
        <f>A89+1</f>
        <v>301</v>
      </c>
      <c r="B90" s="296" t="str">
        <f>B54</f>
        <v>February</v>
      </c>
      <c r="C90" s="255">
        <f>'1-BaseTRR'!$G$3+1</f>
        <v>2026</v>
      </c>
      <c r="D90" s="241">
        <v>29624801.306636065</v>
      </c>
      <c r="E90" s="242">
        <f>E89+D90</f>
        <v>91451075.214602321</v>
      </c>
      <c r="F90" s="242">
        <f>E90*IF(C90=2023,'12-DepRates'!$N$57/12,'12-DepRates'!$N$35/12)</f>
        <v>248878.79108122556</v>
      </c>
      <c r="G90" s="241">
        <v>4522787.9075675029</v>
      </c>
      <c r="H90" s="242">
        <f>H89+F90-G90</f>
        <v>-8318492.4371337621</v>
      </c>
      <c r="I90" s="242">
        <f>E90-H90</f>
        <v>99769567.651736081</v>
      </c>
      <c r="J90" s="286">
        <f>A90</f>
        <v>301</v>
      </c>
      <c r="K90" s="292"/>
      <c r="L90" s="291"/>
      <c r="M90" s="49"/>
    </row>
    <row r="91" spans="1:13" x14ac:dyDescent="0.25">
      <c r="A91" s="286">
        <f>A90+1</f>
        <v>302</v>
      </c>
      <c r="B91" s="296" t="str">
        <f>B55</f>
        <v>March</v>
      </c>
      <c r="C91" s="255">
        <f>'1-BaseTRR'!$G$3+1</f>
        <v>2026</v>
      </c>
      <c r="D91" s="241">
        <v>46780219.417157203</v>
      </c>
      <c r="E91" s="242">
        <f>E90+D91</f>
        <v>138231294.63175952</v>
      </c>
      <c r="F91" s="242">
        <f>E91*IF(C91=2023,'12-DepRates'!$N$57/12,'12-DepRates'!$N$35/12)</f>
        <v>376188.4419271627</v>
      </c>
      <c r="G91" s="241">
        <v>4012400.1460486911</v>
      </c>
      <c r="H91" s="242">
        <f>H90+F91-G91</f>
        <v>-11954704.141255289</v>
      </c>
      <c r="I91" s="242">
        <f>E91-H91</f>
        <v>150185998.77301481</v>
      </c>
      <c r="J91" s="286">
        <f>A91</f>
        <v>302</v>
      </c>
      <c r="K91" s="292"/>
      <c r="L91" s="291"/>
      <c r="M91" s="49"/>
    </row>
    <row r="92" spans="1:13" x14ac:dyDescent="0.25">
      <c r="A92" s="286">
        <f>A91+1</f>
        <v>303</v>
      </c>
      <c r="B92" s="296" t="str">
        <f>B56</f>
        <v>April</v>
      </c>
      <c r="C92" s="255">
        <f>'1-BaseTRR'!$G$3+1</f>
        <v>2026</v>
      </c>
      <c r="D92" s="241">
        <v>108841115.64896941</v>
      </c>
      <c r="E92" s="242">
        <f>E91+D92</f>
        <v>247072410.28072894</v>
      </c>
      <c r="F92" s="242">
        <f>E92*IF(C92=2023,'12-DepRates'!$N$57/12,'12-DepRates'!$N$35/12)</f>
        <v>672393.21829617897</v>
      </c>
      <c r="G92" s="241">
        <v>4002737.3147526975</v>
      </c>
      <c r="H92" s="242">
        <f>H91+F92-G92</f>
        <v>-15285048.237711808</v>
      </c>
      <c r="I92" s="242">
        <f>E92-H92</f>
        <v>262357458.51844075</v>
      </c>
      <c r="J92" s="286">
        <f>A92</f>
        <v>303</v>
      </c>
      <c r="K92" s="292"/>
      <c r="L92" s="291"/>
      <c r="M92" s="49"/>
    </row>
    <row r="93" spans="1:13" x14ac:dyDescent="0.25">
      <c r="A93" s="286">
        <f>A92+1</f>
        <v>304</v>
      </c>
      <c r="B93" s="296" t="str">
        <f>B57</f>
        <v>May</v>
      </c>
      <c r="C93" s="255">
        <f>'1-BaseTRR'!$G$3+1</f>
        <v>2026</v>
      </c>
      <c r="D93" s="241">
        <v>33803907.211570024</v>
      </c>
      <c r="E93" s="242">
        <f>E92+D93</f>
        <v>280876317.49229896</v>
      </c>
      <c r="F93" s="242">
        <f>E93*IF(C93=2023,'12-DepRates'!$N$57/12,'12-DepRates'!$N$35/12)</f>
        <v>764388.5889454037</v>
      </c>
      <c r="G93" s="241">
        <v>4367758.4623913867</v>
      </c>
      <c r="H93" s="242">
        <f>H92+F93-G93</f>
        <v>-18888418.11115779</v>
      </c>
      <c r="I93" s="242">
        <f>E93-H93</f>
        <v>299764735.60345674</v>
      </c>
      <c r="J93" s="286">
        <f>A93</f>
        <v>304</v>
      </c>
      <c r="K93" s="292"/>
      <c r="L93" s="291"/>
      <c r="M93" s="49"/>
    </row>
    <row r="94" spans="1:13" x14ac:dyDescent="0.25">
      <c r="A94" s="286">
        <f>A93+1</f>
        <v>305</v>
      </c>
      <c r="B94" s="296" t="str">
        <f>B58</f>
        <v xml:space="preserve">June </v>
      </c>
      <c r="C94" s="255">
        <f>'1-BaseTRR'!$G$3+1</f>
        <v>2026</v>
      </c>
      <c r="D94" s="241">
        <v>63850257.565385759</v>
      </c>
      <c r="E94" s="242">
        <f>E93+D94</f>
        <v>344726575.05768472</v>
      </c>
      <c r="F94" s="242">
        <f>E94*IF(C94=2023,'12-DepRates'!$N$57/12,'12-DepRates'!$N$35/12)</f>
        <v>938153.35743836849</v>
      </c>
      <c r="G94" s="241">
        <v>4436230.1829537787</v>
      </c>
      <c r="H94" s="242">
        <f>H93+F94-G94</f>
        <v>-22386494.936673202</v>
      </c>
      <c r="I94" s="242">
        <f>E94-H94</f>
        <v>367113069.99435794</v>
      </c>
      <c r="J94" s="286">
        <f>A94</f>
        <v>305</v>
      </c>
      <c r="K94" s="292"/>
      <c r="L94" s="291"/>
      <c r="M94" s="49"/>
    </row>
    <row r="95" spans="1:13" x14ac:dyDescent="0.25">
      <c r="A95" s="286">
        <f>A94+1</f>
        <v>306</v>
      </c>
      <c r="B95" s="296" t="str">
        <f>B59</f>
        <v>July</v>
      </c>
      <c r="C95" s="255">
        <f>'1-BaseTRR'!$G$3+1</f>
        <v>2026</v>
      </c>
      <c r="D95" s="241">
        <v>53453774.734035119</v>
      </c>
      <c r="E95" s="242">
        <f>E94+D95</f>
        <v>398180349.79171985</v>
      </c>
      <c r="F95" s="242">
        <f>E95*IF(C95=2023,'12-DepRates'!$N$57/12,'12-DepRates'!$N$35/12)</f>
        <v>1083624.7015785696</v>
      </c>
      <c r="G95" s="241">
        <v>4858428.5160468128</v>
      </c>
      <c r="H95" s="242">
        <f>H94+F95-G95</f>
        <v>-26161298.751141444</v>
      </c>
      <c r="I95" s="242">
        <f>E95-H95</f>
        <v>424341648.54286128</v>
      </c>
      <c r="J95" s="286">
        <f>A95</f>
        <v>306</v>
      </c>
      <c r="K95" s="292"/>
      <c r="L95" s="291"/>
      <c r="M95" s="49"/>
    </row>
    <row r="96" spans="1:13" x14ac:dyDescent="0.25">
      <c r="A96" s="286">
        <f>A95+1</f>
        <v>307</v>
      </c>
      <c r="B96" s="296" t="str">
        <f>B60</f>
        <v>August</v>
      </c>
      <c r="C96" s="255">
        <f>'1-BaseTRR'!$G$3+1</f>
        <v>2026</v>
      </c>
      <c r="D96" s="241">
        <v>44018880.841444388</v>
      </c>
      <c r="E96" s="242">
        <f>E95+D96</f>
        <v>442199230.63316423</v>
      </c>
      <c r="F96" s="242">
        <f>E96*IF(C96=2023,'12-DepRates'!$N$57/12,'12-DepRates'!$N$35/12)</f>
        <v>1203419.5298280893</v>
      </c>
      <c r="G96" s="241">
        <v>4862578.8565004133</v>
      </c>
      <c r="H96" s="242">
        <f>H95+F96-G96</f>
        <v>-29820458.077813767</v>
      </c>
      <c r="I96" s="242">
        <f>E96-H96</f>
        <v>472019688.71097797</v>
      </c>
      <c r="J96" s="286">
        <f>A96</f>
        <v>307</v>
      </c>
      <c r="K96" s="292"/>
      <c r="L96" s="291"/>
      <c r="M96" s="49"/>
    </row>
    <row r="97" spans="1:13" x14ac:dyDescent="0.25">
      <c r="A97" s="286">
        <f>A96+1</f>
        <v>308</v>
      </c>
      <c r="B97" s="296" t="str">
        <f>B61</f>
        <v>September</v>
      </c>
      <c r="C97" s="255">
        <f>'1-BaseTRR'!$G$3+1</f>
        <v>2026</v>
      </c>
      <c r="D97" s="241">
        <v>81128934.024248332</v>
      </c>
      <c r="E97" s="242">
        <f>E96+D97</f>
        <v>523328164.65741253</v>
      </c>
      <c r="F97" s="242">
        <f>E97*IF(C97=2023,'12-DepRates'!$N$57/12,'12-DepRates'!$N$35/12)</f>
        <v>1424207.213015869</v>
      </c>
      <c r="G97" s="241">
        <v>5461983.2645751396</v>
      </c>
      <c r="H97" s="242">
        <f>H96+F97-G97</f>
        <v>-33858234.129373036</v>
      </c>
      <c r="I97" s="242">
        <f>E97-H97</f>
        <v>557186398.7867856</v>
      </c>
      <c r="J97" s="286">
        <f>A97</f>
        <v>308</v>
      </c>
      <c r="K97" s="292"/>
      <c r="L97" s="291"/>
      <c r="M97" s="49"/>
    </row>
    <row r="98" spans="1:13" x14ac:dyDescent="0.25">
      <c r="A98" s="286">
        <f>A97+1</f>
        <v>309</v>
      </c>
      <c r="B98" s="296" t="str">
        <f>B62</f>
        <v xml:space="preserve">October </v>
      </c>
      <c r="C98" s="255">
        <f>'1-BaseTRR'!$G$3+1</f>
        <v>2026</v>
      </c>
      <c r="D98" s="241">
        <v>49721820.908668488</v>
      </c>
      <c r="E98" s="242">
        <f>E97+D98</f>
        <v>573049985.56608105</v>
      </c>
      <c r="F98" s="242">
        <f>E98*IF(C98=2023,'12-DepRates'!$N$57/12,'12-DepRates'!$N$35/12)</f>
        <v>1559522.2615165859</v>
      </c>
      <c r="G98" s="241">
        <v>6877736.4706609845</v>
      </c>
      <c r="H98" s="242">
        <f>H97+F98-G98</f>
        <v>-39176448.338517435</v>
      </c>
      <c r="I98" s="242">
        <f>E98-H98</f>
        <v>612226433.90459847</v>
      </c>
      <c r="J98" s="286">
        <f>A98</f>
        <v>309</v>
      </c>
      <c r="K98" s="292"/>
      <c r="L98" s="291"/>
      <c r="M98" s="49"/>
    </row>
    <row r="99" spans="1:13" x14ac:dyDescent="0.25">
      <c r="A99" s="286">
        <f>A98+1</f>
        <v>310</v>
      </c>
      <c r="B99" s="296" t="str">
        <f>B63</f>
        <v>November</v>
      </c>
      <c r="C99" s="255">
        <f>'1-BaseTRR'!$G$3+1</f>
        <v>2026</v>
      </c>
      <c r="D99" s="241">
        <v>32333846.032196924</v>
      </c>
      <c r="E99" s="242">
        <f>E98+D99</f>
        <v>605383831.59827793</v>
      </c>
      <c r="F99" s="242">
        <f>E99*IF(C99=2023,'12-DepRates'!$N$57/12,'12-DepRates'!$N$35/12)</f>
        <v>1647516.9460253876</v>
      </c>
      <c r="G99" s="241">
        <v>5573199.3808704223</v>
      </c>
      <c r="H99" s="242">
        <f>H98+F99-G99</f>
        <v>-43102130.773362473</v>
      </c>
      <c r="I99" s="242">
        <f>E99-H99</f>
        <v>648485962.37164044</v>
      </c>
      <c r="J99" s="286">
        <f>A99</f>
        <v>310</v>
      </c>
      <c r="K99" s="292"/>
      <c r="L99" s="291"/>
      <c r="M99" s="49"/>
    </row>
    <row r="100" spans="1:13" x14ac:dyDescent="0.25">
      <c r="A100" s="286">
        <f>A99+1</f>
        <v>311</v>
      </c>
      <c r="B100" s="296" t="str">
        <f>B64</f>
        <v>December</v>
      </c>
      <c r="C100" s="255">
        <f>'1-BaseTRR'!$G$3+1</f>
        <v>2026</v>
      </c>
      <c r="D100" s="241">
        <v>78685374.677115858</v>
      </c>
      <c r="E100" s="242">
        <f>E99+D100</f>
        <v>684069206.27539372</v>
      </c>
      <c r="F100" s="242">
        <f>E100*IF(C100=2023,'12-DepRates'!$N$57/12,'12-DepRates'!$N$35/12)</f>
        <v>1861654.6243354504</v>
      </c>
      <c r="G100" s="241">
        <v>5836611.058010567</v>
      </c>
      <c r="H100" s="242">
        <f>H99+F100-G100</f>
        <v>-47077087.207037583</v>
      </c>
      <c r="I100" s="242">
        <f>E100-H100</f>
        <v>731146293.48243129</v>
      </c>
      <c r="J100" s="286">
        <f>A100</f>
        <v>311</v>
      </c>
      <c r="K100" s="292"/>
      <c r="L100" s="291"/>
      <c r="M100" s="49"/>
    </row>
    <row r="101" spans="1:13" x14ac:dyDescent="0.25">
      <c r="A101" s="286">
        <f>A100+1</f>
        <v>312</v>
      </c>
      <c r="B101" s="296" t="str">
        <f>B65</f>
        <v>January</v>
      </c>
      <c r="C101" s="255">
        <f>'1-BaseTRR'!$G$2</f>
        <v>2027</v>
      </c>
      <c r="D101" s="241">
        <v>91742268.616121069</v>
      </c>
      <c r="E101" s="242">
        <f>E100+D101</f>
        <v>775811474.89151478</v>
      </c>
      <c r="F101" s="242">
        <f>E101*'12-DepRates'!$N$35/12</f>
        <v>2111325.8813507366</v>
      </c>
      <c r="G101" s="241">
        <v>4575536.2400533855</v>
      </c>
      <c r="H101" s="242">
        <f>H100+F101-G101</f>
        <v>-49541297.565740235</v>
      </c>
      <c r="I101" s="242">
        <f>E101-H101</f>
        <v>825352772.45725501</v>
      </c>
      <c r="J101" s="286">
        <f>A101</f>
        <v>312</v>
      </c>
      <c r="K101" s="292"/>
      <c r="L101" s="291"/>
      <c r="M101" s="49"/>
    </row>
    <row r="102" spans="1:13" x14ac:dyDescent="0.25">
      <c r="A102" s="286">
        <f>A101+1</f>
        <v>313</v>
      </c>
      <c r="B102" s="296" t="str">
        <f>B66</f>
        <v>February</v>
      </c>
      <c r="C102" s="295">
        <f>'1-BaseTRR'!$G$2</f>
        <v>2027</v>
      </c>
      <c r="D102" s="241">
        <v>71971912.548820272</v>
      </c>
      <c r="E102" s="242">
        <f>E101+D102</f>
        <v>847783387.44033504</v>
      </c>
      <c r="F102" s="242">
        <f>E102*'12-DepRates'!$N$35/12</f>
        <v>2307193.2622964554</v>
      </c>
      <c r="G102" s="241">
        <v>3840434.0589729655</v>
      </c>
      <c r="H102" s="242">
        <f>H101+F102-G102</f>
        <v>-51074538.362416744</v>
      </c>
      <c r="I102" s="242">
        <f>E102-H102</f>
        <v>898857925.80275178</v>
      </c>
      <c r="J102" s="286">
        <f>A102</f>
        <v>313</v>
      </c>
      <c r="K102" s="292"/>
      <c r="L102" s="291"/>
      <c r="M102" s="49"/>
    </row>
    <row r="103" spans="1:13" x14ac:dyDescent="0.25">
      <c r="A103" s="286">
        <f>A102+1</f>
        <v>314</v>
      </c>
      <c r="B103" s="296" t="str">
        <f>B67</f>
        <v>March</v>
      </c>
      <c r="C103" s="295">
        <f>'1-BaseTRR'!$G$2</f>
        <v>2027</v>
      </c>
      <c r="D103" s="241">
        <v>102505354.93896702</v>
      </c>
      <c r="E103" s="242">
        <f>E102+D103</f>
        <v>950288742.37930202</v>
      </c>
      <c r="F103" s="242">
        <f>E103*'12-DepRates'!$N$35/12</f>
        <v>2586155.6337797437</v>
      </c>
      <c r="G103" s="241">
        <v>4213639.7446544692</v>
      </c>
      <c r="H103" s="242">
        <f>H102+F103-G103</f>
        <v>-52702022.473291472</v>
      </c>
      <c r="I103" s="242">
        <f>E103-H103</f>
        <v>1002990764.8525935</v>
      </c>
      <c r="J103" s="286">
        <f>A103</f>
        <v>314</v>
      </c>
      <c r="K103" s="292"/>
      <c r="L103" s="291"/>
      <c r="M103" s="49"/>
    </row>
    <row r="104" spans="1:13" x14ac:dyDescent="0.25">
      <c r="A104" s="286">
        <f>A103+1</f>
        <v>315</v>
      </c>
      <c r="B104" s="296" t="str">
        <f>B68</f>
        <v>April</v>
      </c>
      <c r="C104" s="295">
        <f>'1-BaseTRR'!$G$2</f>
        <v>2027</v>
      </c>
      <c r="D104" s="241">
        <v>137884408.62734327</v>
      </c>
      <c r="E104" s="242">
        <f>E103+D104</f>
        <v>1088173151.0066452</v>
      </c>
      <c r="F104" s="242">
        <f>E104*'12-DepRates'!$N$35/12</f>
        <v>2961400.0455878559</v>
      </c>
      <c r="G104" s="241">
        <v>3413125.4581670659</v>
      </c>
      <c r="H104" s="242">
        <f>H103+F104-G104</f>
        <v>-53153747.885870688</v>
      </c>
      <c r="I104" s="242">
        <f>E104-H104</f>
        <v>1141326898.8925159</v>
      </c>
      <c r="J104" s="286">
        <f>A104</f>
        <v>315</v>
      </c>
      <c r="K104" s="292"/>
      <c r="L104" s="291"/>
      <c r="M104" s="49"/>
    </row>
    <row r="105" spans="1:13" x14ac:dyDescent="0.25">
      <c r="A105" s="286">
        <f>A104+1</f>
        <v>316</v>
      </c>
      <c r="B105" s="296" t="str">
        <f>B69</f>
        <v>May</v>
      </c>
      <c r="C105" s="295">
        <f>'1-BaseTRR'!$G$2</f>
        <v>2027</v>
      </c>
      <c r="D105" s="241">
        <v>62819840.208728045</v>
      </c>
      <c r="E105" s="242">
        <f>E104+D105</f>
        <v>1150992991.2153733</v>
      </c>
      <c r="F105" s="242">
        <f>E105*'12-DepRates'!$N$35/12</f>
        <v>3132360.5930759576</v>
      </c>
      <c r="G105" s="241">
        <v>3097669.1108893463</v>
      </c>
      <c r="H105" s="242">
        <f>H104+F105-G105</f>
        <v>-53119056.403684072</v>
      </c>
      <c r="I105" s="242">
        <f>E105-H105</f>
        <v>1204112047.6190574</v>
      </c>
      <c r="J105" s="286">
        <f>A105</f>
        <v>316</v>
      </c>
      <c r="K105" s="292"/>
      <c r="L105" s="291"/>
      <c r="M105" s="49"/>
    </row>
    <row r="106" spans="1:13" x14ac:dyDescent="0.25">
      <c r="A106" s="286">
        <f>A105+1</f>
        <v>317</v>
      </c>
      <c r="B106" s="296" t="str">
        <f>B70</f>
        <v xml:space="preserve">June </v>
      </c>
      <c r="C106" s="295">
        <f>'1-BaseTRR'!$G$2</f>
        <v>2027</v>
      </c>
      <c r="D106" s="241">
        <v>62443126.531369679</v>
      </c>
      <c r="E106" s="242">
        <f>E105+D106</f>
        <v>1213436117.746743</v>
      </c>
      <c r="F106" s="242">
        <f>E106*'12-DepRates'!$N$35/12</f>
        <v>3302295.9361650441</v>
      </c>
      <c r="G106" s="241">
        <v>2845180.1726995618</v>
      </c>
      <c r="H106" s="242">
        <f>H105+F106-G106</f>
        <v>-52661940.640218593</v>
      </c>
      <c r="I106" s="242">
        <f>E106-H106</f>
        <v>1266098058.3869615</v>
      </c>
      <c r="J106" s="286">
        <f>A106</f>
        <v>317</v>
      </c>
      <c r="K106" s="292"/>
      <c r="L106" s="291"/>
      <c r="M106" s="49"/>
    </row>
    <row r="107" spans="1:13" x14ac:dyDescent="0.25">
      <c r="A107" s="286">
        <f>A106+1</f>
        <v>318</v>
      </c>
      <c r="B107" s="296" t="str">
        <f>B71</f>
        <v>July</v>
      </c>
      <c r="C107" s="295">
        <f>'1-BaseTRR'!$G$2</f>
        <v>2027</v>
      </c>
      <c r="D107" s="241">
        <v>37694699.467628509</v>
      </c>
      <c r="E107" s="242">
        <f>E106+D107</f>
        <v>1251130817.2143714</v>
      </c>
      <c r="F107" s="242">
        <f>E107*'12-DepRates'!$N$35/12</f>
        <v>3404879.8720199126</v>
      </c>
      <c r="G107" s="241">
        <v>2519485.2559512085</v>
      </c>
      <c r="H107" s="242">
        <f>H106+F107-G107</f>
        <v>-51776546.024149895</v>
      </c>
      <c r="I107" s="242">
        <f>E107-H107</f>
        <v>1302907363.2385213</v>
      </c>
      <c r="J107" s="286">
        <f>A107</f>
        <v>318</v>
      </c>
      <c r="K107" s="292"/>
      <c r="L107" s="291"/>
      <c r="M107" s="49"/>
    </row>
    <row r="108" spans="1:13" x14ac:dyDescent="0.25">
      <c r="A108" s="286">
        <f>A107+1</f>
        <v>319</v>
      </c>
      <c r="B108" s="296" t="str">
        <f>B72</f>
        <v>August</v>
      </c>
      <c r="C108" s="295">
        <f>'1-BaseTRR'!$G$2</f>
        <v>2027</v>
      </c>
      <c r="D108" s="241">
        <v>35231198.08688733</v>
      </c>
      <c r="E108" s="242">
        <f>E107+D108</f>
        <v>1286362015.3012588</v>
      </c>
      <c r="F108" s="242">
        <f>E108*'12-DepRates'!$N$35/12</f>
        <v>3500759.5319105336</v>
      </c>
      <c r="G108" s="241">
        <v>3137074.310909044</v>
      </c>
      <c r="H108" s="242">
        <f>H107+F108-G108</f>
        <v>-51412860.803148404</v>
      </c>
      <c r="I108" s="242">
        <f>E108-H108</f>
        <v>1337774876.1044073</v>
      </c>
      <c r="J108" s="286">
        <f>A108</f>
        <v>319</v>
      </c>
      <c r="K108" s="292"/>
      <c r="L108" s="291"/>
      <c r="M108" s="49"/>
    </row>
    <row r="109" spans="1:13" x14ac:dyDescent="0.25">
      <c r="A109" s="286">
        <f>A108+1</f>
        <v>320</v>
      </c>
      <c r="B109" s="296" t="str">
        <f>B73</f>
        <v>September</v>
      </c>
      <c r="C109" s="295">
        <f>'1-BaseTRR'!$G$2</f>
        <v>2027</v>
      </c>
      <c r="D109" s="241">
        <v>40756102.559107661</v>
      </c>
      <c r="E109" s="242">
        <f>E108+D109</f>
        <v>1327118117.8603663</v>
      </c>
      <c r="F109" s="242">
        <f>E109*'12-DepRates'!$N$35/12</f>
        <v>3611674.8985182028</v>
      </c>
      <c r="G109" s="241">
        <v>3105440.7243222832</v>
      </c>
      <c r="H109" s="242">
        <f>H108+F109-G109</f>
        <v>-50906626.628952481</v>
      </c>
      <c r="I109" s="242">
        <f>E109-H109</f>
        <v>1378024744.4893188</v>
      </c>
      <c r="J109" s="286">
        <f>A109</f>
        <v>320</v>
      </c>
      <c r="K109" s="292"/>
      <c r="L109" s="291"/>
      <c r="M109" s="49"/>
    </row>
    <row r="110" spans="1:13" x14ac:dyDescent="0.25">
      <c r="A110" s="286">
        <f>A109+1</f>
        <v>321</v>
      </c>
      <c r="B110" s="296" t="str">
        <f>B74</f>
        <v>October</v>
      </c>
      <c r="C110" s="295">
        <f>'1-BaseTRR'!$G$2</f>
        <v>2027</v>
      </c>
      <c r="D110" s="241">
        <v>60002046.845639713</v>
      </c>
      <c r="E110" s="242">
        <f>E109+D110</f>
        <v>1387120164.7060061</v>
      </c>
      <c r="F110" s="242">
        <f>E110*'12-DepRates'!$N$35/12</f>
        <v>3774966.9849840975</v>
      </c>
      <c r="G110" s="241">
        <v>3658054.260691979</v>
      </c>
      <c r="H110" s="242">
        <f>H109+F110-G110</f>
        <v>-50789713.904660359</v>
      </c>
      <c r="I110" s="242">
        <f>E110-H110</f>
        <v>1437909878.6106665</v>
      </c>
      <c r="J110" s="286">
        <f>A110</f>
        <v>321</v>
      </c>
      <c r="K110" s="292"/>
      <c r="L110" s="291"/>
      <c r="M110" s="49"/>
    </row>
    <row r="111" spans="1:13" x14ac:dyDescent="0.25">
      <c r="A111" s="286">
        <f>A110+1</f>
        <v>322</v>
      </c>
      <c r="B111" s="296" t="str">
        <f>B75</f>
        <v>November</v>
      </c>
      <c r="C111" s="295">
        <f>'1-BaseTRR'!$G$2</f>
        <v>2027</v>
      </c>
      <c r="D111" s="241">
        <v>116290575.40245256</v>
      </c>
      <c r="E111" s="242">
        <f>E110+D111</f>
        <v>1503410740.1084585</v>
      </c>
      <c r="F111" s="242">
        <f>E111*'12-DepRates'!$N$35/12</f>
        <v>4091445.0335186343</v>
      </c>
      <c r="G111" s="241">
        <v>3503922.8975104545</v>
      </c>
      <c r="H111" s="242">
        <f>H110+F111-G111</f>
        <v>-50202191.768652178</v>
      </c>
      <c r="I111" s="242">
        <f>E111-H111</f>
        <v>1553612931.8771107</v>
      </c>
      <c r="J111" s="286">
        <f>A111</f>
        <v>322</v>
      </c>
      <c r="K111" s="292"/>
      <c r="L111" s="291"/>
      <c r="M111" s="49"/>
    </row>
    <row r="112" spans="1:13" x14ac:dyDescent="0.25">
      <c r="A112" s="286">
        <f>A111+1</f>
        <v>323</v>
      </c>
      <c r="B112" s="294" t="str">
        <f>B76</f>
        <v>December</v>
      </c>
      <c r="C112" s="293">
        <f>'1-BaseTRR'!$G$2</f>
        <v>2027</v>
      </c>
      <c r="D112" s="252">
        <v>363513229.92836529</v>
      </c>
      <c r="E112" s="251">
        <f>E111+D112</f>
        <v>1866923970.0368237</v>
      </c>
      <c r="F112" s="251">
        <f>E112*'12-DepRates'!$N$35/12</f>
        <v>5080725.1813386707</v>
      </c>
      <c r="G112" s="252">
        <v>3299789.8632916189</v>
      </c>
      <c r="H112" s="251">
        <f>H111+F112-G112</f>
        <v>-48421256.450605132</v>
      </c>
      <c r="I112" s="251">
        <f>E112-H112</f>
        <v>1915345226.4874289</v>
      </c>
      <c r="J112" s="286">
        <f>A112</f>
        <v>323</v>
      </c>
      <c r="K112" s="292"/>
      <c r="L112" s="291"/>
      <c r="M112" s="49"/>
    </row>
    <row r="113" spans="1:10" x14ac:dyDescent="0.25">
      <c r="A113" s="286">
        <f>A112+1</f>
        <v>324</v>
      </c>
      <c r="B113" s="290"/>
      <c r="C113" s="286" t="s">
        <v>947</v>
      </c>
      <c r="D113" s="242"/>
      <c r="E113" s="248">
        <f>SUM(E100:E112)/13</f>
        <v>1179432376.6294303</v>
      </c>
      <c r="F113" s="242"/>
      <c r="G113" s="242"/>
      <c r="H113" s="242"/>
      <c r="I113" s="248">
        <f>SUM(I100:I112)/13</f>
        <v>1230419983.2539246</v>
      </c>
      <c r="J113" s="286">
        <f>A113</f>
        <v>324</v>
      </c>
    </row>
    <row r="114" spans="1:10" x14ac:dyDescent="0.25">
      <c r="A114" s="286"/>
      <c r="D114" s="289"/>
      <c r="F114" s="288"/>
      <c r="I114" s="288"/>
      <c r="J114" s="286"/>
    </row>
    <row r="115" spans="1:10" x14ac:dyDescent="0.25">
      <c r="A115" s="286"/>
      <c r="J115" s="286"/>
    </row>
    <row r="116" spans="1:10" x14ac:dyDescent="0.25">
      <c r="A116" s="286"/>
      <c r="B116" s="25" t="s">
        <v>145</v>
      </c>
      <c r="J116" s="286"/>
    </row>
    <row r="117" spans="1:10" x14ac:dyDescent="0.25">
      <c r="A117" s="286"/>
      <c r="B117" s="38" t="s">
        <v>946</v>
      </c>
      <c r="C117" s="38"/>
      <c r="D117" s="38"/>
      <c r="E117" s="38"/>
      <c r="F117" s="38"/>
      <c r="G117" s="38"/>
      <c r="H117" s="38"/>
      <c r="I117" s="38"/>
      <c r="J117" s="286"/>
    </row>
    <row r="118" spans="1:10" x14ac:dyDescent="0.25">
      <c r="A118" s="286"/>
      <c r="B118" s="38" t="s">
        <v>945</v>
      </c>
      <c r="C118" s="38"/>
      <c r="D118" s="38"/>
      <c r="E118" s="38"/>
      <c r="F118" s="38"/>
      <c r="G118" s="38"/>
      <c r="H118" s="38"/>
      <c r="I118" s="38"/>
      <c r="J118" s="286"/>
    </row>
    <row r="119" spans="1:10" x14ac:dyDescent="0.25">
      <c r="A119" s="286"/>
      <c r="B119" s="38" t="s">
        <v>944</v>
      </c>
      <c r="C119" s="38"/>
      <c r="D119" s="38"/>
      <c r="E119" s="38"/>
      <c r="F119" s="38"/>
      <c r="G119" s="38"/>
      <c r="H119" s="38"/>
      <c r="I119" s="38"/>
      <c r="J119" s="286"/>
    </row>
    <row r="120" spans="1:10" x14ac:dyDescent="0.25">
      <c r="A120" s="286"/>
      <c r="C120" s="242"/>
      <c r="D120" s="242"/>
      <c r="E120" s="67"/>
      <c r="J120" s="286"/>
    </row>
    <row r="121" spans="1:10" x14ac:dyDescent="0.25">
      <c r="A121" s="286"/>
      <c r="B121" s="242"/>
      <c r="C121" s="242"/>
      <c r="D121" s="242"/>
      <c r="E121" s="67"/>
      <c r="J121" s="286"/>
    </row>
    <row r="122" spans="1:10" x14ac:dyDescent="0.25">
      <c r="A122" s="286"/>
      <c r="B122" s="242"/>
      <c r="C122" s="242"/>
      <c r="D122" s="242"/>
      <c r="E122" s="67"/>
      <c r="H122" s="242"/>
      <c r="J122" s="286"/>
    </row>
    <row r="123" spans="1:10" x14ac:dyDescent="0.25">
      <c r="A123" s="286"/>
      <c r="B123" s="242"/>
      <c r="C123" s="242"/>
      <c r="D123" s="242"/>
      <c r="E123" s="67"/>
      <c r="J123" s="286"/>
    </row>
    <row r="124" spans="1:10" x14ac:dyDescent="0.25">
      <c r="A124" s="286"/>
      <c r="B124" s="242"/>
      <c r="C124" s="242"/>
      <c r="D124" s="242"/>
      <c r="E124" s="67"/>
      <c r="J124" s="286"/>
    </row>
    <row r="125" spans="1:10" x14ac:dyDescent="0.25">
      <c r="A125" s="286"/>
      <c r="B125" s="242"/>
      <c r="C125" s="242"/>
      <c r="D125" s="242"/>
      <c r="E125" s="67"/>
      <c r="J125" s="286"/>
    </row>
    <row r="126" spans="1:10" x14ac:dyDescent="0.25">
      <c r="A126" s="286"/>
      <c r="B126" s="242"/>
      <c r="C126" s="242"/>
      <c r="D126" s="242"/>
      <c r="E126" s="67"/>
      <c r="J126" s="286"/>
    </row>
    <row r="127" spans="1:10" x14ac:dyDescent="0.25">
      <c r="A127" s="286"/>
      <c r="B127" s="242"/>
      <c r="C127" s="242"/>
      <c r="D127" s="242"/>
      <c r="E127" s="67"/>
      <c r="J127" s="286"/>
    </row>
    <row r="128" spans="1:10" x14ac:dyDescent="0.25">
      <c r="A128" s="286"/>
      <c r="B128" s="248"/>
      <c r="C128" s="248"/>
      <c r="D128" s="248"/>
      <c r="E128" s="287"/>
      <c r="J128" s="286"/>
    </row>
    <row r="129" spans="1:10" x14ac:dyDescent="0.25">
      <c r="A129" s="286"/>
      <c r="B129" s="267"/>
      <c r="J129" s="286"/>
    </row>
  </sheetData>
  <mergeCells count="3">
    <mergeCell ref="B14:C14"/>
    <mergeCell ref="B51:C51"/>
    <mergeCell ref="B87:C87"/>
  </mergeCells>
  <printOptions horizontalCentered="1"/>
  <pageMargins left="1" right="1" top="1" bottom="1" header="0.5" footer="0.5"/>
  <pageSetup scale="59" fitToHeight="0" orientation="landscape" r:id="rId1"/>
  <headerFooter>
    <oddHeader>&amp;R&amp;F</oddHeader>
  </headerFooter>
  <rowBreaks count="1" manualBreakCount="1">
    <brk id="77" max="16383" man="1"/>
  </rowBreaks>
  <customProperties>
    <customPr name="_pios_id" r:id="rId2"/>
  </customPropertie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1EFA0D-1F55-452A-A10A-31344D585B95}">
  <sheetPr>
    <pageSetUpPr fitToPage="1"/>
  </sheetPr>
  <dimension ref="A1:AG218"/>
  <sheetViews>
    <sheetView view="pageBreakPreview" topLeftCell="A54" zoomScale="60" zoomScaleNormal="80" workbookViewId="0">
      <selection activeCell="Q36" sqref="Q36"/>
    </sheetView>
  </sheetViews>
  <sheetFormatPr defaultColWidth="8.85546875" defaultRowHeight="15" x14ac:dyDescent="0.25"/>
  <cols>
    <col min="1" max="1" width="6.85546875" style="6" bestFit="1" customWidth="1"/>
    <col min="2" max="3" width="10.5703125" style="6" customWidth="1"/>
    <col min="4" max="4" width="21.85546875" style="6" customWidth="1"/>
    <col min="5" max="5" width="18" style="6" customWidth="1"/>
    <col min="6" max="6" width="18.140625" style="6" customWidth="1"/>
    <col min="7" max="7" width="16.85546875" style="6" customWidth="1"/>
    <col min="8" max="8" width="19" style="6" customWidth="1"/>
    <col min="9" max="9" width="16.85546875" style="6" customWidth="1"/>
    <col min="10" max="12" width="18.140625" style="6" customWidth="1"/>
    <col min="13" max="13" width="18" style="6" customWidth="1"/>
    <col min="14" max="26" width="16.85546875" style="6" customWidth="1"/>
    <col min="27" max="27" width="15.140625" style="6" customWidth="1"/>
    <col min="28" max="28" width="16.85546875" style="6" customWidth="1"/>
    <col min="29" max="29" width="21.5703125" style="6" bestFit="1" customWidth="1"/>
    <col min="30" max="30" width="23.85546875" style="6" customWidth="1"/>
    <col min="31" max="31" width="6.85546875" style="6" bestFit="1" customWidth="1"/>
    <col min="32" max="16384" width="8.85546875" style="6"/>
  </cols>
  <sheetData>
    <row r="1" spans="1:31" x14ac:dyDescent="0.25">
      <c r="B1" s="30" t="s">
        <v>1003</v>
      </c>
      <c r="AD1" s="76"/>
    </row>
    <row r="2" spans="1:31" x14ac:dyDescent="0.25">
      <c r="B2" s="30" t="s">
        <v>53</v>
      </c>
      <c r="H2" s="245"/>
      <c r="P2" s="8"/>
      <c r="Q2" s="8"/>
      <c r="R2" s="8"/>
      <c r="S2" s="8"/>
      <c r="T2" s="8"/>
      <c r="U2" s="8"/>
      <c r="V2" s="8"/>
      <c r="W2" s="8"/>
      <c r="X2" s="8"/>
      <c r="Y2" s="8"/>
      <c r="Z2" s="8"/>
      <c r="AB2" s="8"/>
      <c r="AC2" s="76"/>
      <c r="AD2" s="76" t="str">
        <f>CONCATENATE("Prior Year: ",'1-BaseTRR'!$G$3)</f>
        <v>Prior Year: 2025</v>
      </c>
    </row>
    <row r="3" spans="1:31" x14ac:dyDescent="0.25">
      <c r="B3" s="77" t="s">
        <v>367</v>
      </c>
      <c r="C3" s="89"/>
      <c r="D3" s="77"/>
      <c r="P3" s="76"/>
      <c r="Q3" s="76"/>
      <c r="R3" s="76"/>
      <c r="S3" s="76"/>
      <c r="T3" s="76"/>
      <c r="U3" s="76"/>
      <c r="V3" s="76"/>
      <c r="W3" s="76"/>
      <c r="X3" s="76"/>
      <c r="Y3" s="76"/>
      <c r="Z3" s="76"/>
      <c r="AB3" s="76"/>
      <c r="AC3" s="76"/>
    </row>
    <row r="4" spans="1:31" x14ac:dyDescent="0.25">
      <c r="B4" s="30"/>
    </row>
    <row r="5" spans="1:31" x14ac:dyDescent="0.25">
      <c r="B5" s="30"/>
      <c r="D5" s="30"/>
    </row>
    <row r="6" spans="1:31" x14ac:dyDescent="0.25">
      <c r="B6" s="83" t="s">
        <v>1002</v>
      </c>
      <c r="C6" s="83"/>
      <c r="D6" s="83"/>
      <c r="E6" s="35"/>
      <c r="F6" s="35"/>
      <c r="G6" s="35"/>
      <c r="H6" s="35"/>
      <c r="I6" s="35"/>
      <c r="J6" s="35"/>
      <c r="K6" s="35"/>
      <c r="L6" s="35"/>
      <c r="M6" s="35"/>
      <c r="N6" s="35"/>
      <c r="O6" s="35"/>
      <c r="P6" s="35"/>
      <c r="Q6" s="35"/>
      <c r="R6" s="35"/>
      <c r="S6" s="35"/>
      <c r="T6" s="35"/>
      <c r="U6" s="35"/>
      <c r="V6" s="35"/>
      <c r="W6" s="35"/>
      <c r="X6" s="35"/>
      <c r="Y6" s="35"/>
      <c r="Z6" s="35"/>
      <c r="AA6" s="35"/>
      <c r="AB6" s="35"/>
      <c r="AC6" s="35"/>
      <c r="AD6" s="35"/>
    </row>
    <row r="7" spans="1:31" x14ac:dyDescent="0.25">
      <c r="B7" s="246" t="s">
        <v>1001</v>
      </c>
    </row>
    <row r="8" spans="1:31" x14ac:dyDescent="0.25">
      <c r="B8" s="246" t="s">
        <v>1000</v>
      </c>
    </row>
    <row r="10" spans="1:31" x14ac:dyDescent="0.25">
      <c r="A10" s="30"/>
      <c r="D10" s="175" t="s">
        <v>492</v>
      </c>
      <c r="E10" s="175" t="s">
        <v>491</v>
      </c>
      <c r="F10" s="175" t="s">
        <v>490</v>
      </c>
      <c r="G10" s="175" t="s">
        <v>489</v>
      </c>
      <c r="H10" s="175" t="s">
        <v>519</v>
      </c>
      <c r="I10" s="175" t="s">
        <v>518</v>
      </c>
      <c r="J10" s="175" t="s">
        <v>517</v>
      </c>
      <c r="K10" s="175" t="s">
        <v>538</v>
      </c>
      <c r="L10" s="175" t="s">
        <v>537</v>
      </c>
      <c r="M10" s="175" t="s">
        <v>770</v>
      </c>
      <c r="N10" s="175" t="s">
        <v>769</v>
      </c>
      <c r="O10" s="175" t="s">
        <v>768</v>
      </c>
      <c r="P10" s="175" t="s">
        <v>767</v>
      </c>
      <c r="Q10" s="175" t="s">
        <v>766</v>
      </c>
      <c r="R10" s="175" t="s">
        <v>765</v>
      </c>
      <c r="S10" s="175" t="s">
        <v>900</v>
      </c>
      <c r="T10" s="175" t="s">
        <v>899</v>
      </c>
      <c r="U10" s="175" t="s">
        <v>898</v>
      </c>
      <c r="V10" s="175" t="s">
        <v>897</v>
      </c>
      <c r="W10" s="175" t="s">
        <v>896</v>
      </c>
      <c r="X10" s="175" t="s">
        <v>895</v>
      </c>
      <c r="Y10" s="175" t="s">
        <v>894</v>
      </c>
      <c r="Z10" s="175" t="s">
        <v>893</v>
      </c>
      <c r="AA10" s="175" t="s">
        <v>892</v>
      </c>
      <c r="AB10" s="175" t="s">
        <v>891</v>
      </c>
      <c r="AC10" s="175" t="s">
        <v>890</v>
      </c>
      <c r="AD10" s="175"/>
      <c r="AE10" s="8"/>
    </row>
    <row r="11" spans="1:31" ht="30" x14ac:dyDescent="0.25">
      <c r="A11" s="30"/>
      <c r="D11" s="264" t="s">
        <v>907</v>
      </c>
      <c r="E11" s="264" t="s">
        <v>907</v>
      </c>
      <c r="F11" s="264" t="s">
        <v>907</v>
      </c>
      <c r="G11" s="264" t="s">
        <v>907</v>
      </c>
      <c r="H11" s="264" t="s">
        <v>907</v>
      </c>
      <c r="I11" s="264" t="s">
        <v>907</v>
      </c>
      <c r="J11" s="264" t="s">
        <v>907</v>
      </c>
      <c r="K11" s="264" t="s">
        <v>907</v>
      </c>
      <c r="L11" s="264" t="s">
        <v>907</v>
      </c>
      <c r="M11" s="264" t="s">
        <v>907</v>
      </c>
      <c r="N11" s="264" t="s">
        <v>907</v>
      </c>
      <c r="O11" s="264" t="s">
        <v>907</v>
      </c>
      <c r="P11" s="264" t="s">
        <v>907</v>
      </c>
      <c r="Q11" s="264" t="s">
        <v>907</v>
      </c>
      <c r="R11" s="264" t="s">
        <v>907</v>
      </c>
      <c r="S11" s="264" t="s">
        <v>907</v>
      </c>
      <c r="T11" s="264" t="s">
        <v>907</v>
      </c>
      <c r="U11" s="264" t="s">
        <v>907</v>
      </c>
      <c r="V11" s="264" t="s">
        <v>907</v>
      </c>
      <c r="W11" s="264" t="s">
        <v>907</v>
      </c>
      <c r="X11" s="264" t="s">
        <v>907</v>
      </c>
      <c r="Y11" s="264" t="s">
        <v>907</v>
      </c>
      <c r="Z11" s="264" t="s">
        <v>907</v>
      </c>
      <c r="AA11" s="264" t="s">
        <v>907</v>
      </c>
      <c r="AB11" s="264" t="s">
        <v>907</v>
      </c>
      <c r="AC11" s="258" t="s">
        <v>889</v>
      </c>
      <c r="AD11" s="258"/>
      <c r="AE11" s="8"/>
    </row>
    <row r="12" spans="1:31" x14ac:dyDescent="0.25">
      <c r="B12" s="8"/>
      <c r="C12" s="8"/>
      <c r="O12" s="23"/>
      <c r="Q12" s="8"/>
      <c r="R12" s="8"/>
      <c r="S12" s="8"/>
      <c r="T12" s="8"/>
      <c r="U12" s="8"/>
      <c r="V12" s="8"/>
      <c r="W12" s="8"/>
      <c r="X12" s="8"/>
      <c r="Y12" s="8"/>
      <c r="Z12" s="8"/>
      <c r="AA12" s="8"/>
      <c r="AB12" s="8"/>
      <c r="AC12" s="23"/>
      <c r="AD12" s="23"/>
      <c r="AE12" s="8"/>
    </row>
    <row r="13" spans="1:31" x14ac:dyDescent="0.25">
      <c r="A13" s="39"/>
      <c r="B13" s="8"/>
      <c r="C13" s="76" t="s">
        <v>888</v>
      </c>
      <c r="D13" s="183">
        <v>350.01</v>
      </c>
      <c r="E13" s="183">
        <v>350.02</v>
      </c>
      <c r="F13" s="183">
        <v>352.01</v>
      </c>
      <c r="G13" s="183">
        <v>352.02</v>
      </c>
      <c r="H13" s="183">
        <v>353.01</v>
      </c>
      <c r="I13" s="183">
        <v>353.02</v>
      </c>
      <c r="J13" s="183">
        <v>354</v>
      </c>
      <c r="K13" s="8">
        <v>354.02</v>
      </c>
      <c r="L13" s="183">
        <v>355</v>
      </c>
      <c r="M13" s="183">
        <v>356</v>
      </c>
      <c r="N13" s="183">
        <v>357</v>
      </c>
      <c r="O13" s="183">
        <v>358</v>
      </c>
      <c r="P13" s="183">
        <v>359</v>
      </c>
      <c r="Q13" s="183" t="s">
        <v>887</v>
      </c>
      <c r="R13" s="183" t="s">
        <v>886</v>
      </c>
      <c r="S13" s="183" t="s">
        <v>885</v>
      </c>
      <c r="T13" s="183" t="s">
        <v>884</v>
      </c>
      <c r="U13" s="183" t="s">
        <v>883</v>
      </c>
      <c r="V13" s="183" t="s">
        <v>882</v>
      </c>
      <c r="W13" s="183" t="s">
        <v>881</v>
      </c>
      <c r="X13" s="183" t="s">
        <v>880</v>
      </c>
      <c r="Y13" s="183" t="s">
        <v>879</v>
      </c>
      <c r="Z13" s="183" t="s">
        <v>878</v>
      </c>
      <c r="AA13" s="183" t="s">
        <v>877</v>
      </c>
      <c r="AB13" s="183" t="s">
        <v>876</v>
      </c>
      <c r="AE13" s="8"/>
    </row>
    <row r="14" spans="1:31" x14ac:dyDescent="0.25">
      <c r="A14" s="33" t="s">
        <v>106</v>
      </c>
      <c r="B14" s="33" t="s">
        <v>483</v>
      </c>
      <c r="C14" s="33" t="s">
        <v>510</v>
      </c>
      <c r="D14" s="175" t="s">
        <v>875</v>
      </c>
      <c r="E14" s="175" t="s">
        <v>874</v>
      </c>
      <c r="F14" s="175" t="s">
        <v>873</v>
      </c>
      <c r="G14" s="175" t="s">
        <v>872</v>
      </c>
      <c r="H14" s="175" t="s">
        <v>871</v>
      </c>
      <c r="I14" s="175" t="s">
        <v>870</v>
      </c>
      <c r="J14" s="175" t="s">
        <v>869</v>
      </c>
      <c r="K14" s="175" t="s">
        <v>868</v>
      </c>
      <c r="L14" s="175" t="s">
        <v>867</v>
      </c>
      <c r="M14" s="175" t="s">
        <v>866</v>
      </c>
      <c r="N14" s="175" t="s">
        <v>865</v>
      </c>
      <c r="O14" s="175" t="s">
        <v>864</v>
      </c>
      <c r="P14" s="175" t="s">
        <v>863</v>
      </c>
      <c r="Q14" s="33" t="s">
        <v>862</v>
      </c>
      <c r="R14" s="33" t="s">
        <v>861</v>
      </c>
      <c r="S14" s="33" t="s">
        <v>860</v>
      </c>
      <c r="T14" s="33" t="s">
        <v>859</v>
      </c>
      <c r="U14" s="33" t="s">
        <v>858</v>
      </c>
      <c r="V14" s="33" t="s">
        <v>857</v>
      </c>
      <c r="W14" s="33" t="s">
        <v>856</v>
      </c>
      <c r="X14" s="33" t="s">
        <v>855</v>
      </c>
      <c r="Y14" s="33" t="s">
        <v>854</v>
      </c>
      <c r="Z14" s="33" t="s">
        <v>853</v>
      </c>
      <c r="AA14" s="33" t="s">
        <v>852</v>
      </c>
      <c r="AB14" s="33" t="s">
        <v>851</v>
      </c>
      <c r="AC14" s="33" t="s">
        <v>466</v>
      </c>
      <c r="AD14" s="33" t="s">
        <v>154</v>
      </c>
      <c r="AE14" s="33" t="str">
        <f>A14</f>
        <v>Line</v>
      </c>
    </row>
    <row r="15" spans="1:31" x14ac:dyDescent="0.25">
      <c r="A15" s="8">
        <v>100</v>
      </c>
      <c r="B15" s="246" t="s">
        <v>467</v>
      </c>
      <c r="C15" s="255">
        <f>'1-BaseTRR'!$G$3-1</f>
        <v>2024</v>
      </c>
      <c r="D15" s="319">
        <f>+D40+D65</f>
        <v>-77719.206213024125</v>
      </c>
      <c r="E15" s="319">
        <f>+E40+E65</f>
        <v>82594346.083013088</v>
      </c>
      <c r="F15" s="319">
        <f>+F40+F65</f>
        <v>129714341.89041531</v>
      </c>
      <c r="G15" s="319">
        <f>+G40+G65</f>
        <v>25487870.368157189</v>
      </c>
      <c r="H15" s="319">
        <f>+H40+H65</f>
        <v>2416019613.5676146</v>
      </c>
      <c r="I15" s="319">
        <f>+I40+I65</f>
        <v>1479284.7739149122</v>
      </c>
      <c r="J15" s="319">
        <f>+J40+J65</f>
        <v>395654909.3090201</v>
      </c>
      <c r="K15" s="242">
        <f>+K40+K65</f>
        <v>0</v>
      </c>
      <c r="L15" s="319">
        <f>+L40+L65</f>
        <v>549518503.59720814</v>
      </c>
      <c r="M15" s="319">
        <f>+M40+M65</f>
        <v>542416568.68416893</v>
      </c>
      <c r="N15" s="319">
        <f>+N40+N65</f>
        <v>132346560.18391475</v>
      </c>
      <c r="O15" s="319">
        <f>+O40+O65</f>
        <v>94617424.049532801</v>
      </c>
      <c r="P15" s="319">
        <f>+P40+P65</f>
        <v>20893759.934498385</v>
      </c>
      <c r="Q15" s="242">
        <f>Q40+Q65</f>
        <v>0</v>
      </c>
      <c r="R15" s="242">
        <f>R40+R65</f>
        <v>0</v>
      </c>
      <c r="S15" s="242">
        <f>S40+S65</f>
        <v>0</v>
      </c>
      <c r="T15" s="242">
        <f>T40+T65</f>
        <v>0</v>
      </c>
      <c r="U15" s="242">
        <f>U40+U65</f>
        <v>0</v>
      </c>
      <c r="V15" s="242">
        <f>V40+V65</f>
        <v>0</v>
      </c>
      <c r="W15" s="242">
        <f>W40+W65</f>
        <v>0</v>
      </c>
      <c r="X15" s="242">
        <f>X40+X65</f>
        <v>0</v>
      </c>
      <c r="Y15" s="242">
        <f>Y40+Y65</f>
        <v>0</v>
      </c>
      <c r="Z15" s="242">
        <f>Z40+Z65</f>
        <v>0</v>
      </c>
      <c r="AA15" s="267">
        <f>AA40+AA65</f>
        <v>0</v>
      </c>
      <c r="AB15" s="242">
        <f>AB40+AB65</f>
        <v>0</v>
      </c>
      <c r="AC15" s="24">
        <f>SUM(D15:AB15)</f>
        <v>4390665463.2352448</v>
      </c>
      <c r="AD15" s="260" t="str">
        <f>"Line "&amp;A40&amp;" + Line "&amp;A65&amp;""</f>
        <v>Line 200 + Line 300</v>
      </c>
      <c r="AE15" s="8">
        <f>A15</f>
        <v>100</v>
      </c>
    </row>
    <row r="16" spans="1:31" x14ac:dyDescent="0.25">
      <c r="A16" s="8">
        <f>A15+1</f>
        <v>101</v>
      </c>
      <c r="B16" s="246" t="s">
        <v>478</v>
      </c>
      <c r="C16" s="255">
        <f>'1-BaseTRR'!$G$3</f>
        <v>2025</v>
      </c>
      <c r="D16" s="319">
        <f>+D41+D66</f>
        <v>-77717.311533200467</v>
      </c>
      <c r="E16" s="319">
        <f>+E41+E66</f>
        <v>82899331.385111153</v>
      </c>
      <c r="F16" s="319">
        <f>+F41+F66</f>
        <v>130219166.78469065</v>
      </c>
      <c r="G16" s="319">
        <f>+G41+G66</f>
        <v>25742071.65679422</v>
      </c>
      <c r="H16" s="319">
        <f>+H41+H66</f>
        <v>2415729001.7511559</v>
      </c>
      <c r="I16" s="319">
        <f>+I41+I66</f>
        <v>1604272.7300000002</v>
      </c>
      <c r="J16" s="319">
        <f>+J41+J66</f>
        <v>397623529.11700255</v>
      </c>
      <c r="K16" s="242">
        <f>+K41+K66</f>
        <v>0</v>
      </c>
      <c r="L16" s="319">
        <f>+L41+L66</f>
        <v>555734051.16963851</v>
      </c>
      <c r="M16" s="319">
        <f>+M41+M66</f>
        <v>547931481.06486881</v>
      </c>
      <c r="N16" s="319">
        <f>+N41+N66</f>
        <v>133005511.47873366</v>
      </c>
      <c r="O16" s="319">
        <f>+O41+O66</f>
        <v>95130403.871626705</v>
      </c>
      <c r="P16" s="319">
        <f>+P41+P66</f>
        <v>21305084.743104115</v>
      </c>
      <c r="Q16" s="242">
        <f>Q41+Q66</f>
        <v>12947145.433248246</v>
      </c>
      <c r="R16" s="242">
        <f>R41+R66</f>
        <v>2210156.6925229821</v>
      </c>
      <c r="S16" s="242">
        <f>S41+S66</f>
        <v>52594455.540657401</v>
      </c>
      <c r="T16" s="242">
        <f>T41+T66</f>
        <v>144384.90006111318</v>
      </c>
      <c r="U16" s="242">
        <f>U41+U66</f>
        <v>4441668.7010355089</v>
      </c>
      <c r="V16" s="242">
        <f>V41+V66</f>
        <v>14686290.870248009</v>
      </c>
      <c r="W16" s="242">
        <f>W41+W66</f>
        <v>21954395.723285593</v>
      </c>
      <c r="X16" s="242">
        <f>X41+X66</f>
        <v>1678973.2228393704</v>
      </c>
      <c r="Y16" s="242">
        <f>Y41+Y66</f>
        <v>146413.63180401368</v>
      </c>
      <c r="Z16" s="242">
        <f>Z41+Z66</f>
        <v>37697951.074845932</v>
      </c>
      <c r="AA16" s="267">
        <f>AA41+AA66</f>
        <v>33179.369340003585</v>
      </c>
      <c r="AB16" s="242">
        <f>AB41+AB66</f>
        <v>169555617.36583805</v>
      </c>
      <c r="AC16" s="24">
        <f>SUM(D16:AB16)</f>
        <v>4724936820.9669189</v>
      </c>
      <c r="AD16" s="260" t="str">
        <f>"Line "&amp;A41&amp;" + Line "&amp;A66&amp;""</f>
        <v>Line 201 + Line 301</v>
      </c>
      <c r="AE16" s="8">
        <f>A16</f>
        <v>101</v>
      </c>
    </row>
    <row r="17" spans="1:31" x14ac:dyDescent="0.25">
      <c r="A17" s="8">
        <f>A16+1</f>
        <v>102</v>
      </c>
      <c r="B17" s="246" t="s">
        <v>477</v>
      </c>
      <c r="C17" s="255">
        <f>'1-BaseTRR'!$G$3</f>
        <v>2025</v>
      </c>
      <c r="D17" s="319">
        <f>+D42+D67</f>
        <v>-77721.439872981384</v>
      </c>
      <c r="E17" s="319">
        <f>+E42+E67</f>
        <v>83197041.493620157</v>
      </c>
      <c r="F17" s="319">
        <f>+F42+F67</f>
        <v>130717132.37578513</v>
      </c>
      <c r="G17" s="319">
        <f>+G42+G67</f>
        <v>25974749.872973517</v>
      </c>
      <c r="H17" s="319">
        <f>+H42+H67</f>
        <v>2436308682.40803</v>
      </c>
      <c r="I17" s="319">
        <f>+I42+I67</f>
        <v>1613044.27</v>
      </c>
      <c r="J17" s="319">
        <f>+J42+J67</f>
        <v>399854983.6866399</v>
      </c>
      <c r="K17" s="242">
        <f>+K42+K67</f>
        <v>0</v>
      </c>
      <c r="L17" s="319">
        <f>+L42+L67</f>
        <v>562850777.71651435</v>
      </c>
      <c r="M17" s="319">
        <f>+M42+M67</f>
        <v>553428833.28030372</v>
      </c>
      <c r="N17" s="319">
        <f>+N42+N67</f>
        <v>133668170.39533855</v>
      </c>
      <c r="O17" s="319">
        <f>+O42+O67</f>
        <v>95585125.153646827</v>
      </c>
      <c r="P17" s="319">
        <f>+P42+P67</f>
        <v>21718464.379477363</v>
      </c>
      <c r="Q17" s="242">
        <f>Q42+Q67</f>
        <v>13076306.322972288</v>
      </c>
      <c r="R17" s="242">
        <f>R42+R67</f>
        <v>1314864.2083223602</v>
      </c>
      <c r="S17" s="242">
        <f>S42+S67</f>
        <v>61954294.449015126</v>
      </c>
      <c r="T17" s="242">
        <f>T42+T67</f>
        <v>3124214.3428733656</v>
      </c>
      <c r="U17" s="242">
        <f>U42+U67</f>
        <v>4143331.9947142033</v>
      </c>
      <c r="V17" s="242">
        <f>V42+V67</f>
        <v>17102180.346551299</v>
      </c>
      <c r="W17" s="242">
        <f>W42+W67</f>
        <v>25574318.363438725</v>
      </c>
      <c r="X17" s="242">
        <f>X42+X67</f>
        <v>2689899.7067371146</v>
      </c>
      <c r="Y17" s="242">
        <f>Y42+Y67</f>
        <v>1254416.8710787336</v>
      </c>
      <c r="Z17" s="242">
        <f>Z42+Z67</f>
        <v>42708871.823435023</v>
      </c>
      <c r="AA17" s="267">
        <f>AA42+AA67</f>
        <v>33713.400598483458</v>
      </c>
      <c r="AB17" s="242">
        <f>AB42+AB67</f>
        <v>171258313.34682751</v>
      </c>
      <c r="AC17" s="24">
        <f>SUM(D17:AB17)</f>
        <v>4789074008.7690201</v>
      </c>
      <c r="AD17" s="260" t="str">
        <f>"Line "&amp;A42&amp;" + Line "&amp;A67&amp;""</f>
        <v>Line 202 + Line 302</v>
      </c>
      <c r="AE17" s="8">
        <f>A17</f>
        <v>102</v>
      </c>
    </row>
    <row r="18" spans="1:31" x14ac:dyDescent="0.25">
      <c r="A18" s="8">
        <f>A17+1</f>
        <v>103</v>
      </c>
      <c r="B18" s="246" t="s">
        <v>476</v>
      </c>
      <c r="C18" s="255">
        <f>'1-BaseTRR'!$G$3</f>
        <v>2025</v>
      </c>
      <c r="D18" s="319">
        <f>+D43+D68</f>
        <v>-77721.891989495358</v>
      </c>
      <c r="E18" s="319">
        <f>+E43+E68</f>
        <v>83513086.710461766</v>
      </c>
      <c r="F18" s="319">
        <f>+F43+F68</f>
        <v>131208070.87687956</v>
      </c>
      <c r="G18" s="319">
        <f>+G43+G68</f>
        <v>26225584.89915283</v>
      </c>
      <c r="H18" s="319">
        <f>+H43+H68</f>
        <v>2462367877.3368912</v>
      </c>
      <c r="I18" s="319">
        <f>+I43+I68</f>
        <v>1621847.92</v>
      </c>
      <c r="J18" s="319">
        <f>+J43+J68</f>
        <v>402704059.9781056</v>
      </c>
      <c r="K18" s="242">
        <f>+K43+K68</f>
        <v>0</v>
      </c>
      <c r="L18" s="319">
        <f>+L43+L68</f>
        <v>568221804.47911155</v>
      </c>
      <c r="M18" s="319">
        <f>+M43+M68</f>
        <v>560505138.63514471</v>
      </c>
      <c r="N18" s="319">
        <f>+N43+N68</f>
        <v>134336456.58213618</v>
      </c>
      <c r="O18" s="319">
        <f>+O43+O68</f>
        <v>95871837.131375551</v>
      </c>
      <c r="P18" s="319">
        <f>+P43+P68</f>
        <v>22129495.589030389</v>
      </c>
      <c r="Q18" s="242">
        <f>Q43+Q68</f>
        <v>13408390.381488791</v>
      </c>
      <c r="R18" s="242">
        <f>R43+R68</f>
        <v>1040196.1232584846</v>
      </c>
      <c r="S18" s="242">
        <f>S43+S68</f>
        <v>61534829.017866097</v>
      </c>
      <c r="T18" s="242">
        <f>T43+T68</f>
        <v>3334150.981751903</v>
      </c>
      <c r="U18" s="242">
        <f>U43+U68</f>
        <v>4064967.9089545328</v>
      </c>
      <c r="V18" s="242">
        <f>V43+V68</f>
        <v>17290601.498996645</v>
      </c>
      <c r="W18" s="242">
        <f>W43+W68</f>
        <v>26166958.025440544</v>
      </c>
      <c r="X18" s="242">
        <f>X43+X68</f>
        <v>2779839.2470259671</v>
      </c>
      <c r="Y18" s="242">
        <f>Y43+Y68</f>
        <v>1300711.6805568342</v>
      </c>
      <c r="Z18" s="242">
        <f>Z43+Z68</f>
        <v>41393613.977626406</v>
      </c>
      <c r="AA18" s="267">
        <f>AA43+AA68</f>
        <v>22508.594755858277</v>
      </c>
      <c r="AB18" s="242">
        <f>AB43+AB68</f>
        <v>184369307.85893697</v>
      </c>
      <c r="AC18" s="24">
        <f>SUM(D18:AB18)</f>
        <v>4845333613.5429602</v>
      </c>
      <c r="AD18" s="260" t="str">
        <f>"Line "&amp;A43&amp;" + Line "&amp;A68&amp;""</f>
        <v>Line 203 + Line 303</v>
      </c>
      <c r="AE18" s="8">
        <f>A18</f>
        <v>103</v>
      </c>
    </row>
    <row r="19" spans="1:31" x14ac:dyDescent="0.25">
      <c r="A19" s="8">
        <f>A18+1</f>
        <v>104</v>
      </c>
      <c r="B19" s="246" t="s">
        <v>475</v>
      </c>
      <c r="C19" s="255">
        <f>'1-BaseTRR'!$G$3</f>
        <v>2025</v>
      </c>
      <c r="D19" s="319">
        <f>+D44+D69</f>
        <v>-77721.275081413682</v>
      </c>
      <c r="E19" s="319">
        <f>+E44+E69</f>
        <v>83827407.64719367</v>
      </c>
      <c r="F19" s="319">
        <f>+F44+F69</f>
        <v>131706508.01797409</v>
      </c>
      <c r="G19" s="319">
        <f>+G44+G69</f>
        <v>26476334.825332142</v>
      </c>
      <c r="H19" s="319">
        <f>+H44+H69</f>
        <v>2481457549.5808678</v>
      </c>
      <c r="I19" s="319">
        <f>+I44+I69</f>
        <v>1630610.9000000001</v>
      </c>
      <c r="J19" s="319">
        <f>+J44+J69</f>
        <v>404641277.76951343</v>
      </c>
      <c r="K19" s="242">
        <f>+K44+K69</f>
        <v>0</v>
      </c>
      <c r="L19" s="319">
        <f>+L44+L69</f>
        <v>573321496.65783215</v>
      </c>
      <c r="M19" s="319">
        <f>+M44+M69</f>
        <v>564060868.25271428</v>
      </c>
      <c r="N19" s="319">
        <f>+N44+N69</f>
        <v>134997680.8474859</v>
      </c>
      <c r="O19" s="319">
        <f>+O44+O69</f>
        <v>96332160.350516304</v>
      </c>
      <c r="P19" s="319">
        <f>+P44+P69</f>
        <v>22535327.213649303</v>
      </c>
      <c r="Q19" s="242">
        <f>Q44+Q69</f>
        <v>13795442.260326337</v>
      </c>
      <c r="R19" s="242">
        <f>R44+R69</f>
        <v>1063016.5425379865</v>
      </c>
      <c r="S19" s="242">
        <f>S44+S69</f>
        <v>64686404.814139366</v>
      </c>
      <c r="T19" s="242">
        <f>T44+T69</f>
        <v>426779.87480688328</v>
      </c>
      <c r="U19" s="242">
        <f>U44+U69</f>
        <v>4485296.9973556679</v>
      </c>
      <c r="V19" s="242">
        <f>V44+V69</f>
        <v>17551404.806626931</v>
      </c>
      <c r="W19" s="242">
        <f>W44+W69</f>
        <v>27231216.054355182</v>
      </c>
      <c r="X19" s="242">
        <f>X44+X69</f>
        <v>2849632.8117197161</v>
      </c>
      <c r="Y19" s="242">
        <f>Y44+Y69</f>
        <v>1334637.3125853604</v>
      </c>
      <c r="Z19" s="242">
        <f>Z44+Z69</f>
        <v>41689075.686069593</v>
      </c>
      <c r="AA19" s="267">
        <f>AA44+AA69</f>
        <v>23158.096561483922</v>
      </c>
      <c r="AB19" s="242">
        <f>AB44+AB69</f>
        <v>185122615.60541517</v>
      </c>
      <c r="AC19" s="24">
        <f>SUM(D19:AB19)</f>
        <v>4881168181.6504993</v>
      </c>
      <c r="AD19" s="260" t="str">
        <f>"Line "&amp;A44&amp;" + Line "&amp;A69&amp;""</f>
        <v>Line 204 + Line 304</v>
      </c>
      <c r="AE19" s="8">
        <f>A19</f>
        <v>104</v>
      </c>
    </row>
    <row r="20" spans="1:31" x14ac:dyDescent="0.25">
      <c r="A20" s="8">
        <f>A19+1</f>
        <v>105</v>
      </c>
      <c r="B20" s="246" t="s">
        <v>474</v>
      </c>
      <c r="C20" s="255">
        <f>'1-BaseTRR'!$G$3</f>
        <v>2025</v>
      </c>
      <c r="D20" s="319">
        <f>+D45+D70</f>
        <v>-77721.579730662954</v>
      </c>
      <c r="E20" s="319">
        <f>+E45+E70</f>
        <v>84143997.855888367</v>
      </c>
      <c r="F20" s="319">
        <f>+F45+F70</f>
        <v>132203131.08906858</v>
      </c>
      <c r="G20" s="319">
        <f>+G45+G70</f>
        <v>26728984.551511459</v>
      </c>
      <c r="H20" s="319">
        <f>+H45+H70</f>
        <v>2501947518.8191595</v>
      </c>
      <c r="I20" s="319">
        <f>+I45+I70</f>
        <v>1639268.77</v>
      </c>
      <c r="J20" s="319">
        <f>+J45+J70</f>
        <v>407267361.64393246</v>
      </c>
      <c r="K20" s="242">
        <f>+K45+K70</f>
        <v>0</v>
      </c>
      <c r="L20" s="319">
        <f>+L45+L70</f>
        <v>574258598.01452982</v>
      </c>
      <c r="M20" s="319">
        <f>+M45+M70</f>
        <v>568873235.46604311</v>
      </c>
      <c r="N20" s="319">
        <f>+N45+N70</f>
        <v>135658041.58746198</v>
      </c>
      <c r="O20" s="319">
        <f>+O45+O70</f>
        <v>96849279.619141161</v>
      </c>
      <c r="P20" s="319">
        <f>+P45+P70</f>
        <v>22951969.796456788</v>
      </c>
      <c r="Q20" s="242">
        <f>Q45+Q70</f>
        <v>14178391.599539611</v>
      </c>
      <c r="R20" s="242">
        <f>R45+R70</f>
        <v>1085846.7464566804</v>
      </c>
      <c r="S20" s="242">
        <f>S45+S70</f>
        <v>66997708.174296722</v>
      </c>
      <c r="T20" s="242">
        <f>T45+T70</f>
        <v>442812.90462555282</v>
      </c>
      <c r="U20" s="242">
        <f>U45+U70</f>
        <v>4620560.920647312</v>
      </c>
      <c r="V20" s="242">
        <f>V45+V70</f>
        <v>17938539.582889855</v>
      </c>
      <c r="W20" s="242">
        <f>W45+W70</f>
        <v>28326864.751715641</v>
      </c>
      <c r="X20" s="242">
        <f>X45+X70</f>
        <v>2873973.8070406374</v>
      </c>
      <c r="Y20" s="242">
        <f>Y45+Y70</f>
        <v>1368551.2425671439</v>
      </c>
      <c r="Z20" s="242">
        <f>Z45+Z70</f>
        <v>41974601.971398085</v>
      </c>
      <c r="AA20" s="267">
        <f>AA45+AA70</f>
        <v>23807.607900521263</v>
      </c>
      <c r="AB20" s="242">
        <f>AB45+AB70</f>
        <v>186628808.03358743</v>
      </c>
      <c r="AC20" s="24">
        <f>SUM(D20:AB20)</f>
        <v>4918904132.9761286</v>
      </c>
      <c r="AD20" s="260" t="str">
        <f>"Line "&amp;A45&amp;" + Line "&amp;A70&amp;""</f>
        <v>Line 205 + Line 305</v>
      </c>
      <c r="AE20" s="8">
        <f>A20</f>
        <v>105</v>
      </c>
    </row>
    <row r="21" spans="1:31" x14ac:dyDescent="0.25">
      <c r="A21" s="8">
        <f>A20+1</f>
        <v>106</v>
      </c>
      <c r="B21" s="246" t="s">
        <v>763</v>
      </c>
      <c r="C21" s="255">
        <f>'1-BaseTRR'!$G$3</f>
        <v>2025</v>
      </c>
      <c r="D21" s="319">
        <f>+D46+D71</f>
        <v>-77721.456323655715</v>
      </c>
      <c r="E21" s="319">
        <f>+E46+E71</f>
        <v>84462324.633269072</v>
      </c>
      <c r="F21" s="319">
        <f>+F46+F71</f>
        <v>132713863.94016296</v>
      </c>
      <c r="G21" s="319">
        <f>+G46+G71</f>
        <v>26982128.207690764</v>
      </c>
      <c r="H21" s="319">
        <f>+H46+H71</f>
        <v>2520613661.4428</v>
      </c>
      <c r="I21" s="319">
        <f>+I46+I71</f>
        <v>1647975.6500000001</v>
      </c>
      <c r="J21" s="319">
        <f>+J46+J71</f>
        <v>409787773.15928018</v>
      </c>
      <c r="K21" s="242">
        <f>+K46+K71</f>
        <v>0</v>
      </c>
      <c r="L21" s="319">
        <f>+L46+L71</f>
        <v>580645125.89895904</v>
      </c>
      <c r="M21" s="319">
        <f>+M46+M71</f>
        <v>575203957.88218141</v>
      </c>
      <c r="N21" s="319">
        <f>+N46+N71</f>
        <v>136320321.5458205</v>
      </c>
      <c r="O21" s="319">
        <f>+O46+O71</f>
        <v>97307398.84100756</v>
      </c>
      <c r="P21" s="319">
        <f>+P46+P71</f>
        <v>23372592.172640681</v>
      </c>
      <c r="Q21" s="242">
        <f>Q46+Q71</f>
        <v>14546980.95400998</v>
      </c>
      <c r="R21" s="242">
        <f>R46+R71</f>
        <v>1098676.6584552764</v>
      </c>
      <c r="S21" s="242">
        <f>S46+S71</f>
        <v>68191667.129051864</v>
      </c>
      <c r="T21" s="242">
        <f>T46+T71</f>
        <v>464632.76684176363</v>
      </c>
      <c r="U21" s="242">
        <f>U46+U71</f>
        <v>5467485.6803305587</v>
      </c>
      <c r="V21" s="242">
        <f>V46+V71</f>
        <v>18326887.949660689</v>
      </c>
      <c r="W21" s="242">
        <f>W46+W71</f>
        <v>29354401.473198675</v>
      </c>
      <c r="X21" s="242">
        <f>X46+X71</f>
        <v>2930527.1098940182</v>
      </c>
      <c r="Y21" s="242">
        <f>Y46+Y71</f>
        <v>1393052.5027591495</v>
      </c>
      <c r="Z21" s="242">
        <f>Z46+Z71</f>
        <v>42259670.47488226</v>
      </c>
      <c r="AA21" s="267">
        <f>AA46+AA71</f>
        <v>24457.100172735212</v>
      </c>
      <c r="AB21" s="242">
        <f>AB46+AB71</f>
        <v>189401845.92868358</v>
      </c>
      <c r="AC21" s="24">
        <f>SUM(D21:AB21)</f>
        <v>4962439687.6454277</v>
      </c>
      <c r="AD21" s="260" t="str">
        <f>"Line "&amp;A46&amp;" + Line "&amp;A71&amp;""</f>
        <v>Line 206 + Line 306</v>
      </c>
      <c r="AE21" s="8">
        <f>A21</f>
        <v>106</v>
      </c>
    </row>
    <row r="22" spans="1:31" x14ac:dyDescent="0.25">
      <c r="A22" s="8">
        <f>A21+1</f>
        <v>107</v>
      </c>
      <c r="B22" s="246" t="s">
        <v>472</v>
      </c>
      <c r="C22" s="255">
        <f>'1-BaseTRR'!$G$3</f>
        <v>2025</v>
      </c>
      <c r="D22" s="319">
        <f>+D47+D72</f>
        <v>-77720.105408511561</v>
      </c>
      <c r="E22" s="319">
        <f>+E47+E72</f>
        <v>84784556.42701748</v>
      </c>
      <c r="F22" s="319">
        <f>+F47+F72</f>
        <v>133166191.92125745</v>
      </c>
      <c r="G22" s="319">
        <f>+G47+G72</f>
        <v>27234529.32387007</v>
      </c>
      <c r="H22" s="319">
        <f>+H47+H72</f>
        <v>2536929324.4017081</v>
      </c>
      <c r="I22" s="319">
        <f>+I47+I72</f>
        <v>1656594.1600000001</v>
      </c>
      <c r="J22" s="319">
        <f>+J47+J72</f>
        <v>412194051.18495172</v>
      </c>
      <c r="K22" s="242">
        <f>+K47+K72</f>
        <v>0</v>
      </c>
      <c r="L22" s="319">
        <f>+L47+L72</f>
        <v>586966150.47093809</v>
      </c>
      <c r="M22" s="319">
        <f>+M47+M72</f>
        <v>571864259.5924859</v>
      </c>
      <c r="N22" s="319">
        <f>+N47+N72</f>
        <v>136981424.78873783</v>
      </c>
      <c r="O22" s="319">
        <f>+O47+O72</f>
        <v>97752901.300803274</v>
      </c>
      <c r="P22" s="319">
        <f>+P47+P72</f>
        <v>23790802.037995398</v>
      </c>
      <c r="Q22" s="242">
        <f>Q47+Q72</f>
        <v>9905477.5435176753</v>
      </c>
      <c r="R22" s="242">
        <f>R47+R72</f>
        <v>-3319942.8653874602</v>
      </c>
      <c r="S22" s="242">
        <f>S47+S72</f>
        <v>44843401.384742908</v>
      </c>
      <c r="T22" s="242">
        <f>T47+T72</f>
        <v>73611.475981372016</v>
      </c>
      <c r="U22" s="242">
        <f>U47+U72</f>
        <v>6090066.8414124455</v>
      </c>
      <c r="V22" s="242">
        <f>V47+V72</f>
        <v>15432607.550273046</v>
      </c>
      <c r="W22" s="242">
        <f>W47+W72</f>
        <v>20738212.296925325</v>
      </c>
      <c r="X22" s="242">
        <f>X47+X72</f>
        <v>1010729.6921935729</v>
      </c>
      <c r="Y22" s="242">
        <f>Y47+Y72</f>
        <v>1206461.9618389513</v>
      </c>
      <c r="Z22" s="242">
        <f>Z47+Z72</f>
        <v>42526276.929106601</v>
      </c>
      <c r="AA22" s="267">
        <f>AA47+AA72</f>
        <v>25106.60197836085</v>
      </c>
      <c r="AB22" s="242">
        <f>AB47+AB72</f>
        <v>189172739.92125177</v>
      </c>
      <c r="AC22" s="24">
        <f>SUM(D22:AB22)</f>
        <v>4940947814.838192</v>
      </c>
      <c r="AD22" s="260" t="str">
        <f>"Line "&amp;A47&amp;" + Line "&amp;A72&amp;""</f>
        <v>Line 207 + Line 307</v>
      </c>
      <c r="AE22" s="8">
        <f>A22</f>
        <v>107</v>
      </c>
    </row>
    <row r="23" spans="1:31" x14ac:dyDescent="0.25">
      <c r="A23" s="8">
        <f>A22+1</f>
        <v>108</v>
      </c>
      <c r="B23" s="246" t="s">
        <v>471</v>
      </c>
      <c r="C23" s="255">
        <f>'1-BaseTRR'!$G$3</f>
        <v>2025</v>
      </c>
      <c r="D23" s="319">
        <f>+D48+D73</f>
        <v>-77717.819557075883</v>
      </c>
      <c r="E23" s="319">
        <f>+E48+E73</f>
        <v>85106166.385714978</v>
      </c>
      <c r="F23" s="319">
        <f>+F48+F73</f>
        <v>133588626.96235192</v>
      </c>
      <c r="G23" s="319">
        <f>+G48+G73</f>
        <v>26351721.390049383</v>
      </c>
      <c r="H23" s="319">
        <f>+H48+H73</f>
        <v>2534055833.2100849</v>
      </c>
      <c r="I23" s="319">
        <f>+I48+I73</f>
        <v>1808095.8000000003</v>
      </c>
      <c r="J23" s="319">
        <f>+J48+J73</f>
        <v>413074492.78376359</v>
      </c>
      <c r="K23" s="242">
        <f>+K48+K73</f>
        <v>2979502.7737433864</v>
      </c>
      <c r="L23" s="319">
        <f>+L48+L73</f>
        <v>592375127.86527324</v>
      </c>
      <c r="M23" s="319">
        <f>+M48+M73</f>
        <v>608072850.61788559</v>
      </c>
      <c r="N23" s="319">
        <f>+N48+N73</f>
        <v>137677507.4457469</v>
      </c>
      <c r="O23" s="319">
        <f>+O48+O73</f>
        <v>98008579.024030864</v>
      </c>
      <c r="P23" s="319">
        <f>+P48+P73</f>
        <v>24378063.001828112</v>
      </c>
      <c r="Q23" s="242">
        <f>Q48+Q73</f>
        <v>10174550.185517224</v>
      </c>
      <c r="R23" s="242">
        <f>R48+R73</f>
        <v>-3274157.0793762691</v>
      </c>
      <c r="S23" s="242">
        <f>S48+S73</f>
        <v>46370160.461476862</v>
      </c>
      <c r="T23" s="242">
        <f>T48+T73</f>
        <v>104266.08627249423</v>
      </c>
      <c r="U23" s="242">
        <f>U48+U73</f>
        <v>4219008.3532967083</v>
      </c>
      <c r="V23" s="242">
        <f>V48+V73</f>
        <v>15804761.219380438</v>
      </c>
      <c r="W23" s="242">
        <f>W48+W73</f>
        <v>21351292.221484266</v>
      </c>
      <c r="X23" s="242">
        <f>X48+X73</f>
        <v>1064557.8056135741</v>
      </c>
      <c r="Y23" s="242">
        <f>Y48+Y73</f>
        <v>1240185.6517761059</v>
      </c>
      <c r="Z23" s="242">
        <f>Z48+Z73</f>
        <v>42859960.468316145</v>
      </c>
      <c r="AA23" s="267">
        <f>AA48+AA73</f>
        <v>25756.113317398194</v>
      </c>
      <c r="AB23" s="242">
        <f>AB48+AB73</f>
        <v>185348338.18243426</v>
      </c>
      <c r="AC23" s="24">
        <f>SUM(D23:AB23)</f>
        <v>4982687529.110424</v>
      </c>
      <c r="AD23" s="260" t="str">
        <f>"Line "&amp;A48&amp;" + Line "&amp;A73&amp;""</f>
        <v>Line 208 + Line 308</v>
      </c>
      <c r="AE23" s="8">
        <f>A23</f>
        <v>108</v>
      </c>
    </row>
    <row r="24" spans="1:31" x14ac:dyDescent="0.25">
      <c r="A24" s="8">
        <f>A23+1</f>
        <v>109</v>
      </c>
      <c r="B24" s="246" t="s">
        <v>470</v>
      </c>
      <c r="C24" s="255">
        <f>'1-BaseTRR'!$G$3</f>
        <v>2025</v>
      </c>
      <c r="D24" s="319">
        <f>+D49+D74</f>
        <v>-77719.890930751732</v>
      </c>
      <c r="E24" s="319">
        <f>+E49+E74</f>
        <v>85433383.163167447</v>
      </c>
      <c r="F24" s="319">
        <f>+F49+F74</f>
        <v>134103099.53344645</v>
      </c>
      <c r="G24" s="319">
        <f>+G49+G74</f>
        <v>26255083.89622869</v>
      </c>
      <c r="H24" s="319">
        <f>+H49+H74</f>
        <v>2557528476.4091845</v>
      </c>
      <c r="I24" s="319">
        <f>+I49+I74</f>
        <v>1816332.38</v>
      </c>
      <c r="J24" s="319">
        <f>+J49+J74</f>
        <v>415855013.70378262</v>
      </c>
      <c r="K24" s="242">
        <f>+K49+K74</f>
        <v>3668328.0267113084</v>
      </c>
      <c r="L24" s="319">
        <f>+L49+L74</f>
        <v>593536003.72892928</v>
      </c>
      <c r="M24" s="319">
        <f>+M49+M74</f>
        <v>611781581.14937663</v>
      </c>
      <c r="N24" s="319">
        <f>+N49+N74</f>
        <v>138340605.5751892</v>
      </c>
      <c r="O24" s="319">
        <f>+O49+O74</f>
        <v>98048927.687113553</v>
      </c>
      <c r="P24" s="319">
        <f>+P49+P74</f>
        <v>24813718.02953425</v>
      </c>
      <c r="Q24" s="242">
        <f>Q49+Q74</f>
        <v>10443622.732182652</v>
      </c>
      <c r="R24" s="242">
        <f>R49+R74</f>
        <v>-3237389.967639057</v>
      </c>
      <c r="S24" s="242">
        <f>S49+S74</f>
        <v>47958174.213828161</v>
      </c>
      <c r="T24" s="242">
        <f>T49+T74</f>
        <v>141614.12502142839</v>
      </c>
      <c r="U24" s="242">
        <f>U49+U74</f>
        <v>2134121.7304715179</v>
      </c>
      <c r="V24" s="242">
        <f>V49+V74</f>
        <v>15978344.212471882</v>
      </c>
      <c r="W24" s="242">
        <f>W49+W74</f>
        <v>23188682.300092656</v>
      </c>
      <c r="X24" s="242">
        <f>X49+X74</f>
        <v>1471797.2436062219</v>
      </c>
      <c r="Y24" s="242">
        <f>Y49+Y74</f>
        <v>1280233.4908429268</v>
      </c>
      <c r="Z24" s="242">
        <f>Z49+Z74</f>
        <v>47582734.452547647</v>
      </c>
      <c r="AA24" s="267">
        <f>AA49+AA74</f>
        <v>96718.263498853936</v>
      </c>
      <c r="AB24" s="242">
        <f>AB49+AB74</f>
        <v>190226344.52394229</v>
      </c>
      <c r="AC24" s="24">
        <f>SUM(D24:AB24)</f>
        <v>5028367830.7126017</v>
      </c>
      <c r="AD24" s="260" t="str">
        <f>"Line "&amp;A49&amp;" + Line "&amp;A74&amp;""</f>
        <v>Line 209 + Line 309</v>
      </c>
      <c r="AE24" s="8">
        <f>A24</f>
        <v>109</v>
      </c>
    </row>
    <row r="25" spans="1:31" x14ac:dyDescent="0.25">
      <c r="A25" s="8">
        <f>A24+1</f>
        <v>110</v>
      </c>
      <c r="B25" s="246" t="s">
        <v>469</v>
      </c>
      <c r="C25" s="255">
        <f>'1-BaseTRR'!$G$3</f>
        <v>2025</v>
      </c>
      <c r="D25" s="319">
        <f>+D50+D75</f>
        <v>-77723.630552695089</v>
      </c>
      <c r="E25" s="319">
        <f>+E50+E75</f>
        <v>85761293.178603798</v>
      </c>
      <c r="F25" s="319">
        <f>+F50+F75</f>
        <v>134612908.63454086</v>
      </c>
      <c r="G25" s="319">
        <f>+G50+G75</f>
        <v>26213687.902407996</v>
      </c>
      <c r="H25" s="319">
        <f>+H50+H75</f>
        <v>2578710980.267128</v>
      </c>
      <c r="I25" s="319">
        <f>+I50+I75</f>
        <v>1824377.9000000004</v>
      </c>
      <c r="J25" s="319">
        <f>+J50+J75</f>
        <v>417727257.94668639</v>
      </c>
      <c r="K25" s="242">
        <f>+K50+K75</f>
        <v>5216379.5796792321</v>
      </c>
      <c r="L25" s="319">
        <f>+L50+L75</f>
        <v>592583771.94106305</v>
      </c>
      <c r="M25" s="319">
        <f>+M50+M75</f>
        <v>618763846.20230222</v>
      </c>
      <c r="N25" s="319">
        <f>+N50+N75</f>
        <v>139003678.58864218</v>
      </c>
      <c r="O25" s="319">
        <f>+O50+O75</f>
        <v>97978040.252680287</v>
      </c>
      <c r="P25" s="319">
        <f>+P50+P75</f>
        <v>25256398.121103715</v>
      </c>
      <c r="Q25" s="242">
        <f>Q50+Q75</f>
        <v>10712695.316981725</v>
      </c>
      <c r="R25" s="242">
        <f>R50+R75</f>
        <v>-3209259.0534345275</v>
      </c>
      <c r="S25" s="242">
        <f>S50+S75</f>
        <v>49559999.953634448</v>
      </c>
      <c r="T25" s="242">
        <f>T50+T75</f>
        <v>186956.95234160119</v>
      </c>
      <c r="U25" s="242">
        <f>U50+U75</f>
        <v>8537935.9838613998</v>
      </c>
      <c r="V25" s="242">
        <f>V50+V75</f>
        <v>16356923.306856243</v>
      </c>
      <c r="W25" s="242">
        <f>W50+W75</f>
        <v>24182560.920824096</v>
      </c>
      <c r="X25" s="242">
        <f>X50+X75</f>
        <v>1579041.4542024145</v>
      </c>
      <c r="Y25" s="242">
        <f>Y50+Y75</f>
        <v>1313938.1107858599</v>
      </c>
      <c r="Z25" s="242">
        <f>Z50+Z75</f>
        <v>48025746.029631771</v>
      </c>
      <c r="AA25" s="267">
        <f>AA50+AA75</f>
        <v>98536.037241105601</v>
      </c>
      <c r="AB25" s="242">
        <f>AB50+AB75</f>
        <v>202124739.45244271</v>
      </c>
      <c r="AC25" s="24">
        <f>SUM(D25:AB25)</f>
        <v>5083044711.3496523</v>
      </c>
      <c r="AD25" s="260" t="str">
        <f>"Line "&amp;A50&amp;" + Line "&amp;A75&amp;""</f>
        <v>Line 210 + Line 310</v>
      </c>
      <c r="AE25" s="8">
        <f>A25</f>
        <v>110</v>
      </c>
    </row>
    <row r="26" spans="1:31" x14ac:dyDescent="0.25">
      <c r="A26" s="8">
        <f>A25+1</f>
        <v>111</v>
      </c>
      <c r="B26" s="246" t="s">
        <v>468</v>
      </c>
      <c r="C26" s="255">
        <f>'1-BaseTRR'!$G$3</f>
        <v>2025</v>
      </c>
      <c r="D26" s="319">
        <f>+D51+D76</f>
        <v>-77718.735587415838</v>
      </c>
      <c r="E26" s="319">
        <f>+E51+E76</f>
        <v>86087959.146735698</v>
      </c>
      <c r="F26" s="319">
        <f>+F51+F76</f>
        <v>135118791.86563534</v>
      </c>
      <c r="G26" s="319">
        <f>+G51+G76</f>
        <v>25804924.898587309</v>
      </c>
      <c r="H26" s="319">
        <f>+H51+H76</f>
        <v>2600721512.0961976</v>
      </c>
      <c r="I26" s="319">
        <f>+I51+I76</f>
        <v>1798437.7600000005</v>
      </c>
      <c r="J26" s="319">
        <f>+J51+J76</f>
        <v>420733955.52592039</v>
      </c>
      <c r="K26" s="242">
        <f>+K51+K76</f>
        <v>5748094.6926471544</v>
      </c>
      <c r="L26" s="319">
        <f>+L51+L76</f>
        <v>593834398.50242555</v>
      </c>
      <c r="M26" s="319">
        <f>+M51+M76</f>
        <v>621246700.62827873</v>
      </c>
      <c r="N26" s="319">
        <f>+N51+N76</f>
        <v>139666667.20036429</v>
      </c>
      <c r="O26" s="319">
        <f>+O51+O76</f>
        <v>98182147.522512943</v>
      </c>
      <c r="P26" s="319">
        <f>+P51+P76</f>
        <v>25301490.932127956</v>
      </c>
      <c r="Q26" s="242">
        <f>Q51+Q76</f>
        <v>10981767.939914446</v>
      </c>
      <c r="R26" s="242">
        <f>R51+R76</f>
        <v>-2894981.5207582586</v>
      </c>
      <c r="S26" s="242">
        <f>S51+S76</f>
        <v>51227654.626368046</v>
      </c>
      <c r="T26" s="242">
        <f>T51+T76</f>
        <v>244780.07874005754</v>
      </c>
      <c r="U26" s="242">
        <f>U51+U76</f>
        <v>9529078.8059814852</v>
      </c>
      <c r="V26" s="242">
        <f>V51+V76</f>
        <v>16732463.783598581</v>
      </c>
      <c r="W26" s="242">
        <f>W51+W76</f>
        <v>25109017.074043546</v>
      </c>
      <c r="X26" s="242">
        <f>X51+X76</f>
        <v>1706192.1819883767</v>
      </c>
      <c r="Y26" s="242">
        <f>Y51+Y76</f>
        <v>1124129.3446035159</v>
      </c>
      <c r="Z26" s="242">
        <f>Z51+Z76</f>
        <v>48458613.761005931</v>
      </c>
      <c r="AA26" s="267">
        <f>AA51+AA76</f>
        <v>100353.83005018068</v>
      </c>
      <c r="AB26" s="242">
        <f>AB51+AB76</f>
        <v>205416834.34987095</v>
      </c>
      <c r="AC26" s="24">
        <f>SUM(D26:AB26)</f>
        <v>5121903266.2912531</v>
      </c>
      <c r="AD26" s="260" t="str">
        <f>"Line "&amp;A51&amp;" + Line "&amp;A76&amp;""</f>
        <v>Line 211 + Line 311</v>
      </c>
      <c r="AE26" s="8">
        <f>A26</f>
        <v>111</v>
      </c>
    </row>
    <row r="27" spans="1:31" x14ac:dyDescent="0.25">
      <c r="A27" s="8">
        <f>A26+1</f>
        <v>112</v>
      </c>
      <c r="B27" s="254" t="s">
        <v>467</v>
      </c>
      <c r="C27" s="253">
        <f>'1-BaseTRR'!$G$3</f>
        <v>2025</v>
      </c>
      <c r="D27" s="317">
        <f>+D52+D77</f>
        <v>-77723.026325362676</v>
      </c>
      <c r="E27" s="317">
        <f>+E52+E77</f>
        <v>86417980.580709919</v>
      </c>
      <c r="F27" s="317">
        <f>+F52+F77</f>
        <v>135620964.33051452</v>
      </c>
      <c r="G27" s="317">
        <f>+G52+G77</f>
        <v>25973056.818733916</v>
      </c>
      <c r="H27" s="317">
        <f>+H52+H77</f>
        <v>2619565730.9596591</v>
      </c>
      <c r="I27" s="317">
        <f>+I52+I77</f>
        <v>1788313.1500171367</v>
      </c>
      <c r="J27" s="317">
        <f>+J52+J77</f>
        <v>423399711.445714</v>
      </c>
      <c r="K27" s="251">
        <f>+K52+K77</f>
        <v>6297559.9427096583</v>
      </c>
      <c r="L27" s="317">
        <f>+L52+L77</f>
        <v>606607240.04607558</v>
      </c>
      <c r="M27" s="317">
        <f>+M52+M77</f>
        <v>632504222.69331086</v>
      </c>
      <c r="N27" s="317">
        <f>+N52+N77</f>
        <v>140330035.10516462</v>
      </c>
      <c r="O27" s="317">
        <f>+O52+O77</f>
        <v>98591830.027108788</v>
      </c>
      <c r="P27" s="317">
        <f>+P52+P77</f>
        <v>25742380.743406612</v>
      </c>
      <c r="Q27" s="251">
        <f>Q52+Q77</f>
        <v>11250840.543780338</v>
      </c>
      <c r="R27" s="251">
        <f>R52+R77</f>
        <v>-2868151.3055761214</v>
      </c>
      <c r="S27" s="251">
        <f>S52+S77</f>
        <v>53020177.66247952</v>
      </c>
      <c r="T27" s="251">
        <f>T52+T77</f>
        <v>359746.56041337783</v>
      </c>
      <c r="U27" s="251">
        <f>U52+U77</f>
        <v>9907501.2389526218</v>
      </c>
      <c r="V27" s="251">
        <f>V52+V77</f>
        <v>17125014.944983523</v>
      </c>
      <c r="W27" s="251">
        <f>W52+W77</f>
        <v>25740155.12982057</v>
      </c>
      <c r="X27" s="251">
        <f>X52+X77</f>
        <v>1806906.9303922369</v>
      </c>
      <c r="Y27" s="251">
        <f>Y52+Y77</f>
        <v>1157064.0097625996</v>
      </c>
      <c r="Z27" s="251">
        <f>Z52+Z77</f>
        <v>48815569.689118207</v>
      </c>
      <c r="AA27" s="266">
        <f>AA52+AA77</f>
        <v>102171.62285925572</v>
      </c>
      <c r="AB27" s="251">
        <f>AB52+AB77</f>
        <v>206088518.07266909</v>
      </c>
      <c r="AC27" s="263">
        <f>SUM(D27:AB27)</f>
        <v>5175266817.9164543</v>
      </c>
      <c r="AD27" s="260" t="str">
        <f>"Line "&amp;A52&amp;" + Line "&amp;A77&amp;""</f>
        <v>Line 212 + Line 312</v>
      </c>
      <c r="AE27" s="8">
        <f>A27</f>
        <v>112</v>
      </c>
    </row>
    <row r="28" spans="1:31" x14ac:dyDescent="0.25">
      <c r="A28" s="8">
        <f>A27+1</f>
        <v>113</v>
      </c>
      <c r="B28" s="262" t="s">
        <v>850</v>
      </c>
      <c r="C28" s="249"/>
      <c r="D28" s="316">
        <f>SUM(D15:D27)/13</f>
        <v>-77720.566854326651</v>
      </c>
      <c r="E28" s="316">
        <f>SUM(E15:E27)/13</f>
        <v>84479144.206962034</v>
      </c>
      <c r="F28" s="316">
        <f>SUM(F15:F27)/13</f>
        <v>132668676.7863633</v>
      </c>
      <c r="G28" s="316">
        <f>SUM(G15:G27)/13</f>
        <v>26265440.662422266</v>
      </c>
      <c r="H28" s="316">
        <f>SUM(H15:H27)/13</f>
        <v>2512458135.5577292</v>
      </c>
      <c r="I28" s="316">
        <f>SUM(I15:I27)/13</f>
        <v>1686804.3203024657</v>
      </c>
      <c r="J28" s="316">
        <f>SUM(J15:J27)/13</f>
        <v>409270644.40417796</v>
      </c>
      <c r="K28" s="248">
        <f>SUM(K15:K27)/13</f>
        <v>1839220.3858069801</v>
      </c>
      <c r="L28" s="316">
        <f>SUM(L15:L27)/13</f>
        <v>579265619.23757672</v>
      </c>
      <c r="M28" s="316">
        <f>SUM(M15:M27)/13</f>
        <v>582819503.39608181</v>
      </c>
      <c r="N28" s="316">
        <f>SUM(N15:N27)/13</f>
        <v>136333281.64036435</v>
      </c>
      <c r="O28" s="316">
        <f>SUM(O15:O27)/13</f>
        <v>96942773.448545903</v>
      </c>
      <c r="P28" s="316">
        <f>SUM(P15:P27)/13</f>
        <v>23399195.899604078</v>
      </c>
      <c r="Q28" s="248">
        <f>SUM(Q15:Q27)/13</f>
        <v>11186277.785652254</v>
      </c>
      <c r="R28" s="248">
        <f>SUM(R15:R27)/13</f>
        <v>-845471.14004753262</v>
      </c>
      <c r="S28" s="248">
        <f>SUM(S15:S27)/13</f>
        <v>51456840.5713505</v>
      </c>
      <c r="T28" s="248">
        <f>SUM(T15:T27)/13</f>
        <v>695996.23459468572</v>
      </c>
      <c r="U28" s="248">
        <f>SUM(U15:U27)/13</f>
        <v>5203155.7813087665</v>
      </c>
      <c r="V28" s="248">
        <f>SUM(V15:V27)/13</f>
        <v>15409693.851733625</v>
      </c>
      <c r="W28" s="248">
        <f>SUM(W15:W27)/13</f>
        <v>22993698.025740378</v>
      </c>
      <c r="X28" s="248">
        <f>SUM(X15:X27)/13</f>
        <v>1880159.3240964012</v>
      </c>
      <c r="Y28" s="248">
        <f>SUM(Y15:Y27)/13</f>
        <v>1086138.1393047073</v>
      </c>
      <c r="Z28" s="248">
        <f>SUM(Z15:Z27)/13</f>
        <v>40460975.872152589</v>
      </c>
      <c r="AA28" s="261">
        <f>SUM(AA15:AA27)/13</f>
        <v>46882.049098018513</v>
      </c>
      <c r="AB28" s="248">
        <f>SUM(AB15:AB27)/13</f>
        <v>174208770.9724538</v>
      </c>
      <c r="AC28" s="94">
        <f>SUM(AC15:AC27)/13</f>
        <v>4911133836.8465214</v>
      </c>
      <c r="AD28" s="260"/>
      <c r="AE28" s="8">
        <f>A28</f>
        <v>113</v>
      </c>
    </row>
    <row r="29" spans="1:31" x14ac:dyDescent="0.25">
      <c r="AE29" s="8"/>
    </row>
    <row r="30" spans="1:31" x14ac:dyDescent="0.25">
      <c r="AE30" s="8"/>
    </row>
    <row r="31" spans="1:31" x14ac:dyDescent="0.25">
      <c r="B31" s="83" t="s">
        <v>999</v>
      </c>
      <c r="C31" s="83"/>
      <c r="D31" s="35"/>
      <c r="E31" s="35"/>
      <c r="F31" s="35"/>
      <c r="G31" s="35"/>
      <c r="H31" s="35"/>
      <c r="I31" s="35"/>
      <c r="J31" s="35"/>
      <c r="K31" s="35"/>
      <c r="L31" s="35"/>
      <c r="M31" s="35"/>
      <c r="N31" s="35"/>
      <c r="O31" s="35"/>
      <c r="P31" s="35"/>
      <c r="Q31" s="83"/>
      <c r="R31" s="83"/>
      <c r="S31" s="83"/>
      <c r="T31" s="83"/>
      <c r="U31" s="83"/>
      <c r="V31" s="83"/>
      <c r="W31" s="83"/>
      <c r="X31" s="83"/>
      <c r="Y31" s="83"/>
      <c r="Z31" s="83"/>
      <c r="AA31" s="83"/>
      <c r="AB31" s="83"/>
      <c r="AC31" s="35"/>
      <c r="AD31" s="35"/>
      <c r="AE31" s="8"/>
    </row>
    <row r="32" spans="1:31" x14ac:dyDescent="0.25">
      <c r="B32" s="246" t="s">
        <v>998</v>
      </c>
      <c r="Q32" s="30"/>
      <c r="R32" s="30"/>
      <c r="S32" s="30"/>
      <c r="T32" s="30"/>
      <c r="U32" s="30"/>
      <c r="V32" s="30"/>
      <c r="W32" s="30"/>
      <c r="X32" s="30"/>
      <c r="Y32" s="30"/>
      <c r="Z32" s="30"/>
      <c r="AA32" s="30"/>
      <c r="AB32" s="30"/>
    </row>
    <row r="33" spans="1:31" x14ac:dyDescent="0.25">
      <c r="B33" s="6" t="s">
        <v>997</v>
      </c>
      <c r="Q33" s="30"/>
      <c r="R33" s="30"/>
      <c r="S33" s="30"/>
      <c r="T33" s="30"/>
      <c r="U33" s="30"/>
      <c r="V33" s="30"/>
      <c r="W33" s="30"/>
      <c r="X33" s="30"/>
      <c r="Y33" s="30"/>
      <c r="Z33" s="30"/>
      <c r="AA33" s="30"/>
      <c r="AB33" s="30"/>
    </row>
    <row r="34" spans="1:31" x14ac:dyDescent="0.25">
      <c r="Q34" s="30"/>
      <c r="R34" s="30"/>
      <c r="S34" s="30"/>
      <c r="T34" s="30"/>
      <c r="U34" s="30"/>
      <c r="V34" s="30"/>
      <c r="W34" s="30"/>
      <c r="X34" s="30"/>
      <c r="Y34" s="30"/>
      <c r="Z34" s="30"/>
      <c r="AA34" s="30"/>
      <c r="AB34" s="30"/>
    </row>
    <row r="35" spans="1:31" ht="13.5" customHeight="1" x14ac:dyDescent="0.25">
      <c r="A35" s="30"/>
      <c r="D35" s="175" t="s">
        <v>492</v>
      </c>
      <c r="E35" s="175" t="s">
        <v>491</v>
      </c>
      <c r="F35" s="175" t="s">
        <v>490</v>
      </c>
      <c r="G35" s="175" t="s">
        <v>489</v>
      </c>
      <c r="H35" s="175" t="s">
        <v>519</v>
      </c>
      <c r="I35" s="175" t="s">
        <v>518</v>
      </c>
      <c r="J35" s="175" t="s">
        <v>517</v>
      </c>
      <c r="K35" s="175" t="s">
        <v>538</v>
      </c>
      <c r="L35" s="175" t="s">
        <v>537</v>
      </c>
      <c r="M35" s="175" t="s">
        <v>770</v>
      </c>
      <c r="N35" s="175" t="s">
        <v>769</v>
      </c>
      <c r="O35" s="175" t="s">
        <v>768</v>
      </c>
      <c r="P35" s="175" t="s">
        <v>767</v>
      </c>
      <c r="Q35" s="175" t="s">
        <v>766</v>
      </c>
      <c r="R35" s="175" t="s">
        <v>765</v>
      </c>
      <c r="S35" s="175" t="s">
        <v>900</v>
      </c>
      <c r="T35" s="175" t="s">
        <v>899</v>
      </c>
      <c r="U35" s="175" t="s">
        <v>898</v>
      </c>
      <c r="V35" s="175" t="s">
        <v>897</v>
      </c>
      <c r="W35" s="175" t="s">
        <v>896</v>
      </c>
      <c r="X35" s="175" t="s">
        <v>895</v>
      </c>
      <c r="Y35" s="175" t="s">
        <v>894</v>
      </c>
      <c r="Z35" s="175" t="s">
        <v>893</v>
      </c>
      <c r="AA35" s="175" t="s">
        <v>892</v>
      </c>
      <c r="AB35" s="175" t="s">
        <v>891</v>
      </c>
      <c r="AC35" s="175" t="s">
        <v>890</v>
      </c>
      <c r="AD35" s="175"/>
      <c r="AE35" s="8"/>
    </row>
    <row r="36" spans="1:31" ht="13.5" customHeight="1" x14ac:dyDescent="0.25">
      <c r="A36" s="30"/>
      <c r="D36" s="175"/>
      <c r="E36" s="175"/>
      <c r="F36" s="175"/>
      <c r="G36" s="175"/>
      <c r="H36" s="175"/>
      <c r="I36" s="175"/>
      <c r="J36" s="175"/>
      <c r="K36" s="259"/>
      <c r="L36" s="175"/>
      <c r="M36" s="175"/>
      <c r="N36" s="175"/>
      <c r="O36" s="175"/>
      <c r="P36" s="175"/>
      <c r="Q36" s="329"/>
      <c r="R36" s="329"/>
      <c r="S36" s="329"/>
      <c r="T36" s="329"/>
      <c r="U36" s="329"/>
      <c r="V36" s="329"/>
      <c r="W36" s="329"/>
      <c r="X36" s="329"/>
      <c r="Y36" s="329"/>
      <c r="Z36" s="329"/>
      <c r="AA36" s="329"/>
      <c r="AB36" s="329"/>
      <c r="AC36" s="258" t="s">
        <v>889</v>
      </c>
      <c r="AD36" s="258"/>
      <c r="AE36" s="8"/>
    </row>
    <row r="37" spans="1:31" x14ac:dyDescent="0.25">
      <c r="B37" s="8"/>
      <c r="C37" s="8"/>
      <c r="Q37" s="8"/>
      <c r="R37" s="8"/>
      <c r="S37" s="8"/>
      <c r="T37" s="8"/>
      <c r="U37" s="8"/>
      <c r="V37" s="8"/>
      <c r="W37" s="8"/>
      <c r="X37" s="8"/>
      <c r="Y37" s="8"/>
      <c r="Z37" s="8"/>
      <c r="AA37" s="8"/>
      <c r="AB37" s="8"/>
      <c r="AE37" s="8"/>
    </row>
    <row r="38" spans="1:31" x14ac:dyDescent="0.25">
      <c r="A38" s="39"/>
      <c r="B38" s="8"/>
      <c r="C38" s="76" t="s">
        <v>888</v>
      </c>
      <c r="D38" s="183">
        <v>350.01</v>
      </c>
      <c r="E38" s="183">
        <v>350.02</v>
      </c>
      <c r="F38" s="183">
        <v>352.01</v>
      </c>
      <c r="G38" s="183">
        <v>352.02</v>
      </c>
      <c r="H38" s="183">
        <v>353.01</v>
      </c>
      <c r="I38" s="183">
        <v>353.02</v>
      </c>
      <c r="J38" s="183">
        <v>354</v>
      </c>
      <c r="K38" s="8">
        <v>354.02</v>
      </c>
      <c r="L38" s="183">
        <v>355</v>
      </c>
      <c r="M38" s="183">
        <v>356</v>
      </c>
      <c r="N38" s="183">
        <v>357</v>
      </c>
      <c r="O38" s="183">
        <v>358</v>
      </c>
      <c r="P38" s="183">
        <v>359</v>
      </c>
      <c r="Q38" s="183" t="s">
        <v>887</v>
      </c>
      <c r="R38" s="183" t="s">
        <v>886</v>
      </c>
      <c r="S38" s="183" t="s">
        <v>885</v>
      </c>
      <c r="T38" s="183" t="s">
        <v>884</v>
      </c>
      <c r="U38" s="183" t="s">
        <v>883</v>
      </c>
      <c r="V38" s="183" t="s">
        <v>882</v>
      </c>
      <c r="W38" s="183" t="s">
        <v>881</v>
      </c>
      <c r="X38" s="183" t="s">
        <v>880</v>
      </c>
      <c r="Y38" s="183" t="s">
        <v>879</v>
      </c>
      <c r="Z38" s="183" t="s">
        <v>878</v>
      </c>
      <c r="AA38" s="183" t="s">
        <v>877</v>
      </c>
      <c r="AB38" s="183" t="s">
        <v>876</v>
      </c>
      <c r="AE38" s="8"/>
    </row>
    <row r="39" spans="1:31" x14ac:dyDescent="0.25">
      <c r="A39" s="33" t="s">
        <v>106</v>
      </c>
      <c r="B39" s="33" t="s">
        <v>483</v>
      </c>
      <c r="C39" s="33" t="s">
        <v>510</v>
      </c>
      <c r="D39" s="175" t="s">
        <v>875</v>
      </c>
      <c r="E39" s="175" t="s">
        <v>874</v>
      </c>
      <c r="F39" s="175" t="s">
        <v>873</v>
      </c>
      <c r="G39" s="175" t="s">
        <v>872</v>
      </c>
      <c r="H39" s="175" t="s">
        <v>871</v>
      </c>
      <c r="I39" s="175" t="s">
        <v>870</v>
      </c>
      <c r="J39" s="175" t="s">
        <v>869</v>
      </c>
      <c r="K39" s="175" t="s">
        <v>868</v>
      </c>
      <c r="L39" s="175" t="s">
        <v>867</v>
      </c>
      <c r="M39" s="175" t="s">
        <v>866</v>
      </c>
      <c r="N39" s="175" t="s">
        <v>865</v>
      </c>
      <c r="O39" s="175" t="s">
        <v>864</v>
      </c>
      <c r="P39" s="175" t="s">
        <v>863</v>
      </c>
      <c r="Q39" s="33" t="s">
        <v>862</v>
      </c>
      <c r="R39" s="33" t="s">
        <v>861</v>
      </c>
      <c r="S39" s="33" t="s">
        <v>860</v>
      </c>
      <c r="T39" s="33" t="s">
        <v>859</v>
      </c>
      <c r="U39" s="33" t="s">
        <v>858</v>
      </c>
      <c r="V39" s="33" t="s">
        <v>857</v>
      </c>
      <c r="W39" s="33" t="s">
        <v>856</v>
      </c>
      <c r="X39" s="33" t="s">
        <v>855</v>
      </c>
      <c r="Y39" s="33" t="s">
        <v>854</v>
      </c>
      <c r="Z39" s="33" t="s">
        <v>853</v>
      </c>
      <c r="AA39" s="33" t="s">
        <v>852</v>
      </c>
      <c r="AB39" s="33" t="s">
        <v>851</v>
      </c>
      <c r="AC39" s="33" t="s">
        <v>466</v>
      </c>
      <c r="AD39" s="33"/>
      <c r="AE39" s="33" t="str">
        <f>A39</f>
        <v>Line</v>
      </c>
    </row>
    <row r="40" spans="1:31" x14ac:dyDescent="0.25">
      <c r="A40" s="8">
        <v>200</v>
      </c>
      <c r="B40" s="246" t="s">
        <v>467</v>
      </c>
      <c r="C40" s="255">
        <f>'1-BaseTRR'!$G$3-1</f>
        <v>2024</v>
      </c>
      <c r="D40" s="328">
        <v>-50176.954442984767</v>
      </c>
      <c r="E40" s="328">
        <v>39390782.139692321</v>
      </c>
      <c r="F40" s="328">
        <v>67676309.285245314</v>
      </c>
      <c r="G40" s="328">
        <v>8307600.8318954753</v>
      </c>
      <c r="H40" s="328">
        <v>833052323.46135497</v>
      </c>
      <c r="I40" s="328">
        <v>637972.31851128454</v>
      </c>
      <c r="J40" s="328">
        <v>252204888.94874951</v>
      </c>
      <c r="K40" s="328">
        <v>0</v>
      </c>
      <c r="L40" s="328">
        <v>30483608.493896198</v>
      </c>
      <c r="M40" s="328">
        <v>230435313.35895798</v>
      </c>
      <c r="N40" s="328">
        <v>81540499.533550769</v>
      </c>
      <c r="O40" s="328">
        <v>41821095.33397124</v>
      </c>
      <c r="P40" s="328">
        <v>8675275.9672081508</v>
      </c>
      <c r="Q40" s="328">
        <v>0</v>
      </c>
      <c r="R40" s="328">
        <v>0</v>
      </c>
      <c r="S40" s="328">
        <v>0</v>
      </c>
      <c r="T40" s="328">
        <v>0</v>
      </c>
      <c r="U40" s="328">
        <v>0</v>
      </c>
      <c r="V40" s="328">
        <v>0</v>
      </c>
      <c r="W40" s="328">
        <v>0</v>
      </c>
      <c r="X40" s="328">
        <v>0</v>
      </c>
      <c r="Y40" s="328">
        <v>0</v>
      </c>
      <c r="Z40" s="328">
        <v>0</v>
      </c>
      <c r="AA40" s="328">
        <v>0</v>
      </c>
      <c r="AB40" s="328">
        <v>0</v>
      </c>
      <c r="AC40" s="24">
        <f>SUM(D40:AB40)</f>
        <v>1594175492.7185903</v>
      </c>
      <c r="AD40" s="260"/>
      <c r="AE40" s="8">
        <f>A40</f>
        <v>200</v>
      </c>
    </row>
    <row r="41" spans="1:31" x14ac:dyDescent="0.25">
      <c r="A41" s="8">
        <f>A40+1</f>
        <v>201</v>
      </c>
      <c r="B41" s="246" t="s">
        <v>478</v>
      </c>
      <c r="C41" s="255">
        <f>'1-BaseTRR'!$G$3</f>
        <v>2025</v>
      </c>
      <c r="D41" s="328">
        <v>-50159.93845525293</v>
      </c>
      <c r="E41" s="328">
        <v>39421118.718926832</v>
      </c>
      <c r="F41" s="328">
        <v>67865277.096080348</v>
      </c>
      <c r="G41" s="328">
        <v>8371857.0292076403</v>
      </c>
      <c r="H41" s="328">
        <v>827528845.8697567</v>
      </c>
      <c r="I41" s="328">
        <v>636931.79513307044</v>
      </c>
      <c r="J41" s="328">
        <v>252768672.26676372</v>
      </c>
      <c r="K41" s="328">
        <v>0</v>
      </c>
      <c r="L41" s="328">
        <v>30991032.156236637</v>
      </c>
      <c r="M41" s="328">
        <v>227816982.3791028</v>
      </c>
      <c r="N41" s="328">
        <v>81968510.550297424</v>
      </c>
      <c r="O41" s="328">
        <v>42031467.945670754</v>
      </c>
      <c r="P41" s="328">
        <v>8843768.8809044659</v>
      </c>
      <c r="Q41" s="328">
        <v>4534249.9250315428</v>
      </c>
      <c r="R41" s="328">
        <v>774024.11744332092</v>
      </c>
      <c r="S41" s="328">
        <v>18419226.641255897</v>
      </c>
      <c r="T41" s="328">
        <v>50565.371776590946</v>
      </c>
      <c r="U41" s="328">
        <v>1555527.1297846595</v>
      </c>
      <c r="V41" s="328">
        <v>5143320.094822377</v>
      </c>
      <c r="W41" s="328">
        <v>7688700.0053915167</v>
      </c>
      <c r="X41" s="328">
        <v>587997.11867293238</v>
      </c>
      <c r="Y41" s="328">
        <v>51275.858640323335</v>
      </c>
      <c r="Z41" s="328">
        <v>13202287.154047877</v>
      </c>
      <c r="AA41" s="241">
        <v>11619.82413174771</v>
      </c>
      <c r="AB41" s="328">
        <v>59380467.246118352</v>
      </c>
      <c r="AC41" s="24">
        <f>SUM(D41:AB41)</f>
        <v>1699593565.2367425</v>
      </c>
      <c r="AD41" s="260"/>
      <c r="AE41" s="8">
        <f>A41</f>
        <v>201</v>
      </c>
    </row>
    <row r="42" spans="1:31" x14ac:dyDescent="0.25">
      <c r="A42" s="8">
        <f>A41+1</f>
        <v>202</v>
      </c>
      <c r="B42" s="246" t="s">
        <v>477</v>
      </c>
      <c r="C42" s="255">
        <f>'1-BaseTRR'!$G$3</f>
        <v>2025</v>
      </c>
      <c r="D42" s="328">
        <v>-50152.328114846678</v>
      </c>
      <c r="E42" s="328">
        <v>39560372.123231702</v>
      </c>
      <c r="F42" s="328">
        <v>68089704.014231637</v>
      </c>
      <c r="G42" s="328">
        <v>8467909.4505876489</v>
      </c>
      <c r="H42" s="328">
        <v>835361855.95914447</v>
      </c>
      <c r="I42" s="328">
        <v>639962.94280860305</v>
      </c>
      <c r="J42" s="328">
        <v>253735726.10377574</v>
      </c>
      <c r="K42" s="328">
        <v>0</v>
      </c>
      <c r="L42" s="328">
        <v>31462696.797341119</v>
      </c>
      <c r="M42" s="328">
        <v>227756653.62873188</v>
      </c>
      <c r="N42" s="328">
        <v>82420488.747167468</v>
      </c>
      <c r="O42" s="328">
        <v>42219313.803681985</v>
      </c>
      <c r="P42" s="328">
        <v>9008128.7189567536</v>
      </c>
      <c r="Q42" s="328">
        <v>4579483.6607277766</v>
      </c>
      <c r="R42" s="328">
        <v>460481.65356219094</v>
      </c>
      <c r="S42" s="328">
        <v>21697157.601971205</v>
      </c>
      <c r="T42" s="328">
        <v>1094138.3738208308</v>
      </c>
      <c r="U42" s="328">
        <v>1451045.9377531155</v>
      </c>
      <c r="V42" s="328">
        <v>5989394.3691316936</v>
      </c>
      <c r="W42" s="328">
        <v>8956441.5353185795</v>
      </c>
      <c r="X42" s="328">
        <v>942036.03462227935</v>
      </c>
      <c r="Y42" s="328">
        <v>439312.25094920833</v>
      </c>
      <c r="Z42" s="328">
        <v>16362622.973437645</v>
      </c>
      <c r="AA42" s="241">
        <v>11806.848461258111</v>
      </c>
      <c r="AB42" s="328">
        <v>59976772.367116436</v>
      </c>
      <c r="AC42" s="24">
        <f>SUM(D42:AB42)</f>
        <v>1720633353.5684166</v>
      </c>
      <c r="AD42" s="260"/>
      <c r="AE42" s="8">
        <f>A42</f>
        <v>202</v>
      </c>
    </row>
    <row r="43" spans="1:31" x14ac:dyDescent="0.25">
      <c r="A43" s="8">
        <f>A42+1</f>
        <v>203</v>
      </c>
      <c r="B43" s="246" t="s">
        <v>476</v>
      </c>
      <c r="C43" s="255">
        <f>'1-BaseTRR'!$G$3</f>
        <v>2025</v>
      </c>
      <c r="D43" s="328">
        <v>-50143.460886517925</v>
      </c>
      <c r="E43" s="328">
        <v>39708619.371839218</v>
      </c>
      <c r="F43" s="328">
        <v>68309789.099236712</v>
      </c>
      <c r="G43" s="328">
        <v>8593131.2446938269</v>
      </c>
      <c r="H43" s="328">
        <v>845185992.79564595</v>
      </c>
      <c r="I43" s="328">
        <v>643010.15296319453</v>
      </c>
      <c r="J43" s="328">
        <v>255073990.83113375</v>
      </c>
      <c r="K43" s="328">
        <v>0</v>
      </c>
      <c r="L43" s="328">
        <v>31891450.673865512</v>
      </c>
      <c r="M43" s="328">
        <v>227280932.92787361</v>
      </c>
      <c r="N43" s="328">
        <v>82875747.624781832</v>
      </c>
      <c r="O43" s="328">
        <v>42335806.697577551</v>
      </c>
      <c r="P43" s="328">
        <v>9185697.4397812448</v>
      </c>
      <c r="Q43" s="328">
        <v>4695783.5914882552</v>
      </c>
      <c r="R43" s="328">
        <v>364289.50444867171</v>
      </c>
      <c r="S43" s="328">
        <v>21550255.63739942</v>
      </c>
      <c r="T43" s="328">
        <v>1167660.7725614745</v>
      </c>
      <c r="U43" s="328">
        <v>1423601.8689571877</v>
      </c>
      <c r="V43" s="328">
        <v>6055381.7793105971</v>
      </c>
      <c r="W43" s="328">
        <v>9163991.2501848247</v>
      </c>
      <c r="X43" s="328">
        <v>973533.97028034728</v>
      </c>
      <c r="Y43" s="328">
        <v>455525.2638861275</v>
      </c>
      <c r="Z43" s="328">
        <v>15613343.785657985</v>
      </c>
      <c r="AA43" s="241">
        <v>7725.96884573649</v>
      </c>
      <c r="AB43" s="328">
        <v>65170180.823273838</v>
      </c>
      <c r="AC43" s="24">
        <f>SUM(D43:AB43)</f>
        <v>1737675299.6148009</v>
      </c>
      <c r="AD43" s="260"/>
      <c r="AE43" s="8">
        <f>A43</f>
        <v>203</v>
      </c>
    </row>
    <row r="44" spans="1:31" x14ac:dyDescent="0.25">
      <c r="A44" s="8">
        <f>A43+1</f>
        <v>204</v>
      </c>
      <c r="B44" s="246" t="s">
        <v>475</v>
      </c>
      <c r="C44" s="255">
        <f>'1-BaseTRR'!$G$3</f>
        <v>2025</v>
      </c>
      <c r="D44" s="328">
        <v>-50133.604295496152</v>
      </c>
      <c r="E44" s="328">
        <v>39908823.333599336</v>
      </c>
      <c r="F44" s="328">
        <v>68555431.167984247</v>
      </c>
      <c r="G44" s="328">
        <v>8683283.3242072016</v>
      </c>
      <c r="H44" s="328">
        <v>852588500.0174191</v>
      </c>
      <c r="I44" s="328">
        <v>646041.25053451234</v>
      </c>
      <c r="J44" s="328">
        <v>255928483.86135218</v>
      </c>
      <c r="K44" s="328">
        <v>0</v>
      </c>
      <c r="L44" s="328">
        <v>32301241.314985197</v>
      </c>
      <c r="M44" s="328">
        <v>228461867.6437006</v>
      </c>
      <c r="N44" s="328">
        <v>83321320.643897325</v>
      </c>
      <c r="O44" s="328">
        <v>42525882.398218848</v>
      </c>
      <c r="P44" s="328">
        <v>9356512.8374006376</v>
      </c>
      <c r="Q44" s="328">
        <v>4831333.9304916048</v>
      </c>
      <c r="R44" s="328">
        <v>372281.49657857779</v>
      </c>
      <c r="S44" s="328">
        <v>22653976.329474643</v>
      </c>
      <c r="T44" s="328">
        <v>149463.57290300302</v>
      </c>
      <c r="U44" s="328">
        <v>1570806.2969446215</v>
      </c>
      <c r="V44" s="328">
        <v>6146718.3124612812</v>
      </c>
      <c r="W44" s="328">
        <v>9536707.5305958129</v>
      </c>
      <c r="X44" s="328">
        <v>997976.53695358813</v>
      </c>
      <c r="Y44" s="328">
        <v>467406.43841027899</v>
      </c>
      <c r="Z44" s="328">
        <v>15724744.749327881</v>
      </c>
      <c r="AA44" s="241">
        <v>7893.6752393266461</v>
      </c>
      <c r="AB44" s="328">
        <v>64020096.547387555</v>
      </c>
      <c r="AC44" s="24">
        <f>SUM(D44:AB44)</f>
        <v>1748706659.6057723</v>
      </c>
      <c r="AD44" s="260"/>
      <c r="AE44" s="8">
        <f>A44</f>
        <v>204</v>
      </c>
    </row>
    <row r="45" spans="1:31" x14ac:dyDescent="0.25">
      <c r="A45" s="8">
        <f>A44+1</f>
        <v>205</v>
      </c>
      <c r="B45" s="246" t="s">
        <v>474</v>
      </c>
      <c r="C45" s="255">
        <f>'1-BaseTRR'!$G$3</f>
        <v>2025</v>
      </c>
      <c r="D45" s="328">
        <v>-50124.005264536747</v>
      </c>
      <c r="E45" s="328">
        <v>40056369.857189253</v>
      </c>
      <c r="F45" s="328">
        <v>68770263.752804711</v>
      </c>
      <c r="G45" s="328">
        <v>8764311.2285710648</v>
      </c>
      <c r="H45" s="328">
        <v>860565887.56571436</v>
      </c>
      <c r="I45" s="328">
        <v>649028.04734671651</v>
      </c>
      <c r="J45" s="328">
        <v>257202985.06062254</v>
      </c>
      <c r="K45" s="328">
        <v>0</v>
      </c>
      <c r="L45" s="328">
        <v>32758469.145812601</v>
      </c>
      <c r="M45" s="328">
        <v>230693314.6234</v>
      </c>
      <c r="N45" s="328">
        <v>83771875.049993917</v>
      </c>
      <c r="O45" s="328">
        <v>42740198.588646248</v>
      </c>
      <c r="P45" s="328">
        <v>9531719.416579498</v>
      </c>
      <c r="Q45" s="328">
        <v>4965447.5095481612</v>
      </c>
      <c r="R45" s="328">
        <v>380276.91540974029</v>
      </c>
      <c r="S45" s="328">
        <v>23463423.256718233</v>
      </c>
      <c r="T45" s="328">
        <v>155078.53757827755</v>
      </c>
      <c r="U45" s="328">
        <v>1618177.3902258943</v>
      </c>
      <c r="V45" s="328">
        <v>6282297.6831648396</v>
      </c>
      <c r="W45" s="328">
        <v>9920417.210036803</v>
      </c>
      <c r="X45" s="328">
        <v>1006501.0535567349</v>
      </c>
      <c r="Y45" s="328">
        <v>479283.51473341463</v>
      </c>
      <c r="Z45" s="328">
        <v>15830575.887595415</v>
      </c>
      <c r="AA45" s="241">
        <v>8056.8728119264588</v>
      </c>
      <c r="AB45" s="328">
        <v>64512688.588507906</v>
      </c>
      <c r="AC45" s="24">
        <f>SUM(D45:AB45)</f>
        <v>1764076522.7513034</v>
      </c>
      <c r="AD45" s="260"/>
      <c r="AE45" s="8">
        <f>A45</f>
        <v>205</v>
      </c>
    </row>
    <row r="46" spans="1:31" x14ac:dyDescent="0.25">
      <c r="A46" s="8">
        <f>A45+1</f>
        <v>206</v>
      </c>
      <c r="B46" s="246" t="s">
        <v>763</v>
      </c>
      <c r="C46" s="255">
        <f>'1-BaseTRR'!$G$3</f>
        <v>2025</v>
      </c>
      <c r="D46" s="328">
        <v>-50116.010455260213</v>
      </c>
      <c r="E46" s="328">
        <v>40199030.950870328</v>
      </c>
      <c r="F46" s="328">
        <v>68991615.276968554</v>
      </c>
      <c r="G46" s="328">
        <v>8848256.7485276163</v>
      </c>
      <c r="H46" s="328">
        <v>867626159.21233857</v>
      </c>
      <c r="I46" s="328">
        <v>652044.67715077742</v>
      </c>
      <c r="J46" s="328">
        <v>258500085.03943324</v>
      </c>
      <c r="K46" s="328">
        <v>0</v>
      </c>
      <c r="L46" s="328">
        <v>33307232.991805449</v>
      </c>
      <c r="M46" s="328">
        <v>232815266.610513</v>
      </c>
      <c r="N46" s="328">
        <v>84221304.405624002</v>
      </c>
      <c r="O46" s="328">
        <v>42929415.415142164</v>
      </c>
      <c r="P46" s="328">
        <v>9702531.3052696977</v>
      </c>
      <c r="Q46" s="328">
        <v>5094532.0449379347</v>
      </c>
      <c r="R46" s="328">
        <v>384770.10874086665</v>
      </c>
      <c r="S46" s="328">
        <v>23881562.400130246</v>
      </c>
      <c r="T46" s="328">
        <v>162720.12229115047</v>
      </c>
      <c r="U46" s="328">
        <v>1914780.8807713527</v>
      </c>
      <c r="V46" s="328">
        <v>6418302.0682237167</v>
      </c>
      <c r="W46" s="328">
        <v>10280273.235936305</v>
      </c>
      <c r="X46" s="328">
        <v>1026306.7173260415</v>
      </c>
      <c r="Y46" s="328">
        <v>487864.15806993638</v>
      </c>
      <c r="Z46" s="328">
        <v>15936835.753674127</v>
      </c>
      <c r="AA46" s="241">
        <v>8215.7136153799311</v>
      </c>
      <c r="AB46" s="328">
        <v>64011143.103786431</v>
      </c>
      <c r="AC46" s="24">
        <f>SUM(D46:AB46)</f>
        <v>1777350132.9306912</v>
      </c>
      <c r="AD46" s="260"/>
      <c r="AE46" s="8">
        <f>A46</f>
        <v>206</v>
      </c>
    </row>
    <row r="47" spans="1:31" x14ac:dyDescent="0.25">
      <c r="A47" s="8">
        <f>A46+1</f>
        <v>207</v>
      </c>
      <c r="B47" s="246" t="s">
        <v>472</v>
      </c>
      <c r="C47" s="255">
        <f>'1-BaseTRR'!$G$3</f>
        <v>2025</v>
      </c>
      <c r="D47" s="328">
        <v>-50113.498262368208</v>
      </c>
      <c r="E47" s="328">
        <v>40378788.164165787</v>
      </c>
      <c r="F47" s="328">
        <v>69180375.906273574</v>
      </c>
      <c r="G47" s="328">
        <v>8932270.6418068707</v>
      </c>
      <c r="H47" s="328">
        <v>874105003.8165158</v>
      </c>
      <c r="I47" s="328">
        <v>655020.62740403798</v>
      </c>
      <c r="J47" s="328">
        <v>259666500.46570134</v>
      </c>
      <c r="K47" s="328">
        <v>0</v>
      </c>
      <c r="L47" s="328">
        <v>33796524.670665264</v>
      </c>
      <c r="M47" s="328">
        <v>230746664.02242172</v>
      </c>
      <c r="N47" s="328">
        <v>84670718.97936812</v>
      </c>
      <c r="O47" s="328">
        <v>43113037.717803478</v>
      </c>
      <c r="P47" s="328">
        <v>9873439.0225025378</v>
      </c>
      <c r="Q47" s="328">
        <v>3469020.3366185892</v>
      </c>
      <c r="R47" s="328">
        <v>-1162684.915072852</v>
      </c>
      <c r="S47" s="328">
        <v>15704711.931695446</v>
      </c>
      <c r="T47" s="328">
        <v>25779.646268039076</v>
      </c>
      <c r="U47" s="328">
        <v>2132816.4776923768</v>
      </c>
      <c r="V47" s="328">
        <v>5404689.3957157806</v>
      </c>
      <c r="W47" s="328">
        <v>7262777.5780711686</v>
      </c>
      <c r="X47" s="328">
        <v>353969.99706877326</v>
      </c>
      <c r="Y47" s="328">
        <v>422517.85061235941</v>
      </c>
      <c r="Z47" s="328">
        <v>16038323.048270825</v>
      </c>
      <c r="AA47" s="241">
        <v>8370.3506670174229</v>
      </c>
      <c r="AB47" s="328">
        <v>64017468.400162674</v>
      </c>
      <c r="AC47" s="24">
        <f>SUM(D47:AB47)</f>
        <v>1768745990.6341369</v>
      </c>
      <c r="AD47" s="260"/>
      <c r="AE47" s="8">
        <f>A47</f>
        <v>207</v>
      </c>
    </row>
    <row r="48" spans="1:31" x14ac:dyDescent="0.25">
      <c r="A48" s="8">
        <f>A47+1</f>
        <v>208</v>
      </c>
      <c r="B48" s="246" t="s">
        <v>471</v>
      </c>
      <c r="C48" s="255">
        <f>'1-BaseTRR'!$G$3</f>
        <v>2025</v>
      </c>
      <c r="D48" s="328">
        <v>-50124.69996054691</v>
      </c>
      <c r="E48" s="328">
        <v>40628759.600446776</v>
      </c>
      <c r="F48" s="328">
        <v>69572835.718759045</v>
      </c>
      <c r="G48" s="328">
        <v>8469060.3322783392</v>
      </c>
      <c r="H48" s="328">
        <v>874063371.1768471</v>
      </c>
      <c r="I48" s="328">
        <v>704831.92627957044</v>
      </c>
      <c r="J48" s="328">
        <v>260328365.89490682</v>
      </c>
      <c r="K48" s="328">
        <v>1128666.2424332043</v>
      </c>
      <c r="L48" s="328">
        <v>33951461.993209913</v>
      </c>
      <c r="M48" s="328">
        <v>244295852.90920076</v>
      </c>
      <c r="N48" s="328">
        <v>85141732.505251646</v>
      </c>
      <c r="O48" s="328">
        <v>43282564.292853005</v>
      </c>
      <c r="P48" s="328">
        <v>10113888.033312498</v>
      </c>
      <c r="Q48" s="328">
        <v>3563252.892598181</v>
      </c>
      <c r="R48" s="328">
        <v>-1146650.168428574</v>
      </c>
      <c r="S48" s="328">
        <v>16239401.780119073</v>
      </c>
      <c r="T48" s="328">
        <v>36515.268659168745</v>
      </c>
      <c r="U48" s="328">
        <v>1477548.7313610574</v>
      </c>
      <c r="V48" s="328">
        <v>5535022.1980273286</v>
      </c>
      <c r="W48" s="328">
        <v>7477485.724843896</v>
      </c>
      <c r="X48" s="328">
        <v>372821.26590618497</v>
      </c>
      <c r="Y48" s="328">
        <v>434328.30252685264</v>
      </c>
      <c r="Z48" s="328">
        <v>16163379.566445278</v>
      </c>
      <c r="AA48" s="241">
        <v>8520.9202905778293</v>
      </c>
      <c r="AB48" s="328">
        <v>61524715.276276536</v>
      </c>
      <c r="AC48" s="24">
        <f>SUM(D48:AB48)</f>
        <v>1783317607.684444</v>
      </c>
      <c r="AD48" s="260"/>
      <c r="AE48" s="8">
        <f>A48</f>
        <v>208</v>
      </c>
    </row>
    <row r="49" spans="1:31" x14ac:dyDescent="0.25">
      <c r="A49" s="8">
        <f>A48+1</f>
        <v>209</v>
      </c>
      <c r="B49" s="246" t="s">
        <v>470</v>
      </c>
      <c r="C49" s="255">
        <f>'1-BaseTRR'!$G$3</f>
        <v>2025</v>
      </c>
      <c r="D49" s="328">
        <v>-50293.639266542516</v>
      </c>
      <c r="E49" s="328">
        <v>40779749.782644629</v>
      </c>
      <c r="F49" s="328">
        <v>69796580.286179006</v>
      </c>
      <c r="G49" s="328">
        <v>8363949.0495160231</v>
      </c>
      <c r="H49" s="328">
        <v>883188571.75631917</v>
      </c>
      <c r="I49" s="328">
        <v>707678.06817467266</v>
      </c>
      <c r="J49" s="328">
        <v>261383050.69171509</v>
      </c>
      <c r="K49" s="328">
        <v>1452663.3935781489</v>
      </c>
      <c r="L49" s="328">
        <v>32947907.651781138</v>
      </c>
      <c r="M49" s="328">
        <v>245599341.5057551</v>
      </c>
      <c r="N49" s="328">
        <v>85593834.601602107</v>
      </c>
      <c r="O49" s="328">
        <v>43292515.548947304</v>
      </c>
      <c r="P49" s="328">
        <v>10291913.584433619</v>
      </c>
      <c r="Q49" s="328">
        <v>3657485.4151905896</v>
      </c>
      <c r="R49" s="328">
        <v>-1133773.8726846515</v>
      </c>
      <c r="S49" s="328">
        <v>16795543.771005899</v>
      </c>
      <c r="T49" s="328">
        <v>49595.012203452367</v>
      </c>
      <c r="U49" s="328">
        <v>747395.73648018739</v>
      </c>
      <c r="V49" s="328">
        <v>5595813.1018964108</v>
      </c>
      <c r="W49" s="328">
        <v>8120962.3791486612</v>
      </c>
      <c r="X49" s="328">
        <v>515441.53696965636</v>
      </c>
      <c r="Y49" s="328">
        <v>448353.54942182411</v>
      </c>
      <c r="Z49" s="328">
        <v>17996469.771338999</v>
      </c>
      <c r="AA49" s="241">
        <v>33306.778464846459</v>
      </c>
      <c r="AB49" s="328">
        <v>63215962.192545936</v>
      </c>
      <c r="AC49" s="24">
        <f>SUM(D49:AB49)</f>
        <v>1799390017.6533613</v>
      </c>
      <c r="AD49" s="260"/>
      <c r="AE49" s="8">
        <f>A49</f>
        <v>209</v>
      </c>
    </row>
    <row r="50" spans="1:31" x14ac:dyDescent="0.25">
      <c r="A50" s="8">
        <f>A49+1</f>
        <v>210</v>
      </c>
      <c r="B50" s="246" t="s">
        <v>469</v>
      </c>
      <c r="C50" s="255">
        <f>'1-BaseTRR'!$G$3</f>
        <v>2025</v>
      </c>
      <c r="D50" s="328">
        <v>-50437.331988497943</v>
      </c>
      <c r="E50" s="328">
        <v>40922365.104780912</v>
      </c>
      <c r="F50" s="328">
        <v>70017920.203144133</v>
      </c>
      <c r="G50" s="328">
        <v>8264388.5381790791</v>
      </c>
      <c r="H50" s="328">
        <v>891412406.81807852</v>
      </c>
      <c r="I50" s="328">
        <v>710442.96304965776</v>
      </c>
      <c r="J50" s="328">
        <v>262526236.8581495</v>
      </c>
      <c r="K50" s="328">
        <v>1916908.3690622561</v>
      </c>
      <c r="L50" s="328">
        <v>33053633.043153983</v>
      </c>
      <c r="M50" s="328">
        <v>247918397.72089577</v>
      </c>
      <c r="N50" s="328">
        <v>86045885.643763587</v>
      </c>
      <c r="O50" s="328">
        <v>43257381.372748137</v>
      </c>
      <c r="P50" s="328">
        <v>10493191.834125539</v>
      </c>
      <c r="Q50" s="328">
        <v>3751717.9511378715</v>
      </c>
      <c r="R50" s="328">
        <v>-1123922.0797716437</v>
      </c>
      <c r="S50" s="328">
        <v>17356522.890154332</v>
      </c>
      <c r="T50" s="328">
        <v>65474.629253960069</v>
      </c>
      <c r="U50" s="328">
        <v>2990090.4252865198</v>
      </c>
      <c r="V50" s="328">
        <v>5728396.1673436128</v>
      </c>
      <c r="W50" s="328">
        <v>8469030.9232749455</v>
      </c>
      <c r="X50" s="328">
        <v>552999.78147713735</v>
      </c>
      <c r="Y50" s="328">
        <v>460157.32278927282</v>
      </c>
      <c r="Z50" s="328">
        <v>18160647.431669135</v>
      </c>
      <c r="AA50" s="241">
        <v>33866.205927456031</v>
      </c>
      <c r="AB50" s="328">
        <v>67026953.039984956</v>
      </c>
      <c r="AC50" s="24">
        <f>SUM(D50:AB50)</f>
        <v>1819960655.8256698</v>
      </c>
      <c r="AD50" s="260"/>
      <c r="AE50" s="8">
        <f>A50</f>
        <v>210</v>
      </c>
    </row>
    <row r="51" spans="1:31" x14ac:dyDescent="0.25">
      <c r="A51" s="8">
        <f>A50+1</f>
        <v>211</v>
      </c>
      <c r="B51" s="246" t="s">
        <v>468</v>
      </c>
      <c r="C51" s="255">
        <f>'1-BaseTRR'!$G$3</f>
        <v>2025</v>
      </c>
      <c r="D51" s="328">
        <v>-50426.092209261311</v>
      </c>
      <c r="E51" s="328">
        <v>41072769.088023901</v>
      </c>
      <c r="F51" s="328">
        <v>70239356.954174533</v>
      </c>
      <c r="G51" s="328">
        <v>8118608.6438089777</v>
      </c>
      <c r="H51" s="328">
        <v>899528054.76690102</v>
      </c>
      <c r="I51" s="328">
        <v>698913.2524757667</v>
      </c>
      <c r="J51" s="328">
        <v>263883993.55526501</v>
      </c>
      <c r="K51" s="328">
        <v>2121166.0851291199</v>
      </c>
      <c r="L51" s="328">
        <v>33278374.406834699</v>
      </c>
      <c r="M51" s="328">
        <v>249034471.4578982</v>
      </c>
      <c r="N51" s="328">
        <v>86497961.485178784</v>
      </c>
      <c r="O51" s="328">
        <v>43334600.936816566</v>
      </c>
      <c r="P51" s="328">
        <v>10513610.55392909</v>
      </c>
      <c r="Q51" s="328">
        <v>3845950.5004400257</v>
      </c>
      <c r="R51" s="328">
        <v>-1013858.2138543705</v>
      </c>
      <c r="S51" s="328">
        <v>17940556.113060959</v>
      </c>
      <c r="T51" s="328">
        <v>85725.00088136147</v>
      </c>
      <c r="U51" s="328">
        <v>3337200.8590160068</v>
      </c>
      <c r="V51" s="328">
        <v>5859915.0714367498</v>
      </c>
      <c r="W51" s="328">
        <v>8793487.2881886121</v>
      </c>
      <c r="X51" s="328">
        <v>597529.53368418908</v>
      </c>
      <c r="Y51" s="328">
        <v>393683.95317511063</v>
      </c>
      <c r="Z51" s="328">
        <v>18320864.427589282</v>
      </c>
      <c r="AA51" s="241">
        <v>34423.186598429296</v>
      </c>
      <c r="AB51" s="328">
        <v>68238866.715281159</v>
      </c>
      <c r="AC51" s="24">
        <f>SUM(D51:AB51)</f>
        <v>1834705799.5297236</v>
      </c>
      <c r="AD51" s="260"/>
      <c r="AE51" s="8">
        <f>A51</f>
        <v>211</v>
      </c>
    </row>
    <row r="52" spans="1:31" x14ac:dyDescent="0.25">
      <c r="A52" s="8">
        <f>A51+1</f>
        <v>212</v>
      </c>
      <c r="B52" s="254" t="s">
        <v>467</v>
      </c>
      <c r="C52" s="253">
        <f>'1-BaseTRR'!$G$3</f>
        <v>2025</v>
      </c>
      <c r="D52" s="326">
        <v>-49891.44888506495</v>
      </c>
      <c r="E52" s="326">
        <v>41218884.758326992</v>
      </c>
      <c r="F52" s="326">
        <v>70453129.174212903</v>
      </c>
      <c r="G52" s="326">
        <v>8164385.409202978</v>
      </c>
      <c r="H52" s="326">
        <v>906934666.6452384</v>
      </c>
      <c r="I52" s="326">
        <v>693895.97700327949</v>
      </c>
      <c r="J52" s="326">
        <v>265163354.98483562</v>
      </c>
      <c r="K52" s="326">
        <v>2289010.6263955124</v>
      </c>
      <c r="L52" s="326">
        <v>34044927.393171385</v>
      </c>
      <c r="M52" s="326">
        <v>252613759.46182626</v>
      </c>
      <c r="N52" s="326">
        <v>86950876.456693113</v>
      </c>
      <c r="O52" s="326">
        <v>43501607.746933535</v>
      </c>
      <c r="P52" s="326">
        <v>10696722.962139789</v>
      </c>
      <c r="Q52" s="326">
        <v>3938861.7525559217</v>
      </c>
      <c r="R52" s="326">
        <v>-1004125.1081744673</v>
      </c>
      <c r="S52" s="326">
        <v>18562093.125025254</v>
      </c>
      <c r="T52" s="326">
        <v>125945.43153570335</v>
      </c>
      <c r="U52" s="326">
        <v>3468565.5299847075</v>
      </c>
      <c r="V52" s="326">
        <v>5995380.1777088894</v>
      </c>
      <c r="W52" s="326">
        <v>9011496.7100617923</v>
      </c>
      <c r="X52" s="326">
        <v>632588.87821361003</v>
      </c>
      <c r="Y52" s="326">
        <v>405082.19413280801</v>
      </c>
      <c r="Z52" s="326">
        <v>18447844.525247354</v>
      </c>
      <c r="AA52" s="252">
        <v>34968.977678755895</v>
      </c>
      <c r="AB52" s="326">
        <v>69044893.426485345</v>
      </c>
      <c r="AC52" s="263">
        <f>SUM(D52:AB52)</f>
        <v>1851338925.7675502</v>
      </c>
      <c r="AD52" s="325"/>
      <c r="AE52" s="8">
        <f>A52</f>
        <v>212</v>
      </c>
    </row>
    <row r="53" spans="1:31" x14ac:dyDescent="0.25">
      <c r="A53" s="8">
        <f>A52+1</f>
        <v>213</v>
      </c>
      <c r="B53" s="262" t="s">
        <v>850</v>
      </c>
      <c r="C53" s="249"/>
      <c r="D53" s="316">
        <f>SUM(D40:D52)/13</f>
        <v>-50176.385575936707</v>
      </c>
      <c r="E53" s="316">
        <f>SUM(E40:E52)/13</f>
        <v>40249725.614902921</v>
      </c>
      <c r="F53" s="316">
        <f>SUM(F40:F52)/13</f>
        <v>69039891.379638046</v>
      </c>
      <c r="G53" s="316">
        <f>SUM(G40:G52)/13</f>
        <v>8488385.5748063661</v>
      </c>
      <c r="H53" s="316">
        <f>SUM(H40:H52)/13</f>
        <v>865472433.83548272</v>
      </c>
      <c r="I53" s="316">
        <f>SUM(I40:I52)/13</f>
        <v>667367.23067962634</v>
      </c>
      <c r="J53" s="316">
        <f>SUM(J40:J52)/13</f>
        <v>258335871.88941571</v>
      </c>
      <c r="K53" s="248">
        <f>SUM(K40:K52)/13</f>
        <v>685262.67050755699</v>
      </c>
      <c r="L53" s="316">
        <f>SUM(L40:L52)/13</f>
        <v>32636043.133289162</v>
      </c>
      <c r="M53" s="316">
        <f>SUM(M40:M52)/13</f>
        <v>236574524.48079059</v>
      </c>
      <c r="N53" s="316">
        <f>SUM(N40:N52)/13</f>
        <v>84232365.863628462</v>
      </c>
      <c r="O53" s="316">
        <f>SUM(O40:O52)/13</f>
        <v>42798837.523000836</v>
      </c>
      <c r="P53" s="316">
        <f>SUM(P40:P52)/13</f>
        <v>9714338.5043495018</v>
      </c>
      <c r="Q53" s="248">
        <f>SUM(Q40:Q52)/13</f>
        <v>3917470.7315974194</v>
      </c>
      <c r="R53" s="248">
        <f>SUM(R40:R52)/13</f>
        <v>-296068.50475409155</v>
      </c>
      <c r="S53" s="248">
        <f>SUM(S40:S52)/13</f>
        <v>18020340.88292389</v>
      </c>
      <c r="T53" s="248">
        <f>SUM(T40:T52)/13</f>
        <v>243743.21074869327</v>
      </c>
      <c r="U53" s="248">
        <f>SUM(U40:U52)/13</f>
        <v>1822119.7895582838</v>
      </c>
      <c r="V53" s="248">
        <f>SUM(V40:V52)/13</f>
        <v>5396510.0322494823</v>
      </c>
      <c r="W53" s="248">
        <f>SUM(W40:W52)/13</f>
        <v>8052443.9516194547</v>
      </c>
      <c r="X53" s="248">
        <f>SUM(X40:X52)/13</f>
        <v>658438.6480562673</v>
      </c>
      <c r="Y53" s="248">
        <f>SUM(Y40:Y52)/13</f>
        <v>380368.51210365508</v>
      </c>
      <c r="Z53" s="248">
        <f>SUM(Z40:Z52)/13</f>
        <v>15215226.082638601</v>
      </c>
      <c r="AA53" s="261">
        <f>SUM(AA40:AA52)/13</f>
        <v>16059.640210189096</v>
      </c>
      <c r="AB53" s="248">
        <f>SUM(AB40:AB52)/13</f>
        <v>59241554.440532848</v>
      </c>
      <c r="AC53" s="94">
        <f>SUM(AC40:AC52)/13</f>
        <v>1761513078.7324002</v>
      </c>
      <c r="AD53" s="260"/>
      <c r="AE53" s="8">
        <f>A53</f>
        <v>213</v>
      </c>
    </row>
    <row r="54" spans="1:31" x14ac:dyDescent="0.25">
      <c r="AE54" s="8"/>
    </row>
    <row r="55" spans="1:31" x14ac:dyDescent="0.25">
      <c r="AE55" s="8"/>
    </row>
    <row r="56" spans="1:31" x14ac:dyDescent="0.25">
      <c r="B56" s="83" t="s">
        <v>996</v>
      </c>
      <c r="C56" s="83"/>
      <c r="D56" s="35"/>
      <c r="E56" s="35"/>
      <c r="F56" s="35"/>
      <c r="G56" s="35"/>
      <c r="H56" s="35"/>
      <c r="I56" s="35"/>
      <c r="J56" s="35"/>
      <c r="K56" s="35"/>
      <c r="L56" s="35"/>
      <c r="M56" s="35"/>
      <c r="N56" s="35"/>
      <c r="O56" s="35"/>
      <c r="P56" s="35"/>
      <c r="Q56" s="83"/>
      <c r="R56" s="83"/>
      <c r="S56" s="83"/>
      <c r="T56" s="83"/>
      <c r="U56" s="83"/>
      <c r="V56" s="83"/>
      <c r="W56" s="83"/>
      <c r="X56" s="83"/>
      <c r="Y56" s="83"/>
      <c r="Z56" s="83"/>
      <c r="AA56" s="83"/>
      <c r="AB56" s="83"/>
      <c r="AC56" s="35"/>
      <c r="AD56" s="35"/>
      <c r="AE56" s="8"/>
    </row>
    <row r="57" spans="1:31" x14ac:dyDescent="0.25">
      <c r="B57" s="246" t="s">
        <v>995</v>
      </c>
      <c r="Q57" s="30"/>
      <c r="R57" s="30"/>
      <c r="S57" s="30"/>
      <c r="T57" s="30"/>
      <c r="U57" s="30"/>
      <c r="V57" s="30"/>
      <c r="W57" s="30"/>
      <c r="X57" s="30"/>
      <c r="Y57" s="30"/>
      <c r="Z57" s="30"/>
      <c r="AA57" s="30"/>
      <c r="AB57" s="30"/>
    </row>
    <row r="58" spans="1:31" x14ac:dyDescent="0.25">
      <c r="B58" s="6" t="s">
        <v>994</v>
      </c>
      <c r="Q58" s="30"/>
      <c r="R58" s="30"/>
      <c r="S58" s="30"/>
      <c r="T58" s="30"/>
      <c r="U58" s="30"/>
      <c r="V58" s="30"/>
      <c r="W58" s="30"/>
      <c r="X58" s="30"/>
      <c r="Y58" s="30"/>
      <c r="Z58" s="30"/>
      <c r="AA58" s="30"/>
      <c r="AB58" s="30"/>
    </row>
    <row r="59" spans="1:31" x14ac:dyDescent="0.25">
      <c r="Q59" s="30"/>
      <c r="R59" s="30"/>
      <c r="S59" s="30"/>
      <c r="T59" s="30"/>
      <c r="U59" s="30"/>
      <c r="V59" s="30"/>
      <c r="W59" s="30"/>
      <c r="X59" s="30"/>
      <c r="Y59" s="30"/>
      <c r="Z59" s="30"/>
      <c r="AA59" s="30"/>
      <c r="AB59" s="30"/>
    </row>
    <row r="60" spans="1:31" x14ac:dyDescent="0.25">
      <c r="A60" s="30"/>
      <c r="D60" s="175" t="s">
        <v>492</v>
      </c>
      <c r="E60" s="175" t="s">
        <v>491</v>
      </c>
      <c r="F60" s="175" t="s">
        <v>490</v>
      </c>
      <c r="G60" s="175" t="s">
        <v>489</v>
      </c>
      <c r="H60" s="175" t="s">
        <v>519</v>
      </c>
      <c r="I60" s="175" t="s">
        <v>518</v>
      </c>
      <c r="J60" s="175" t="s">
        <v>517</v>
      </c>
      <c r="K60" s="175" t="s">
        <v>538</v>
      </c>
      <c r="L60" s="175" t="s">
        <v>537</v>
      </c>
      <c r="M60" s="175" t="s">
        <v>770</v>
      </c>
      <c r="N60" s="175" t="s">
        <v>769</v>
      </c>
      <c r="O60" s="175" t="s">
        <v>768</v>
      </c>
      <c r="P60" s="175" t="s">
        <v>767</v>
      </c>
      <c r="Q60" s="175" t="s">
        <v>766</v>
      </c>
      <c r="R60" s="175" t="s">
        <v>765</v>
      </c>
      <c r="S60" s="175" t="s">
        <v>900</v>
      </c>
      <c r="T60" s="175" t="s">
        <v>899</v>
      </c>
      <c r="U60" s="175" t="s">
        <v>898</v>
      </c>
      <c r="V60" s="175" t="s">
        <v>897</v>
      </c>
      <c r="W60" s="175" t="s">
        <v>896</v>
      </c>
      <c r="X60" s="175" t="s">
        <v>895</v>
      </c>
      <c r="Y60" s="175" t="s">
        <v>894</v>
      </c>
      <c r="Z60" s="175" t="s">
        <v>893</v>
      </c>
      <c r="AA60" s="175" t="s">
        <v>892</v>
      </c>
      <c r="AB60" s="175" t="s">
        <v>891</v>
      </c>
      <c r="AC60" s="175" t="s">
        <v>890</v>
      </c>
      <c r="AD60" s="175"/>
      <c r="AE60" s="8"/>
    </row>
    <row r="61" spans="1:31" x14ac:dyDescent="0.25">
      <c r="A61" s="30"/>
      <c r="D61" s="175"/>
      <c r="E61" s="175"/>
      <c r="F61" s="175"/>
      <c r="G61" s="175"/>
      <c r="H61" s="175"/>
      <c r="I61" s="175"/>
      <c r="J61" s="175"/>
      <c r="K61" s="259"/>
      <c r="L61" s="175"/>
      <c r="M61" s="175"/>
      <c r="N61" s="175"/>
      <c r="O61" s="175"/>
      <c r="P61" s="175"/>
      <c r="Q61" s="329"/>
      <c r="R61" s="329"/>
      <c r="S61" s="329"/>
      <c r="T61" s="329"/>
      <c r="U61" s="329"/>
      <c r="V61" s="329"/>
      <c r="W61" s="329"/>
      <c r="X61" s="329"/>
      <c r="Y61" s="329"/>
      <c r="Z61" s="329"/>
      <c r="AA61" s="329"/>
      <c r="AB61" s="329"/>
      <c r="AC61" s="258" t="s">
        <v>889</v>
      </c>
      <c r="AD61" s="258"/>
      <c r="AE61" s="8"/>
    </row>
    <row r="62" spans="1:31" x14ac:dyDescent="0.25">
      <c r="B62" s="8"/>
      <c r="C62" s="8"/>
      <c r="O62" s="23"/>
      <c r="Q62" s="8"/>
      <c r="R62" s="8"/>
      <c r="S62" s="8"/>
      <c r="T62" s="8"/>
      <c r="U62" s="8"/>
      <c r="V62" s="8"/>
      <c r="W62" s="8"/>
      <c r="X62" s="8"/>
      <c r="Y62" s="8"/>
      <c r="Z62" s="8"/>
      <c r="AA62" s="8"/>
      <c r="AB62" s="8"/>
      <c r="AC62" s="23"/>
      <c r="AD62" s="23"/>
      <c r="AE62" s="8"/>
    </row>
    <row r="63" spans="1:31" x14ac:dyDescent="0.25">
      <c r="A63" s="39"/>
      <c r="B63" s="8"/>
      <c r="C63" s="76" t="s">
        <v>888</v>
      </c>
      <c r="D63" s="183">
        <v>350.01</v>
      </c>
      <c r="E63" s="183">
        <v>350.02</v>
      </c>
      <c r="F63" s="183">
        <v>352.01</v>
      </c>
      <c r="G63" s="183">
        <v>352.02</v>
      </c>
      <c r="H63" s="183">
        <v>353.01</v>
      </c>
      <c r="I63" s="183">
        <v>353.02</v>
      </c>
      <c r="J63" s="183">
        <v>354</v>
      </c>
      <c r="K63" s="8">
        <v>354.02</v>
      </c>
      <c r="L63" s="183">
        <v>355</v>
      </c>
      <c r="M63" s="183">
        <v>356</v>
      </c>
      <c r="N63" s="183">
        <v>357</v>
      </c>
      <c r="O63" s="183">
        <v>358</v>
      </c>
      <c r="P63" s="183">
        <v>359</v>
      </c>
      <c r="Q63" s="183" t="s">
        <v>887</v>
      </c>
      <c r="R63" s="183" t="s">
        <v>886</v>
      </c>
      <c r="S63" s="183" t="s">
        <v>885</v>
      </c>
      <c r="T63" s="183" t="s">
        <v>884</v>
      </c>
      <c r="U63" s="183" t="s">
        <v>883</v>
      </c>
      <c r="V63" s="183" t="s">
        <v>882</v>
      </c>
      <c r="W63" s="183" t="s">
        <v>881</v>
      </c>
      <c r="X63" s="183" t="s">
        <v>880</v>
      </c>
      <c r="Y63" s="183" t="s">
        <v>879</v>
      </c>
      <c r="Z63" s="183" t="s">
        <v>878</v>
      </c>
      <c r="AA63" s="183" t="s">
        <v>877</v>
      </c>
      <c r="AB63" s="183" t="s">
        <v>876</v>
      </c>
      <c r="AE63" s="8"/>
    </row>
    <row r="64" spans="1:31" x14ac:dyDescent="0.25">
      <c r="A64" s="33" t="s">
        <v>106</v>
      </c>
      <c r="B64" s="33" t="s">
        <v>483</v>
      </c>
      <c r="C64" s="33" t="s">
        <v>510</v>
      </c>
      <c r="D64" s="175" t="s">
        <v>875</v>
      </c>
      <c r="E64" s="175" t="s">
        <v>874</v>
      </c>
      <c r="F64" s="175" t="s">
        <v>873</v>
      </c>
      <c r="G64" s="175" t="s">
        <v>872</v>
      </c>
      <c r="H64" s="175" t="s">
        <v>871</v>
      </c>
      <c r="I64" s="175" t="s">
        <v>870</v>
      </c>
      <c r="J64" s="175" t="s">
        <v>869</v>
      </c>
      <c r="K64" s="175" t="s">
        <v>868</v>
      </c>
      <c r="L64" s="175" t="s">
        <v>867</v>
      </c>
      <c r="M64" s="175" t="s">
        <v>866</v>
      </c>
      <c r="N64" s="175" t="s">
        <v>865</v>
      </c>
      <c r="O64" s="175" t="s">
        <v>864</v>
      </c>
      <c r="P64" s="175" t="s">
        <v>863</v>
      </c>
      <c r="Q64" s="33" t="s">
        <v>862</v>
      </c>
      <c r="R64" s="33" t="s">
        <v>861</v>
      </c>
      <c r="S64" s="33" t="s">
        <v>860</v>
      </c>
      <c r="T64" s="33" t="s">
        <v>859</v>
      </c>
      <c r="U64" s="33" t="s">
        <v>858</v>
      </c>
      <c r="V64" s="33" t="s">
        <v>857</v>
      </c>
      <c r="W64" s="33" t="s">
        <v>856</v>
      </c>
      <c r="X64" s="33" t="s">
        <v>855</v>
      </c>
      <c r="Y64" s="33" t="s">
        <v>854</v>
      </c>
      <c r="Z64" s="33" t="s">
        <v>853</v>
      </c>
      <c r="AA64" s="33" t="s">
        <v>852</v>
      </c>
      <c r="AB64" s="33" t="s">
        <v>851</v>
      </c>
      <c r="AC64" s="33" t="s">
        <v>466</v>
      </c>
      <c r="AD64" s="33"/>
      <c r="AE64" s="33" t="str">
        <f>A64</f>
        <v>Line</v>
      </c>
    </row>
    <row r="65" spans="1:31" x14ac:dyDescent="0.25">
      <c r="A65" s="8">
        <v>300</v>
      </c>
      <c r="B65" s="246" t="s">
        <v>467</v>
      </c>
      <c r="C65" s="255">
        <f>'1-BaseTRR'!$G$3-1</f>
        <v>2024</v>
      </c>
      <c r="D65" s="328">
        <v>-27542.251770039351</v>
      </c>
      <c r="E65" s="328">
        <v>43203563.943320766</v>
      </c>
      <c r="F65" s="328">
        <v>62038032.605170004</v>
      </c>
      <c r="G65" s="328">
        <v>17180269.536261715</v>
      </c>
      <c r="H65" s="328">
        <v>1582967290.1062598</v>
      </c>
      <c r="I65" s="328">
        <v>841312.45540362759</v>
      </c>
      <c r="J65" s="328">
        <v>143450020.36027059</v>
      </c>
      <c r="K65" s="328">
        <v>0</v>
      </c>
      <c r="L65" s="328">
        <v>519034895.10331196</v>
      </c>
      <c r="M65" s="328">
        <v>311981255.32521099</v>
      </c>
      <c r="N65" s="328">
        <v>50806060.650363982</v>
      </c>
      <c r="O65" s="328">
        <v>52796328.715561554</v>
      </c>
      <c r="P65" s="328">
        <v>12218483.967290234</v>
      </c>
      <c r="Q65" s="328">
        <v>0</v>
      </c>
      <c r="R65" s="328">
        <v>0</v>
      </c>
      <c r="S65" s="328">
        <v>0</v>
      </c>
      <c r="T65" s="328">
        <v>0</v>
      </c>
      <c r="U65" s="328">
        <v>0</v>
      </c>
      <c r="V65" s="328">
        <v>0</v>
      </c>
      <c r="W65" s="328">
        <v>0</v>
      </c>
      <c r="X65" s="328">
        <v>0</v>
      </c>
      <c r="Y65" s="328">
        <v>0</v>
      </c>
      <c r="Z65" s="328">
        <v>0</v>
      </c>
      <c r="AA65" s="328">
        <v>0</v>
      </c>
      <c r="AB65" s="328">
        <v>0</v>
      </c>
      <c r="AC65" s="24">
        <f>SUM(D65:AB65)</f>
        <v>2796489970.516655</v>
      </c>
      <c r="AD65" s="260"/>
      <c r="AE65" s="8">
        <f>A65</f>
        <v>300</v>
      </c>
    </row>
    <row r="66" spans="1:31" x14ac:dyDescent="0.25">
      <c r="A66" s="8">
        <f>A65+1</f>
        <v>301</v>
      </c>
      <c r="B66" s="246" t="s">
        <v>478</v>
      </c>
      <c r="C66" s="255">
        <f>'1-BaseTRR'!$G$3</f>
        <v>2025</v>
      </c>
      <c r="D66" s="328">
        <v>-27557.373077947545</v>
      </c>
      <c r="E66" s="328">
        <v>43478212.666184314</v>
      </c>
      <c r="F66" s="328">
        <v>62353889.6886103</v>
      </c>
      <c r="G66" s="328">
        <v>17370214.627586581</v>
      </c>
      <c r="H66" s="328">
        <v>1588200155.8813992</v>
      </c>
      <c r="I66" s="328">
        <v>967340.93486692978</v>
      </c>
      <c r="J66" s="328">
        <v>144854856.85023883</v>
      </c>
      <c r="K66" s="328">
        <v>0</v>
      </c>
      <c r="L66" s="328">
        <v>524743019.01340187</v>
      </c>
      <c r="M66" s="328">
        <v>320114498.68576598</v>
      </c>
      <c r="N66" s="328">
        <v>51037000.928436227</v>
      </c>
      <c r="O66" s="328">
        <v>53098935.925955944</v>
      </c>
      <c r="P66" s="328">
        <v>12461315.862199651</v>
      </c>
      <c r="Q66" s="328">
        <v>8412895.5082167033</v>
      </c>
      <c r="R66" s="328">
        <v>1436132.5750796613</v>
      </c>
      <c r="S66" s="328">
        <v>34175228.899401508</v>
      </c>
      <c r="T66" s="328">
        <v>93819.528284522225</v>
      </c>
      <c r="U66" s="328">
        <v>2886141.5712508494</v>
      </c>
      <c r="V66" s="328">
        <v>9542970.7754256316</v>
      </c>
      <c r="W66" s="328">
        <v>14265695.717894077</v>
      </c>
      <c r="X66" s="328">
        <v>1090976.1041664379</v>
      </c>
      <c r="Y66" s="328">
        <v>95137.773163690334</v>
      </c>
      <c r="Z66" s="328">
        <v>24495663.920798056</v>
      </c>
      <c r="AA66" s="241">
        <v>21559.545208255873</v>
      </c>
      <c r="AB66" s="328">
        <v>110175150.11971971</v>
      </c>
      <c r="AC66" s="24">
        <f>SUM(D66:AB66)</f>
        <v>3025343255.7301764</v>
      </c>
      <c r="AD66" s="260"/>
      <c r="AE66" s="8">
        <f>A66</f>
        <v>301</v>
      </c>
    </row>
    <row r="67" spans="1:31" x14ac:dyDescent="0.25">
      <c r="A67" s="8">
        <f>A66+1</f>
        <v>302</v>
      </c>
      <c r="B67" s="246" t="s">
        <v>477</v>
      </c>
      <c r="C67" s="255">
        <f>'1-BaseTRR'!$G$3</f>
        <v>2025</v>
      </c>
      <c r="D67" s="328">
        <v>-27569.11175813471</v>
      </c>
      <c r="E67" s="328">
        <v>43636669.370388456</v>
      </c>
      <c r="F67" s="328">
        <v>62627428.36155349</v>
      </c>
      <c r="G67" s="328">
        <v>17506840.422385868</v>
      </c>
      <c r="H67" s="328">
        <v>1600946826.4488857</v>
      </c>
      <c r="I67" s="328">
        <v>973081.32719139708</v>
      </c>
      <c r="J67" s="328">
        <v>146119257.58286414</v>
      </c>
      <c r="K67" s="328">
        <v>0</v>
      </c>
      <c r="L67" s="328">
        <v>531388080.91917318</v>
      </c>
      <c r="M67" s="328">
        <v>325672179.65157181</v>
      </c>
      <c r="N67" s="328">
        <v>51247681.648171082</v>
      </c>
      <c r="O67" s="328">
        <v>53365811.349964842</v>
      </c>
      <c r="P67" s="328">
        <v>12710335.660520609</v>
      </c>
      <c r="Q67" s="328">
        <v>8496822.6622445118</v>
      </c>
      <c r="R67" s="328">
        <v>854382.55476016924</v>
      </c>
      <c r="S67" s="328">
        <v>40257136.847043917</v>
      </c>
      <c r="T67" s="328">
        <v>2030075.969052535</v>
      </c>
      <c r="U67" s="328">
        <v>2692286.0569610875</v>
      </c>
      <c r="V67" s="328">
        <v>11112785.977419607</v>
      </c>
      <c r="W67" s="328">
        <v>16617876.828120146</v>
      </c>
      <c r="X67" s="328">
        <v>1747863.6721148351</v>
      </c>
      <c r="Y67" s="328">
        <v>815104.6201295252</v>
      </c>
      <c r="Z67" s="328">
        <v>26346248.849997379</v>
      </c>
      <c r="AA67" s="241">
        <v>21906.55213722535</v>
      </c>
      <c r="AB67" s="328">
        <v>111281540.97971109</v>
      </c>
      <c r="AC67" s="24">
        <f>SUM(D67:AB67)</f>
        <v>3068440655.2006035</v>
      </c>
      <c r="AD67" s="260"/>
      <c r="AE67" s="8">
        <f>A67</f>
        <v>302</v>
      </c>
    </row>
    <row r="68" spans="1:31" x14ac:dyDescent="0.25">
      <c r="A68" s="8">
        <f>A67+1</f>
        <v>303</v>
      </c>
      <c r="B68" s="246" t="s">
        <v>476</v>
      </c>
      <c r="C68" s="255">
        <f>'1-BaseTRR'!$G$3</f>
        <v>2025</v>
      </c>
      <c r="D68" s="328">
        <v>-27578.431102977436</v>
      </c>
      <c r="E68" s="328">
        <v>43804467.33862254</v>
      </c>
      <c r="F68" s="328">
        <v>62898281.777642846</v>
      </c>
      <c r="G68" s="328">
        <v>17632453.654459003</v>
      </c>
      <c r="H68" s="328">
        <v>1617181884.5412455</v>
      </c>
      <c r="I68" s="328">
        <v>978837.76703680551</v>
      </c>
      <c r="J68" s="328">
        <v>147630069.14697185</v>
      </c>
      <c r="K68" s="328">
        <v>0</v>
      </c>
      <c r="L68" s="328">
        <v>536330353.80524606</v>
      </c>
      <c r="M68" s="328">
        <v>333224205.7072711</v>
      </c>
      <c r="N68" s="328">
        <v>51460708.957354352</v>
      </c>
      <c r="O68" s="328">
        <v>53536030.433798008</v>
      </c>
      <c r="P68" s="328">
        <v>12943798.149249144</v>
      </c>
      <c r="Q68" s="328">
        <v>8712606.7900005355</v>
      </c>
      <c r="R68" s="328">
        <v>675906.61880981294</v>
      </c>
      <c r="S68" s="328">
        <v>39984573.380466677</v>
      </c>
      <c r="T68" s="328">
        <v>2166490.2091904287</v>
      </c>
      <c r="U68" s="328">
        <v>2641366.0399973453</v>
      </c>
      <c r="V68" s="328">
        <v>11235219.71968605</v>
      </c>
      <c r="W68" s="328">
        <v>17002966.775255721</v>
      </c>
      <c r="X68" s="328">
        <v>1806305.2767456197</v>
      </c>
      <c r="Y68" s="328">
        <v>845186.41667070671</v>
      </c>
      <c r="Z68" s="328">
        <v>25780270.191968422</v>
      </c>
      <c r="AA68" s="241">
        <v>14782.625910121787</v>
      </c>
      <c r="AB68" s="328">
        <v>119199127.03566313</v>
      </c>
      <c r="AC68" s="24">
        <f>SUM(D68:AB68)</f>
        <v>3107658313.9281588</v>
      </c>
      <c r="AD68" s="260"/>
      <c r="AE68" s="8">
        <f>A68</f>
        <v>303</v>
      </c>
    </row>
    <row r="69" spans="1:31" x14ac:dyDescent="0.25">
      <c r="A69" s="8">
        <f>A68+1</f>
        <v>304</v>
      </c>
      <c r="B69" s="246" t="s">
        <v>475</v>
      </c>
      <c r="C69" s="255">
        <f>'1-BaseTRR'!$G$3</f>
        <v>2025</v>
      </c>
      <c r="D69" s="328">
        <v>-27587.670785917533</v>
      </c>
      <c r="E69" s="328">
        <v>43918584.313594334</v>
      </c>
      <c r="F69" s="328">
        <v>63151076.849989846</v>
      </c>
      <c r="G69" s="328">
        <v>17793051.501124941</v>
      </c>
      <c r="H69" s="328">
        <v>1628869049.5634487</v>
      </c>
      <c r="I69" s="328">
        <v>984569.6494654878</v>
      </c>
      <c r="J69" s="328">
        <v>148712793.90816125</v>
      </c>
      <c r="K69" s="328">
        <v>0</v>
      </c>
      <c r="L69" s="328">
        <v>541020255.34284699</v>
      </c>
      <c r="M69" s="328">
        <v>335599000.60901368</v>
      </c>
      <c r="N69" s="328">
        <v>51676360.20358859</v>
      </c>
      <c r="O69" s="328">
        <v>53806277.952297457</v>
      </c>
      <c r="P69" s="328">
        <v>13178814.376248667</v>
      </c>
      <c r="Q69" s="328">
        <v>8964108.3298347332</v>
      </c>
      <c r="R69" s="328">
        <v>690735.04595940874</v>
      </c>
      <c r="S69" s="328">
        <v>42032428.484664723</v>
      </c>
      <c r="T69" s="328">
        <v>277316.30190388026</v>
      </c>
      <c r="U69" s="328">
        <v>2914490.7004110469</v>
      </c>
      <c r="V69" s="328">
        <v>11404686.494165652</v>
      </c>
      <c r="W69" s="328">
        <v>17694508.523759369</v>
      </c>
      <c r="X69" s="328">
        <v>1851656.274766128</v>
      </c>
      <c r="Y69" s="328">
        <v>867230.8741750815</v>
      </c>
      <c r="Z69" s="328">
        <v>25964330.936741713</v>
      </c>
      <c r="AA69" s="241">
        <v>15264.421322157277</v>
      </c>
      <c r="AB69" s="328">
        <v>121102519.05802763</v>
      </c>
      <c r="AC69" s="24">
        <f>SUM(D69:AB69)</f>
        <v>3132461522.0447259</v>
      </c>
      <c r="AD69" s="260"/>
      <c r="AE69" s="8">
        <f>A69</f>
        <v>304</v>
      </c>
    </row>
    <row r="70" spans="1:31" x14ac:dyDescent="0.25">
      <c r="A70" s="8">
        <f>A69+1</f>
        <v>305</v>
      </c>
      <c r="B70" s="246" t="s">
        <v>474</v>
      </c>
      <c r="C70" s="255">
        <f>'1-BaseTRR'!$G$3</f>
        <v>2025</v>
      </c>
      <c r="D70" s="328">
        <v>-27597.574466126203</v>
      </c>
      <c r="E70" s="328">
        <v>44087627.998699121</v>
      </c>
      <c r="F70" s="328">
        <v>63432867.336263865</v>
      </c>
      <c r="G70" s="328">
        <v>17964673.322940394</v>
      </c>
      <c r="H70" s="328">
        <v>1641381631.2534449</v>
      </c>
      <c r="I70" s="328">
        <v>990240.72265328362</v>
      </c>
      <c r="J70" s="328">
        <v>150064376.58330992</v>
      </c>
      <c r="K70" s="328">
        <v>0</v>
      </c>
      <c r="L70" s="328">
        <v>541500128.86871719</v>
      </c>
      <c r="M70" s="328">
        <v>338179920.84264314</v>
      </c>
      <c r="N70" s="328">
        <v>51886166.537468061</v>
      </c>
      <c r="O70" s="328">
        <v>54109081.030494913</v>
      </c>
      <c r="P70" s="328">
        <v>13420250.37987729</v>
      </c>
      <c r="Q70" s="328">
        <v>9212944.0899914503</v>
      </c>
      <c r="R70" s="328">
        <v>705569.83104694018</v>
      </c>
      <c r="S70" s="328">
        <v>43534284.917578489</v>
      </c>
      <c r="T70" s="328">
        <v>287734.36704727524</v>
      </c>
      <c r="U70" s="328">
        <v>3002383.5304214172</v>
      </c>
      <c r="V70" s="328">
        <v>11656241.899725014</v>
      </c>
      <c r="W70" s="328">
        <v>18406447.541678838</v>
      </c>
      <c r="X70" s="328">
        <v>1867472.7534839027</v>
      </c>
      <c r="Y70" s="328">
        <v>889267.72783372924</v>
      </c>
      <c r="Z70" s="328">
        <v>26144026.08380267</v>
      </c>
      <c r="AA70" s="241">
        <v>15750.735088594805</v>
      </c>
      <c r="AB70" s="328">
        <v>122116119.44507952</v>
      </c>
      <c r="AC70" s="24">
        <f>SUM(D70:AB70)</f>
        <v>3154827610.2248235</v>
      </c>
      <c r="AD70" s="260"/>
      <c r="AE70" s="8">
        <f>A70</f>
        <v>305</v>
      </c>
    </row>
    <row r="71" spans="1:31" x14ac:dyDescent="0.25">
      <c r="A71" s="8">
        <f>A70+1</f>
        <v>306</v>
      </c>
      <c r="B71" s="246" t="s">
        <v>763</v>
      </c>
      <c r="C71" s="255">
        <f>'1-BaseTRR'!$G$3</f>
        <v>2025</v>
      </c>
      <c r="D71" s="328">
        <v>-27605.445868395505</v>
      </c>
      <c r="E71" s="328">
        <v>44263293.682398751</v>
      </c>
      <c r="F71" s="328">
        <v>63722248.663194411</v>
      </c>
      <c r="G71" s="328">
        <v>18133871.459163148</v>
      </c>
      <c r="H71" s="328">
        <v>1652987502.2304614</v>
      </c>
      <c r="I71" s="328">
        <v>995930.97284922272</v>
      </c>
      <c r="J71" s="328">
        <v>151287688.11984691</v>
      </c>
      <c r="K71" s="328">
        <v>0</v>
      </c>
      <c r="L71" s="328">
        <v>547337892.90715361</v>
      </c>
      <c r="M71" s="328">
        <v>342388691.27166843</v>
      </c>
      <c r="N71" s="328">
        <v>52099017.140196502</v>
      </c>
      <c r="O71" s="328">
        <v>54377983.425865389</v>
      </c>
      <c r="P71" s="328">
        <v>13670060.867370984</v>
      </c>
      <c r="Q71" s="328">
        <v>9452448.9090720452</v>
      </c>
      <c r="R71" s="328">
        <v>713906.54971440963</v>
      </c>
      <c r="S71" s="328">
        <v>44310104.728921615</v>
      </c>
      <c r="T71" s="328">
        <v>301912.64455061313</v>
      </c>
      <c r="U71" s="328">
        <v>3552704.7995592062</v>
      </c>
      <c r="V71" s="328">
        <v>11908585.88143697</v>
      </c>
      <c r="W71" s="328">
        <v>19074128.237262368</v>
      </c>
      <c r="X71" s="328">
        <v>1904220.3925679766</v>
      </c>
      <c r="Y71" s="328">
        <v>905188.34468921309</v>
      </c>
      <c r="Z71" s="328">
        <v>26322834.721208137</v>
      </c>
      <c r="AA71" s="241">
        <v>16241.386557355281</v>
      </c>
      <c r="AB71" s="328">
        <v>125390702.82489716</v>
      </c>
      <c r="AC71" s="24">
        <f>SUM(D71:AB71)</f>
        <v>3185089554.7147374</v>
      </c>
      <c r="AD71" s="260"/>
      <c r="AE71" s="8">
        <f>A71</f>
        <v>306</v>
      </c>
    </row>
    <row r="72" spans="1:31" x14ac:dyDescent="0.25">
      <c r="A72" s="8">
        <f>A71+1</f>
        <v>307</v>
      </c>
      <c r="B72" s="246" t="s">
        <v>472</v>
      </c>
      <c r="C72" s="255">
        <f>'1-BaseTRR'!$G$3</f>
        <v>2025</v>
      </c>
      <c r="D72" s="328">
        <v>-27606.607146143353</v>
      </c>
      <c r="E72" s="328">
        <v>44405768.262851693</v>
      </c>
      <c r="F72" s="328">
        <v>63985816.014983878</v>
      </c>
      <c r="G72" s="328">
        <v>18302258.6820632</v>
      </c>
      <c r="H72" s="328">
        <v>1662824320.5851924</v>
      </c>
      <c r="I72" s="328">
        <v>1001573.5325959623</v>
      </c>
      <c r="J72" s="328">
        <v>152527550.71925038</v>
      </c>
      <c r="K72" s="328">
        <v>0</v>
      </c>
      <c r="L72" s="328">
        <v>553169625.80027282</v>
      </c>
      <c r="M72" s="328">
        <v>341117595.57006413</v>
      </c>
      <c r="N72" s="328">
        <v>52310705.809369713</v>
      </c>
      <c r="O72" s="328">
        <v>54639863.582999803</v>
      </c>
      <c r="P72" s="328">
        <v>13917363.01549286</v>
      </c>
      <c r="Q72" s="328">
        <v>6436457.2068990869</v>
      </c>
      <c r="R72" s="328">
        <v>-2157257.9503146084</v>
      </c>
      <c r="S72" s="328">
        <v>29138689.453047462</v>
      </c>
      <c r="T72" s="328">
        <v>47831.82971333294</v>
      </c>
      <c r="U72" s="328">
        <v>3957250.3637200682</v>
      </c>
      <c r="V72" s="328">
        <v>10027918.154557265</v>
      </c>
      <c r="W72" s="328">
        <v>13475434.718854157</v>
      </c>
      <c r="X72" s="328">
        <v>656759.69512479962</v>
      </c>
      <c r="Y72" s="328">
        <v>783944.11122659198</v>
      </c>
      <c r="Z72" s="328">
        <v>26487953.880835775</v>
      </c>
      <c r="AA72" s="241">
        <v>16736.251311343429</v>
      </c>
      <c r="AB72" s="328">
        <v>125155271.52108911</v>
      </c>
      <c r="AC72" s="24">
        <f>SUM(D72:AB72)</f>
        <v>3172201824.2040544</v>
      </c>
      <c r="AD72" s="260"/>
      <c r="AE72" s="8">
        <f>A72</f>
        <v>307</v>
      </c>
    </row>
    <row r="73" spans="1:31" x14ac:dyDescent="0.25">
      <c r="A73" s="8">
        <f>A72+1</f>
        <v>308</v>
      </c>
      <c r="B73" s="246" t="s">
        <v>471</v>
      </c>
      <c r="C73" s="255">
        <f>'1-BaseTRR'!$G$3</f>
        <v>2025</v>
      </c>
      <c r="D73" s="328">
        <v>-27593.119596528973</v>
      </c>
      <c r="E73" s="328">
        <v>44477406.785268202</v>
      </c>
      <c r="F73" s="328">
        <v>64015791.243592873</v>
      </c>
      <c r="G73" s="328">
        <v>17882661.057771042</v>
      </c>
      <c r="H73" s="328">
        <v>1659992462.0332379</v>
      </c>
      <c r="I73" s="328">
        <v>1103263.8737204298</v>
      </c>
      <c r="J73" s="328">
        <v>152746126.88885677</v>
      </c>
      <c r="K73" s="328">
        <v>1850836.5313101818</v>
      </c>
      <c r="L73" s="328">
        <v>558423665.87206328</v>
      </c>
      <c r="M73" s="328">
        <v>363776997.7086848</v>
      </c>
      <c r="N73" s="328">
        <v>52535774.940495268</v>
      </c>
      <c r="O73" s="328">
        <v>54726014.731177866</v>
      </c>
      <c r="P73" s="328">
        <v>14264174.968515616</v>
      </c>
      <c r="Q73" s="328">
        <v>6611297.2929190425</v>
      </c>
      <c r="R73" s="328">
        <v>-2127506.9109476949</v>
      </c>
      <c r="S73" s="328">
        <v>30130758.681357786</v>
      </c>
      <c r="T73" s="328">
        <v>67750.817613325489</v>
      </c>
      <c r="U73" s="328">
        <v>2741459.6219356512</v>
      </c>
      <c r="V73" s="328">
        <v>10269739.021353109</v>
      </c>
      <c r="W73" s="328">
        <v>13873806.496640369</v>
      </c>
      <c r="X73" s="328">
        <v>691736.53970738919</v>
      </c>
      <c r="Y73" s="328">
        <v>805857.34924925317</v>
      </c>
      <c r="Z73" s="328">
        <v>26696580.901870865</v>
      </c>
      <c r="AA73" s="241">
        <v>17235.193026820365</v>
      </c>
      <c r="AB73" s="328">
        <v>123823622.90615772</v>
      </c>
      <c r="AC73" s="24">
        <f>SUM(D73:AB73)</f>
        <v>3199369921.425981</v>
      </c>
      <c r="AD73" s="260"/>
      <c r="AE73" s="8">
        <f>A73</f>
        <v>308</v>
      </c>
    </row>
    <row r="74" spans="1:31" x14ac:dyDescent="0.25">
      <c r="A74" s="8">
        <f>A73+1</f>
        <v>309</v>
      </c>
      <c r="B74" s="246" t="s">
        <v>470</v>
      </c>
      <c r="C74" s="255">
        <f>'1-BaseTRR'!$G$3</f>
        <v>2025</v>
      </c>
      <c r="D74" s="328">
        <v>-27426.25166420922</v>
      </c>
      <c r="E74" s="328">
        <v>44653633.38052281</v>
      </c>
      <c r="F74" s="328">
        <v>64306519.24726744</v>
      </c>
      <c r="G74" s="328">
        <v>17891134.846712667</v>
      </c>
      <c r="H74" s="328">
        <v>1674339904.6528654</v>
      </c>
      <c r="I74" s="328">
        <v>1108654.3118253273</v>
      </c>
      <c r="J74" s="328">
        <v>154471963.01206753</v>
      </c>
      <c r="K74" s="328">
        <v>2215664.6331331595</v>
      </c>
      <c r="L74" s="328">
        <v>560588096.0771482</v>
      </c>
      <c r="M74" s="328">
        <v>366182239.64362156</v>
      </c>
      <c r="N74" s="328">
        <v>52746770.973587088</v>
      </c>
      <c r="O74" s="328">
        <v>54756412.138166256</v>
      </c>
      <c r="P74" s="328">
        <v>14521804.445100632</v>
      </c>
      <c r="Q74" s="328">
        <v>6786137.3169920612</v>
      </c>
      <c r="R74" s="328">
        <v>-2103616.0949544054</v>
      </c>
      <c r="S74" s="328">
        <v>31162630.442822263</v>
      </c>
      <c r="T74" s="328">
        <v>92019.112817976042</v>
      </c>
      <c r="U74" s="328">
        <v>1386725.9939913307</v>
      </c>
      <c r="V74" s="328">
        <v>10382531.110575471</v>
      </c>
      <c r="W74" s="328">
        <v>15067719.920943996</v>
      </c>
      <c r="X74" s="328">
        <v>956355.70663656562</v>
      </c>
      <c r="Y74" s="328">
        <v>831879.94142110273</v>
      </c>
      <c r="Z74" s="328">
        <v>29586264.681208648</v>
      </c>
      <c r="AA74" s="241">
        <v>63411.485034007477</v>
      </c>
      <c r="AB74" s="328">
        <v>127010382.33139634</v>
      </c>
      <c r="AC74" s="24">
        <f>SUM(D74:AB74)</f>
        <v>3228977813.0592394</v>
      </c>
      <c r="AD74" s="260"/>
      <c r="AE74" s="8">
        <f>A74</f>
        <v>309</v>
      </c>
    </row>
    <row r="75" spans="1:31" x14ac:dyDescent="0.25">
      <c r="A75" s="8">
        <f>A74+1</f>
        <v>310</v>
      </c>
      <c r="B75" s="246" t="s">
        <v>469</v>
      </c>
      <c r="C75" s="255">
        <f>'1-BaseTRR'!$G$3</f>
        <v>2025</v>
      </c>
      <c r="D75" s="328">
        <v>-27286.298564197143</v>
      </c>
      <c r="E75" s="328">
        <v>44838928.073822878</v>
      </c>
      <c r="F75" s="328">
        <v>64594988.431396723</v>
      </c>
      <c r="G75" s="328">
        <v>17949299.364228919</v>
      </c>
      <c r="H75" s="328">
        <v>1687298573.4490497</v>
      </c>
      <c r="I75" s="328">
        <v>1113934.9369503425</v>
      </c>
      <c r="J75" s="328">
        <v>155201021.08853686</v>
      </c>
      <c r="K75" s="328">
        <v>3299471.2106169765</v>
      </c>
      <c r="L75" s="328">
        <v>559530138.89790905</v>
      </c>
      <c r="M75" s="328">
        <v>370845448.48140639</v>
      </c>
      <c r="N75" s="328">
        <v>52957792.944878593</v>
      </c>
      <c r="O75" s="328">
        <v>54720658.87993215</v>
      </c>
      <c r="P75" s="328">
        <v>14763206.286978176</v>
      </c>
      <c r="Q75" s="328">
        <v>6960977.3658438548</v>
      </c>
      <c r="R75" s="328">
        <v>-2085336.9736628837</v>
      </c>
      <c r="S75" s="328">
        <v>32203477.063480116</v>
      </c>
      <c r="T75" s="328">
        <v>121482.32308764114</v>
      </c>
      <c r="U75" s="328">
        <v>5547845.5585748805</v>
      </c>
      <c r="V75" s="328">
        <v>10628527.13951263</v>
      </c>
      <c r="W75" s="328">
        <v>15713529.99754915</v>
      </c>
      <c r="X75" s="328">
        <v>1026041.672725277</v>
      </c>
      <c r="Y75" s="328">
        <v>853780.78799658711</v>
      </c>
      <c r="Z75" s="328">
        <v>29865098.597962637</v>
      </c>
      <c r="AA75" s="241">
        <v>64669.831313649571</v>
      </c>
      <c r="AB75" s="328">
        <v>135097786.41245773</v>
      </c>
      <c r="AC75" s="24">
        <f>SUM(D75:AB75)</f>
        <v>3263084055.5239835</v>
      </c>
      <c r="AD75" s="260"/>
      <c r="AE75" s="8">
        <f>A75</f>
        <v>310</v>
      </c>
    </row>
    <row r="76" spans="1:31" x14ac:dyDescent="0.25">
      <c r="A76" s="8">
        <f>A75+1</f>
        <v>311</v>
      </c>
      <c r="B76" s="246" t="s">
        <v>468</v>
      </c>
      <c r="C76" s="255">
        <f>'1-BaseTRR'!$G$3</f>
        <v>2025</v>
      </c>
      <c r="D76" s="328">
        <v>-27292.643378154527</v>
      </c>
      <c r="E76" s="328">
        <v>45015190.058711804</v>
      </c>
      <c r="F76" s="328">
        <v>64879434.911460795</v>
      </c>
      <c r="G76" s="328">
        <v>17686316.254778333</v>
      </c>
      <c r="H76" s="328">
        <v>1701193457.3292966</v>
      </c>
      <c r="I76" s="328">
        <v>1099524.5075242338</v>
      </c>
      <c r="J76" s="328">
        <v>156849961.97065541</v>
      </c>
      <c r="K76" s="328">
        <v>3626928.6075180345</v>
      </c>
      <c r="L76" s="328">
        <v>560556024.09559083</v>
      </c>
      <c r="M76" s="328">
        <v>372212229.17038059</v>
      </c>
      <c r="N76" s="328">
        <v>53168705.715185493</v>
      </c>
      <c r="O76" s="328">
        <v>54847546.585696384</v>
      </c>
      <c r="P76" s="328">
        <v>14787880.378198866</v>
      </c>
      <c r="Q76" s="328">
        <v>7135817.4394744206</v>
      </c>
      <c r="R76" s="328">
        <v>-1881123.3069038882</v>
      </c>
      <c r="S76" s="328">
        <v>33287098.513307087</v>
      </c>
      <c r="T76" s="328">
        <v>159055.07785869605</v>
      </c>
      <c r="U76" s="328">
        <v>6191877.9469654784</v>
      </c>
      <c r="V76" s="328">
        <v>10872548.712161832</v>
      </c>
      <c r="W76" s="328">
        <v>16315529.785854934</v>
      </c>
      <c r="X76" s="328">
        <v>1108662.6483041877</v>
      </c>
      <c r="Y76" s="328">
        <v>730445.3914284053</v>
      </c>
      <c r="Z76" s="328">
        <v>30137749.333416648</v>
      </c>
      <c r="AA76" s="241">
        <v>65930.643451751384</v>
      </c>
      <c r="AB76" s="328">
        <v>137177967.63458979</v>
      </c>
      <c r="AC76" s="24">
        <f>SUM(D76:AB76)</f>
        <v>3287197466.761529</v>
      </c>
      <c r="AD76" s="260"/>
      <c r="AE76" s="8">
        <f>A76</f>
        <v>311</v>
      </c>
    </row>
    <row r="77" spans="1:31" x14ac:dyDescent="0.25">
      <c r="A77" s="8">
        <f>A76+1</f>
        <v>312</v>
      </c>
      <c r="B77" s="246" t="s">
        <v>467</v>
      </c>
      <c r="C77" s="255">
        <f>'1-BaseTRR'!$G$3</f>
        <v>2025</v>
      </c>
      <c r="D77" s="327">
        <v>-27831.577440297733</v>
      </c>
      <c r="E77" s="327">
        <v>45199095.822382927</v>
      </c>
      <c r="F77" s="327">
        <v>65167835.156301618</v>
      </c>
      <c r="G77" s="327">
        <v>17808671.409530938</v>
      </c>
      <c r="H77" s="327">
        <v>1712631064.3144207</v>
      </c>
      <c r="I77" s="327">
        <v>1094417.1730138573</v>
      </c>
      <c r="J77" s="327">
        <v>158236356.46087837</v>
      </c>
      <c r="K77" s="326">
        <v>4008549.3163141459</v>
      </c>
      <c r="L77" s="327">
        <v>572562312.65290415</v>
      </c>
      <c r="M77" s="327">
        <v>379890463.23148459</v>
      </c>
      <c r="N77" s="327">
        <v>53379158.648471497</v>
      </c>
      <c r="O77" s="327">
        <v>55090222.280175261</v>
      </c>
      <c r="P77" s="327">
        <v>15045657.781266823</v>
      </c>
      <c r="Q77" s="326">
        <v>7311978.7912244173</v>
      </c>
      <c r="R77" s="326">
        <v>-1864026.197401654</v>
      </c>
      <c r="S77" s="326">
        <v>34458084.53745427</v>
      </c>
      <c r="T77" s="326">
        <v>233801.12887767446</v>
      </c>
      <c r="U77" s="326">
        <v>6438935.7089679139</v>
      </c>
      <c r="V77" s="326">
        <v>11129634.767274633</v>
      </c>
      <c r="W77" s="326">
        <v>16728658.419758778</v>
      </c>
      <c r="X77" s="326">
        <v>1174318.0521786269</v>
      </c>
      <c r="Y77" s="326">
        <v>751981.81562979147</v>
      </c>
      <c r="Z77" s="326">
        <v>30367725.163870852</v>
      </c>
      <c r="AA77" s="252">
        <v>67202.645180499821</v>
      </c>
      <c r="AB77" s="326">
        <v>137043624.64618376</v>
      </c>
      <c r="AC77" s="263">
        <f>SUM(D77:AB77)</f>
        <v>3323927892.1489048</v>
      </c>
      <c r="AD77" s="325"/>
      <c r="AE77" s="8">
        <f>A77</f>
        <v>312</v>
      </c>
    </row>
    <row r="78" spans="1:31" x14ac:dyDescent="0.25">
      <c r="A78" s="8">
        <f>A77+1</f>
        <v>313</v>
      </c>
      <c r="B78" s="324" t="s">
        <v>850</v>
      </c>
      <c r="C78" s="323"/>
      <c r="D78" s="322">
        <f>SUM(D65:D77)/13</f>
        <v>-27544.181278389944</v>
      </c>
      <c r="E78" s="322">
        <f>SUM(E65:E77)/13</f>
        <v>44229418.592059121</v>
      </c>
      <c r="F78" s="322">
        <f>SUM(F65:F77)/13</f>
        <v>63628785.406725243</v>
      </c>
      <c r="G78" s="322">
        <f>SUM(G65:G77)/13</f>
        <v>17777055.087615903</v>
      </c>
      <c r="H78" s="322">
        <f>SUM(H65:H77)/13</f>
        <v>1646985701.7222466</v>
      </c>
      <c r="I78" s="322">
        <f>SUM(I65:I77)/13</f>
        <v>1019437.089622839</v>
      </c>
      <c r="J78" s="322">
        <f>SUM(J65:J77)/13</f>
        <v>150934772.51476222</v>
      </c>
      <c r="K78" s="248">
        <f>SUM(K65:K77)/13</f>
        <v>1153957.7152994229</v>
      </c>
      <c r="L78" s="322">
        <f>SUM(L65:L77)/13</f>
        <v>546629576.10428762</v>
      </c>
      <c r="M78" s="322">
        <f>SUM(M65:M77)/13</f>
        <v>346244978.91529137</v>
      </c>
      <c r="N78" s="322">
        <f>SUM(N65:N77)/13</f>
        <v>52100915.776735887</v>
      </c>
      <c r="O78" s="322">
        <f>SUM(O65:O77)/13</f>
        <v>54143935.925545059</v>
      </c>
      <c r="P78" s="322">
        <f>SUM(P65:P77)/13</f>
        <v>13684857.39525458</v>
      </c>
      <c r="Q78" s="248">
        <f>SUM(Q65:Q77)/13</f>
        <v>7268807.0540548349</v>
      </c>
      <c r="R78" s="248">
        <f>SUM(R65:R77)/13</f>
        <v>-549402.63529344101</v>
      </c>
      <c r="S78" s="248">
        <f>SUM(S65:S77)/13</f>
        <v>33436499.68842661</v>
      </c>
      <c r="T78" s="248">
        <f>SUM(T65:T77)/13</f>
        <v>452253.02384599234</v>
      </c>
      <c r="U78" s="248">
        <f>SUM(U65:U77)/13</f>
        <v>3381035.9917504829</v>
      </c>
      <c r="V78" s="248">
        <f>SUM(V65:V77)/13</f>
        <v>10013183.819484143</v>
      </c>
      <c r="W78" s="248">
        <f>SUM(W65:W77)/13</f>
        <v>14941254.074120913</v>
      </c>
      <c r="X78" s="248">
        <f>SUM(X65:X77)/13</f>
        <v>1221720.6760401344</v>
      </c>
      <c r="Y78" s="248">
        <f>SUM(Y65:Y77)/13</f>
        <v>705769.62720105215</v>
      </c>
      <c r="Z78" s="248">
        <f>SUM(Z65:Z77)/13</f>
        <v>25245749.789513987</v>
      </c>
      <c r="AA78" s="261">
        <f>SUM(AA65:AA77)/13</f>
        <v>30822.408887829417</v>
      </c>
      <c r="AB78" s="248">
        <f>SUM(AB65:AB77)/13</f>
        <v>114967216.53192097</v>
      </c>
      <c r="AC78" s="94">
        <f>SUM(AC65:AC77)/13</f>
        <v>3149620758.114121</v>
      </c>
      <c r="AD78" s="260"/>
      <c r="AE78" s="8">
        <f>A78</f>
        <v>313</v>
      </c>
    </row>
    <row r="79" spans="1:31" x14ac:dyDescent="0.25">
      <c r="A79" s="8"/>
      <c r="B79" s="247"/>
      <c r="C79" s="247"/>
      <c r="D79" s="102"/>
      <c r="E79" s="102"/>
      <c r="F79" s="102"/>
      <c r="G79" s="102"/>
      <c r="H79" s="102"/>
      <c r="I79" s="102"/>
      <c r="J79" s="102"/>
      <c r="K79" s="102"/>
      <c r="L79" s="102"/>
      <c r="M79" s="102"/>
      <c r="N79" s="102"/>
      <c r="O79" s="102"/>
      <c r="AE79" s="8"/>
    </row>
    <row r="80" spans="1:31" x14ac:dyDescent="0.25">
      <c r="A80" s="8"/>
      <c r="B80" s="246"/>
      <c r="C80" s="246"/>
      <c r="D80" s="102"/>
      <c r="E80" s="102"/>
      <c r="F80" s="102"/>
      <c r="G80" s="102"/>
      <c r="H80" s="102"/>
      <c r="I80" s="102"/>
      <c r="J80" s="102"/>
      <c r="K80" s="102"/>
      <c r="L80" s="102"/>
      <c r="M80" s="102"/>
      <c r="N80" s="102"/>
      <c r="O80" s="102"/>
      <c r="AE80" s="8"/>
    </row>
    <row r="81" spans="1:33" x14ac:dyDescent="0.25">
      <c r="B81" s="321" t="s">
        <v>993</v>
      </c>
      <c r="C81" s="321"/>
      <c r="D81" s="108"/>
      <c r="E81" s="108"/>
      <c r="F81" s="108"/>
      <c r="G81" s="108"/>
      <c r="H81" s="108"/>
      <c r="I81" s="108"/>
      <c r="J81" s="108"/>
      <c r="K81" s="108"/>
      <c r="L81" s="108"/>
      <c r="M81" s="108"/>
      <c r="N81" s="108"/>
      <c r="O81" s="108"/>
      <c r="P81" s="35"/>
      <c r="Q81" s="35"/>
      <c r="R81" s="35"/>
      <c r="S81" s="35"/>
      <c r="T81" s="35"/>
      <c r="U81" s="35"/>
      <c r="V81" s="35"/>
      <c r="W81" s="35"/>
      <c r="X81" s="35"/>
      <c r="Y81" s="35"/>
      <c r="Z81" s="35"/>
      <c r="AA81" s="35"/>
      <c r="AB81" s="35"/>
      <c r="AC81" s="35"/>
      <c r="AD81" s="35"/>
      <c r="AE81" s="8"/>
    </row>
    <row r="82" spans="1:33" x14ac:dyDescent="0.25">
      <c r="B82" s="246" t="s">
        <v>992</v>
      </c>
      <c r="AA82" s="320"/>
    </row>
    <row r="83" spans="1:33" x14ac:dyDescent="0.25">
      <c r="B83" s="246"/>
      <c r="AA83" s="320"/>
    </row>
    <row r="84" spans="1:33" x14ac:dyDescent="0.25">
      <c r="B84" s="246"/>
      <c r="D84" s="175" t="s">
        <v>492</v>
      </c>
      <c r="E84" s="175" t="s">
        <v>491</v>
      </c>
      <c r="F84" s="175" t="s">
        <v>490</v>
      </c>
      <c r="G84" s="175" t="s">
        <v>489</v>
      </c>
      <c r="H84" s="175" t="s">
        <v>519</v>
      </c>
    </row>
    <row r="85" spans="1:33" ht="30" x14ac:dyDescent="0.25">
      <c r="D85" s="258"/>
      <c r="E85" s="258" t="s">
        <v>847</v>
      </c>
      <c r="F85" s="259" t="s">
        <v>846</v>
      </c>
      <c r="G85" s="258" t="s">
        <v>845</v>
      </c>
      <c r="H85" s="258" t="s">
        <v>844</v>
      </c>
      <c r="AA85" s="33"/>
    </row>
    <row r="86" spans="1:33" x14ac:dyDescent="0.25">
      <c r="A86" s="30"/>
      <c r="D86" s="175"/>
      <c r="E86" s="175"/>
      <c r="F86" s="175"/>
      <c r="G86" s="175"/>
      <c r="H86" s="175"/>
      <c r="I86" s="102"/>
      <c r="J86" s="102"/>
      <c r="K86" s="102"/>
      <c r="L86" s="102"/>
      <c r="M86" s="102"/>
      <c r="N86" s="102"/>
      <c r="O86" s="102"/>
      <c r="P86" s="102"/>
      <c r="Q86" s="102"/>
      <c r="R86" s="102"/>
      <c r="S86" s="102"/>
      <c r="T86" s="102"/>
      <c r="U86" s="102"/>
      <c r="V86" s="102"/>
      <c r="W86" s="102"/>
      <c r="X86" s="102"/>
      <c r="Y86" s="102"/>
      <c r="Z86" s="102"/>
      <c r="AB86" s="102"/>
      <c r="AC86" s="102"/>
      <c r="AG86" s="8"/>
    </row>
    <row r="87" spans="1:33" ht="30" x14ac:dyDescent="0.25">
      <c r="B87" s="8"/>
      <c r="C87" s="8"/>
      <c r="D87" s="183" t="s">
        <v>991</v>
      </c>
      <c r="E87" s="257" t="s">
        <v>990</v>
      </c>
      <c r="F87" s="257" t="s">
        <v>989</v>
      </c>
      <c r="G87" s="257" t="s">
        <v>988</v>
      </c>
      <c r="H87" s="257" t="s">
        <v>987</v>
      </c>
      <c r="I87" s="102"/>
      <c r="J87" s="102"/>
      <c r="K87" s="102"/>
      <c r="L87" s="102"/>
      <c r="M87" s="102"/>
      <c r="N87" s="102"/>
      <c r="O87" s="102"/>
      <c r="P87" s="102"/>
      <c r="Q87" s="102"/>
      <c r="R87" s="102"/>
      <c r="S87" s="102"/>
      <c r="T87" s="102"/>
      <c r="U87" s="102"/>
      <c r="V87" s="102"/>
      <c r="W87" s="102"/>
      <c r="X87" s="102"/>
      <c r="Y87" s="102"/>
      <c r="Z87" s="102"/>
      <c r="AB87" s="102"/>
      <c r="AC87" s="102"/>
      <c r="AG87" s="8"/>
    </row>
    <row r="88" spans="1:33" x14ac:dyDescent="0.25">
      <c r="B88" s="8"/>
      <c r="C88" s="8"/>
      <c r="D88" s="257" t="s">
        <v>526</v>
      </c>
      <c r="E88" s="8" t="s">
        <v>986</v>
      </c>
      <c r="F88" s="257" t="s">
        <v>526</v>
      </c>
      <c r="G88" s="257" t="s">
        <v>526</v>
      </c>
      <c r="H88" s="257" t="s">
        <v>526</v>
      </c>
      <c r="I88" s="102"/>
      <c r="J88" s="102"/>
      <c r="K88" s="102"/>
      <c r="L88" s="102"/>
      <c r="M88" s="102"/>
      <c r="N88" s="102"/>
      <c r="O88" s="102"/>
      <c r="P88" s="102"/>
      <c r="Q88" s="102"/>
      <c r="R88" s="102"/>
      <c r="S88" s="102"/>
      <c r="T88" s="102"/>
      <c r="U88" s="102"/>
      <c r="V88" s="102"/>
      <c r="W88" s="102"/>
      <c r="X88" s="102"/>
      <c r="Y88" s="102"/>
      <c r="Z88" s="102"/>
      <c r="AB88" s="102"/>
      <c r="AC88" s="102"/>
      <c r="AG88" s="8"/>
    </row>
    <row r="89" spans="1:33" x14ac:dyDescent="0.25">
      <c r="A89" s="33" t="s">
        <v>106</v>
      </c>
      <c r="B89" s="33" t="s">
        <v>483</v>
      </c>
      <c r="C89" s="33" t="s">
        <v>510</v>
      </c>
      <c r="D89" s="110" t="s">
        <v>956</v>
      </c>
      <c r="E89" s="110" t="s">
        <v>836</v>
      </c>
      <c r="F89" s="33" t="s">
        <v>956</v>
      </c>
      <c r="G89" s="33" t="s">
        <v>956</v>
      </c>
      <c r="H89" s="33" t="s">
        <v>956</v>
      </c>
      <c r="I89" s="175" t="s">
        <v>154</v>
      </c>
      <c r="J89" s="102"/>
      <c r="K89" s="102"/>
      <c r="L89" s="102"/>
      <c r="M89" s="102"/>
      <c r="N89" s="102"/>
      <c r="O89" s="102"/>
      <c r="P89" s="102"/>
      <c r="Q89" s="102"/>
      <c r="R89" s="102"/>
      <c r="S89" s="102"/>
      <c r="T89" s="102"/>
      <c r="U89" s="102"/>
      <c r="V89" s="102"/>
      <c r="W89" s="102"/>
      <c r="X89" s="102"/>
      <c r="Y89" s="102"/>
      <c r="Z89" s="102"/>
      <c r="AB89" s="102"/>
      <c r="AC89" s="102"/>
      <c r="AE89" s="33" t="str">
        <f>A89</f>
        <v>Line</v>
      </c>
      <c r="AG89" s="33"/>
    </row>
    <row r="90" spans="1:33" x14ac:dyDescent="0.25">
      <c r="A90" s="8">
        <v>400</v>
      </c>
      <c r="B90" s="246" t="s">
        <v>467</v>
      </c>
      <c r="C90" s="255">
        <f>'1-BaseTRR'!$G$3-1</f>
        <v>2024</v>
      </c>
      <c r="D90" s="90">
        <f>3526347970-732263789</f>
        <v>2794084181</v>
      </c>
      <c r="E90" s="50">
        <f>'24-Allocators'!$C$25</f>
        <v>9.874046921587705E-2</v>
      </c>
      <c r="F90" s="319">
        <f>+D90*E90</f>
        <v>275889183.06059957</v>
      </c>
      <c r="G90" s="319">
        <f>+F90*'24-Allocators'!$C$44</f>
        <v>96587392.459493667</v>
      </c>
      <c r="H90" s="319">
        <f>+F90*'24-Allocators'!$C$45</f>
        <v>179301790.60110584</v>
      </c>
      <c r="I90" s="102" t="s">
        <v>985</v>
      </c>
      <c r="J90" s="250"/>
      <c r="K90" s="250"/>
      <c r="L90" s="250"/>
      <c r="M90" s="250"/>
      <c r="N90" s="250"/>
      <c r="O90" s="250"/>
      <c r="P90" s="250"/>
      <c r="Q90" s="250"/>
      <c r="R90" s="250"/>
      <c r="S90" s="250"/>
      <c r="T90" s="250"/>
      <c r="U90" s="250"/>
      <c r="V90" s="250"/>
      <c r="W90" s="250"/>
      <c r="X90" s="250"/>
      <c r="Y90" s="250"/>
      <c r="Z90" s="250"/>
      <c r="AA90" s="33"/>
      <c r="AB90" s="250"/>
      <c r="AC90" s="250"/>
      <c r="AE90" s="8">
        <f>A90</f>
        <v>400</v>
      </c>
      <c r="AG90" s="8"/>
    </row>
    <row r="91" spans="1:33" x14ac:dyDescent="0.25">
      <c r="A91" s="8">
        <f>+A90+1</f>
        <v>401</v>
      </c>
      <c r="B91" s="254" t="s">
        <v>467</v>
      </c>
      <c r="C91" s="253">
        <f>'1-BaseTRR'!$G$3</f>
        <v>2025</v>
      </c>
      <c r="D91" s="318">
        <v>3013306880.4900002</v>
      </c>
      <c r="E91" s="55">
        <f>'24-Allocators'!$C$25</f>
        <v>9.874046921587705E-2</v>
      </c>
      <c r="F91" s="317">
        <f>+D91*E91</f>
        <v>297535335.27101338</v>
      </c>
      <c r="G91" s="317">
        <f>+F91*'24-Allocators'!$C$44</f>
        <v>104165599.67875221</v>
      </c>
      <c r="H91" s="317">
        <f>+F91*'24-Allocators'!$C$45</f>
        <v>193369735.59226111</v>
      </c>
      <c r="I91" s="102" t="s">
        <v>984</v>
      </c>
      <c r="J91" s="102"/>
      <c r="K91" s="102"/>
      <c r="L91" s="102"/>
      <c r="M91" s="102"/>
      <c r="N91" s="102"/>
      <c r="O91" s="102"/>
      <c r="P91" s="102"/>
      <c r="Q91" s="102"/>
      <c r="R91" s="102"/>
      <c r="S91" s="102"/>
      <c r="T91" s="102"/>
      <c r="U91" s="102"/>
      <c r="V91" s="102"/>
      <c r="W91" s="102"/>
      <c r="X91" s="102"/>
      <c r="Y91" s="102"/>
      <c r="Z91" s="102"/>
      <c r="AA91" s="102"/>
      <c r="AB91" s="102"/>
      <c r="AC91" s="102"/>
      <c r="AE91" s="8">
        <f>A91</f>
        <v>401</v>
      </c>
      <c r="AG91" s="8"/>
    </row>
    <row r="92" spans="1:33" x14ac:dyDescent="0.25">
      <c r="A92" s="8">
        <f>A91+1</f>
        <v>402</v>
      </c>
      <c r="B92" s="249" t="s">
        <v>832</v>
      </c>
      <c r="C92" s="249"/>
      <c r="D92" s="316">
        <f>AVERAGE(D90:D91)</f>
        <v>2903695530.7449999</v>
      </c>
      <c r="E92" s="249"/>
      <c r="F92" s="316">
        <f>AVERAGE(F90:F91)</f>
        <v>286712259.16580647</v>
      </c>
      <c r="G92" s="316">
        <f>AVERAGE(G90:G91)</f>
        <v>100376496.06912294</v>
      </c>
      <c r="H92" s="316">
        <f>AVERAGE(H90:H91)</f>
        <v>186335763.09668347</v>
      </c>
      <c r="I92" s="102" t="s">
        <v>831</v>
      </c>
      <c r="J92" s="102"/>
      <c r="K92" s="102"/>
      <c r="L92" s="102"/>
      <c r="M92" s="102"/>
      <c r="N92" s="102"/>
      <c r="O92" s="102"/>
      <c r="P92" s="102"/>
      <c r="Q92" s="102"/>
      <c r="R92" s="102"/>
      <c r="S92" s="102"/>
      <c r="T92" s="102"/>
      <c r="U92" s="102"/>
      <c r="V92" s="102"/>
      <c r="W92" s="102"/>
      <c r="X92" s="102"/>
      <c r="Y92" s="102"/>
      <c r="Z92" s="102"/>
      <c r="AA92" s="250"/>
      <c r="AB92" s="102"/>
      <c r="AC92" s="102"/>
      <c r="AE92" s="8">
        <f>A92</f>
        <v>402</v>
      </c>
      <c r="AG92" s="8"/>
    </row>
    <row r="93" spans="1:33" x14ac:dyDescent="0.25">
      <c r="A93" s="8"/>
      <c r="B93" s="247"/>
      <c r="C93" s="247"/>
      <c r="D93" s="102"/>
      <c r="E93" s="102"/>
      <c r="F93" s="102"/>
      <c r="G93" s="102"/>
      <c r="H93" s="102"/>
      <c r="I93" s="102"/>
      <c r="J93" s="102"/>
      <c r="K93" s="102"/>
      <c r="L93" s="102"/>
      <c r="M93" s="102"/>
      <c r="N93" s="102"/>
      <c r="O93" s="102"/>
      <c r="AA93" s="102"/>
    </row>
    <row r="94" spans="1:33" x14ac:dyDescent="0.25">
      <c r="A94" s="8"/>
      <c r="B94" s="247"/>
      <c r="C94" s="247"/>
      <c r="D94" s="102"/>
      <c r="E94" s="102"/>
      <c r="F94" s="102"/>
      <c r="G94" s="102"/>
      <c r="H94" s="102"/>
      <c r="I94" s="102"/>
      <c r="J94" s="102"/>
      <c r="K94" s="102"/>
      <c r="L94" s="102"/>
      <c r="M94" s="102"/>
      <c r="N94" s="102"/>
      <c r="O94" s="102"/>
    </row>
    <row r="95" spans="1:33" ht="15" customHeight="1" x14ac:dyDescent="0.25">
      <c r="B95" s="25" t="s">
        <v>145</v>
      </c>
      <c r="C95" s="247"/>
      <c r="D95" s="102"/>
      <c r="E95" s="102"/>
      <c r="F95" s="102"/>
      <c r="G95" s="102"/>
      <c r="H95" s="102"/>
      <c r="I95" s="102"/>
      <c r="J95" s="102"/>
      <c r="K95" s="102"/>
      <c r="L95" s="102"/>
      <c r="M95" s="102"/>
      <c r="N95" s="102"/>
      <c r="O95" s="102"/>
    </row>
    <row r="96" spans="1:33" x14ac:dyDescent="0.25">
      <c r="A96" s="25"/>
      <c r="B96" s="6" t="s">
        <v>983</v>
      </c>
    </row>
    <row r="97" spans="1:15" x14ac:dyDescent="0.25">
      <c r="A97" s="8"/>
      <c r="B97" s="6" t="s">
        <v>982</v>
      </c>
    </row>
    <row r="98" spans="1:15" x14ac:dyDescent="0.25">
      <c r="A98" s="8"/>
      <c r="B98" s="6" t="s">
        <v>981</v>
      </c>
    </row>
    <row r="99" spans="1:15" x14ac:dyDescent="0.25">
      <c r="A99" s="8"/>
      <c r="B99" s="247"/>
      <c r="C99" s="247"/>
      <c r="D99" s="315"/>
      <c r="E99" s="315"/>
      <c r="F99" s="315"/>
      <c r="G99" s="315"/>
      <c r="H99" s="315"/>
      <c r="I99" s="315"/>
      <c r="J99" s="315"/>
      <c r="K99" s="315"/>
      <c r="L99" s="315"/>
      <c r="M99" s="315"/>
      <c r="N99" s="315"/>
      <c r="O99" s="310"/>
    </row>
    <row r="100" spans="1:15" x14ac:dyDescent="0.25">
      <c r="A100" s="8"/>
      <c r="B100" s="247"/>
      <c r="C100" s="247"/>
      <c r="D100" s="315"/>
      <c r="E100" s="315"/>
      <c r="F100" s="315"/>
      <c r="G100" s="315"/>
      <c r="H100" s="315"/>
      <c r="I100" s="315"/>
      <c r="J100" s="315"/>
      <c r="K100" s="315"/>
      <c r="L100" s="315"/>
      <c r="M100" s="315"/>
      <c r="N100" s="315"/>
      <c r="O100" s="310"/>
    </row>
    <row r="101" spans="1:15" x14ac:dyDescent="0.25">
      <c r="A101" s="8"/>
      <c r="B101" s="247"/>
      <c r="C101" s="247"/>
      <c r="D101" s="315"/>
      <c r="E101" s="315"/>
      <c r="F101" s="315"/>
      <c r="G101" s="315"/>
      <c r="H101" s="315"/>
      <c r="I101" s="315"/>
      <c r="J101" s="315"/>
      <c r="K101" s="315"/>
      <c r="L101" s="315"/>
      <c r="M101" s="315"/>
      <c r="N101" s="315"/>
      <c r="O101" s="310"/>
    </row>
    <row r="102" spans="1:15" x14ac:dyDescent="0.25">
      <c r="A102" s="8"/>
      <c r="B102" s="247"/>
      <c r="C102" s="247"/>
      <c r="D102" s="315"/>
      <c r="E102" s="315"/>
      <c r="F102" s="315"/>
      <c r="G102" s="315"/>
      <c r="H102" s="315"/>
      <c r="I102" s="315"/>
      <c r="J102" s="315"/>
      <c r="K102" s="315"/>
      <c r="L102" s="315"/>
      <c r="M102" s="315"/>
      <c r="N102" s="315"/>
      <c r="O102" s="310"/>
    </row>
    <row r="103" spans="1:15" x14ac:dyDescent="0.25">
      <c r="A103" s="8"/>
      <c r="B103" s="247"/>
      <c r="C103" s="247"/>
      <c r="D103" s="315"/>
      <c r="E103" s="315"/>
      <c r="F103" s="315"/>
      <c r="G103" s="315"/>
      <c r="H103" s="315"/>
      <c r="I103" s="315"/>
      <c r="J103" s="315"/>
      <c r="K103" s="315"/>
      <c r="L103" s="315"/>
      <c r="M103" s="315"/>
      <c r="N103" s="315"/>
      <c r="O103" s="310"/>
    </row>
    <row r="104" spans="1:15" x14ac:dyDescent="0.25">
      <c r="A104" s="8"/>
      <c r="B104" s="247"/>
      <c r="C104" s="247"/>
      <c r="D104" s="315"/>
      <c r="E104" s="315"/>
      <c r="F104" s="315"/>
      <c r="G104" s="315"/>
      <c r="H104" s="315"/>
      <c r="I104" s="315"/>
      <c r="J104" s="315"/>
      <c r="K104" s="315"/>
      <c r="L104" s="315"/>
      <c r="M104" s="315"/>
      <c r="N104" s="315"/>
      <c r="O104" s="310"/>
    </row>
    <row r="105" spans="1:15" x14ac:dyDescent="0.25">
      <c r="A105" s="8"/>
      <c r="B105" s="247"/>
      <c r="C105" s="247"/>
      <c r="D105" s="315"/>
      <c r="E105" s="315"/>
      <c r="F105" s="315"/>
      <c r="G105" s="315"/>
      <c r="H105" s="315"/>
      <c r="I105" s="315"/>
      <c r="J105" s="315"/>
      <c r="K105" s="315"/>
      <c r="L105" s="315"/>
      <c r="M105" s="315"/>
      <c r="N105" s="315"/>
      <c r="O105" s="310"/>
    </row>
    <row r="106" spans="1:15" x14ac:dyDescent="0.25">
      <c r="A106" s="8"/>
      <c r="B106" s="247"/>
      <c r="C106" s="247"/>
      <c r="D106" s="315"/>
      <c r="E106" s="315"/>
      <c r="F106" s="315"/>
      <c r="G106" s="315"/>
      <c r="H106" s="315"/>
      <c r="I106" s="315"/>
      <c r="J106" s="315"/>
      <c r="K106" s="315"/>
      <c r="L106" s="315"/>
      <c r="M106" s="315"/>
      <c r="N106" s="315"/>
      <c r="O106" s="310"/>
    </row>
    <row r="107" spans="1:15" x14ac:dyDescent="0.25">
      <c r="A107" s="8"/>
      <c r="B107" s="247"/>
      <c r="C107" s="247"/>
      <c r="D107" s="102"/>
      <c r="E107" s="102"/>
      <c r="F107" s="102"/>
      <c r="G107" s="102"/>
      <c r="H107" s="102"/>
      <c r="I107" s="102"/>
      <c r="J107" s="102"/>
      <c r="K107" s="102"/>
      <c r="L107" s="102"/>
      <c r="M107" s="102"/>
      <c r="N107" s="102"/>
      <c r="O107" s="102"/>
    </row>
    <row r="108" spans="1:15" x14ac:dyDescent="0.25">
      <c r="B108" s="30"/>
      <c r="C108" s="30"/>
    </row>
    <row r="110" spans="1:15" x14ac:dyDescent="0.25">
      <c r="A110" s="30"/>
      <c r="B110" s="175"/>
      <c r="C110" s="175"/>
      <c r="D110" s="175"/>
      <c r="E110" s="175"/>
      <c r="F110" s="175"/>
      <c r="G110" s="175"/>
      <c r="H110" s="175"/>
      <c r="I110" s="175"/>
      <c r="J110" s="175"/>
      <c r="K110" s="175"/>
      <c r="L110" s="175"/>
      <c r="M110" s="175"/>
      <c r="N110" s="175"/>
      <c r="O110" s="175"/>
    </row>
    <row r="111" spans="1:15" x14ac:dyDescent="0.25">
      <c r="B111" s="23"/>
      <c r="C111" s="23"/>
      <c r="O111" s="23"/>
    </row>
    <row r="112" spans="1:15" x14ac:dyDescent="0.25">
      <c r="A112" s="25"/>
      <c r="B112" s="33"/>
      <c r="C112" s="33"/>
      <c r="D112" s="175"/>
      <c r="E112" s="175"/>
      <c r="F112" s="175"/>
      <c r="G112" s="175"/>
      <c r="H112" s="175"/>
      <c r="I112" s="175"/>
      <c r="J112" s="175"/>
      <c r="K112" s="175"/>
      <c r="L112" s="175"/>
      <c r="M112" s="175"/>
      <c r="N112" s="175"/>
      <c r="O112" s="33"/>
    </row>
    <row r="113" spans="1:31" x14ac:dyDescent="0.25">
      <c r="A113" s="8"/>
      <c r="B113" s="247"/>
      <c r="C113" s="247"/>
      <c r="D113" s="276"/>
      <c r="E113" s="276"/>
      <c r="F113" s="276"/>
      <c r="G113" s="276"/>
      <c r="H113" s="276"/>
      <c r="I113" s="276"/>
      <c r="J113" s="276"/>
      <c r="K113" s="276"/>
      <c r="L113" s="276"/>
      <c r="M113" s="276"/>
      <c r="N113" s="276"/>
      <c r="O113" s="276"/>
      <c r="AE113" s="102"/>
    </row>
    <row r="114" spans="1:31" x14ac:dyDescent="0.25">
      <c r="A114" s="8"/>
      <c r="B114" s="247"/>
      <c r="C114" s="247"/>
      <c r="D114" s="276"/>
      <c r="E114" s="276"/>
      <c r="F114" s="276"/>
      <c r="G114" s="276"/>
      <c r="H114" s="276"/>
      <c r="I114" s="276"/>
      <c r="J114" s="276"/>
      <c r="K114" s="276"/>
      <c r="L114" s="276"/>
      <c r="M114" s="276"/>
      <c r="N114" s="276"/>
      <c r="O114" s="276"/>
      <c r="AE114" s="102"/>
    </row>
    <row r="115" spans="1:31" x14ac:dyDescent="0.25">
      <c r="A115" s="8"/>
      <c r="B115" s="247"/>
      <c r="C115" s="247"/>
      <c r="D115" s="276"/>
      <c r="E115" s="276"/>
      <c r="F115" s="276"/>
      <c r="G115" s="276"/>
      <c r="H115" s="276"/>
      <c r="I115" s="276"/>
      <c r="J115" s="276"/>
      <c r="K115" s="276"/>
      <c r="L115" s="276"/>
      <c r="M115" s="276"/>
      <c r="N115" s="276"/>
      <c r="O115" s="276"/>
      <c r="AE115" s="102"/>
    </row>
    <row r="116" spans="1:31" x14ac:dyDescent="0.25">
      <c r="A116" s="8"/>
      <c r="B116" s="247"/>
      <c r="C116" s="247"/>
      <c r="D116" s="276"/>
      <c r="E116" s="276"/>
      <c r="F116" s="276"/>
      <c r="G116" s="276"/>
      <c r="H116" s="276"/>
      <c r="I116" s="276"/>
      <c r="J116" s="276"/>
      <c r="K116" s="276"/>
      <c r="L116" s="276"/>
      <c r="M116" s="276"/>
      <c r="N116" s="276"/>
      <c r="O116" s="276"/>
      <c r="AE116" s="102"/>
    </row>
    <row r="117" spans="1:31" x14ac:dyDescent="0.25">
      <c r="A117" s="8"/>
      <c r="B117" s="247"/>
      <c r="C117" s="247"/>
      <c r="D117" s="276"/>
      <c r="E117" s="276"/>
      <c r="F117" s="276"/>
      <c r="G117" s="276"/>
      <c r="H117" s="276"/>
      <c r="I117" s="276"/>
      <c r="J117" s="276"/>
      <c r="K117" s="276"/>
      <c r="L117" s="276"/>
      <c r="M117" s="276"/>
      <c r="N117" s="276"/>
      <c r="O117" s="276"/>
      <c r="AE117" s="102"/>
    </row>
    <row r="118" spans="1:31" x14ac:dyDescent="0.25">
      <c r="A118" s="8"/>
      <c r="B118" s="247"/>
      <c r="C118" s="247"/>
      <c r="D118" s="276"/>
      <c r="E118" s="276"/>
      <c r="F118" s="276"/>
      <c r="G118" s="276"/>
      <c r="H118" s="276"/>
      <c r="I118" s="276"/>
      <c r="J118" s="276"/>
      <c r="K118" s="276"/>
      <c r="L118" s="276"/>
      <c r="M118" s="276"/>
      <c r="N118" s="276"/>
      <c r="O118" s="276"/>
      <c r="AE118" s="102"/>
    </row>
    <row r="119" spans="1:31" x14ac:dyDescent="0.25">
      <c r="A119" s="8"/>
      <c r="B119" s="247"/>
      <c r="C119" s="247"/>
      <c r="D119" s="276"/>
      <c r="E119" s="276"/>
      <c r="F119" s="276"/>
      <c r="G119" s="276"/>
      <c r="H119" s="276"/>
      <c r="I119" s="276"/>
      <c r="J119" s="276"/>
      <c r="K119" s="276"/>
      <c r="L119" s="276"/>
      <c r="M119" s="276"/>
      <c r="N119" s="276"/>
      <c r="O119" s="276"/>
      <c r="AE119" s="102"/>
    </row>
    <row r="120" spans="1:31" x14ac:dyDescent="0.25">
      <c r="A120" s="8"/>
      <c r="B120" s="247"/>
      <c r="C120" s="247"/>
      <c r="D120" s="276"/>
      <c r="E120" s="276"/>
      <c r="F120" s="276"/>
      <c r="G120" s="276"/>
      <c r="H120" s="276"/>
      <c r="I120" s="276"/>
      <c r="J120" s="276"/>
      <c r="K120" s="276"/>
      <c r="L120" s="276"/>
      <c r="M120" s="276"/>
      <c r="N120" s="276"/>
      <c r="O120" s="276"/>
      <c r="AE120" s="102"/>
    </row>
    <row r="121" spans="1:31" x14ac:dyDescent="0.25">
      <c r="A121" s="8"/>
      <c r="B121" s="247"/>
      <c r="C121" s="247"/>
      <c r="D121" s="276"/>
      <c r="E121" s="276"/>
      <c r="F121" s="276"/>
      <c r="G121" s="276"/>
      <c r="H121" s="276"/>
      <c r="I121" s="276"/>
      <c r="J121" s="276"/>
      <c r="K121" s="276"/>
      <c r="L121" s="276"/>
      <c r="M121" s="276"/>
      <c r="N121" s="276"/>
      <c r="O121" s="276"/>
      <c r="AE121" s="102"/>
    </row>
    <row r="122" spans="1:31" x14ac:dyDescent="0.25">
      <c r="A122" s="8"/>
      <c r="B122" s="247"/>
      <c r="C122" s="247"/>
      <c r="D122" s="276"/>
      <c r="E122" s="276"/>
      <c r="F122" s="276"/>
      <c r="G122" s="276"/>
      <c r="H122" s="276"/>
      <c r="I122" s="276"/>
      <c r="J122" s="276"/>
      <c r="K122" s="276"/>
      <c r="L122" s="276"/>
      <c r="M122" s="276"/>
      <c r="N122" s="276"/>
      <c r="O122" s="276"/>
      <c r="AE122" s="102"/>
    </row>
    <row r="123" spans="1:31" x14ac:dyDescent="0.25">
      <c r="A123" s="8"/>
      <c r="B123" s="247"/>
      <c r="C123" s="247"/>
      <c r="D123" s="276"/>
      <c r="E123" s="276"/>
      <c r="F123" s="276"/>
      <c r="G123" s="276"/>
      <c r="H123" s="276"/>
      <c r="I123" s="276"/>
      <c r="J123" s="276"/>
      <c r="K123" s="276"/>
      <c r="L123" s="276"/>
      <c r="M123" s="276"/>
      <c r="N123" s="276"/>
      <c r="O123" s="276"/>
      <c r="AE123" s="102"/>
    </row>
    <row r="124" spans="1:31" x14ac:dyDescent="0.25">
      <c r="A124" s="8"/>
      <c r="B124" s="247"/>
      <c r="C124" s="247"/>
      <c r="D124" s="314"/>
      <c r="E124" s="314"/>
      <c r="F124" s="314"/>
      <c r="G124" s="314"/>
      <c r="H124" s="314"/>
      <c r="I124" s="314"/>
      <c r="J124" s="314"/>
      <c r="K124" s="314"/>
      <c r="L124" s="314"/>
      <c r="M124" s="314"/>
      <c r="N124" s="314"/>
      <c r="O124" s="314"/>
      <c r="AE124" s="102"/>
    </row>
    <row r="125" spans="1:31" x14ac:dyDescent="0.25">
      <c r="A125" s="8"/>
      <c r="B125" s="247"/>
      <c r="C125" s="247"/>
      <c r="D125" s="276"/>
      <c r="E125" s="276"/>
      <c r="F125" s="276"/>
      <c r="G125" s="276"/>
      <c r="H125" s="276"/>
      <c r="I125" s="276"/>
      <c r="J125" s="276"/>
      <c r="K125" s="276"/>
      <c r="L125" s="276"/>
      <c r="M125" s="276"/>
      <c r="N125" s="276"/>
      <c r="O125" s="276"/>
      <c r="AE125" s="102"/>
    </row>
    <row r="126" spans="1:31" x14ac:dyDescent="0.25">
      <c r="A126" s="8"/>
      <c r="B126" s="247"/>
      <c r="C126" s="247"/>
      <c r="D126" s="310"/>
      <c r="E126" s="310"/>
      <c r="F126" s="310"/>
      <c r="G126" s="310"/>
      <c r="H126" s="310"/>
      <c r="I126" s="310"/>
      <c r="J126" s="310"/>
      <c r="K126" s="310"/>
      <c r="L126" s="310"/>
      <c r="M126" s="310"/>
      <c r="N126" s="310"/>
      <c r="O126" s="310"/>
    </row>
    <row r="127" spans="1:31" x14ac:dyDescent="0.25">
      <c r="B127" s="184"/>
      <c r="C127" s="184"/>
    </row>
    <row r="129" spans="1:15" x14ac:dyDescent="0.25">
      <c r="A129" s="30"/>
      <c r="B129" s="175"/>
      <c r="C129" s="175"/>
      <c r="D129" s="175"/>
      <c r="E129" s="175"/>
      <c r="F129" s="175"/>
      <c r="G129" s="175"/>
      <c r="H129" s="175"/>
      <c r="I129" s="175"/>
      <c r="J129" s="175"/>
      <c r="K129" s="175"/>
      <c r="L129" s="175"/>
      <c r="M129" s="175"/>
      <c r="N129" s="175"/>
      <c r="O129" s="175"/>
    </row>
    <row r="130" spans="1:15" x14ac:dyDescent="0.25">
      <c r="B130" s="23"/>
      <c r="C130" s="23"/>
      <c r="O130" s="23"/>
    </row>
    <row r="131" spans="1:15" x14ac:dyDescent="0.25">
      <c r="A131" s="25"/>
      <c r="B131" s="33"/>
      <c r="C131" s="33"/>
      <c r="D131" s="175"/>
      <c r="E131" s="175"/>
      <c r="F131" s="175"/>
      <c r="G131" s="175"/>
      <c r="H131" s="175"/>
      <c r="I131" s="175"/>
      <c r="J131" s="175"/>
      <c r="K131" s="175"/>
      <c r="L131" s="175"/>
      <c r="M131" s="175"/>
      <c r="N131" s="175"/>
      <c r="O131" s="33"/>
    </row>
    <row r="132" spans="1:15" x14ac:dyDescent="0.25">
      <c r="A132" s="8"/>
      <c r="B132" s="247"/>
      <c r="C132" s="247"/>
      <c r="D132" s="312"/>
      <c r="E132" s="312"/>
      <c r="F132" s="312"/>
      <c r="G132" s="312"/>
      <c r="H132" s="312"/>
      <c r="I132" s="312"/>
      <c r="J132" s="312"/>
      <c r="K132" s="312"/>
      <c r="L132" s="312"/>
      <c r="M132" s="312"/>
      <c r="N132" s="312"/>
      <c r="O132" s="312"/>
    </row>
    <row r="133" spans="1:15" x14ac:dyDescent="0.25">
      <c r="A133" s="8"/>
      <c r="B133" s="247"/>
      <c r="C133" s="247"/>
      <c r="D133" s="312"/>
      <c r="E133" s="312"/>
      <c r="F133" s="312"/>
      <c r="G133" s="312"/>
      <c r="H133" s="312"/>
      <c r="I133" s="312"/>
      <c r="J133" s="312"/>
      <c r="K133" s="312"/>
      <c r="L133" s="312"/>
      <c r="M133" s="312"/>
      <c r="N133" s="312"/>
      <c r="O133" s="312"/>
    </row>
    <row r="134" spans="1:15" x14ac:dyDescent="0.25">
      <c r="A134" s="8"/>
      <c r="B134" s="247"/>
      <c r="C134" s="247"/>
      <c r="D134" s="312"/>
      <c r="E134" s="312"/>
      <c r="F134" s="312"/>
      <c r="G134" s="312"/>
      <c r="H134" s="312"/>
      <c r="I134" s="312"/>
      <c r="J134" s="312"/>
      <c r="K134" s="312"/>
      <c r="L134" s="312"/>
      <c r="M134" s="312"/>
      <c r="N134" s="312"/>
      <c r="O134" s="312"/>
    </row>
    <row r="135" spans="1:15" x14ac:dyDescent="0.25">
      <c r="A135" s="8"/>
      <c r="B135" s="247"/>
      <c r="C135" s="247"/>
      <c r="D135" s="312"/>
      <c r="E135" s="312"/>
      <c r="F135" s="312"/>
      <c r="G135" s="312"/>
      <c r="H135" s="312"/>
      <c r="I135" s="312"/>
      <c r="J135" s="312"/>
      <c r="K135" s="312"/>
      <c r="L135" s="312"/>
      <c r="M135" s="312"/>
      <c r="N135" s="312"/>
      <c r="O135" s="312"/>
    </row>
    <row r="136" spans="1:15" x14ac:dyDescent="0.25">
      <c r="A136" s="8"/>
      <c r="B136" s="247"/>
      <c r="C136" s="247"/>
      <c r="D136" s="312"/>
      <c r="E136" s="312"/>
      <c r="F136" s="312"/>
      <c r="G136" s="312"/>
      <c r="H136" s="312"/>
      <c r="I136" s="312"/>
      <c r="J136" s="312"/>
      <c r="K136" s="312"/>
      <c r="L136" s="312"/>
      <c r="M136" s="312"/>
      <c r="N136" s="312"/>
      <c r="O136" s="312"/>
    </row>
    <row r="137" spans="1:15" x14ac:dyDescent="0.25">
      <c r="A137" s="8"/>
      <c r="B137" s="247"/>
      <c r="C137" s="247"/>
      <c r="D137" s="312"/>
      <c r="E137" s="312"/>
      <c r="F137" s="312"/>
      <c r="G137" s="312"/>
      <c r="H137" s="312"/>
      <c r="I137" s="312"/>
      <c r="J137" s="312"/>
      <c r="K137" s="312"/>
      <c r="L137" s="312"/>
      <c r="M137" s="312"/>
      <c r="N137" s="312"/>
      <c r="O137" s="312"/>
    </row>
    <row r="138" spans="1:15" x14ac:dyDescent="0.25">
      <c r="A138" s="8"/>
      <c r="B138" s="247"/>
      <c r="C138" s="247"/>
      <c r="D138" s="312"/>
      <c r="E138" s="312"/>
      <c r="F138" s="312"/>
      <c r="G138" s="312"/>
      <c r="H138" s="312"/>
      <c r="I138" s="312"/>
      <c r="J138" s="312"/>
      <c r="K138" s="312"/>
      <c r="L138" s="312"/>
      <c r="M138" s="312"/>
      <c r="N138" s="312"/>
      <c r="O138" s="312"/>
    </row>
    <row r="139" spans="1:15" x14ac:dyDescent="0.25">
      <c r="A139" s="8"/>
      <c r="B139" s="247"/>
      <c r="C139" s="247"/>
      <c r="D139" s="312"/>
      <c r="E139" s="312"/>
      <c r="F139" s="312"/>
      <c r="G139" s="312"/>
      <c r="H139" s="312"/>
      <c r="I139" s="312"/>
      <c r="J139" s="312"/>
      <c r="K139" s="312"/>
      <c r="L139" s="312"/>
      <c r="M139" s="312"/>
      <c r="N139" s="312"/>
      <c r="O139" s="312"/>
    </row>
    <row r="140" spans="1:15" x14ac:dyDescent="0.25">
      <c r="A140" s="8"/>
      <c r="B140" s="247"/>
      <c r="C140" s="247"/>
      <c r="D140" s="312"/>
      <c r="E140" s="312"/>
      <c r="F140" s="312"/>
      <c r="G140" s="312"/>
      <c r="H140" s="312"/>
      <c r="I140" s="312"/>
      <c r="J140" s="312"/>
      <c r="K140" s="312"/>
      <c r="L140" s="312"/>
      <c r="M140" s="312"/>
      <c r="N140" s="312"/>
      <c r="O140" s="312"/>
    </row>
    <row r="141" spans="1:15" x14ac:dyDescent="0.25">
      <c r="A141" s="8"/>
      <c r="B141" s="247"/>
      <c r="C141" s="247"/>
      <c r="D141" s="312"/>
      <c r="E141" s="312"/>
      <c r="F141" s="312"/>
      <c r="G141" s="312"/>
      <c r="H141" s="312"/>
      <c r="I141" s="312"/>
      <c r="J141" s="312"/>
      <c r="K141" s="312"/>
      <c r="L141" s="312"/>
      <c r="M141" s="312"/>
      <c r="N141" s="312"/>
      <c r="O141" s="312"/>
    </row>
    <row r="142" spans="1:15" x14ac:dyDescent="0.25">
      <c r="A142" s="8"/>
      <c r="B142" s="247"/>
      <c r="C142" s="247"/>
      <c r="D142" s="312"/>
      <c r="E142" s="312"/>
      <c r="F142" s="312"/>
      <c r="G142" s="312"/>
      <c r="H142" s="312"/>
      <c r="I142" s="312"/>
      <c r="J142" s="312"/>
      <c r="K142" s="312"/>
      <c r="L142" s="312"/>
      <c r="M142" s="312"/>
      <c r="N142" s="312"/>
      <c r="O142" s="312"/>
    </row>
    <row r="143" spans="1:15" x14ac:dyDescent="0.25">
      <c r="A143" s="8"/>
      <c r="B143" s="247"/>
      <c r="C143" s="247"/>
      <c r="D143" s="313"/>
      <c r="E143" s="313"/>
      <c r="F143" s="313"/>
      <c r="G143" s="313"/>
      <c r="H143" s="313"/>
      <c r="I143" s="313"/>
      <c r="J143" s="313"/>
      <c r="K143" s="313"/>
      <c r="L143" s="313"/>
      <c r="M143" s="313"/>
      <c r="N143" s="313"/>
      <c r="O143" s="313"/>
    </row>
    <row r="144" spans="1:15" x14ac:dyDescent="0.25">
      <c r="A144" s="8"/>
      <c r="B144" s="247"/>
      <c r="C144" s="247"/>
      <c r="D144" s="312"/>
      <c r="E144" s="312"/>
      <c r="F144" s="312"/>
      <c r="G144" s="312"/>
      <c r="H144" s="312"/>
      <c r="I144" s="312"/>
      <c r="J144" s="312"/>
      <c r="K144" s="312"/>
      <c r="L144" s="312"/>
      <c r="M144" s="312"/>
      <c r="N144" s="312"/>
      <c r="O144" s="312"/>
    </row>
    <row r="145" spans="1:15" x14ac:dyDescent="0.25">
      <c r="A145" s="8"/>
      <c r="B145" s="247"/>
      <c r="C145" s="247"/>
      <c r="D145" s="310"/>
      <c r="E145" s="310"/>
      <c r="F145" s="310"/>
      <c r="G145" s="310"/>
      <c r="H145" s="310"/>
      <c r="I145" s="310"/>
      <c r="J145" s="310"/>
      <c r="K145" s="310"/>
      <c r="L145" s="310"/>
      <c r="M145" s="310"/>
      <c r="N145" s="310"/>
      <c r="O145" s="310"/>
    </row>
    <row r="146" spans="1:15" x14ac:dyDescent="0.25">
      <c r="B146" s="30"/>
      <c r="C146" s="30"/>
      <c r="O146" s="310"/>
    </row>
    <row r="147" spans="1:15" x14ac:dyDescent="0.25">
      <c r="O147" s="310"/>
    </row>
    <row r="148" spans="1:15" x14ac:dyDescent="0.25">
      <c r="B148" s="8"/>
      <c r="C148" s="8"/>
      <c r="D148" s="183"/>
      <c r="E148" s="183"/>
      <c r="F148" s="183"/>
      <c r="G148" s="183"/>
      <c r="H148" s="183"/>
      <c r="I148" s="183"/>
      <c r="J148" s="183"/>
      <c r="K148" s="183"/>
      <c r="L148" s="183"/>
      <c r="M148" s="183"/>
      <c r="N148" s="183"/>
      <c r="O148" s="310"/>
    </row>
    <row r="149" spans="1:15" x14ac:dyDescent="0.25">
      <c r="A149" s="8"/>
      <c r="B149" s="247"/>
      <c r="C149" s="247"/>
      <c r="D149" s="311"/>
      <c r="E149" s="311"/>
      <c r="F149" s="311"/>
      <c r="G149" s="311"/>
      <c r="H149" s="311"/>
      <c r="I149" s="311"/>
      <c r="J149" s="311"/>
      <c r="K149" s="311"/>
      <c r="L149" s="311"/>
      <c r="M149" s="311"/>
      <c r="N149" s="311"/>
      <c r="O149" s="310"/>
    </row>
    <row r="150" spans="1:15" x14ac:dyDescent="0.25">
      <c r="A150" s="8"/>
      <c r="B150" s="247"/>
      <c r="C150" s="247"/>
      <c r="D150" s="311"/>
      <c r="E150" s="311"/>
      <c r="F150" s="311"/>
      <c r="G150" s="311"/>
      <c r="H150" s="311"/>
      <c r="I150" s="311"/>
      <c r="J150" s="311"/>
      <c r="K150" s="311"/>
      <c r="L150" s="311"/>
      <c r="M150" s="311"/>
      <c r="N150" s="311"/>
      <c r="O150" s="310"/>
    </row>
    <row r="151" spans="1:15" x14ac:dyDescent="0.25">
      <c r="A151" s="8"/>
      <c r="B151" s="247"/>
      <c r="C151" s="247"/>
      <c r="D151" s="311"/>
      <c r="E151" s="311"/>
      <c r="F151" s="311"/>
      <c r="G151" s="311"/>
      <c r="H151" s="311"/>
      <c r="I151" s="311"/>
      <c r="J151" s="311"/>
      <c r="K151" s="311"/>
      <c r="L151" s="311"/>
      <c r="M151" s="311"/>
      <c r="N151" s="311"/>
      <c r="O151" s="310"/>
    </row>
    <row r="152" spans="1:15" x14ac:dyDescent="0.25">
      <c r="A152" s="8"/>
      <c r="B152" s="247"/>
      <c r="C152" s="247"/>
      <c r="D152" s="311"/>
      <c r="E152" s="311"/>
      <c r="F152" s="311"/>
      <c r="G152" s="311"/>
      <c r="H152" s="311"/>
      <c r="I152" s="311"/>
      <c r="J152" s="311"/>
      <c r="K152" s="311"/>
      <c r="L152" s="311"/>
      <c r="M152" s="311"/>
      <c r="N152" s="311"/>
      <c r="O152" s="310"/>
    </row>
    <row r="153" spans="1:15" x14ac:dyDescent="0.25">
      <c r="A153" s="8"/>
      <c r="B153" s="247"/>
      <c r="C153" s="247"/>
      <c r="D153" s="311"/>
      <c r="E153" s="311"/>
      <c r="F153" s="311"/>
      <c r="G153" s="311"/>
      <c r="H153" s="311"/>
      <c r="I153" s="311"/>
      <c r="J153" s="311"/>
      <c r="K153" s="311"/>
      <c r="L153" s="311"/>
      <c r="M153" s="311"/>
      <c r="N153" s="311"/>
      <c r="O153" s="310"/>
    </row>
    <row r="154" spans="1:15" x14ac:dyDescent="0.25">
      <c r="A154" s="8"/>
      <c r="B154" s="247"/>
      <c r="C154" s="247"/>
      <c r="D154" s="311"/>
      <c r="E154" s="311"/>
      <c r="F154" s="311"/>
      <c r="G154" s="311"/>
      <c r="H154" s="311"/>
      <c r="I154" s="311"/>
      <c r="J154" s="311"/>
      <c r="K154" s="311"/>
      <c r="L154" s="311"/>
      <c r="M154" s="311"/>
      <c r="N154" s="311"/>
      <c r="O154" s="310"/>
    </row>
    <row r="155" spans="1:15" x14ac:dyDescent="0.25">
      <c r="A155" s="8"/>
      <c r="B155" s="247"/>
      <c r="C155" s="247"/>
      <c r="D155" s="311"/>
      <c r="E155" s="311"/>
      <c r="F155" s="311"/>
      <c r="G155" s="311"/>
      <c r="H155" s="311"/>
      <c r="I155" s="311"/>
      <c r="J155" s="311"/>
      <c r="K155" s="311"/>
      <c r="L155" s="311"/>
      <c r="M155" s="311"/>
      <c r="N155" s="311"/>
      <c r="O155" s="310"/>
    </row>
    <row r="156" spans="1:15" x14ac:dyDescent="0.25">
      <c r="A156" s="8"/>
      <c r="B156" s="247"/>
      <c r="C156" s="247"/>
      <c r="D156" s="311"/>
      <c r="E156" s="311"/>
      <c r="F156" s="311"/>
      <c r="G156" s="311"/>
      <c r="H156" s="311"/>
      <c r="I156" s="311"/>
      <c r="J156" s="311"/>
      <c r="K156" s="311"/>
      <c r="L156" s="311"/>
      <c r="M156" s="311"/>
      <c r="N156" s="311"/>
      <c r="O156" s="310"/>
    </row>
    <row r="157" spans="1:15" x14ac:dyDescent="0.25">
      <c r="A157" s="8"/>
      <c r="B157" s="247"/>
      <c r="C157" s="247"/>
      <c r="D157" s="311"/>
      <c r="E157" s="311"/>
      <c r="F157" s="311"/>
      <c r="G157" s="311"/>
      <c r="H157" s="311"/>
      <c r="I157" s="311"/>
      <c r="J157" s="311"/>
      <c r="K157" s="311"/>
      <c r="L157" s="311"/>
      <c r="M157" s="311"/>
      <c r="N157" s="311"/>
      <c r="O157" s="310"/>
    </row>
    <row r="158" spans="1:15" x14ac:dyDescent="0.25">
      <c r="A158" s="8"/>
      <c r="B158" s="247"/>
      <c r="C158" s="247"/>
      <c r="D158" s="311"/>
      <c r="E158" s="311"/>
      <c r="F158" s="311"/>
      <c r="G158" s="311"/>
      <c r="H158" s="311"/>
      <c r="I158" s="311"/>
      <c r="J158" s="311"/>
      <c r="K158" s="311"/>
      <c r="L158" s="311"/>
      <c r="M158" s="311"/>
      <c r="N158" s="311"/>
      <c r="O158" s="310"/>
    </row>
    <row r="159" spans="1:15" x14ac:dyDescent="0.25">
      <c r="A159" s="8"/>
      <c r="B159" s="247"/>
      <c r="C159" s="247"/>
      <c r="D159" s="311"/>
      <c r="E159" s="311"/>
      <c r="F159" s="311"/>
      <c r="G159" s="311"/>
      <c r="H159" s="311"/>
      <c r="I159" s="311"/>
      <c r="J159" s="311"/>
      <c r="K159" s="311"/>
      <c r="L159" s="311"/>
      <c r="M159" s="311"/>
      <c r="N159" s="311"/>
      <c r="O159" s="310"/>
    </row>
    <row r="160" spans="1:15" x14ac:dyDescent="0.25">
      <c r="A160" s="8"/>
      <c r="B160" s="247"/>
      <c r="C160" s="247"/>
      <c r="D160" s="311"/>
      <c r="E160" s="311"/>
      <c r="F160" s="311"/>
      <c r="G160" s="311"/>
      <c r="H160" s="311"/>
      <c r="I160" s="311"/>
      <c r="J160" s="311"/>
      <c r="K160" s="311"/>
      <c r="L160" s="311"/>
      <c r="M160" s="311"/>
      <c r="N160" s="311"/>
      <c r="O160" s="310"/>
    </row>
    <row r="162" spans="1:15" x14ac:dyDescent="0.25">
      <c r="B162" s="30"/>
      <c r="C162" s="30"/>
    </row>
    <row r="163" spans="1:15" x14ac:dyDescent="0.25">
      <c r="B163" s="47"/>
      <c r="C163" s="47"/>
    </row>
    <row r="164" spans="1:15" x14ac:dyDescent="0.25">
      <c r="B164" s="47"/>
      <c r="C164" s="47"/>
      <c r="D164" s="175"/>
      <c r="E164" s="175"/>
      <c r="F164" s="175"/>
      <c r="G164" s="175"/>
      <c r="H164" s="175"/>
      <c r="I164" s="175"/>
      <c r="J164" s="175"/>
      <c r="K164" s="175"/>
      <c r="L164" s="175"/>
      <c r="M164" s="175"/>
      <c r="N164" s="175"/>
      <c r="O164" s="33"/>
    </row>
    <row r="165" spans="1:15" x14ac:dyDescent="0.25">
      <c r="A165" s="8"/>
      <c r="B165" s="47"/>
      <c r="C165" s="47"/>
      <c r="D165" s="102"/>
      <c r="E165" s="102"/>
      <c r="F165" s="102"/>
      <c r="G165" s="102"/>
      <c r="H165" s="102"/>
      <c r="I165" s="102"/>
      <c r="J165" s="102"/>
      <c r="K165" s="102"/>
      <c r="L165" s="102"/>
      <c r="M165" s="102"/>
      <c r="N165" s="102"/>
      <c r="O165" s="102"/>
    </row>
    <row r="166" spans="1:15" x14ac:dyDescent="0.25">
      <c r="B166" s="47"/>
      <c r="C166" s="47"/>
      <c r="D166" s="102"/>
      <c r="E166" s="102"/>
      <c r="F166" s="102"/>
      <c r="G166" s="102"/>
      <c r="H166" s="102"/>
      <c r="I166" s="102"/>
      <c r="J166" s="102"/>
      <c r="K166" s="102"/>
      <c r="L166" s="102"/>
      <c r="M166" s="102"/>
      <c r="N166" s="102"/>
      <c r="O166" s="102"/>
    </row>
    <row r="167" spans="1:15" x14ac:dyDescent="0.25">
      <c r="B167" s="47"/>
      <c r="C167" s="47"/>
      <c r="D167" s="102"/>
      <c r="E167" s="102"/>
      <c r="F167" s="102"/>
      <c r="G167" s="102"/>
      <c r="H167" s="102"/>
      <c r="I167" s="102"/>
      <c r="J167" s="102"/>
      <c r="K167" s="102"/>
      <c r="L167" s="102"/>
      <c r="M167" s="102"/>
      <c r="N167" s="102"/>
      <c r="O167" s="102"/>
    </row>
    <row r="168" spans="1:15" x14ac:dyDescent="0.25">
      <c r="B168" s="47"/>
      <c r="C168" s="47"/>
      <c r="D168" s="175"/>
      <c r="E168" s="175"/>
      <c r="F168" s="175"/>
      <c r="G168" s="175"/>
      <c r="H168" s="175"/>
      <c r="I168" s="175"/>
      <c r="J168" s="175"/>
      <c r="K168" s="175"/>
      <c r="L168" s="175"/>
      <c r="M168" s="175"/>
      <c r="N168" s="175"/>
      <c r="O168" s="33"/>
    </row>
    <row r="169" spans="1:15" x14ac:dyDescent="0.25">
      <c r="A169" s="8"/>
      <c r="B169" s="47"/>
      <c r="C169" s="47"/>
      <c r="D169" s="102"/>
      <c r="E169" s="102"/>
      <c r="F169" s="102"/>
      <c r="G169" s="102"/>
      <c r="H169" s="102"/>
      <c r="I169" s="102"/>
      <c r="J169" s="102"/>
      <c r="K169" s="102"/>
      <c r="L169" s="102"/>
      <c r="M169" s="102"/>
      <c r="N169" s="102"/>
      <c r="O169" s="102"/>
    </row>
    <row r="170" spans="1:15" x14ac:dyDescent="0.25">
      <c r="B170" s="47"/>
      <c r="C170" s="47"/>
      <c r="D170" s="102"/>
      <c r="E170" s="102"/>
      <c r="F170" s="102"/>
      <c r="G170" s="102"/>
      <c r="H170" s="102"/>
      <c r="I170" s="102"/>
      <c r="J170" s="102"/>
      <c r="K170" s="102"/>
      <c r="L170" s="102"/>
      <c r="M170" s="102"/>
      <c r="N170" s="102"/>
      <c r="O170" s="102"/>
    </row>
    <row r="171" spans="1:15" x14ac:dyDescent="0.25">
      <c r="B171" s="47"/>
      <c r="C171" s="47"/>
      <c r="D171" s="102"/>
      <c r="E171" s="102"/>
      <c r="F171" s="102"/>
      <c r="G171" s="102"/>
      <c r="H171" s="102"/>
      <c r="I171" s="102"/>
      <c r="J171" s="102"/>
      <c r="K171" s="102"/>
      <c r="L171" s="102"/>
      <c r="M171" s="102"/>
      <c r="N171" s="102"/>
      <c r="O171" s="102"/>
    </row>
    <row r="172" spans="1:15" x14ac:dyDescent="0.25">
      <c r="D172" s="175"/>
      <c r="E172" s="175"/>
      <c r="F172" s="175"/>
      <c r="G172" s="175"/>
      <c r="H172" s="175"/>
      <c r="I172" s="175"/>
      <c r="J172" s="175"/>
      <c r="K172" s="175"/>
      <c r="L172" s="175"/>
      <c r="M172" s="175"/>
      <c r="N172" s="175"/>
      <c r="O172" s="33"/>
    </row>
    <row r="173" spans="1:15" x14ac:dyDescent="0.25">
      <c r="A173" s="8"/>
      <c r="D173" s="102"/>
      <c r="E173" s="102"/>
      <c r="F173" s="102"/>
      <c r="G173" s="102"/>
      <c r="H173" s="102"/>
      <c r="I173" s="102"/>
      <c r="J173" s="102"/>
      <c r="K173" s="102"/>
      <c r="L173" s="102"/>
      <c r="M173" s="102"/>
      <c r="N173" s="102"/>
      <c r="O173" s="102"/>
    </row>
    <row r="175" spans="1:15" x14ac:dyDescent="0.25">
      <c r="B175" s="30"/>
      <c r="C175" s="30"/>
    </row>
    <row r="176" spans="1:15" x14ac:dyDescent="0.25">
      <c r="A176" s="30"/>
      <c r="B176" s="175"/>
      <c r="C176" s="175"/>
      <c r="D176" s="175"/>
      <c r="E176" s="175"/>
      <c r="F176" s="175"/>
      <c r="G176" s="175"/>
      <c r="H176" s="175"/>
      <c r="I176" s="175"/>
      <c r="J176" s="175"/>
      <c r="K176" s="175"/>
      <c r="L176" s="175"/>
      <c r="M176" s="175"/>
      <c r="N176" s="175"/>
      <c r="O176" s="175"/>
    </row>
    <row r="177" spans="1:15" x14ac:dyDescent="0.25">
      <c r="B177" s="8"/>
      <c r="C177" s="8"/>
      <c r="G177" s="50"/>
      <c r="O177" s="23"/>
    </row>
    <row r="178" spans="1:15" x14ac:dyDescent="0.25">
      <c r="B178" s="8"/>
      <c r="C178" s="8"/>
      <c r="D178" s="175"/>
      <c r="E178" s="175"/>
    </row>
    <row r="179" spans="1:15" x14ac:dyDescent="0.25">
      <c r="A179" s="25"/>
      <c r="B179" s="33"/>
      <c r="C179" s="33"/>
      <c r="D179" s="175"/>
      <c r="E179" s="175"/>
      <c r="F179" s="175"/>
      <c r="G179" s="175"/>
      <c r="H179" s="175"/>
      <c r="I179" s="175"/>
      <c r="J179" s="175"/>
      <c r="K179" s="175"/>
      <c r="L179" s="175"/>
      <c r="M179" s="175"/>
      <c r="N179" s="175"/>
      <c r="O179" s="33"/>
    </row>
    <row r="180" spans="1:15" x14ac:dyDescent="0.25">
      <c r="A180" s="8"/>
      <c r="B180" s="247"/>
      <c r="C180" s="247"/>
      <c r="D180" s="102"/>
      <c r="E180" s="102"/>
      <c r="F180" s="102"/>
      <c r="G180" s="102"/>
      <c r="H180" s="102"/>
      <c r="I180" s="102"/>
      <c r="J180" s="102"/>
      <c r="K180" s="102"/>
      <c r="L180" s="102"/>
      <c r="M180" s="102"/>
      <c r="N180" s="102"/>
      <c r="O180" s="102"/>
    </row>
    <row r="181" spans="1:15" x14ac:dyDescent="0.25">
      <c r="A181" s="8"/>
      <c r="B181" s="247"/>
      <c r="C181" s="247"/>
      <c r="D181" s="102"/>
      <c r="E181" s="102"/>
      <c r="F181" s="102"/>
      <c r="G181" s="102"/>
      <c r="H181" s="102"/>
      <c r="I181" s="102"/>
      <c r="J181" s="102"/>
      <c r="K181" s="102"/>
      <c r="L181" s="102"/>
      <c r="M181" s="102"/>
      <c r="N181" s="102"/>
      <c r="O181" s="102"/>
    </row>
    <row r="182" spans="1:15" x14ac:dyDescent="0.25">
      <c r="A182" s="8"/>
      <c r="B182" s="247"/>
      <c r="C182" s="247"/>
      <c r="D182" s="102"/>
      <c r="E182" s="102"/>
      <c r="F182" s="102"/>
      <c r="G182" s="102"/>
      <c r="H182" s="102"/>
      <c r="I182" s="102"/>
      <c r="J182" s="102"/>
      <c r="K182" s="102"/>
      <c r="L182" s="102"/>
      <c r="M182" s="102"/>
      <c r="N182" s="102"/>
      <c r="O182" s="102"/>
    </row>
    <row r="183" spans="1:15" x14ac:dyDescent="0.25">
      <c r="A183" s="8"/>
      <c r="B183" s="247"/>
      <c r="C183" s="247"/>
      <c r="D183" s="102"/>
      <c r="E183" s="102"/>
      <c r="F183" s="102"/>
      <c r="G183" s="102"/>
      <c r="H183" s="102"/>
      <c r="I183" s="102"/>
      <c r="J183" s="102"/>
      <c r="K183" s="102"/>
      <c r="L183" s="102"/>
      <c r="M183" s="102"/>
      <c r="N183" s="102"/>
      <c r="O183" s="102"/>
    </row>
    <row r="184" spans="1:15" x14ac:dyDescent="0.25">
      <c r="A184" s="8"/>
      <c r="B184" s="247"/>
      <c r="C184" s="247"/>
      <c r="D184" s="102"/>
      <c r="E184" s="102"/>
      <c r="F184" s="102"/>
      <c r="G184" s="102"/>
      <c r="H184" s="102"/>
      <c r="I184" s="102"/>
      <c r="J184" s="102"/>
      <c r="K184" s="102"/>
      <c r="L184" s="102"/>
      <c r="M184" s="102"/>
      <c r="N184" s="102"/>
      <c r="O184" s="102"/>
    </row>
    <row r="185" spans="1:15" x14ac:dyDescent="0.25">
      <c r="A185" s="8"/>
      <c r="B185" s="247"/>
      <c r="C185" s="247"/>
      <c r="D185" s="102"/>
      <c r="E185" s="102"/>
      <c r="F185" s="102"/>
      <c r="G185" s="102"/>
      <c r="H185" s="102"/>
      <c r="I185" s="102"/>
      <c r="J185" s="102"/>
      <c r="K185" s="102"/>
      <c r="L185" s="102"/>
      <c r="M185" s="102"/>
      <c r="N185" s="102"/>
      <c r="O185" s="102"/>
    </row>
    <row r="186" spans="1:15" x14ac:dyDescent="0.25">
      <c r="A186" s="8"/>
      <c r="B186" s="247"/>
      <c r="C186" s="247"/>
      <c r="D186" s="102"/>
      <c r="E186" s="102"/>
      <c r="F186" s="102"/>
      <c r="G186" s="102"/>
      <c r="H186" s="102"/>
      <c r="I186" s="102"/>
      <c r="J186" s="102"/>
      <c r="K186" s="102"/>
      <c r="L186" s="102"/>
      <c r="M186" s="102"/>
      <c r="N186" s="102"/>
      <c r="O186" s="102"/>
    </row>
    <row r="187" spans="1:15" x14ac:dyDescent="0.25">
      <c r="A187" s="8"/>
      <c r="B187" s="247"/>
      <c r="C187" s="247"/>
      <c r="D187" s="102"/>
      <c r="E187" s="102"/>
      <c r="F187" s="102"/>
      <c r="G187" s="102"/>
      <c r="H187" s="102"/>
      <c r="I187" s="102"/>
      <c r="J187" s="102"/>
      <c r="K187" s="102"/>
      <c r="L187" s="102"/>
      <c r="M187" s="102"/>
      <c r="N187" s="102"/>
      <c r="O187" s="102"/>
    </row>
    <row r="188" spans="1:15" x14ac:dyDescent="0.25">
      <c r="A188" s="8"/>
      <c r="B188" s="247"/>
      <c r="C188" s="247"/>
      <c r="D188" s="102"/>
      <c r="E188" s="102"/>
      <c r="F188" s="102"/>
      <c r="G188" s="102"/>
      <c r="H188" s="102"/>
      <c r="I188" s="102"/>
      <c r="J188" s="102"/>
      <c r="K188" s="102"/>
      <c r="L188" s="102"/>
      <c r="M188" s="102"/>
      <c r="N188" s="102"/>
      <c r="O188" s="102"/>
    </row>
    <row r="189" spans="1:15" x14ac:dyDescent="0.25">
      <c r="A189" s="8"/>
      <c r="B189" s="247"/>
      <c r="C189" s="247"/>
      <c r="D189" s="102"/>
      <c r="E189" s="102"/>
      <c r="F189" s="102"/>
      <c r="G189" s="102"/>
      <c r="H189" s="102"/>
      <c r="I189" s="102"/>
      <c r="J189" s="102"/>
      <c r="K189" s="102"/>
      <c r="L189" s="102"/>
      <c r="M189" s="102"/>
      <c r="N189" s="102"/>
      <c r="O189" s="102"/>
    </row>
    <row r="190" spans="1:15" x14ac:dyDescent="0.25">
      <c r="A190" s="8"/>
      <c r="B190" s="247"/>
      <c r="C190" s="247"/>
      <c r="D190" s="102"/>
      <c r="E190" s="102"/>
      <c r="F190" s="102"/>
      <c r="G190" s="102"/>
      <c r="H190" s="102"/>
      <c r="I190" s="102"/>
      <c r="J190" s="102"/>
      <c r="K190" s="102"/>
      <c r="L190" s="102"/>
      <c r="M190" s="102"/>
      <c r="N190" s="102"/>
      <c r="O190" s="102"/>
    </row>
    <row r="191" spans="1:15" x14ac:dyDescent="0.25">
      <c r="A191" s="8"/>
      <c r="B191" s="247"/>
      <c r="C191" s="247"/>
      <c r="D191" s="250"/>
      <c r="E191" s="250"/>
      <c r="F191" s="250"/>
      <c r="G191" s="250"/>
      <c r="H191" s="250"/>
      <c r="I191" s="250"/>
      <c r="J191" s="250"/>
      <c r="K191" s="250"/>
      <c r="L191" s="250"/>
      <c r="M191" s="250"/>
      <c r="N191" s="250"/>
      <c r="O191" s="250"/>
    </row>
    <row r="192" spans="1:15" x14ac:dyDescent="0.25">
      <c r="A192" s="8"/>
      <c r="B192" s="247"/>
      <c r="C192" s="247"/>
      <c r="D192" s="102"/>
      <c r="E192" s="102"/>
      <c r="F192" s="102"/>
      <c r="G192" s="102"/>
      <c r="H192" s="102"/>
      <c r="I192" s="102"/>
      <c r="J192" s="102"/>
      <c r="K192" s="102"/>
      <c r="L192" s="102"/>
      <c r="M192" s="102"/>
      <c r="N192" s="102"/>
      <c r="O192" s="102"/>
    </row>
    <row r="194" spans="2:3" x14ac:dyDescent="0.25">
      <c r="B194" s="25"/>
      <c r="C194" s="25"/>
    </row>
    <row r="196" spans="2:3" x14ac:dyDescent="0.25">
      <c r="B196" s="309"/>
      <c r="C196" s="309"/>
    </row>
    <row r="198" spans="2:3" x14ac:dyDescent="0.25">
      <c r="B198" s="47"/>
      <c r="C198" s="47"/>
    </row>
    <row r="199" spans="2:3" x14ac:dyDescent="0.25">
      <c r="B199" s="47"/>
      <c r="C199" s="47"/>
    </row>
    <row r="200" spans="2:3" x14ac:dyDescent="0.25">
      <c r="B200" s="47"/>
      <c r="C200" s="47"/>
    </row>
    <row r="202" spans="2:3" x14ac:dyDescent="0.25">
      <c r="B202" s="47"/>
      <c r="C202" s="47"/>
    </row>
    <row r="203" spans="2:3" x14ac:dyDescent="0.25">
      <c r="B203" s="47"/>
      <c r="C203" s="47"/>
    </row>
    <row r="204" spans="2:3" x14ac:dyDescent="0.25">
      <c r="B204" s="47"/>
      <c r="C204" s="47"/>
    </row>
    <row r="206" spans="2:3" x14ac:dyDescent="0.25">
      <c r="B206" s="47"/>
      <c r="C206" s="47"/>
    </row>
    <row r="207" spans="2:3" x14ac:dyDescent="0.25">
      <c r="B207" s="308"/>
      <c r="C207" s="308"/>
    </row>
    <row r="217" spans="2:3" x14ac:dyDescent="0.25">
      <c r="B217" s="47"/>
      <c r="C217" s="47"/>
    </row>
    <row r="218" spans="2:3" x14ac:dyDescent="0.25">
      <c r="B218" s="47"/>
      <c r="C218" s="47"/>
    </row>
  </sheetData>
  <printOptions horizontalCentered="1"/>
  <pageMargins left="1" right="1" top="1" bottom="1" header="0.5" footer="0.5"/>
  <pageSetup scale="22" fitToHeight="0" orientation="landscape" r:id="rId1"/>
  <headerFooter>
    <oddHeader>&amp;R&amp;F</oddHeader>
  </headerFooter>
  <rowBreaks count="1" manualBreakCount="1">
    <brk id="53" max="33" man="1"/>
  </rowBreaks>
  <customProperties>
    <customPr name="_pios_id" r:id="rId2"/>
  </customPropertie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09624F-3AEF-4D38-8DED-D12CA3FC9FFD}">
  <sheetPr>
    <pageSetUpPr fitToPage="1"/>
  </sheetPr>
  <dimension ref="A1:AD105"/>
  <sheetViews>
    <sheetView view="pageBreakPreview" topLeftCell="A38" zoomScale="60" zoomScaleNormal="78" workbookViewId="0">
      <selection activeCell="Q36" sqref="Q36"/>
    </sheetView>
  </sheetViews>
  <sheetFormatPr defaultColWidth="8.85546875" defaultRowHeight="15" x14ac:dyDescent="0.25"/>
  <cols>
    <col min="1" max="1" width="6.85546875" style="23" bestFit="1" customWidth="1"/>
    <col min="2" max="3" width="16.140625" style="6" customWidth="1"/>
    <col min="4" max="15" width="17.140625" style="6" customWidth="1"/>
    <col min="16" max="30" width="18" style="6" customWidth="1"/>
    <col min="31" max="16384" width="8.85546875" style="6"/>
  </cols>
  <sheetData>
    <row r="1" spans="1:30" x14ac:dyDescent="0.25">
      <c r="B1" s="30" t="s">
        <v>1060</v>
      </c>
      <c r="P1" s="76"/>
    </row>
    <row r="2" spans="1:30" x14ac:dyDescent="0.25">
      <c r="B2" s="30" t="s">
        <v>51</v>
      </c>
      <c r="G2" s="245"/>
      <c r="N2" s="76"/>
      <c r="O2" s="8"/>
      <c r="AC2" s="76" t="str">
        <f>CONCATENATE("Prior Year: ",'1-BaseTRR'!$G$3)</f>
        <v>Prior Year: 2025</v>
      </c>
    </row>
    <row r="3" spans="1:30" x14ac:dyDescent="0.25">
      <c r="B3" s="77" t="s">
        <v>367</v>
      </c>
      <c r="C3" s="89"/>
      <c r="N3" s="76"/>
      <c r="O3" s="8"/>
    </row>
    <row r="4" spans="1:30" x14ac:dyDescent="0.25">
      <c r="A4" s="8"/>
    </row>
    <row r="5" spans="1:30" x14ac:dyDescent="0.25">
      <c r="B5" s="83" t="s">
        <v>1059</v>
      </c>
      <c r="C5" s="35"/>
      <c r="D5" s="35"/>
      <c r="E5" s="35"/>
      <c r="F5" s="35"/>
      <c r="G5" s="35"/>
      <c r="H5" s="35"/>
      <c r="I5" s="244"/>
      <c r="J5" s="349"/>
      <c r="K5" s="35"/>
      <c r="L5" s="35"/>
      <c r="M5" s="35"/>
      <c r="N5" s="35"/>
      <c r="O5" s="35"/>
      <c r="P5" s="35"/>
      <c r="Q5" s="35"/>
      <c r="R5" s="35"/>
      <c r="S5" s="35"/>
      <c r="T5" s="35"/>
      <c r="U5" s="35"/>
      <c r="V5" s="35"/>
      <c r="W5" s="35"/>
      <c r="X5" s="35"/>
      <c r="Y5" s="35"/>
      <c r="Z5" s="35"/>
      <c r="AA5" s="35"/>
      <c r="AB5" s="35"/>
      <c r="AC5" s="35"/>
    </row>
    <row r="6" spans="1:30" x14ac:dyDescent="0.25">
      <c r="B6" s="6" t="s">
        <v>1058</v>
      </c>
    </row>
    <row r="7" spans="1:30" x14ac:dyDescent="0.25">
      <c r="B7" s="6" t="s">
        <v>1057</v>
      </c>
    </row>
    <row r="9" spans="1:30" x14ac:dyDescent="0.25">
      <c r="A9" s="8"/>
      <c r="C9" s="175" t="s">
        <v>492</v>
      </c>
      <c r="D9" s="175" t="s">
        <v>491</v>
      </c>
      <c r="E9" s="175" t="s">
        <v>490</v>
      </c>
      <c r="F9" s="175" t="s">
        <v>489</v>
      </c>
      <c r="G9" s="175" t="s">
        <v>519</v>
      </c>
      <c r="H9" s="175" t="s">
        <v>518</v>
      </c>
      <c r="I9" s="175" t="s">
        <v>517</v>
      </c>
      <c r="J9" s="175" t="s">
        <v>538</v>
      </c>
      <c r="K9" s="175" t="s">
        <v>537</v>
      </c>
      <c r="L9" s="175" t="s">
        <v>770</v>
      </c>
      <c r="M9" s="175" t="s">
        <v>769</v>
      </c>
      <c r="N9" s="175" t="s">
        <v>768</v>
      </c>
      <c r="O9" s="175" t="s">
        <v>767</v>
      </c>
      <c r="P9" s="175" t="s">
        <v>766</v>
      </c>
      <c r="Q9" s="175" t="s">
        <v>765</v>
      </c>
      <c r="R9" s="175" t="s">
        <v>900</v>
      </c>
      <c r="S9" s="175" t="s">
        <v>899</v>
      </c>
      <c r="T9" s="175" t="s">
        <v>898</v>
      </c>
      <c r="U9" s="175" t="s">
        <v>897</v>
      </c>
      <c r="V9" s="175" t="s">
        <v>896</v>
      </c>
      <c r="W9" s="175" t="s">
        <v>895</v>
      </c>
      <c r="X9" s="175" t="s">
        <v>894</v>
      </c>
      <c r="Y9" s="175" t="s">
        <v>893</v>
      </c>
      <c r="Z9" s="175" t="s">
        <v>892</v>
      </c>
      <c r="AA9" s="175" t="s">
        <v>891</v>
      </c>
      <c r="AB9" s="175" t="s">
        <v>890</v>
      </c>
      <c r="AC9" s="175"/>
    </row>
    <row r="10" spans="1:30" x14ac:dyDescent="0.25">
      <c r="A10" s="8"/>
      <c r="C10" s="23"/>
      <c r="D10" s="23"/>
      <c r="E10" s="23"/>
      <c r="F10" s="23"/>
      <c r="G10" s="23"/>
      <c r="H10" s="23"/>
      <c r="I10" s="23"/>
      <c r="J10" s="23"/>
      <c r="K10" s="23"/>
      <c r="L10" s="23"/>
      <c r="M10" s="23"/>
      <c r="N10" s="23"/>
      <c r="O10" s="23"/>
      <c r="P10" s="23"/>
      <c r="Q10" s="23"/>
      <c r="R10" s="23"/>
      <c r="S10" s="23"/>
      <c r="T10" s="23"/>
      <c r="U10" s="23"/>
      <c r="V10" s="23"/>
      <c r="W10" s="23"/>
      <c r="X10" s="23"/>
      <c r="Y10" s="23"/>
      <c r="Z10" s="23"/>
      <c r="AA10" s="23"/>
      <c r="AB10" s="258" t="s">
        <v>889</v>
      </c>
      <c r="AC10" s="23"/>
    </row>
    <row r="11" spans="1:30" x14ac:dyDescent="0.25">
      <c r="A11" s="8"/>
      <c r="C11" s="23"/>
      <c r="D11" s="23"/>
      <c r="E11" s="23"/>
      <c r="F11" s="23"/>
      <c r="G11" s="23"/>
      <c r="H11" s="23"/>
      <c r="I11" s="23"/>
      <c r="J11" s="23"/>
      <c r="K11" s="23"/>
      <c r="L11" s="23"/>
      <c r="M11" s="23"/>
      <c r="N11" s="23"/>
      <c r="O11" s="23"/>
      <c r="P11" s="23"/>
      <c r="Q11" s="23"/>
      <c r="R11" s="23"/>
      <c r="S11" s="23"/>
      <c r="T11" s="23"/>
      <c r="U11" s="23"/>
      <c r="V11" s="23"/>
      <c r="W11" s="23"/>
      <c r="X11" s="23"/>
      <c r="Y11" s="23"/>
      <c r="Z11" s="23"/>
      <c r="AA11" s="23"/>
      <c r="AB11" s="23"/>
      <c r="AC11" s="23"/>
    </row>
    <row r="12" spans="1:30" x14ac:dyDescent="0.25">
      <c r="B12" s="76" t="s">
        <v>888</v>
      </c>
      <c r="C12" s="183">
        <v>350.01</v>
      </c>
      <c r="D12" s="183">
        <v>350.02</v>
      </c>
      <c r="E12" s="183">
        <v>352.01</v>
      </c>
      <c r="F12" s="183">
        <v>352.02</v>
      </c>
      <c r="G12" s="183">
        <v>353.01</v>
      </c>
      <c r="H12" s="183">
        <v>353.02</v>
      </c>
      <c r="I12" s="183">
        <v>354</v>
      </c>
      <c r="J12" s="8">
        <v>354.02</v>
      </c>
      <c r="K12" s="183">
        <v>355</v>
      </c>
      <c r="L12" s="183">
        <v>356</v>
      </c>
      <c r="M12" s="183">
        <v>357</v>
      </c>
      <c r="N12" s="183">
        <v>358</v>
      </c>
      <c r="O12" s="183">
        <v>359</v>
      </c>
      <c r="P12" s="183" t="s">
        <v>887</v>
      </c>
      <c r="Q12" s="183" t="s">
        <v>886</v>
      </c>
      <c r="R12" s="183" t="s">
        <v>885</v>
      </c>
      <c r="S12" s="183" t="s">
        <v>884</v>
      </c>
      <c r="T12" s="183" t="s">
        <v>883</v>
      </c>
      <c r="U12" s="183" t="s">
        <v>882</v>
      </c>
      <c r="V12" s="183" t="s">
        <v>881</v>
      </c>
      <c r="W12" s="183" t="s">
        <v>880</v>
      </c>
      <c r="X12" s="183" t="s">
        <v>879</v>
      </c>
      <c r="Y12" s="183" t="s">
        <v>878</v>
      </c>
      <c r="Z12" s="183" t="s">
        <v>877</v>
      </c>
      <c r="AA12" s="183" t="s">
        <v>876</v>
      </c>
    </row>
    <row r="13" spans="1:30" x14ac:dyDescent="0.25">
      <c r="A13" s="33" t="s">
        <v>106</v>
      </c>
      <c r="B13" s="33" t="s">
        <v>837</v>
      </c>
      <c r="C13" s="175" t="s">
        <v>875</v>
      </c>
      <c r="D13" s="175" t="s">
        <v>874</v>
      </c>
      <c r="E13" s="175" t="s">
        <v>873</v>
      </c>
      <c r="F13" s="175" t="s">
        <v>872</v>
      </c>
      <c r="G13" s="175" t="s">
        <v>871</v>
      </c>
      <c r="H13" s="175" t="s">
        <v>870</v>
      </c>
      <c r="I13" s="175" t="s">
        <v>869</v>
      </c>
      <c r="J13" s="175" t="s">
        <v>868</v>
      </c>
      <c r="K13" s="175" t="s">
        <v>867</v>
      </c>
      <c r="L13" s="175" t="s">
        <v>866</v>
      </c>
      <c r="M13" s="175" t="s">
        <v>865</v>
      </c>
      <c r="N13" s="175" t="s">
        <v>864</v>
      </c>
      <c r="O13" s="175" t="s">
        <v>863</v>
      </c>
      <c r="P13" s="33" t="s">
        <v>862</v>
      </c>
      <c r="Q13" s="33" t="s">
        <v>861</v>
      </c>
      <c r="R13" s="33" t="s">
        <v>860</v>
      </c>
      <c r="S13" s="33" t="s">
        <v>859</v>
      </c>
      <c r="T13" s="33" t="s">
        <v>858</v>
      </c>
      <c r="U13" s="33" t="s">
        <v>857</v>
      </c>
      <c r="V13" s="33" t="s">
        <v>856</v>
      </c>
      <c r="W13" s="33" t="s">
        <v>855</v>
      </c>
      <c r="X13" s="33" t="s">
        <v>854</v>
      </c>
      <c r="Y13" s="33" t="s">
        <v>853</v>
      </c>
      <c r="Z13" s="33" t="s">
        <v>852</v>
      </c>
      <c r="AA13" s="33" t="s">
        <v>851</v>
      </c>
      <c r="AB13" s="175" t="s">
        <v>466</v>
      </c>
      <c r="AC13" s="175"/>
      <c r="AD13" s="33" t="str">
        <f>A13</f>
        <v>Line</v>
      </c>
    </row>
    <row r="14" spans="1:30" x14ac:dyDescent="0.25">
      <c r="A14" s="8">
        <v>100</v>
      </c>
      <c r="B14" s="6" t="s">
        <v>1056</v>
      </c>
      <c r="C14" s="238">
        <v>0</v>
      </c>
      <c r="D14" s="238">
        <v>1769296.8657843273</v>
      </c>
      <c r="E14" s="238">
        <v>2832202.7426789138</v>
      </c>
      <c r="F14" s="238">
        <v>632912.45632926468</v>
      </c>
      <c r="G14" s="238">
        <v>97769114.350679368</v>
      </c>
      <c r="H14" s="238">
        <v>15791.426411658191</v>
      </c>
      <c r="I14" s="238">
        <v>15231715.952449817</v>
      </c>
      <c r="J14" s="238">
        <v>1100368.1618482226</v>
      </c>
      <c r="K14" s="238">
        <v>7100319.0109802382</v>
      </c>
      <c r="L14" s="238">
        <v>37593501.598884545</v>
      </c>
      <c r="M14" s="238">
        <v>5471322.8799694609</v>
      </c>
      <c r="N14" s="238">
        <v>2354066.911370717</v>
      </c>
      <c r="O14" s="238">
        <v>2176674.5793953221</v>
      </c>
      <c r="P14" s="238">
        <v>1396004.2758617811</v>
      </c>
      <c r="Q14" s="238">
        <v>96378.39232267339</v>
      </c>
      <c r="R14" s="238">
        <v>7705371.9811733812</v>
      </c>
      <c r="S14" s="238">
        <v>177775.76597367978</v>
      </c>
      <c r="T14" s="238">
        <v>1656138.1599586911</v>
      </c>
      <c r="U14" s="238">
        <v>1675503.0844772786</v>
      </c>
      <c r="V14" s="238">
        <v>4210630.7693723775</v>
      </c>
      <c r="W14" s="238">
        <v>317130.65443413577</v>
      </c>
      <c r="X14" s="238">
        <v>131460.10246994736</v>
      </c>
      <c r="Y14" s="238">
        <v>1663058.956093943</v>
      </c>
      <c r="Z14" s="241">
        <v>3268.5971822141933</v>
      </c>
      <c r="AA14" s="238">
        <v>15260380.787529092</v>
      </c>
      <c r="AB14" s="269">
        <f>SUM(C14:AA14)</f>
        <v>208340388.46363097</v>
      </c>
      <c r="AC14" s="348"/>
      <c r="AD14" s="8">
        <f>A14</f>
        <v>100</v>
      </c>
    </row>
    <row r="15" spans="1:30" x14ac:dyDescent="0.25">
      <c r="A15" s="8">
        <f>+A14+1</f>
        <v>101</v>
      </c>
      <c r="B15" s="330" t="s">
        <v>1055</v>
      </c>
      <c r="C15" s="252">
        <v>0</v>
      </c>
      <c r="D15" s="252">
        <v>2066329.0225161184</v>
      </c>
      <c r="E15" s="252">
        <v>3348368.1577434717</v>
      </c>
      <c r="F15" s="252">
        <v>1630923.2717693946</v>
      </c>
      <c r="G15" s="252">
        <v>150534850.378411</v>
      </c>
      <c r="H15" s="252">
        <v>27009.564760835525</v>
      </c>
      <c r="I15" s="252">
        <v>16480714.829799285</v>
      </c>
      <c r="J15" s="252">
        <v>1992529.4499267605</v>
      </c>
      <c r="K15" s="252">
        <v>89516524.346285984</v>
      </c>
      <c r="L15" s="252">
        <v>70448665.646867871</v>
      </c>
      <c r="M15" s="252">
        <v>2493043.1325286203</v>
      </c>
      <c r="N15" s="252">
        <v>3200497.9034533291</v>
      </c>
      <c r="O15" s="252">
        <v>3080054.4495526394</v>
      </c>
      <c r="P15" s="252">
        <v>2591498.3309419984</v>
      </c>
      <c r="Q15" s="252">
        <v>178913.80933550268</v>
      </c>
      <c r="R15" s="252">
        <v>14304009.64651138</v>
      </c>
      <c r="S15" s="252">
        <v>330017.32786120859</v>
      </c>
      <c r="T15" s="252">
        <v>3074402.6730812392</v>
      </c>
      <c r="U15" s="252">
        <v>3110351.1085097468</v>
      </c>
      <c r="V15" s="252">
        <v>7816482.2269655587</v>
      </c>
      <c r="W15" s="252">
        <v>588711.34986264014</v>
      </c>
      <c r="X15" s="252">
        <v>244038.39015895923</v>
      </c>
      <c r="Y15" s="252">
        <v>2808119.8346350491</v>
      </c>
      <c r="Z15" s="252">
        <v>8338.3887615110179</v>
      </c>
      <c r="AA15" s="252">
        <v>29340021.243292343</v>
      </c>
      <c r="AB15" s="273">
        <f>SUM(C15:AA15)</f>
        <v>409214414.48353243</v>
      </c>
      <c r="AC15" s="348"/>
      <c r="AD15" s="8">
        <f>A15</f>
        <v>101</v>
      </c>
    </row>
    <row r="16" spans="1:30" x14ac:dyDescent="0.25">
      <c r="A16" s="8">
        <f>+A15+1</f>
        <v>102</v>
      </c>
      <c r="B16" s="30" t="s">
        <v>466</v>
      </c>
      <c r="C16" s="248">
        <f>SUM(C14:C15)</f>
        <v>0</v>
      </c>
      <c r="D16" s="248">
        <f>SUM(D14:D15)</f>
        <v>3835625.8883004459</v>
      </c>
      <c r="E16" s="248">
        <f>SUM(E14:E15)</f>
        <v>6180570.900422385</v>
      </c>
      <c r="F16" s="248">
        <f>SUM(F14:F15)</f>
        <v>2263835.7280986593</v>
      </c>
      <c r="G16" s="248">
        <f>SUM(G14:G15)</f>
        <v>248303964.72909036</v>
      </c>
      <c r="H16" s="248">
        <f>SUM(H14:H15)</f>
        <v>42800.991172493712</v>
      </c>
      <c r="I16" s="248">
        <f>SUM(I14:I15)</f>
        <v>31712430.782249101</v>
      </c>
      <c r="J16" s="248">
        <f>SUM(J14:J15)</f>
        <v>3092897.6117749829</v>
      </c>
      <c r="K16" s="248">
        <f>SUM(K14:K15)</f>
        <v>96616843.357266217</v>
      </c>
      <c r="L16" s="248">
        <f>SUM(L14:L15)</f>
        <v>108042167.24575242</v>
      </c>
      <c r="M16" s="248">
        <f>SUM(M14:M15)</f>
        <v>7964366.0124980807</v>
      </c>
      <c r="N16" s="248">
        <f>SUM(N14:N15)</f>
        <v>5554564.8148240466</v>
      </c>
      <c r="O16" s="248">
        <f>SUM(O14:O15)</f>
        <v>5256729.0289479615</v>
      </c>
      <c r="P16" s="248">
        <f>SUM(P14:P15)</f>
        <v>3987502.6068037795</v>
      </c>
      <c r="Q16" s="248">
        <f>SUM(Q14:Q15)</f>
        <v>275292.20165817608</v>
      </c>
      <c r="R16" s="248">
        <f>SUM(R14:R15)</f>
        <v>22009381.627684761</v>
      </c>
      <c r="S16" s="248">
        <f>SUM(S14:S15)</f>
        <v>507793.09383488836</v>
      </c>
      <c r="T16" s="248">
        <f>SUM(T14:T15)</f>
        <v>4730540.8330399301</v>
      </c>
      <c r="U16" s="248">
        <f>SUM(U14:U15)</f>
        <v>4785854.1929870257</v>
      </c>
      <c r="V16" s="248">
        <f>SUM(V14:V15)</f>
        <v>12027112.996337935</v>
      </c>
      <c r="W16" s="248">
        <f>SUM(W14:W15)</f>
        <v>905842.00429677591</v>
      </c>
      <c r="X16" s="248">
        <f>SUM(X14:X15)</f>
        <v>375498.49262890662</v>
      </c>
      <c r="Y16" s="248">
        <f>SUM(Y14:Y15)</f>
        <v>4471178.7907289919</v>
      </c>
      <c r="Z16" s="261">
        <f>SUM(Z14:Z15)</f>
        <v>11606.985943725211</v>
      </c>
      <c r="AA16" s="248">
        <f>SUM(AA14:AA15)</f>
        <v>44600402.030821435</v>
      </c>
      <c r="AB16" s="94">
        <f>SUM(C16:AA16)</f>
        <v>617554802.94716358</v>
      </c>
      <c r="AC16" s="347"/>
      <c r="AD16" s="8">
        <f>A16</f>
        <v>102</v>
      </c>
    </row>
    <row r="17" spans="1:30" x14ac:dyDescent="0.25">
      <c r="Q17" s="23"/>
    </row>
    <row r="18" spans="1:30" x14ac:dyDescent="0.25">
      <c r="A18" s="8"/>
      <c r="B18" s="246"/>
      <c r="C18" s="102"/>
      <c r="D18" s="346"/>
      <c r="E18" s="102"/>
      <c r="Q18" s="23"/>
    </row>
    <row r="19" spans="1:30" x14ac:dyDescent="0.25">
      <c r="B19" s="83" t="s">
        <v>1054</v>
      </c>
      <c r="C19" s="35"/>
      <c r="D19" s="35"/>
      <c r="E19" s="35"/>
      <c r="F19" s="35"/>
      <c r="G19" s="35"/>
      <c r="H19" s="35"/>
      <c r="I19" s="35"/>
      <c r="J19" s="35"/>
      <c r="K19" s="35"/>
      <c r="L19" s="35"/>
      <c r="M19" s="35"/>
      <c r="N19" s="35"/>
      <c r="O19" s="35"/>
      <c r="P19" s="35"/>
      <c r="Q19" s="35"/>
      <c r="R19" s="35"/>
      <c r="S19" s="35"/>
      <c r="T19" s="35"/>
      <c r="U19" s="35"/>
      <c r="V19" s="35"/>
      <c r="W19" s="35"/>
      <c r="X19" s="35"/>
      <c r="Y19" s="35"/>
      <c r="Z19" s="35"/>
      <c r="AA19" s="35"/>
      <c r="AB19" s="35"/>
      <c r="AC19" s="35"/>
    </row>
    <row r="20" spans="1:30" x14ac:dyDescent="0.25">
      <c r="B20" s="246" t="s">
        <v>1053</v>
      </c>
    </row>
    <row r="21" spans="1:30" x14ac:dyDescent="0.25">
      <c r="B21" s="246"/>
    </row>
    <row r="22" spans="1:30" x14ac:dyDescent="0.25">
      <c r="B22" s="246"/>
      <c r="C22" s="175" t="s">
        <v>492</v>
      </c>
      <c r="D22" s="175" t="s">
        <v>491</v>
      </c>
      <c r="E22" s="175" t="s">
        <v>490</v>
      </c>
      <c r="F22" s="175" t="s">
        <v>489</v>
      </c>
      <c r="G22" s="175" t="s">
        <v>519</v>
      </c>
    </row>
    <row r="23" spans="1:30" ht="30" x14ac:dyDescent="0.25">
      <c r="B23" s="246"/>
      <c r="C23" s="258" t="s">
        <v>99</v>
      </c>
      <c r="D23" s="258" t="s">
        <v>847</v>
      </c>
      <c r="E23" s="259" t="s">
        <v>846</v>
      </c>
      <c r="F23" s="258" t="s">
        <v>845</v>
      </c>
      <c r="G23" s="258" t="s">
        <v>844</v>
      </c>
    </row>
    <row r="24" spans="1:30" x14ac:dyDescent="0.25">
      <c r="D24" s="345"/>
      <c r="E24" s="23"/>
      <c r="F24" s="345"/>
      <c r="G24" s="345"/>
      <c r="R24" s="30"/>
    </row>
    <row r="25" spans="1:30" ht="30" x14ac:dyDescent="0.25">
      <c r="C25" s="183" t="s">
        <v>991</v>
      </c>
      <c r="D25" s="257" t="s">
        <v>990</v>
      </c>
      <c r="E25" s="257" t="s">
        <v>1052</v>
      </c>
      <c r="F25" s="257" t="s">
        <v>988</v>
      </c>
      <c r="G25" s="257" t="s">
        <v>987</v>
      </c>
      <c r="S25" s="23"/>
    </row>
    <row r="26" spans="1:30" x14ac:dyDescent="0.25">
      <c r="C26" s="183" t="s">
        <v>956</v>
      </c>
      <c r="D26" s="8" t="s">
        <v>986</v>
      </c>
      <c r="E26" s="183" t="s">
        <v>956</v>
      </c>
      <c r="F26" s="183" t="s">
        <v>956</v>
      </c>
      <c r="G26" s="183" t="s">
        <v>956</v>
      </c>
      <c r="S26" s="23"/>
    </row>
    <row r="27" spans="1:30" x14ac:dyDescent="0.25">
      <c r="A27" s="33" t="s">
        <v>106</v>
      </c>
      <c r="B27" s="33" t="s">
        <v>510</v>
      </c>
      <c r="C27" s="110" t="s">
        <v>1051</v>
      </c>
      <c r="D27" s="110" t="s">
        <v>836</v>
      </c>
      <c r="E27" s="110" t="s">
        <v>1051</v>
      </c>
      <c r="F27" s="110" t="s">
        <v>1051</v>
      </c>
      <c r="G27" s="110" t="s">
        <v>1051</v>
      </c>
      <c r="AD27" s="33" t="str">
        <f>A27</f>
        <v>Line</v>
      </c>
    </row>
    <row r="28" spans="1:30" x14ac:dyDescent="0.25">
      <c r="A28" s="8">
        <v>200</v>
      </c>
      <c r="B28" s="255">
        <f>'1-BaseTRR'!$G$3</f>
        <v>2025</v>
      </c>
      <c r="C28" s="241">
        <v>523868686.53999996</v>
      </c>
      <c r="D28" s="50">
        <f>'24-Allocators'!C25</f>
        <v>9.874046921587705E-2</v>
      </c>
      <c r="E28" s="32">
        <f>+D28*C28</f>
        <v>51727039.916464813</v>
      </c>
      <c r="F28" s="344">
        <f>+E28*'24-Allocators'!$C$44</f>
        <v>18109372.211530533</v>
      </c>
      <c r="G28" s="32">
        <f>+E28*'24-Allocators'!$C$45</f>
        <v>33617667.704934269</v>
      </c>
      <c r="H28" s="102"/>
      <c r="AD28" s="8">
        <f>A28</f>
        <v>200</v>
      </c>
    </row>
    <row r="29" spans="1:30" x14ac:dyDescent="0.25">
      <c r="Q29" s="23"/>
    </row>
    <row r="30" spans="1:30" x14ac:dyDescent="0.25">
      <c r="Q30" s="23"/>
    </row>
    <row r="31" spans="1:30" x14ac:dyDescent="0.25">
      <c r="B31" s="343" t="s">
        <v>1050</v>
      </c>
      <c r="C31" s="342"/>
      <c r="D31" s="342"/>
      <c r="E31" s="342"/>
      <c r="F31" s="342"/>
      <c r="G31" s="342"/>
      <c r="H31" s="342"/>
      <c r="I31" s="342"/>
      <c r="J31" s="342"/>
      <c r="K31" s="342"/>
      <c r="L31" s="342"/>
      <c r="M31" s="342"/>
      <c r="N31" s="342"/>
      <c r="O31" s="342"/>
      <c r="P31" s="342"/>
      <c r="Q31" s="342"/>
      <c r="R31" s="342"/>
      <c r="S31" s="342"/>
      <c r="T31" s="342"/>
      <c r="U31" s="342"/>
      <c r="V31" s="342"/>
      <c r="W31" s="342"/>
      <c r="X31" s="342"/>
      <c r="Y31" s="342"/>
      <c r="Z31" s="342"/>
      <c r="AA31" s="342"/>
      <c r="AB31" s="342"/>
      <c r="AC31" s="342"/>
      <c r="AD31" s="30"/>
    </row>
    <row r="32" spans="1:30" x14ac:dyDescent="0.25">
      <c r="B32" s="6" t="s">
        <v>1049</v>
      </c>
    </row>
    <row r="33" spans="1:30" x14ac:dyDescent="0.25">
      <c r="B33" s="6" t="s">
        <v>1048</v>
      </c>
    </row>
    <row r="34" spans="1:30" x14ac:dyDescent="0.25">
      <c r="B34" s="6" t="s">
        <v>1047</v>
      </c>
    </row>
    <row r="36" spans="1:30" x14ac:dyDescent="0.25">
      <c r="A36" s="8"/>
      <c r="B36" s="83" t="s">
        <v>1046</v>
      </c>
      <c r="C36" s="35"/>
      <c r="D36" s="35"/>
      <c r="E36" s="35"/>
      <c r="F36" s="35"/>
      <c r="G36" s="35"/>
      <c r="H36" s="35"/>
      <c r="I36" s="35"/>
      <c r="J36" s="35"/>
      <c r="K36" s="35"/>
      <c r="L36" s="35"/>
      <c r="M36" s="35"/>
      <c r="N36" s="35"/>
      <c r="O36" s="35"/>
      <c r="P36" s="35"/>
      <c r="Q36" s="35"/>
      <c r="R36" s="35"/>
      <c r="S36" s="35"/>
      <c r="T36" s="35"/>
      <c r="U36" s="35"/>
      <c r="V36" s="35"/>
      <c r="W36" s="35"/>
      <c r="X36" s="35"/>
      <c r="Y36" s="35"/>
      <c r="Z36" s="35"/>
      <c r="AA36" s="35"/>
      <c r="AB36" s="35"/>
      <c r="AC36" s="35"/>
    </row>
    <row r="37" spans="1:30" x14ac:dyDescent="0.25">
      <c r="B37" s="246" t="s">
        <v>1045</v>
      </c>
    </row>
    <row r="39" spans="1:30" x14ac:dyDescent="0.25">
      <c r="A39" s="8"/>
      <c r="D39" s="175" t="s">
        <v>492</v>
      </c>
      <c r="E39" s="175" t="s">
        <v>491</v>
      </c>
      <c r="F39" s="175" t="s">
        <v>490</v>
      </c>
      <c r="G39" s="175" t="s">
        <v>489</v>
      </c>
      <c r="H39" s="175" t="s">
        <v>519</v>
      </c>
      <c r="I39" s="175" t="s">
        <v>518</v>
      </c>
      <c r="J39" s="175" t="s">
        <v>517</v>
      </c>
      <c r="K39" s="175" t="s">
        <v>538</v>
      </c>
      <c r="L39" s="175" t="s">
        <v>537</v>
      </c>
      <c r="M39" s="175" t="s">
        <v>770</v>
      </c>
      <c r="N39" s="175" t="s">
        <v>769</v>
      </c>
      <c r="O39" s="175" t="s">
        <v>768</v>
      </c>
      <c r="P39" s="175" t="s">
        <v>767</v>
      </c>
      <c r="Q39" s="175" t="s">
        <v>766</v>
      </c>
      <c r="R39" s="175" t="s">
        <v>765</v>
      </c>
      <c r="S39" s="175" t="s">
        <v>900</v>
      </c>
      <c r="T39" s="175" t="s">
        <v>899</v>
      </c>
      <c r="U39" s="175" t="s">
        <v>898</v>
      </c>
      <c r="V39" s="175" t="s">
        <v>897</v>
      </c>
      <c r="W39" s="175" t="s">
        <v>896</v>
      </c>
      <c r="X39" s="175" t="s">
        <v>895</v>
      </c>
      <c r="Y39" s="175" t="s">
        <v>894</v>
      </c>
      <c r="Z39" s="175" t="s">
        <v>893</v>
      </c>
      <c r="AA39" s="175" t="s">
        <v>892</v>
      </c>
      <c r="AB39" s="175" t="s">
        <v>891</v>
      </c>
      <c r="AC39" s="175" t="s">
        <v>890</v>
      </c>
    </row>
    <row r="40" spans="1:30" ht="27" customHeight="1" x14ac:dyDescent="0.25">
      <c r="B40" s="8"/>
      <c r="C40" s="8"/>
      <c r="D40" s="265" t="s">
        <v>60</v>
      </c>
      <c r="E40" s="265" t="s">
        <v>60</v>
      </c>
      <c r="F40" s="265" t="s">
        <v>60</v>
      </c>
      <c r="G40" s="265" t="s">
        <v>60</v>
      </c>
      <c r="H40" s="265" t="s">
        <v>60</v>
      </c>
      <c r="I40" s="265" t="s">
        <v>60</v>
      </c>
      <c r="J40" s="265" t="s">
        <v>60</v>
      </c>
      <c r="K40" s="265" t="s">
        <v>60</v>
      </c>
      <c r="L40" s="265" t="s">
        <v>60</v>
      </c>
      <c r="M40" s="265" t="s">
        <v>60</v>
      </c>
      <c r="N40" s="265" t="s">
        <v>60</v>
      </c>
      <c r="O40" s="265" t="s">
        <v>60</v>
      </c>
      <c r="P40" s="265" t="s">
        <v>60</v>
      </c>
      <c r="Q40" s="265" t="s">
        <v>60</v>
      </c>
      <c r="R40" s="265" t="s">
        <v>60</v>
      </c>
      <c r="S40" s="265" t="s">
        <v>60</v>
      </c>
      <c r="T40" s="265" t="s">
        <v>60</v>
      </c>
      <c r="U40" s="265" t="s">
        <v>60</v>
      </c>
      <c r="V40" s="265" t="s">
        <v>60</v>
      </c>
      <c r="W40" s="265" t="s">
        <v>60</v>
      </c>
      <c r="X40" s="265" t="s">
        <v>60</v>
      </c>
      <c r="Y40" s="265" t="s">
        <v>60</v>
      </c>
      <c r="Z40" s="265" t="s">
        <v>60</v>
      </c>
      <c r="AA40" s="265" t="s">
        <v>60</v>
      </c>
      <c r="AB40" s="265" t="s">
        <v>60</v>
      </c>
      <c r="AC40" s="258" t="s">
        <v>889</v>
      </c>
    </row>
    <row r="41" spans="1:30" x14ac:dyDescent="0.25">
      <c r="B41" s="8"/>
      <c r="C41" s="8"/>
      <c r="O41" s="23"/>
      <c r="AC41" s="258"/>
    </row>
    <row r="42" spans="1:30" x14ac:dyDescent="0.25">
      <c r="A42" s="8"/>
      <c r="C42" s="76" t="s">
        <v>888</v>
      </c>
      <c r="D42" s="183">
        <v>350.01</v>
      </c>
      <c r="E42" s="183">
        <v>350.02</v>
      </c>
      <c r="F42" s="183">
        <v>352.01</v>
      </c>
      <c r="G42" s="183">
        <v>352.02</v>
      </c>
      <c r="H42" s="183">
        <v>353.01</v>
      </c>
      <c r="I42" s="183">
        <v>353.02</v>
      </c>
      <c r="J42" s="183">
        <v>354</v>
      </c>
      <c r="K42" s="8">
        <v>354.02</v>
      </c>
      <c r="L42" s="183">
        <v>355</v>
      </c>
      <c r="M42" s="183">
        <v>356</v>
      </c>
      <c r="N42" s="183">
        <v>357</v>
      </c>
      <c r="O42" s="183">
        <v>358</v>
      </c>
      <c r="P42" s="183">
        <v>359</v>
      </c>
      <c r="Q42" s="183" t="s">
        <v>887</v>
      </c>
      <c r="R42" s="183" t="s">
        <v>886</v>
      </c>
      <c r="S42" s="183" t="s">
        <v>885</v>
      </c>
      <c r="T42" s="183" t="s">
        <v>884</v>
      </c>
      <c r="U42" s="183" t="s">
        <v>883</v>
      </c>
      <c r="V42" s="183" t="s">
        <v>882</v>
      </c>
      <c r="W42" s="183" t="s">
        <v>881</v>
      </c>
      <c r="X42" s="183" t="s">
        <v>880</v>
      </c>
      <c r="Y42" s="183" t="s">
        <v>879</v>
      </c>
      <c r="Z42" s="183" t="s">
        <v>878</v>
      </c>
      <c r="AA42" s="183" t="s">
        <v>877</v>
      </c>
      <c r="AB42" s="183" t="s">
        <v>876</v>
      </c>
    </row>
    <row r="43" spans="1:30" x14ac:dyDescent="0.25">
      <c r="A43" s="33" t="s">
        <v>106</v>
      </c>
      <c r="B43" s="33" t="s">
        <v>483</v>
      </c>
      <c r="C43" s="33" t="s">
        <v>510</v>
      </c>
      <c r="D43" s="175" t="s">
        <v>875</v>
      </c>
      <c r="E43" s="175" t="s">
        <v>874</v>
      </c>
      <c r="F43" s="175" t="s">
        <v>873</v>
      </c>
      <c r="G43" s="175" t="s">
        <v>872</v>
      </c>
      <c r="H43" s="175" t="s">
        <v>871</v>
      </c>
      <c r="I43" s="175" t="s">
        <v>870</v>
      </c>
      <c r="J43" s="175" t="s">
        <v>869</v>
      </c>
      <c r="K43" s="175" t="s">
        <v>868</v>
      </c>
      <c r="L43" s="175" t="s">
        <v>867</v>
      </c>
      <c r="M43" s="175" t="s">
        <v>866</v>
      </c>
      <c r="N43" s="175" t="s">
        <v>865</v>
      </c>
      <c r="O43" s="175" t="s">
        <v>864</v>
      </c>
      <c r="P43" s="175" t="s">
        <v>863</v>
      </c>
      <c r="Q43" s="33" t="s">
        <v>862</v>
      </c>
      <c r="R43" s="33" t="s">
        <v>861</v>
      </c>
      <c r="S43" s="33" t="s">
        <v>860</v>
      </c>
      <c r="T43" s="33" t="s">
        <v>859</v>
      </c>
      <c r="U43" s="33" t="s">
        <v>858</v>
      </c>
      <c r="V43" s="33" t="s">
        <v>857</v>
      </c>
      <c r="W43" s="33" t="s">
        <v>856</v>
      </c>
      <c r="X43" s="33" t="s">
        <v>855</v>
      </c>
      <c r="Y43" s="33" t="s">
        <v>854</v>
      </c>
      <c r="Z43" s="33" t="s">
        <v>853</v>
      </c>
      <c r="AA43" s="33" t="s">
        <v>852</v>
      </c>
      <c r="AB43" s="33" t="s">
        <v>851</v>
      </c>
      <c r="AC43" s="33" t="s">
        <v>466</v>
      </c>
      <c r="AD43" s="33" t="str">
        <f>A43</f>
        <v>Line</v>
      </c>
    </row>
    <row r="44" spans="1:30" x14ac:dyDescent="0.25">
      <c r="A44" s="8">
        <v>300</v>
      </c>
      <c r="B44" s="246" t="s">
        <v>478</v>
      </c>
      <c r="C44" s="255">
        <f>'1-BaseTRR'!$G$3</f>
        <v>2025</v>
      </c>
      <c r="D44" s="236">
        <f>+'7-PlantInService'!D14</f>
        <v>91648074.788070977</v>
      </c>
      <c r="E44" s="236">
        <f>+'7-PlantInService'!E14</f>
        <v>211634934.66519111</v>
      </c>
      <c r="F44" s="236">
        <f>+'7-PlantInService'!F14</f>
        <v>371109307.36824584</v>
      </c>
      <c r="G44" s="236">
        <f>+'7-PlantInService'!G14</f>
        <v>113823293.91719131</v>
      </c>
      <c r="H44" s="236">
        <f>+'7-PlantInService'!H14</f>
        <v>8699345434.3683319</v>
      </c>
      <c r="I44" s="236">
        <f>+'7-PlantInService'!I14</f>
        <v>5416802.1400000006</v>
      </c>
      <c r="J44" s="236">
        <f>+'7-PlantInService'!J14</f>
        <v>1292642409.8503489</v>
      </c>
      <c r="K44" s="242">
        <f>+'7-PlantInService'!K14</f>
        <v>0</v>
      </c>
      <c r="L44" s="236">
        <f>+'7-PlantInService'!L14</f>
        <v>2965489062.7440033</v>
      </c>
      <c r="M44" s="236">
        <f>+'7-PlantInService'!M14</f>
        <v>2922530817.9323492</v>
      </c>
      <c r="N44" s="236">
        <f>+'7-PlantInService'!N14</f>
        <v>519011621.94460797</v>
      </c>
      <c r="O44" s="236">
        <f>+'7-PlantInService'!O14</f>
        <v>281812576.29710537</v>
      </c>
      <c r="P44" s="236">
        <f>+'7-PlantInService'!P14</f>
        <v>264381997.08918834</v>
      </c>
      <c r="Q44" s="242">
        <f>+'7-PlantInService'!Q14</f>
        <v>18520775.391917396</v>
      </c>
      <c r="R44" s="242">
        <f>+'7-PlantInService'!R14</f>
        <v>13363698.203113073</v>
      </c>
      <c r="S44" s="242">
        <f>+'7-PlantInService'!S14</f>
        <v>140592923.04921234</v>
      </c>
      <c r="T44" s="242">
        <f>+'7-PlantInService'!T14</f>
        <v>415697.82953747327</v>
      </c>
      <c r="U44" s="242">
        <f>+'7-PlantInService'!U14</f>
        <v>12136066.631079229</v>
      </c>
      <c r="V44" s="242">
        <f>+'7-PlantInService'!V14</f>
        <v>32540597.832759723</v>
      </c>
      <c r="W44" s="242">
        <f>+'7-PlantInService'!W14</f>
        <v>50758181.322081082</v>
      </c>
      <c r="X44" s="242">
        <f>+'7-PlantInService'!X14</f>
        <v>5141226.6048445385</v>
      </c>
      <c r="Y44" s="242">
        <f>+'7-PlantInService'!Y14</f>
        <v>334347.08249421878</v>
      </c>
      <c r="Z44" s="242">
        <f>+'7-PlantInService'!Z14</f>
        <v>79646206.913259208</v>
      </c>
      <c r="AA44" s="267">
        <f>+'7-PlantInService'!AA14</f>
        <v>63581.411444501486</v>
      </c>
      <c r="AB44" s="242">
        <f>+'7-PlantInService'!AB14</f>
        <v>650781603.74049103</v>
      </c>
      <c r="AC44" s="24">
        <f>SUM(D44:AB44)</f>
        <v>18743141239.116863</v>
      </c>
      <c r="AD44" s="8">
        <f>A44</f>
        <v>300</v>
      </c>
    </row>
    <row r="45" spans="1:30" x14ac:dyDescent="0.25">
      <c r="A45" s="8">
        <f>A44+1</f>
        <v>301</v>
      </c>
      <c r="B45" s="246" t="s">
        <v>477</v>
      </c>
      <c r="C45" s="255">
        <f>'1-BaseTRR'!$G$3</f>
        <v>2025</v>
      </c>
      <c r="D45" s="236">
        <f>+'7-PlantInService'!D15</f>
        <v>91672560.393109143</v>
      </c>
      <c r="E45" s="236">
        <f>+'7-PlantInService'!E15</f>
        <v>211674466.39903003</v>
      </c>
      <c r="F45" s="236">
        <f>+'7-PlantInService'!F15</f>
        <v>370892829.73464048</v>
      </c>
      <c r="G45" s="236">
        <f>+'7-PlantInService'!G15</f>
        <v>104046784.91186117</v>
      </c>
      <c r="H45" s="236">
        <f>+'7-PlantInService'!H15</f>
        <v>8746923734.5097141</v>
      </c>
      <c r="I45" s="236">
        <f>+'7-PlantInService'!I15</f>
        <v>5416802.1400000006</v>
      </c>
      <c r="J45" s="236">
        <f>+'7-PlantInService'!J15</f>
        <v>1305692997.0420413</v>
      </c>
      <c r="K45" s="242">
        <f>+'7-PlantInService'!K15</f>
        <v>0</v>
      </c>
      <c r="L45" s="236">
        <f>+'7-PlantInService'!L15</f>
        <v>2979950706.0979381</v>
      </c>
      <c r="M45" s="236">
        <f>+'7-PlantInService'!M15</f>
        <v>2923545413.7631073</v>
      </c>
      <c r="N45" s="236">
        <f>+'7-PlantInService'!N15</f>
        <v>519010511.04913348</v>
      </c>
      <c r="O45" s="236">
        <f>+'7-PlantInService'!O15</f>
        <v>281810274.35389233</v>
      </c>
      <c r="P45" s="236">
        <f>+'7-PlantInService'!P15</f>
        <v>265049761.99260688</v>
      </c>
      <c r="Q45" s="242">
        <f>+'7-PlantInService'!Q15</f>
        <v>19160387.283913799</v>
      </c>
      <c r="R45" s="242">
        <f>+'7-PlantInService'!R15</f>
        <v>13363697.735975899</v>
      </c>
      <c r="S45" s="242">
        <f>+'7-PlantInService'!S15</f>
        <v>133820043.26037593</v>
      </c>
      <c r="T45" s="242">
        <f>+'7-PlantInService'!T15</f>
        <v>10160571.534611549</v>
      </c>
      <c r="U45" s="242">
        <f>+'7-PlantInService'!U15</f>
        <v>15637957.80951659</v>
      </c>
      <c r="V45" s="242">
        <f>+'7-PlantInService'!V15</f>
        <v>32329124.853500877</v>
      </c>
      <c r="W45" s="242">
        <f>+'7-PlantInService'!W15</f>
        <v>47981858.412008695</v>
      </c>
      <c r="X45" s="242">
        <f>+'7-PlantInService'!X15</f>
        <v>5141606.3968997933</v>
      </c>
      <c r="Y45" s="242">
        <f>+'7-PlantInService'!Y15</f>
        <v>2725603.8632909311</v>
      </c>
      <c r="Z45" s="242">
        <f>+'7-PlantInService'!Z15</f>
        <v>81979185.462137341</v>
      </c>
      <c r="AA45" s="267">
        <f>+'7-PlantInService'!AA15</f>
        <v>63581.411444501486</v>
      </c>
      <c r="AB45" s="242">
        <f>+'7-PlantInService'!AB15</f>
        <v>657753983.64936686</v>
      </c>
      <c r="AC45" s="24">
        <f>SUM(D45:AB45)</f>
        <v>18825804444.060127</v>
      </c>
      <c r="AD45" s="8">
        <f>A45</f>
        <v>301</v>
      </c>
    </row>
    <row r="46" spans="1:30" x14ac:dyDescent="0.25">
      <c r="A46" s="8">
        <f>A45+1</f>
        <v>302</v>
      </c>
      <c r="B46" s="246" t="s">
        <v>476</v>
      </c>
      <c r="C46" s="255">
        <f>'1-BaseTRR'!$G$3</f>
        <v>2025</v>
      </c>
      <c r="D46" s="236">
        <f>+'7-PlantInService'!D16</f>
        <v>91812203.619084537</v>
      </c>
      <c r="E46" s="236">
        <f>+'7-PlantInService'!E16</f>
        <v>211703419.06712639</v>
      </c>
      <c r="F46" s="236">
        <f>+'7-PlantInService'!F16</f>
        <v>371366214.35103512</v>
      </c>
      <c r="G46" s="236">
        <f>+'7-PlantInService'!G16</f>
        <v>106821341.32653099</v>
      </c>
      <c r="H46" s="236">
        <f>+'7-PlantInService'!H16</f>
        <v>8788878578.4850998</v>
      </c>
      <c r="I46" s="236">
        <f>+'7-PlantInService'!I16</f>
        <v>5416802.1400000006</v>
      </c>
      <c r="J46" s="236">
        <f>+'7-PlantInService'!J16</f>
        <v>1339549361.8728707</v>
      </c>
      <c r="K46" s="242">
        <f>+'7-PlantInService'!K16</f>
        <v>0</v>
      </c>
      <c r="L46" s="236">
        <f>+'7-PlantInService'!L16</f>
        <v>3005982852.5225267</v>
      </c>
      <c r="M46" s="236">
        <f>+'7-PlantInService'!M16</f>
        <v>2993370398.1565995</v>
      </c>
      <c r="N46" s="236">
        <f>+'7-PlantInService'!N16</f>
        <v>519070311.18083072</v>
      </c>
      <c r="O46" s="236">
        <f>+'7-PlantInService'!O16</f>
        <v>281813132.98326784</v>
      </c>
      <c r="P46" s="236">
        <f>+'7-PlantInService'!P16</f>
        <v>265403407.54577309</v>
      </c>
      <c r="Q46" s="242">
        <f>+'7-PlantInService'!Q16</f>
        <v>19205367.502854947</v>
      </c>
      <c r="R46" s="242">
        <f>+'7-PlantInService'!R16</f>
        <v>13363697.735975901</v>
      </c>
      <c r="S46" s="242">
        <f>+'7-PlantInService'!S16</f>
        <v>134353879.64248884</v>
      </c>
      <c r="T46" s="242">
        <f>+'7-PlantInService'!T16</f>
        <v>10370377.89237063</v>
      </c>
      <c r="U46" s="242">
        <f>+'7-PlantInService'!U16</f>
        <v>16299271.35016902</v>
      </c>
      <c r="V46" s="242">
        <f>+'7-PlantInService'!V16</f>
        <v>33184707.330993488</v>
      </c>
      <c r="W46" s="242">
        <f>+'7-PlantInService'!W16</f>
        <v>61204968.937212653</v>
      </c>
      <c r="X46" s="242">
        <f>+'7-PlantInService'!X16</f>
        <v>5141606.3968997933</v>
      </c>
      <c r="Y46" s="242">
        <f>+'7-PlantInService'!Y16</f>
        <v>2725603.8632909311</v>
      </c>
      <c r="Z46" s="242">
        <f>+'7-PlantInService'!Z16</f>
        <v>88774421.006073236</v>
      </c>
      <c r="AA46" s="267">
        <f>+'7-PlantInService'!AA16</f>
        <v>75891.238632306966</v>
      </c>
      <c r="AB46" s="242">
        <f>+'7-PlantInService'!AB16</f>
        <v>611226575.6741091</v>
      </c>
      <c r="AC46" s="24">
        <f>SUM(D46:AB46)</f>
        <v>18977114391.821823</v>
      </c>
      <c r="AD46" s="8">
        <f>A46</f>
        <v>302</v>
      </c>
    </row>
    <row r="47" spans="1:30" x14ac:dyDescent="0.25">
      <c r="A47" s="8">
        <f>A46+1</f>
        <v>303</v>
      </c>
      <c r="B47" s="246" t="s">
        <v>475</v>
      </c>
      <c r="C47" s="255">
        <f>'1-BaseTRR'!$G$3</f>
        <v>2025</v>
      </c>
      <c r="D47" s="236">
        <f>+'7-PlantInService'!D17</f>
        <v>91867559.072308958</v>
      </c>
      <c r="E47" s="236">
        <f>+'7-PlantInService'!E17</f>
        <v>211876314.2557168</v>
      </c>
      <c r="F47" s="236">
        <f>+'7-PlantInService'!F17</f>
        <v>370777186.86742985</v>
      </c>
      <c r="G47" s="236">
        <f>+'7-PlantInService'!G17</f>
        <v>105957410.29120085</v>
      </c>
      <c r="H47" s="236">
        <f>+'7-PlantInService'!H17</f>
        <v>8799311359.4321537</v>
      </c>
      <c r="I47" s="236">
        <f>+'7-PlantInService'!I17</f>
        <v>5416802.1400000006</v>
      </c>
      <c r="J47" s="236">
        <f>+'7-PlantInService'!J17</f>
        <v>1401202078.2666397</v>
      </c>
      <c r="K47" s="242">
        <f>+'7-PlantInService'!K17</f>
        <v>0</v>
      </c>
      <c r="L47" s="236">
        <f>+'7-PlantInService'!L17</f>
        <v>3019908516.0659742</v>
      </c>
      <c r="M47" s="236">
        <f>+'7-PlantInService'!M17</f>
        <v>3002230393.2577219</v>
      </c>
      <c r="N47" s="236">
        <f>+'7-PlantInService'!N17</f>
        <v>519249258.35798144</v>
      </c>
      <c r="O47" s="236">
        <f>+'7-PlantInService'!O17</f>
        <v>281812237.44848919</v>
      </c>
      <c r="P47" s="236">
        <f>+'7-PlantInService'!P17</f>
        <v>266499066.21360132</v>
      </c>
      <c r="Q47" s="242">
        <f>+'7-PlantInService'!Q17</f>
        <v>19205367.502854951</v>
      </c>
      <c r="R47" s="242">
        <f>+'7-PlantInService'!R17</f>
        <v>13363697.735975901</v>
      </c>
      <c r="S47" s="242">
        <f>+'7-PlantInService'!S17</f>
        <v>145749538.29655281</v>
      </c>
      <c r="T47" s="242">
        <f>+'7-PlantInService'!T17</f>
        <v>1220343.6982602468</v>
      </c>
      <c r="U47" s="242">
        <f>+'7-PlantInService'!U17</f>
        <v>16497696.396906108</v>
      </c>
      <c r="V47" s="242">
        <f>+'7-PlantInService'!V17</f>
        <v>35453745.840545841</v>
      </c>
      <c r="W47" s="242">
        <f>+'7-PlantInService'!W17</f>
        <v>63845330.123934999</v>
      </c>
      <c r="X47" s="242">
        <f>+'7-PlantInService'!X17</f>
        <v>5907376.2425250839</v>
      </c>
      <c r="Y47" s="242">
        <f>+'7-PlantInService'!Y17</f>
        <v>2725603.8632909311</v>
      </c>
      <c r="Z47" s="242">
        <f>+'7-PlantInService'!Z17</f>
        <v>89311221.53561832</v>
      </c>
      <c r="AA47" s="267">
        <f>+'7-PlantInService'!AA17</f>
        <v>75891.238632306966</v>
      </c>
      <c r="AB47" s="242">
        <f>+'7-PlantInService'!AB17</f>
        <v>613579869.91651177</v>
      </c>
      <c r="AC47" s="24">
        <f>SUM(D47:AB47)</f>
        <v>19083043864.060829</v>
      </c>
      <c r="AD47" s="8">
        <f>A47</f>
        <v>303</v>
      </c>
    </row>
    <row r="48" spans="1:30" x14ac:dyDescent="0.25">
      <c r="A48" s="8">
        <f>A47+1</f>
        <v>304</v>
      </c>
      <c r="B48" s="246" t="s">
        <v>474</v>
      </c>
      <c r="C48" s="255">
        <f>'1-BaseTRR'!$G$3</f>
        <v>2025</v>
      </c>
      <c r="D48" s="236">
        <f>+'7-PlantInService'!D18</f>
        <v>91863653.683453605</v>
      </c>
      <c r="E48" s="236">
        <f>+'7-PlantInService'!E18</f>
        <v>211965681.37740663</v>
      </c>
      <c r="F48" s="236">
        <f>+'7-PlantInService'!F18</f>
        <v>382986529.55382442</v>
      </c>
      <c r="G48" s="236">
        <f>+'7-PlantInService'!G18</f>
        <v>107004696.8758707</v>
      </c>
      <c r="H48" s="236">
        <f>+'7-PlantInService'!H18</f>
        <v>8864066015.3294582</v>
      </c>
      <c r="I48" s="236">
        <f>+'7-PlantInService'!I18</f>
        <v>5416802.1400000006</v>
      </c>
      <c r="J48" s="236">
        <f>+'7-PlantInService'!J18</f>
        <v>1406151878.5376325</v>
      </c>
      <c r="K48" s="242">
        <f>+'7-PlantInService'!K18</f>
        <v>0</v>
      </c>
      <c r="L48" s="236">
        <f>+'7-PlantInService'!L18</f>
        <v>3018688142.1992931</v>
      </c>
      <c r="M48" s="236">
        <f>+'7-PlantInService'!M18</f>
        <v>3004986049.4877281</v>
      </c>
      <c r="N48" s="236">
        <f>+'7-PlantInService'!N18</f>
        <v>519238328.00372016</v>
      </c>
      <c r="O48" s="236">
        <f>+'7-PlantInService'!O18</f>
        <v>281811338.06440872</v>
      </c>
      <c r="P48" s="236">
        <f>+'7-PlantInService'!P18</f>
        <v>267494006.43420607</v>
      </c>
      <c r="Q48" s="242">
        <f>+'7-PlantInService'!Q18</f>
        <v>19205367.502854947</v>
      </c>
      <c r="R48" s="242">
        <f>+'7-PlantInService'!R18</f>
        <v>13363697.735975901</v>
      </c>
      <c r="S48" s="242">
        <f>+'7-PlantInService'!S18</f>
        <v>146501682.67557561</v>
      </c>
      <c r="T48" s="242">
        <f>+'7-PlantInService'!T18</f>
        <v>1914777.8555668998</v>
      </c>
      <c r="U48" s="242">
        <f>+'7-PlantInService'!U18</f>
        <v>16538005.511050386</v>
      </c>
      <c r="V48" s="242">
        <f>+'7-PlantInService'!V18</f>
        <v>35466047.373665452</v>
      </c>
      <c r="W48" s="242">
        <f>+'7-PlantInService'!W18</f>
        <v>65726538.17708867</v>
      </c>
      <c r="X48" s="242">
        <f>+'7-PlantInService'!X18</f>
        <v>6110899.681571383</v>
      </c>
      <c r="Y48" s="242">
        <f>+'7-PlantInService'!Y18</f>
        <v>2725603.8632909311</v>
      </c>
      <c r="Z48" s="242">
        <f>+'7-PlantInService'!Z18</f>
        <v>90004128.621505678</v>
      </c>
      <c r="AA48" s="267">
        <f>+'7-PlantInService'!AA18</f>
        <v>75891.238632306966</v>
      </c>
      <c r="AB48" s="242">
        <f>+'7-PlantInService'!AB18</f>
        <v>622839837.72608471</v>
      </c>
      <c r="AC48" s="24">
        <f>SUM(D48:AB48)</f>
        <v>19182145599.649868</v>
      </c>
      <c r="AD48" s="8">
        <f>A48</f>
        <v>304</v>
      </c>
    </row>
    <row r="49" spans="1:30" x14ac:dyDescent="0.25">
      <c r="A49" s="8">
        <f>A48+1</f>
        <v>305</v>
      </c>
      <c r="B49" s="246" t="s">
        <v>763</v>
      </c>
      <c r="C49" s="255">
        <f>'1-BaseTRR'!$G$3</f>
        <v>2025</v>
      </c>
      <c r="D49" s="236">
        <f>+'7-PlantInService'!D19</f>
        <v>91913031.193264395</v>
      </c>
      <c r="E49" s="236">
        <f>+'7-PlantInService'!E19</f>
        <v>212363730.50245494</v>
      </c>
      <c r="F49" s="236">
        <f>+'7-PlantInService'!F19</f>
        <v>383489118.28021914</v>
      </c>
      <c r="G49" s="236">
        <f>+'7-PlantInService'!G19</f>
        <v>107898088.38054053</v>
      </c>
      <c r="H49" s="236">
        <f>+'7-PlantInService'!H19</f>
        <v>8908731093.7426872</v>
      </c>
      <c r="I49" s="236">
        <f>+'7-PlantInService'!I19</f>
        <v>5420027.3700000001</v>
      </c>
      <c r="J49" s="236">
        <f>+'7-PlantInService'!J19</f>
        <v>1414580189.4770291</v>
      </c>
      <c r="K49" s="242">
        <f>+'7-PlantInService'!K19</f>
        <v>0</v>
      </c>
      <c r="L49" s="236">
        <f>+'7-PlantInService'!L19</f>
        <v>3037553652.0590868</v>
      </c>
      <c r="M49" s="236">
        <f>+'7-PlantInService'!M19</f>
        <v>3009838922.4178514</v>
      </c>
      <c r="N49" s="236">
        <f>+'7-PlantInService'!N19</f>
        <v>519303192.64716315</v>
      </c>
      <c r="O49" s="236">
        <f>+'7-PlantInService'!O19</f>
        <v>281811009.77948982</v>
      </c>
      <c r="P49" s="236">
        <f>+'7-PlantInService'!P19</f>
        <v>270449206.53866899</v>
      </c>
      <c r="Q49" s="242">
        <f>+'7-PlantInService'!Q19</f>
        <v>19205367.502854947</v>
      </c>
      <c r="R49" s="242">
        <f>+'7-PlantInService'!R19</f>
        <v>13363697.735975901</v>
      </c>
      <c r="S49" s="242">
        <f>+'7-PlantInService'!S19</f>
        <v>147863195.99026185</v>
      </c>
      <c r="T49" s="242">
        <f>+'7-PlantInService'!T19</f>
        <v>2663543.6506841439</v>
      </c>
      <c r="U49" s="242">
        <f>+'7-PlantInService'!U19</f>
        <v>17003048.937346112</v>
      </c>
      <c r="V49" s="242">
        <f>+'7-PlantInService'!V19</f>
        <v>35878569.471231483</v>
      </c>
      <c r="W49" s="242">
        <f>+'7-PlantInService'!W19</f>
        <v>65733721.593270287</v>
      </c>
      <c r="X49" s="242">
        <f>+'7-PlantInService'!X19</f>
        <v>6111225.8577192444</v>
      </c>
      <c r="Y49" s="242">
        <f>+'7-PlantInService'!Y19</f>
        <v>2725603.8632909311</v>
      </c>
      <c r="Z49" s="242">
        <f>+'7-PlantInService'!Z19</f>
        <v>90543462.826811105</v>
      </c>
      <c r="AA49" s="267">
        <f>+'7-PlantInService'!AA19</f>
        <v>75891.238632306966</v>
      </c>
      <c r="AB49" s="242">
        <f>+'7-PlantInService'!AB19</f>
        <v>633007122.02308798</v>
      </c>
      <c r="AC49" s="24">
        <f>SUM(D49:AB49)</f>
        <v>19277525713.079628</v>
      </c>
      <c r="AD49" s="8">
        <f>A49</f>
        <v>305</v>
      </c>
    </row>
    <row r="50" spans="1:30" x14ac:dyDescent="0.25">
      <c r="A50" s="8">
        <f>A49+1</f>
        <v>306</v>
      </c>
      <c r="B50" s="246" t="s">
        <v>472</v>
      </c>
      <c r="C50" s="255">
        <f>'1-BaseTRR'!$G$3</f>
        <v>2025</v>
      </c>
      <c r="D50" s="236">
        <f>+'7-PlantInService'!D20</f>
        <v>92067171.751440421</v>
      </c>
      <c r="E50" s="236">
        <f>+'7-PlantInService'!E20</f>
        <v>213780112.91155016</v>
      </c>
      <c r="F50" s="236">
        <f>+'7-PlantInService'!F20</f>
        <v>383798469.58661383</v>
      </c>
      <c r="G50" s="236">
        <f>+'7-PlantInService'!G20</f>
        <v>108481854.43521042</v>
      </c>
      <c r="H50" s="236">
        <f>+'7-PlantInService'!H20</f>
        <v>8934439341.9520798</v>
      </c>
      <c r="I50" s="236">
        <f>+'7-PlantInService'!I20</f>
        <v>5420567.6799999997</v>
      </c>
      <c r="J50" s="236">
        <f>+'7-PlantInService'!J20</f>
        <v>1417338478.4761829</v>
      </c>
      <c r="K50" s="242">
        <f>+'7-PlantInService'!K20</f>
        <v>0</v>
      </c>
      <c r="L50" s="236">
        <f>+'7-PlantInService'!L20</f>
        <v>3053708492.3088183</v>
      </c>
      <c r="M50" s="236">
        <f>+'7-PlantInService'!M20</f>
        <v>3004945947.1683493</v>
      </c>
      <c r="N50" s="236">
        <f>+'7-PlantInService'!N20</f>
        <v>520212610.59058613</v>
      </c>
      <c r="O50" s="236">
        <f>+'7-PlantInService'!O20</f>
        <v>281809862.92834175</v>
      </c>
      <c r="P50" s="236">
        <f>+'7-PlantInService'!P20</f>
        <v>271808293.31939995</v>
      </c>
      <c r="Q50" s="242">
        <f>+'7-PlantInService'!Q20</f>
        <v>12982995.945375454</v>
      </c>
      <c r="R50" s="242">
        <f>+'7-PlantInService'!R20</f>
        <v>13363697.735975901</v>
      </c>
      <c r="S50" s="242">
        <f>+'7-PlantInService'!S20</f>
        <v>112419538.66337782</v>
      </c>
      <c r="T50" s="242">
        <f>+'7-PlantInService'!T20</f>
        <v>2974636.291958251</v>
      </c>
      <c r="U50" s="242">
        <f>+'7-PlantInService'!U20</f>
        <v>20119352.137084819</v>
      </c>
      <c r="V50" s="242">
        <f>+'7-PlantInService'!V20</f>
        <v>32769240.534155138</v>
      </c>
      <c r="W50" s="242">
        <f>+'7-PlantInService'!W20</f>
        <v>57242102.267851666</v>
      </c>
      <c r="X50" s="242">
        <f>+'7-PlantInService'!X20</f>
        <v>4432241.9635316953</v>
      </c>
      <c r="Y50" s="242">
        <f>+'7-PlantInService'!Y20</f>
        <v>2655170.4837893476</v>
      </c>
      <c r="Z50" s="242">
        <f>+'7-PlantInService'!Z20</f>
        <v>90668588.578888565</v>
      </c>
      <c r="AA50" s="267">
        <f>+'7-PlantInService'!AA20</f>
        <v>75891.238632306966</v>
      </c>
      <c r="AB50" s="242">
        <f>+'7-PlantInService'!AB20</f>
        <v>651081150.28139603</v>
      </c>
      <c r="AC50" s="24">
        <f>SUM(D50:AB50)</f>
        <v>19288595809.230595</v>
      </c>
      <c r="AD50" s="8">
        <f>A50</f>
        <v>306</v>
      </c>
    </row>
    <row r="51" spans="1:30" x14ac:dyDescent="0.25">
      <c r="A51" s="8">
        <f>A50+1</f>
        <v>307</v>
      </c>
      <c r="B51" s="246" t="s">
        <v>471</v>
      </c>
      <c r="C51" s="255">
        <f>'1-BaseTRR'!$G$3</f>
        <v>2025</v>
      </c>
      <c r="D51" s="236">
        <f>+'7-PlantInService'!D21</f>
        <v>92335992.817345768</v>
      </c>
      <c r="E51" s="236">
        <f>+'7-PlantInService'!E21</f>
        <v>217663646.5241183</v>
      </c>
      <c r="F51" s="236">
        <f>+'7-PlantInService'!F21</f>
        <v>382796684.53300858</v>
      </c>
      <c r="G51" s="236">
        <f>+'7-PlantInService'!G21</f>
        <v>126454595.3898803</v>
      </c>
      <c r="H51" s="236">
        <f>+'7-PlantInService'!H21</f>
        <v>8942994300.3540611</v>
      </c>
      <c r="I51" s="236">
        <f>+'7-PlantInService'!I21</f>
        <v>5421870.4800000004</v>
      </c>
      <c r="J51" s="236">
        <f>+'7-PlantInService'!J21</f>
        <v>1356092667.2162485</v>
      </c>
      <c r="K51" s="242">
        <f>+'7-PlantInService'!K21</f>
        <v>51108335.62763083</v>
      </c>
      <c r="L51" s="236">
        <f>+'7-PlantInService'!L21</f>
        <v>3089355277.5585866</v>
      </c>
      <c r="M51" s="236">
        <f>+'7-PlantInService'!M21</f>
        <v>3032197713.1627464</v>
      </c>
      <c r="N51" s="236">
        <f>+'7-PlantInService'!N21</f>
        <v>519455342.43892622</v>
      </c>
      <c r="O51" s="236">
        <f>+'7-PlantInService'!O21</f>
        <v>281808963.62866932</v>
      </c>
      <c r="P51" s="236">
        <f>+'7-PlantInService'!P21</f>
        <v>272852352.38576126</v>
      </c>
      <c r="Q51" s="242">
        <f>+'7-PlantInService'!Q21</f>
        <v>12982995.945375454</v>
      </c>
      <c r="R51" s="242">
        <f>+'7-PlantInService'!R21</f>
        <v>13363697.735975901</v>
      </c>
      <c r="S51" s="242">
        <f>+'7-PlantInService'!S21</f>
        <v>112438605.48677535</v>
      </c>
      <c r="T51" s="242">
        <f>+'7-PlantInService'!T21</f>
        <v>3681875.6039243429</v>
      </c>
      <c r="U51" s="242">
        <f>+'7-PlantInService'!U21</f>
        <v>21050277.901305526</v>
      </c>
      <c r="V51" s="242">
        <f>+'7-PlantInService'!V21</f>
        <v>33384881.882711664</v>
      </c>
      <c r="W51" s="242">
        <f>+'7-PlantInService'!W21</f>
        <v>58355240.892543949</v>
      </c>
      <c r="X51" s="242">
        <f>+'7-PlantInService'!X21</f>
        <v>4432338.7276604371</v>
      </c>
      <c r="Y51" s="242">
        <f>+'7-PlantInService'!Y21</f>
        <v>2655170.4837893476</v>
      </c>
      <c r="Z51" s="242">
        <f>+'7-PlantInService'!Z21</f>
        <v>90932866.296140075</v>
      </c>
      <c r="AA51" s="267">
        <f>+'7-PlantInService'!AA21</f>
        <v>75891.238632306966</v>
      </c>
      <c r="AB51" s="242">
        <f>+'7-PlantInService'!AB21</f>
        <v>648050248.84615171</v>
      </c>
      <c r="AC51" s="24">
        <f>SUM(D51:AB51)</f>
        <v>19371941833.157974</v>
      </c>
      <c r="AD51" s="8">
        <f>A51</f>
        <v>307</v>
      </c>
    </row>
    <row r="52" spans="1:30" x14ac:dyDescent="0.25">
      <c r="A52" s="8">
        <f>A51+1</f>
        <v>308</v>
      </c>
      <c r="B52" s="246" t="s">
        <v>470</v>
      </c>
      <c r="C52" s="255">
        <f>'1-BaseTRR'!$G$3</f>
        <v>2025</v>
      </c>
      <c r="D52" s="236">
        <f>+'7-PlantInService'!D22</f>
        <v>93808690.867886424</v>
      </c>
      <c r="E52" s="236">
        <f>+'7-PlantInService'!E22</f>
        <v>219803427.3613497</v>
      </c>
      <c r="F52" s="236">
        <f>+'7-PlantInService'!F22</f>
        <v>383667962.17940319</v>
      </c>
      <c r="G52" s="236">
        <f>+'7-PlantInService'!G22</f>
        <v>122505131.99455015</v>
      </c>
      <c r="H52" s="236">
        <f>+'7-PlantInService'!H22</f>
        <v>8985415195.3293037</v>
      </c>
      <c r="I52" s="236">
        <f>+'7-PlantInService'!I22</f>
        <v>5422832.0700000003</v>
      </c>
      <c r="J52" s="236">
        <f>+'7-PlantInService'!J22</f>
        <v>1367191076.5121737</v>
      </c>
      <c r="K52" s="242">
        <f>+'7-PlantInService'!K22</f>
        <v>60334856.456084676</v>
      </c>
      <c r="L52" s="236">
        <f>+'7-PlantInService'!L22</f>
        <v>3119510885.2927318</v>
      </c>
      <c r="M52" s="236">
        <f>+'7-PlantInService'!M22</f>
        <v>3034939064.3642659</v>
      </c>
      <c r="N52" s="236">
        <f>+'7-PlantInService'!N22</f>
        <v>519471086.55539954</v>
      </c>
      <c r="O52" s="236">
        <f>+'7-PlantInService'!O22</f>
        <v>281807741.1343056</v>
      </c>
      <c r="P52" s="236">
        <f>+'7-PlantInService'!P22</f>
        <v>273939484.45861804</v>
      </c>
      <c r="Q52" s="242">
        <f>+'7-PlantInService'!Q22</f>
        <v>12982995.945375454</v>
      </c>
      <c r="R52" s="242">
        <f>+'7-PlantInService'!R22</f>
        <v>13363697.735975901</v>
      </c>
      <c r="S52" s="242">
        <f>+'7-PlantInService'!S22</f>
        <v>112439364.89928445</v>
      </c>
      <c r="T52" s="242">
        <f>+'7-PlantInService'!T22</f>
        <v>4460254.9595341887</v>
      </c>
      <c r="U52" s="242">
        <f>+'7-PlantInService'!U22</f>
        <v>21555414.509970553</v>
      </c>
      <c r="V52" s="242">
        <f>+'7-PlantInService'!V22</f>
        <v>33663096.675660446</v>
      </c>
      <c r="W52" s="242">
        <f>+'7-PlantInService'!W22</f>
        <v>58378564.6321337</v>
      </c>
      <c r="X52" s="242">
        <f>+'7-PlantInService'!X22</f>
        <v>5557530.6068314658</v>
      </c>
      <c r="Y52" s="242">
        <f>+'7-PlantInService'!Y22</f>
        <v>2655170.4837893476</v>
      </c>
      <c r="Z52" s="242">
        <f>+'7-PlantInService'!Z22</f>
        <v>99401520.385915905</v>
      </c>
      <c r="AA52" s="267">
        <f>+'7-PlantInService'!AA22</f>
        <v>212400.55161690421</v>
      </c>
      <c r="AB52" s="242">
        <f>+'7-PlantInService'!AB22</f>
        <v>660509135.28961325</v>
      </c>
      <c r="AC52" s="24">
        <f>SUM(D52:AB52)</f>
        <v>19492996581.251774</v>
      </c>
      <c r="AD52" s="8">
        <f>A52</f>
        <v>308</v>
      </c>
    </row>
    <row r="53" spans="1:30" x14ac:dyDescent="0.25">
      <c r="A53" s="8">
        <f>A52+1</f>
        <v>309</v>
      </c>
      <c r="B53" s="246" t="s">
        <v>469</v>
      </c>
      <c r="C53" s="255">
        <f>'1-BaseTRR'!$G$3</f>
        <v>2025</v>
      </c>
      <c r="D53" s="236">
        <f>+'7-PlantInService'!D23</f>
        <v>109973942.97778869</v>
      </c>
      <c r="E53" s="236">
        <f>+'7-PlantInService'!E23</f>
        <v>219347873.51726291</v>
      </c>
      <c r="F53" s="236">
        <f>+'7-PlantInService'!F23</f>
        <v>383997308.24579781</v>
      </c>
      <c r="G53" s="236">
        <f>+'7-PlantInService'!G23</f>
        <v>101179363.68921997</v>
      </c>
      <c r="H53" s="236">
        <f>+'7-PlantInService'!H23</f>
        <v>9008620896.292284</v>
      </c>
      <c r="I53" s="236">
        <f>+'7-PlantInService'!I23</f>
        <v>5422804.2699999996</v>
      </c>
      <c r="J53" s="236">
        <f>+'7-PlantInService'!J23</f>
        <v>1339429752.0608768</v>
      </c>
      <c r="K53" s="242">
        <f>+'7-PlantInService'!K23</f>
        <v>123878412.89453849</v>
      </c>
      <c r="L53" s="236">
        <f>+'7-PlantInService'!L23</f>
        <v>3131255037.45927</v>
      </c>
      <c r="M53" s="236">
        <f>+'7-PlantInService'!M23</f>
        <v>3051689855.5242367</v>
      </c>
      <c r="N53" s="236">
        <f>+'7-PlantInService'!N23</f>
        <v>519468833.7918157</v>
      </c>
      <c r="O53" s="236">
        <f>+'7-PlantInService'!O23</f>
        <v>281306745.89946526</v>
      </c>
      <c r="P53" s="236">
        <f>+'7-PlantInService'!P23</f>
        <v>277754690.82042229</v>
      </c>
      <c r="Q53" s="242">
        <f>+'7-PlantInService'!Q23</f>
        <v>12982995.945375454</v>
      </c>
      <c r="R53" s="242">
        <f>+'7-PlantInService'!R23</f>
        <v>13363697.735975901</v>
      </c>
      <c r="S53" s="242">
        <f>+'7-PlantInService'!S23</f>
        <v>113192808.38678604</v>
      </c>
      <c r="T53" s="242">
        <f>+'7-PlantInService'!T23</f>
        <v>5414844.1578702964</v>
      </c>
      <c r="U53" s="242">
        <f>+'7-PlantInService'!U23</f>
        <v>24396335.979781818</v>
      </c>
      <c r="V53" s="242">
        <f>+'7-PlantInService'!V23</f>
        <v>34158558.940201566</v>
      </c>
      <c r="W53" s="242">
        <f>+'7-PlantInService'!W23</f>
        <v>58834851.162180334</v>
      </c>
      <c r="X53" s="242">
        <f>+'7-PlantInService'!X23</f>
        <v>8317751.7847462762</v>
      </c>
      <c r="Y53" s="242">
        <f>+'7-PlantInService'!Y23</f>
        <v>2655170.4837893476</v>
      </c>
      <c r="Z53" s="242">
        <f>+'7-PlantInService'!Z23</f>
        <v>99827317.053799987</v>
      </c>
      <c r="AA53" s="267">
        <f>+'7-PlantInService'!AA23</f>
        <v>212400.55161690421</v>
      </c>
      <c r="AB53" s="242">
        <f>+'7-PlantInService'!AB23</f>
        <v>641395225.33853114</v>
      </c>
      <c r="AC53" s="24">
        <f>SUM(D53:AB53)</f>
        <v>19568077474.963638</v>
      </c>
      <c r="AD53" s="8">
        <f>A53</f>
        <v>309</v>
      </c>
    </row>
    <row r="54" spans="1:30" x14ac:dyDescent="0.25">
      <c r="A54" s="8">
        <f>A53+1</f>
        <v>310</v>
      </c>
      <c r="B54" s="246" t="s">
        <v>468</v>
      </c>
      <c r="C54" s="255">
        <f>'1-BaseTRR'!$G$3</f>
        <v>2025</v>
      </c>
      <c r="D54" s="236">
        <f>+'7-PlantInService'!D24</f>
        <v>110892241.40824814</v>
      </c>
      <c r="E54" s="236">
        <f>+'7-PlantInService'!E24</f>
        <v>219287575.63756171</v>
      </c>
      <c r="F54" s="236">
        <f>+'7-PlantInService'!F24</f>
        <v>384179295.72219253</v>
      </c>
      <c r="G54" s="236">
        <f>+'7-PlantInService'!G24</f>
        <v>118723960.6238898</v>
      </c>
      <c r="H54" s="236">
        <f>+'7-PlantInService'!H24</f>
        <v>9100089833.6411476</v>
      </c>
      <c r="I54" s="236">
        <f>+'7-PlantInService'!I24</f>
        <v>5422804.2699999996</v>
      </c>
      <c r="J54" s="236">
        <f>+'7-PlantInService'!J24</f>
        <v>1338103596.8220658</v>
      </c>
      <c r="K54" s="242">
        <f>+'7-PlantInService'!K24</f>
        <v>129529806.26299235</v>
      </c>
      <c r="L54" s="236">
        <f>+'7-PlantInService'!L24</f>
        <v>3165492768.1485682</v>
      </c>
      <c r="M54" s="236">
        <f>+'7-PlantInService'!M24</f>
        <v>3077703960.161109</v>
      </c>
      <c r="N54" s="236">
        <f>+'7-PlantInService'!N24</f>
        <v>519488805.57445014</v>
      </c>
      <c r="O54" s="236">
        <f>+'7-PlantInService'!O24</f>
        <v>282552067.28778756</v>
      </c>
      <c r="P54" s="236">
        <f>+'7-PlantInService'!P24</f>
        <v>282589330.25957394</v>
      </c>
      <c r="Q54" s="242">
        <f>+'7-PlantInService'!Q24</f>
        <v>12982995.945375454</v>
      </c>
      <c r="R54" s="242">
        <f>+'7-PlantInService'!R24</f>
        <v>13363697.735975901</v>
      </c>
      <c r="S54" s="242">
        <f>+'7-PlantInService'!S24</f>
        <v>115739060.01371998</v>
      </c>
      <c r="T54" s="242">
        <f>+'7-PlantInService'!T24</f>
        <v>6829217.9714742638</v>
      </c>
      <c r="U54" s="242">
        <f>+'7-PlantInService'!U24</f>
        <v>24941749.889596283</v>
      </c>
      <c r="V54" s="242">
        <f>+'7-PlantInService'!V24</f>
        <v>34835712.606661126</v>
      </c>
      <c r="W54" s="242">
        <f>+'7-PlantInService'!W24</f>
        <v>62678556.744293928</v>
      </c>
      <c r="X54" s="242">
        <f>+'7-PlantInService'!X24</f>
        <v>8801105.7965565398</v>
      </c>
      <c r="Y54" s="242">
        <f>+'7-PlantInService'!Y24</f>
        <v>2655170.4837893476</v>
      </c>
      <c r="Z54" s="242">
        <f>+'7-PlantInService'!Z24</f>
        <v>101123321.11052799</v>
      </c>
      <c r="AA54" s="267">
        <f>+'7-PlantInService'!AA24</f>
        <v>212400.55161690421</v>
      </c>
      <c r="AB54" s="242">
        <f>+'7-PlantInService'!AB24</f>
        <v>664453480.34183395</v>
      </c>
      <c r="AC54" s="24">
        <f>SUM(D54:AB54)</f>
        <v>19782672515.011017</v>
      </c>
      <c r="AD54" s="8">
        <f>A54</f>
        <v>310</v>
      </c>
    </row>
    <row r="55" spans="1:30" x14ac:dyDescent="0.25">
      <c r="A55" s="8">
        <f>A54+1</f>
        <v>311</v>
      </c>
      <c r="B55" s="246" t="s">
        <v>467</v>
      </c>
      <c r="C55" s="255">
        <f>'1-BaseTRR'!$G$3</f>
        <v>2025</v>
      </c>
      <c r="D55" s="236">
        <f>+'7-PlantInService'!D25</f>
        <v>108208078.692839</v>
      </c>
      <c r="E55" s="236">
        <f>+'7-PlantInService'!E25</f>
        <v>220046663.92383024</v>
      </c>
      <c r="F55" s="236">
        <f>+'7-PlantInService'!F25</f>
        <v>386753222.08858752</v>
      </c>
      <c r="G55" s="236">
        <f>+'7-PlantInService'!G25</f>
        <v>118854056.24855964</v>
      </c>
      <c r="H55" s="236">
        <f>+'7-PlantInService'!H25</f>
        <v>9116820679.8303223</v>
      </c>
      <c r="I55" s="236">
        <f>+'7-PlantInService'!I25</f>
        <v>5422803.9396241782</v>
      </c>
      <c r="J55" s="236">
        <f>+'7-PlantInService'!J25</f>
        <v>1392889808.7384157</v>
      </c>
      <c r="K55" s="242">
        <f>+'7-PlantInService'!K25</f>
        <v>132853785.6814464</v>
      </c>
      <c r="L55" s="236">
        <f>+'7-PlantInService'!L25</f>
        <v>3197201485.2027988</v>
      </c>
      <c r="M55" s="236">
        <f>+'7-PlantInService'!M25</f>
        <v>3107549087.6383648</v>
      </c>
      <c r="N55" s="236">
        <f>+'7-PlantInService'!N25</f>
        <v>536877136.24501705</v>
      </c>
      <c r="O55" s="236">
        <f>+'7-PlantInService'!O25</f>
        <v>286849895.21234781</v>
      </c>
      <c r="P55" s="236">
        <f>+'7-PlantInService'!P25</f>
        <v>283940569.44711864</v>
      </c>
      <c r="Q55" s="242">
        <f>+'7-PlantInService'!Q25</f>
        <v>12982995.94537545</v>
      </c>
      <c r="R55" s="242">
        <f>+'7-PlantInService'!R25</f>
        <v>13363697.735975899</v>
      </c>
      <c r="S55" s="242">
        <f>+'7-PlantInService'!S25</f>
        <v>121320885.13792104</v>
      </c>
      <c r="T55" s="242">
        <f>+'7-PlantInService'!T25</f>
        <v>10525870.077529352</v>
      </c>
      <c r="U55" s="242">
        <f>+'7-PlantInService'!U25</f>
        <v>25524782.527573153</v>
      </c>
      <c r="V55" s="242">
        <f>+'7-PlantInService'!V25</f>
        <v>34863136.847757347</v>
      </c>
      <c r="W55" s="242">
        <f>+'7-PlantInService'!W25</f>
        <v>63742045.961463928</v>
      </c>
      <c r="X55" s="242">
        <f>+'7-PlantInService'!X25</f>
        <v>8801105.796556538</v>
      </c>
      <c r="Y55" s="242">
        <f>+'7-PlantInService'!Y25</f>
        <v>2655170.4837893476</v>
      </c>
      <c r="Z55" s="242">
        <f>+'7-PlantInService'!Z25</f>
        <v>101782522.94328865</v>
      </c>
      <c r="AA55" s="267">
        <f>+'7-PlantInService'!AA25</f>
        <v>212400.55161690415</v>
      </c>
      <c r="AB55" s="242">
        <f>+'7-PlantInService'!AB25</f>
        <v>677786312.3956033</v>
      </c>
      <c r="AC55" s="24">
        <f>SUM(D55:AB55)</f>
        <v>19967828199.293724</v>
      </c>
      <c r="AD55" s="8">
        <f>A55</f>
        <v>311</v>
      </c>
    </row>
    <row r="56" spans="1:30" ht="13.5" customHeight="1" x14ac:dyDescent="0.25">
      <c r="A56" s="8"/>
      <c r="B56" s="286"/>
      <c r="C56" s="249"/>
      <c r="D56" s="341"/>
      <c r="E56" s="341"/>
      <c r="F56" s="341"/>
      <c r="G56" s="341"/>
      <c r="H56" s="341"/>
      <c r="I56" s="341"/>
      <c r="J56" s="341"/>
      <c r="K56" s="341"/>
      <c r="L56" s="341"/>
      <c r="M56" s="341"/>
      <c r="N56" s="341"/>
      <c r="O56" s="341"/>
      <c r="P56" s="341"/>
      <c r="Q56" s="341"/>
      <c r="R56" s="341"/>
      <c r="S56" s="341"/>
      <c r="T56" s="341"/>
      <c r="U56" s="341"/>
      <c r="V56" s="341"/>
      <c r="W56" s="341"/>
      <c r="X56" s="341"/>
      <c r="Y56" s="341"/>
      <c r="Z56" s="341"/>
      <c r="AA56" s="341"/>
      <c r="AB56" s="341"/>
      <c r="AC56" s="341"/>
      <c r="AD56" s="8"/>
    </row>
    <row r="57" spans="1:30" ht="13.5" customHeight="1" x14ac:dyDescent="0.25"/>
    <row r="58" spans="1:30" ht="13.5" customHeight="1" x14ac:dyDescent="0.25">
      <c r="B58" s="340" t="s">
        <v>1044</v>
      </c>
      <c r="C58" s="35"/>
      <c r="D58" s="35"/>
      <c r="E58" s="35"/>
      <c r="F58" s="35"/>
      <c r="G58" s="35"/>
      <c r="H58" s="35"/>
      <c r="I58" s="35"/>
      <c r="J58" s="35"/>
      <c r="K58" s="35"/>
      <c r="L58" s="35"/>
      <c r="M58" s="35"/>
      <c r="N58" s="35"/>
      <c r="O58" s="35"/>
      <c r="P58" s="35"/>
      <c r="Q58" s="35"/>
      <c r="R58" s="35"/>
      <c r="S58" s="35"/>
      <c r="T58" s="35"/>
      <c r="U58" s="35"/>
      <c r="V58" s="35"/>
      <c r="W58" s="35"/>
      <c r="X58" s="35"/>
      <c r="Y58" s="35"/>
      <c r="Z58" s="35"/>
      <c r="AA58" s="35"/>
      <c r="AB58" s="35"/>
      <c r="AC58" s="35"/>
    </row>
    <row r="59" spans="1:30" x14ac:dyDescent="0.25">
      <c r="B59" s="246" t="s">
        <v>1043</v>
      </c>
    </row>
    <row r="60" spans="1:30" x14ac:dyDescent="0.25">
      <c r="B60" s="246" t="s">
        <v>1042</v>
      </c>
    </row>
    <row r="61" spans="1:30" x14ac:dyDescent="0.25">
      <c r="B61" s="246"/>
    </row>
    <row r="62" spans="1:30" x14ac:dyDescent="0.25">
      <c r="D62" s="175" t="s">
        <v>492</v>
      </c>
      <c r="E62" s="175" t="s">
        <v>491</v>
      </c>
      <c r="F62" s="175" t="s">
        <v>490</v>
      </c>
      <c r="G62" s="175" t="s">
        <v>489</v>
      </c>
      <c r="H62" s="175" t="s">
        <v>519</v>
      </c>
      <c r="I62" s="175" t="s">
        <v>518</v>
      </c>
      <c r="J62" s="175" t="s">
        <v>517</v>
      </c>
      <c r="K62" s="175" t="s">
        <v>538</v>
      </c>
      <c r="L62" s="175" t="s">
        <v>537</v>
      </c>
      <c r="M62" s="175" t="s">
        <v>770</v>
      </c>
      <c r="N62" s="175" t="s">
        <v>769</v>
      </c>
      <c r="O62" s="175" t="s">
        <v>768</v>
      </c>
      <c r="P62" s="175" t="s">
        <v>767</v>
      </c>
      <c r="Q62" s="175" t="s">
        <v>766</v>
      </c>
      <c r="R62" s="175" t="s">
        <v>765</v>
      </c>
      <c r="S62" s="175" t="s">
        <v>900</v>
      </c>
      <c r="T62" s="175" t="s">
        <v>899</v>
      </c>
      <c r="U62" s="175" t="s">
        <v>898</v>
      </c>
      <c r="V62" s="175" t="s">
        <v>897</v>
      </c>
      <c r="W62" s="175" t="s">
        <v>896</v>
      </c>
      <c r="X62" s="175" t="s">
        <v>895</v>
      </c>
      <c r="Y62" s="175" t="s">
        <v>894</v>
      </c>
      <c r="Z62" s="175" t="s">
        <v>893</v>
      </c>
      <c r="AA62" s="175" t="s">
        <v>892</v>
      </c>
      <c r="AB62" s="175" t="s">
        <v>891</v>
      </c>
    </row>
    <row r="63" spans="1:30" ht="30" x14ac:dyDescent="0.25">
      <c r="D63" s="258" t="s">
        <v>183</v>
      </c>
      <c r="E63" s="258" t="s">
        <v>157</v>
      </c>
      <c r="F63" s="258" t="s">
        <v>1041</v>
      </c>
      <c r="G63" s="258" t="s">
        <v>1040</v>
      </c>
      <c r="H63" s="258" t="s">
        <v>1039</v>
      </c>
      <c r="I63" s="258" t="s">
        <v>1038</v>
      </c>
      <c r="J63" s="258" t="s">
        <v>1037</v>
      </c>
      <c r="K63" s="258" t="s">
        <v>1036</v>
      </c>
      <c r="L63" s="258" t="s">
        <v>1035</v>
      </c>
      <c r="M63" s="258" t="s">
        <v>1034</v>
      </c>
      <c r="N63" s="258" t="s">
        <v>1033</v>
      </c>
      <c r="O63" s="258" t="s">
        <v>1032</v>
      </c>
      <c r="P63" s="258" t="s">
        <v>1031</v>
      </c>
      <c r="Q63" s="258" t="s">
        <v>1030</v>
      </c>
      <c r="R63" s="258" t="s">
        <v>1029</v>
      </c>
      <c r="S63" s="258" t="s">
        <v>1028</v>
      </c>
      <c r="T63" s="258" t="s">
        <v>1027</v>
      </c>
      <c r="U63" s="258" t="s">
        <v>1026</v>
      </c>
      <c r="V63" s="258" t="s">
        <v>1025</v>
      </c>
      <c r="W63" s="258" t="s">
        <v>1024</v>
      </c>
      <c r="X63" s="258" t="s">
        <v>1023</v>
      </c>
      <c r="Y63" s="258" t="s">
        <v>1022</v>
      </c>
      <c r="Z63" s="258" t="s">
        <v>1021</v>
      </c>
      <c r="AA63" s="258" t="s">
        <v>1020</v>
      </c>
      <c r="AB63" s="258" t="s">
        <v>1019</v>
      </c>
      <c r="AC63" s="265"/>
    </row>
    <row r="64" spans="1:30" x14ac:dyDescent="0.25">
      <c r="A64" s="8"/>
      <c r="AA64" s="8"/>
    </row>
    <row r="65" spans="1:30" x14ac:dyDescent="0.25">
      <c r="A65" s="33" t="s">
        <v>106</v>
      </c>
      <c r="D65" s="175" t="s">
        <v>875</v>
      </c>
      <c r="E65" s="175" t="s">
        <v>874</v>
      </c>
      <c r="F65" s="175" t="s">
        <v>873</v>
      </c>
      <c r="G65" s="175" t="s">
        <v>872</v>
      </c>
      <c r="H65" s="175" t="s">
        <v>871</v>
      </c>
      <c r="I65" s="175" t="s">
        <v>870</v>
      </c>
      <c r="J65" s="175" t="s">
        <v>869</v>
      </c>
      <c r="K65" s="175" t="s">
        <v>868</v>
      </c>
      <c r="L65" s="175" t="s">
        <v>867</v>
      </c>
      <c r="M65" s="175" t="s">
        <v>866</v>
      </c>
      <c r="N65" s="175" t="s">
        <v>865</v>
      </c>
      <c r="O65" s="175" t="s">
        <v>864</v>
      </c>
      <c r="P65" s="175" t="s">
        <v>863</v>
      </c>
      <c r="Q65" s="33" t="s">
        <v>862</v>
      </c>
      <c r="R65" s="33" t="s">
        <v>861</v>
      </c>
      <c r="S65" s="33" t="s">
        <v>860</v>
      </c>
      <c r="T65" s="33" t="s">
        <v>859</v>
      </c>
      <c r="U65" s="33" t="s">
        <v>858</v>
      </c>
      <c r="V65" s="33" t="s">
        <v>857</v>
      </c>
      <c r="W65" s="33" t="s">
        <v>856</v>
      </c>
      <c r="X65" s="33" t="s">
        <v>855</v>
      </c>
      <c r="Y65" s="33" t="s">
        <v>854</v>
      </c>
      <c r="Z65" s="33" t="s">
        <v>853</v>
      </c>
      <c r="AA65" s="33" t="s">
        <v>852</v>
      </c>
      <c r="AB65" s="33" t="s">
        <v>851</v>
      </c>
      <c r="AD65" s="33" t="str">
        <f>A65</f>
        <v>Line</v>
      </c>
    </row>
    <row r="66" spans="1:30" x14ac:dyDescent="0.25">
      <c r="A66" s="8">
        <v>400</v>
      </c>
      <c r="B66" s="6" t="s">
        <v>1018</v>
      </c>
      <c r="D66" s="339">
        <v>0</v>
      </c>
      <c r="E66" s="339">
        <f>'12-DepRates'!O35</f>
        <v>1.8249886569844199E-2</v>
      </c>
      <c r="F66" s="338">
        <f>VLOOKUP(F65,'12-DepRates'!$D:$N,11,FALSE)</f>
        <v>1.6281985590581666E-2</v>
      </c>
      <c r="G66" s="338">
        <f>VLOOKUP(G65,'12-DepRates'!$D:$N,11,FALSE)</f>
        <v>1.7046554106377738E-2</v>
      </c>
      <c r="H66" s="338">
        <f>VLOOKUP(H65,'12-DepRates'!$D:$N,11,FALSE)</f>
        <v>2.9596945919887038E-2</v>
      </c>
      <c r="I66" s="338">
        <f>VLOOKUP(I65,'12-DepRates'!$D:$N,11,FALSE)</f>
        <v>1.7494263433518474E-2</v>
      </c>
      <c r="J66" s="338">
        <f>VLOOKUP(J65,'12-DepRates'!$D:$N,11,FALSE)</f>
        <v>2.5303640597866762E-2</v>
      </c>
      <c r="K66" s="336">
        <f>VLOOKUP(K65,'12-DepRates'!$D:$N,11,FALSE)</f>
        <v>0.05</v>
      </c>
      <c r="L66" s="338">
        <f>VLOOKUP(L65,'12-DepRates'!$D:$N,11,FALSE)</f>
        <v>3.1434447972625679E-2</v>
      </c>
      <c r="M66" s="338">
        <f>VLOOKUP(M65,'12-DepRates'!$D:$N,11,FALSE)</f>
        <v>3.1620598042301169E-2</v>
      </c>
      <c r="N66" s="338">
        <f>VLOOKUP(N65,'12-DepRates'!$D:$N,11,FALSE)</f>
        <v>1.5330880735382453E-2</v>
      </c>
      <c r="O66" s="338">
        <f>VLOOKUP(O65,'12-DepRates'!$D:$N,11,FALSE)</f>
        <v>1.9889436473243618E-2</v>
      </c>
      <c r="P66" s="338">
        <f>VLOOKUP(P65,'12-DepRates'!$D:$N,11,FALSE)</f>
        <v>1.9011454886205089E-2</v>
      </c>
      <c r="Q66" s="336">
        <f>VLOOKUP(Q65,'12-DepRates'!$D:$N,11,FALSE)</f>
        <v>0.2487</v>
      </c>
      <c r="R66" s="336">
        <f>VLOOKUP(R65,'12-DepRates'!$D:$N,11,FALSE)</f>
        <v>2.06E-2</v>
      </c>
      <c r="S66" s="336">
        <f>VLOOKUP(S65,'12-DepRates'!$D:$N,11,FALSE)</f>
        <v>0.1719</v>
      </c>
      <c r="T66" s="336">
        <f>VLOOKUP(T65,'12-DepRates'!$D:$N,11,FALSE)</f>
        <v>0.10050000000000001</v>
      </c>
      <c r="U66" s="336">
        <f>VLOOKUP(U65,'12-DepRates'!$D:$N,11,FALSE)</f>
        <v>0.245</v>
      </c>
      <c r="V66" s="336">
        <f>VLOOKUP(V65,'12-DepRates'!$D:$N,11,FALSE)</f>
        <v>0.1404</v>
      </c>
      <c r="W66" s="336">
        <f>VLOOKUP(W65,'12-DepRates'!$D:$N,11,FALSE)</f>
        <v>0.20200000000000001</v>
      </c>
      <c r="X66" s="336">
        <f>VLOOKUP(X65,'12-DepRates'!$D:$N,11,FALSE)</f>
        <v>0.14710000000000001</v>
      </c>
      <c r="Y66" s="336">
        <f>VLOOKUP(Y65,'12-DepRates'!$D:$N,11,FALSE)</f>
        <v>0.14979999999999999</v>
      </c>
      <c r="Z66" s="336">
        <f>VLOOKUP(Z65,'12-DepRates'!$D:$N,11,FALSE)</f>
        <v>4.8599999999999997E-2</v>
      </c>
      <c r="AA66" s="337">
        <f>VLOOKUP(AA65,'12-DepRates'!$D:$N,11,FALSE)</f>
        <v>0.1027</v>
      </c>
      <c r="AB66" s="336">
        <f>VLOOKUP(AB65,'12-DepRates'!$D:$N,11,FALSE)</f>
        <v>6.9400000000000003E-2</v>
      </c>
      <c r="AD66" s="8">
        <f>A66</f>
        <v>400</v>
      </c>
    </row>
    <row r="67" spans="1:30" x14ac:dyDescent="0.25">
      <c r="B67" s="23"/>
    </row>
    <row r="68" spans="1:30" x14ac:dyDescent="0.25">
      <c r="B68" s="23"/>
    </row>
    <row r="69" spans="1:30" x14ac:dyDescent="0.25">
      <c r="B69" s="83" t="s">
        <v>1017</v>
      </c>
      <c r="C69" s="35"/>
      <c r="D69" s="35"/>
      <c r="E69" s="35"/>
      <c r="F69" s="35"/>
      <c r="G69" s="35"/>
      <c r="H69" s="35"/>
      <c r="I69" s="35"/>
      <c r="J69" s="35"/>
      <c r="K69" s="35"/>
      <c r="L69" s="35"/>
      <c r="M69" s="35"/>
      <c r="N69" s="35"/>
      <c r="O69" s="35"/>
      <c r="P69" s="35"/>
      <c r="Q69" s="35"/>
      <c r="R69" s="35"/>
      <c r="S69" s="35"/>
      <c r="T69" s="35"/>
      <c r="U69" s="35"/>
      <c r="V69" s="35"/>
      <c r="W69" s="35"/>
      <c r="X69" s="35"/>
      <c r="Y69" s="35"/>
      <c r="Z69" s="35"/>
      <c r="AA69" s="35"/>
      <c r="AB69" s="35"/>
      <c r="AC69" s="35"/>
    </row>
    <row r="70" spans="1:30" x14ac:dyDescent="0.25">
      <c r="B70" s="6" t="s">
        <v>1016</v>
      </c>
    </row>
    <row r="72" spans="1:30" x14ac:dyDescent="0.25">
      <c r="A72" s="8"/>
      <c r="D72" s="175" t="s">
        <v>492</v>
      </c>
      <c r="E72" s="175" t="s">
        <v>491</v>
      </c>
      <c r="F72" s="175" t="s">
        <v>490</v>
      </c>
      <c r="G72" s="175" t="s">
        <v>489</v>
      </c>
      <c r="H72" s="175" t="s">
        <v>519</v>
      </c>
      <c r="I72" s="175" t="s">
        <v>518</v>
      </c>
      <c r="J72" s="175" t="s">
        <v>517</v>
      </c>
      <c r="K72" s="175" t="s">
        <v>538</v>
      </c>
      <c r="L72" s="175" t="s">
        <v>537</v>
      </c>
      <c r="M72" s="175" t="s">
        <v>770</v>
      </c>
      <c r="N72" s="175" t="s">
        <v>769</v>
      </c>
      <c r="O72" s="175" t="s">
        <v>768</v>
      </c>
      <c r="P72" s="175" t="s">
        <v>767</v>
      </c>
      <c r="Q72" s="175" t="s">
        <v>766</v>
      </c>
      <c r="R72" s="175" t="s">
        <v>765</v>
      </c>
      <c r="S72" s="175" t="s">
        <v>900</v>
      </c>
      <c r="T72" s="175" t="s">
        <v>899</v>
      </c>
      <c r="U72" s="175" t="s">
        <v>898</v>
      </c>
      <c r="V72" s="175" t="s">
        <v>897</v>
      </c>
      <c r="W72" s="175" t="s">
        <v>896</v>
      </c>
      <c r="X72" s="175" t="s">
        <v>895</v>
      </c>
      <c r="Y72" s="175" t="s">
        <v>894</v>
      </c>
      <c r="Z72" s="175" t="s">
        <v>893</v>
      </c>
      <c r="AA72" s="175" t="s">
        <v>892</v>
      </c>
      <c r="AB72" s="175" t="s">
        <v>891</v>
      </c>
      <c r="AC72" s="175" t="s">
        <v>890</v>
      </c>
    </row>
    <row r="73" spans="1:30" ht="30" x14ac:dyDescent="0.25">
      <c r="B73" s="8"/>
      <c r="C73" s="8"/>
      <c r="D73" s="258" t="s">
        <v>1015</v>
      </c>
      <c r="E73" s="258" t="s">
        <v>1015</v>
      </c>
      <c r="F73" s="258" t="s">
        <v>1015</v>
      </c>
      <c r="G73" s="258" t="s">
        <v>1015</v>
      </c>
      <c r="H73" s="258" t="s">
        <v>1015</v>
      </c>
      <c r="I73" s="258" t="s">
        <v>1015</v>
      </c>
      <c r="J73" s="258" t="s">
        <v>1015</v>
      </c>
      <c r="K73" s="258" t="s">
        <v>1015</v>
      </c>
      <c r="L73" s="258" t="s">
        <v>1015</v>
      </c>
      <c r="M73" s="258" t="s">
        <v>1015</v>
      </c>
      <c r="N73" s="258" t="s">
        <v>1015</v>
      </c>
      <c r="O73" s="258" t="s">
        <v>1015</v>
      </c>
      <c r="P73" s="258" t="s">
        <v>1015</v>
      </c>
      <c r="Q73" s="258" t="s">
        <v>1015</v>
      </c>
      <c r="R73" s="258" t="s">
        <v>1015</v>
      </c>
      <c r="S73" s="258" t="s">
        <v>1015</v>
      </c>
      <c r="T73" s="258" t="s">
        <v>1015</v>
      </c>
      <c r="U73" s="258" t="s">
        <v>1015</v>
      </c>
      <c r="V73" s="258" t="s">
        <v>1015</v>
      </c>
      <c r="W73" s="258" t="s">
        <v>1015</v>
      </c>
      <c r="X73" s="258" t="s">
        <v>1015</v>
      </c>
      <c r="Y73" s="258" t="s">
        <v>1015</v>
      </c>
      <c r="Z73" s="258" t="s">
        <v>1015</v>
      </c>
      <c r="AA73" s="258" t="s">
        <v>1015</v>
      </c>
      <c r="AB73" s="258" t="s">
        <v>1015</v>
      </c>
      <c r="AC73" s="258" t="s">
        <v>889</v>
      </c>
    </row>
    <row r="74" spans="1:30" x14ac:dyDescent="0.25">
      <c r="B74" s="8"/>
      <c r="C74" s="8"/>
      <c r="D74" s="175"/>
      <c r="E74" s="175"/>
      <c r="AC74" s="23"/>
    </row>
    <row r="75" spans="1:30" x14ac:dyDescent="0.25">
      <c r="B75" s="76" t="s">
        <v>888</v>
      </c>
      <c r="C75" s="76"/>
      <c r="D75" s="183">
        <v>350.01</v>
      </c>
      <c r="E75" s="183">
        <v>350.02</v>
      </c>
      <c r="F75" s="183">
        <v>352.01</v>
      </c>
      <c r="G75" s="183">
        <v>352.02</v>
      </c>
      <c r="H75" s="183">
        <v>353.01</v>
      </c>
      <c r="I75" s="183">
        <v>353.02</v>
      </c>
      <c r="J75" s="183">
        <v>354</v>
      </c>
      <c r="K75" s="8">
        <v>354.02</v>
      </c>
      <c r="L75" s="183">
        <v>355</v>
      </c>
      <c r="M75" s="183">
        <v>356</v>
      </c>
      <c r="N75" s="183">
        <v>357</v>
      </c>
      <c r="O75" s="183">
        <v>358</v>
      </c>
      <c r="P75" s="183">
        <v>359</v>
      </c>
      <c r="Q75" s="183" t="s">
        <v>887</v>
      </c>
      <c r="R75" s="183" t="s">
        <v>886</v>
      </c>
      <c r="S75" s="183" t="s">
        <v>885</v>
      </c>
      <c r="T75" s="183" t="s">
        <v>884</v>
      </c>
      <c r="U75" s="183" t="s">
        <v>883</v>
      </c>
      <c r="V75" s="183" t="s">
        <v>882</v>
      </c>
      <c r="W75" s="183" t="s">
        <v>881</v>
      </c>
      <c r="X75" s="183" t="s">
        <v>880</v>
      </c>
      <c r="Y75" s="183" t="s">
        <v>879</v>
      </c>
      <c r="Z75" s="183" t="s">
        <v>878</v>
      </c>
      <c r="AA75" s="183" t="s">
        <v>877</v>
      </c>
      <c r="AB75" s="183" t="s">
        <v>876</v>
      </c>
      <c r="AC75" s="23"/>
    </row>
    <row r="76" spans="1:30" s="30" customFormat="1" x14ac:dyDescent="0.25">
      <c r="A76" s="33" t="s">
        <v>106</v>
      </c>
      <c r="B76" s="33" t="s">
        <v>483</v>
      </c>
      <c r="C76" s="33" t="s">
        <v>510</v>
      </c>
      <c r="D76" s="175" t="s">
        <v>875</v>
      </c>
      <c r="E76" s="175" t="s">
        <v>874</v>
      </c>
      <c r="F76" s="175" t="s">
        <v>873</v>
      </c>
      <c r="G76" s="175" t="s">
        <v>872</v>
      </c>
      <c r="H76" s="175" t="s">
        <v>871</v>
      </c>
      <c r="I76" s="175" t="s">
        <v>870</v>
      </c>
      <c r="J76" s="175" t="s">
        <v>869</v>
      </c>
      <c r="K76" s="175" t="s">
        <v>868</v>
      </c>
      <c r="L76" s="175" t="s">
        <v>867</v>
      </c>
      <c r="M76" s="175" t="s">
        <v>866</v>
      </c>
      <c r="N76" s="175" t="s">
        <v>865</v>
      </c>
      <c r="O76" s="175" t="s">
        <v>864</v>
      </c>
      <c r="P76" s="175" t="s">
        <v>863</v>
      </c>
      <c r="Q76" s="33" t="s">
        <v>862</v>
      </c>
      <c r="R76" s="33" t="s">
        <v>861</v>
      </c>
      <c r="S76" s="33" t="s">
        <v>860</v>
      </c>
      <c r="T76" s="33" t="s">
        <v>859</v>
      </c>
      <c r="U76" s="33" t="s">
        <v>858</v>
      </c>
      <c r="V76" s="33" t="s">
        <v>857</v>
      </c>
      <c r="W76" s="33" t="s">
        <v>856</v>
      </c>
      <c r="X76" s="33" t="s">
        <v>855</v>
      </c>
      <c r="Y76" s="33" t="s">
        <v>854</v>
      </c>
      <c r="Z76" s="33" t="s">
        <v>853</v>
      </c>
      <c r="AA76" s="33" t="s">
        <v>852</v>
      </c>
      <c r="AB76" s="33" t="s">
        <v>851</v>
      </c>
      <c r="AC76" s="33" t="s">
        <v>466</v>
      </c>
      <c r="AD76" s="33" t="str">
        <f>A76</f>
        <v>Line</v>
      </c>
    </row>
    <row r="77" spans="1:30" x14ac:dyDescent="0.25">
      <c r="A77" s="8"/>
      <c r="B77" s="246"/>
      <c r="C77" s="246"/>
      <c r="D77" s="334"/>
      <c r="E77" s="335"/>
      <c r="F77" s="334"/>
      <c r="G77" s="334"/>
      <c r="H77" s="334"/>
      <c r="I77" s="334"/>
      <c r="J77" s="334"/>
      <c r="K77" s="333"/>
      <c r="L77" s="334"/>
      <c r="M77" s="334"/>
      <c r="N77" s="334"/>
      <c r="O77" s="334"/>
      <c r="P77" s="334"/>
      <c r="Q77" s="333"/>
      <c r="R77" s="333"/>
      <c r="S77" s="333"/>
      <c r="T77" s="333"/>
      <c r="U77" s="333"/>
      <c r="V77" s="333"/>
      <c r="W77" s="333"/>
      <c r="X77" s="333"/>
      <c r="Y77" s="333"/>
      <c r="Z77" s="333"/>
      <c r="AA77" s="333"/>
      <c r="AB77" s="333"/>
      <c r="AC77" s="260"/>
    </row>
    <row r="78" spans="1:30" x14ac:dyDescent="0.25">
      <c r="A78" s="8">
        <v>500</v>
      </c>
      <c r="B78" s="246" t="s">
        <v>478</v>
      </c>
      <c r="C78" s="255">
        <f>'1-BaseTRR'!$G$3</f>
        <v>2025</v>
      </c>
      <c r="D78" s="236">
        <f>+D$66*D44/12</f>
        <v>0</v>
      </c>
      <c r="E78" s="40">
        <f>+E$66*E44/12</f>
        <v>321859.46265467716</v>
      </c>
      <c r="F78" s="236">
        <f>+F$66*F44/12</f>
        <v>503533.03292504343</v>
      </c>
      <c r="G78" s="236">
        <f>+G$66*G44/12</f>
        <v>161691.24486046148</v>
      </c>
      <c r="H78" s="236">
        <f>+H$66*H44/12</f>
        <v>21456171.363284644</v>
      </c>
      <c r="I78" s="236">
        <f>+I$66*I44/12</f>
        <v>7896.9136337005521</v>
      </c>
      <c r="J78" s="236">
        <f>+J$66*J44/12</f>
        <v>2725713.2467011348</v>
      </c>
      <c r="K78" s="242">
        <f>+K$66*K44/12</f>
        <v>0</v>
      </c>
      <c r="L78" s="236">
        <f>+L$66*L44/12</f>
        <v>7768209.3046847386</v>
      </c>
      <c r="M78" s="236">
        <f>+M$66*M44/12</f>
        <v>7701014.3550063735</v>
      </c>
      <c r="N78" s="236">
        <f>+N$66*N44/12</f>
        <v>663075.43969251588</v>
      </c>
      <c r="O78" s="236">
        <f>+O$66*O44/12</f>
        <v>467091.11113519984</v>
      </c>
      <c r="P78" s="236">
        <f>+P$66*P44/12</f>
        <v>418857.20086549246</v>
      </c>
      <c r="Q78" s="242">
        <f>+Q$66*Q44/12</f>
        <v>383843.06999748806</v>
      </c>
      <c r="R78" s="242">
        <f>+R$66*R44/12</f>
        <v>22941.015248677442</v>
      </c>
      <c r="S78" s="242">
        <f>+S$66*S44/12</f>
        <v>2013993.6226799667</v>
      </c>
      <c r="T78" s="242">
        <f>+T$66*T44/12</f>
        <v>3481.4693223763388</v>
      </c>
      <c r="U78" s="242">
        <f>+U$66*U44/12</f>
        <v>247778.02705120089</v>
      </c>
      <c r="V78" s="242">
        <f>+V$66*V44/12</f>
        <v>380724.99464328872</v>
      </c>
      <c r="W78" s="242">
        <f>+W$66*W44/12</f>
        <v>854429.38558836502</v>
      </c>
      <c r="X78" s="242">
        <f>+X$66*X44/12</f>
        <v>63022.869464385971</v>
      </c>
      <c r="Y78" s="242">
        <f>+Y$66*Y44/12</f>
        <v>4173.766079802831</v>
      </c>
      <c r="Z78" s="242">
        <f>+Z$66*Z44/12</f>
        <v>322567.13799869979</v>
      </c>
      <c r="AA78" s="267">
        <f>+AA$66*AA44/12</f>
        <v>544.15091294585852</v>
      </c>
      <c r="AB78" s="242">
        <f>+AB$66*AB44/12</f>
        <v>3763686.9416325069</v>
      </c>
      <c r="AC78" s="24">
        <f>SUM(D78:AB78)</f>
        <v>50256299.126063682</v>
      </c>
      <c r="AD78" s="8">
        <f>A78</f>
        <v>500</v>
      </c>
    </row>
    <row r="79" spans="1:30" x14ac:dyDescent="0.25">
      <c r="A79" s="8">
        <f>A78+1</f>
        <v>501</v>
      </c>
      <c r="B79" s="246" t="s">
        <v>477</v>
      </c>
      <c r="C79" s="255">
        <f>'1-BaseTRR'!$G$3</f>
        <v>2025</v>
      </c>
      <c r="D79" s="236">
        <f>+D$66*D45/12</f>
        <v>0</v>
      </c>
      <c r="E79" s="236">
        <f>+E$66*E45/12</f>
        <v>321919.58345954964</v>
      </c>
      <c r="F79" s="236">
        <f>+F$66*F45/12</f>
        <v>503239.3091157896</v>
      </c>
      <c r="G79" s="236">
        <f>+G$66*G45/12</f>
        <v>147803.26238289071</v>
      </c>
      <c r="H79" s="236">
        <f>+H$66*H45/12</f>
        <v>21573519.061305031</v>
      </c>
      <c r="I79" s="236">
        <f>+I$66*I45/12</f>
        <v>7896.9136337005521</v>
      </c>
      <c r="J79" s="236">
        <f>+J$66*J45/12</f>
        <v>2753232.1940252767</v>
      </c>
      <c r="K79" s="242">
        <f>+K$66*K45/12</f>
        <v>0</v>
      </c>
      <c r="L79" s="236">
        <f>+L$66*L45/12</f>
        <v>7806092.1193187321</v>
      </c>
      <c r="M79" s="236">
        <f>+M$66*M45/12</f>
        <v>7703687.8655846892</v>
      </c>
      <c r="N79" s="236">
        <f>+N$66*N45/12</f>
        <v>663074.02044201351</v>
      </c>
      <c r="O79" s="236">
        <f>+O$66*O45/12</f>
        <v>467087.29577242472</v>
      </c>
      <c r="P79" s="236">
        <f>+P$66*P45/12</f>
        <v>419915.13272682019</v>
      </c>
      <c r="Q79" s="242">
        <f>+Q$66*Q45/12</f>
        <v>397099.02645911346</v>
      </c>
      <c r="R79" s="242">
        <f>+R$66*R45/12</f>
        <v>22941.014446758625</v>
      </c>
      <c r="S79" s="242">
        <f>+S$66*S45/12</f>
        <v>1916972.1197048852</v>
      </c>
      <c r="T79" s="242">
        <f>+T$66*T45/12</f>
        <v>85094.786602371736</v>
      </c>
      <c r="U79" s="242">
        <f>+U$66*U45/12</f>
        <v>319274.97194429702</v>
      </c>
      <c r="V79" s="242">
        <f>+V$66*V45/12</f>
        <v>378250.7607859603</v>
      </c>
      <c r="W79" s="242">
        <f>+W$66*W45/12</f>
        <v>807694.61660214642</v>
      </c>
      <c r="X79" s="242">
        <f>+X$66*X45/12</f>
        <v>63027.525081996639</v>
      </c>
      <c r="Y79" s="242">
        <f>+Y$66*Y45/12</f>
        <v>34024.621560081789</v>
      </c>
      <c r="Z79" s="242">
        <f>+Z$66*Z45/12</f>
        <v>332015.70112165622</v>
      </c>
      <c r="AA79" s="267">
        <f>+AA$66*AA45/12</f>
        <v>544.15091294585852</v>
      </c>
      <c r="AB79" s="242">
        <f>+AB$66*AB45/12</f>
        <v>3804010.5387721718</v>
      </c>
      <c r="AC79" s="24">
        <f>SUM(D79:AB79)</f>
        <v>50528416.591761306</v>
      </c>
      <c r="AD79" s="8">
        <f>A79</f>
        <v>501</v>
      </c>
    </row>
    <row r="80" spans="1:30" x14ac:dyDescent="0.25">
      <c r="A80" s="8">
        <f>A79+1</f>
        <v>502</v>
      </c>
      <c r="B80" s="246" t="s">
        <v>476</v>
      </c>
      <c r="C80" s="255">
        <f>'1-BaseTRR'!$G$3</f>
        <v>2025</v>
      </c>
      <c r="D80" s="236">
        <f>+D$66*D46/12</f>
        <v>0</v>
      </c>
      <c r="E80" s="236">
        <f>+E$66*E46/12</f>
        <v>321963.61536860402</v>
      </c>
      <c r="F80" s="236">
        <f>+F$66*F46/12</f>
        <v>503881.61257436802</v>
      </c>
      <c r="G80" s="236">
        <f>+G$66*G46/12</f>
        <v>151744.64788654624</v>
      </c>
      <c r="H80" s="236">
        <f>+H$66*H46/12</f>
        <v>21676996.998656429</v>
      </c>
      <c r="I80" s="236">
        <f>+I$66*I46/12</f>
        <v>7896.9136337005521</v>
      </c>
      <c r="J80" s="236">
        <f>+J$66*J46/12</f>
        <v>2824622.9679944068</v>
      </c>
      <c r="K80" s="242">
        <f>+K$66*K46/12</f>
        <v>0</v>
      </c>
      <c r="L80" s="236">
        <f>+L$66*L46/12</f>
        <v>7874284.2986853579</v>
      </c>
      <c r="M80" s="236">
        <f>+M$66*M46/12</f>
        <v>7887680.1793194041</v>
      </c>
      <c r="N80" s="236">
        <f>+N$66*N46/12</f>
        <v>663150.41949926445</v>
      </c>
      <c r="O80" s="236">
        <f>+O$66*O46/12</f>
        <v>467092.03381637181</v>
      </c>
      <c r="P80" s="236">
        <f>+P$66*P46/12</f>
        <v>420475.40910013067</v>
      </c>
      <c r="Q80" s="242">
        <f>+Q$66*Q46/12</f>
        <v>398031.24149666884</v>
      </c>
      <c r="R80" s="242">
        <f>+R$66*R46/12</f>
        <v>22941.014446758632</v>
      </c>
      <c r="S80" s="242">
        <f>+S$66*S46/12</f>
        <v>1924619.3258786525</v>
      </c>
      <c r="T80" s="242">
        <f>+T$66*T46/12</f>
        <v>86851.914848604036</v>
      </c>
      <c r="U80" s="242">
        <f>+U$66*U46/12</f>
        <v>332776.79006595083</v>
      </c>
      <c r="V80" s="242">
        <f>+V$66*V46/12</f>
        <v>388261.07577262382</v>
      </c>
      <c r="W80" s="242">
        <f>+W$66*W46/12</f>
        <v>1030283.6437764131</v>
      </c>
      <c r="X80" s="242">
        <f>+X$66*X46/12</f>
        <v>63027.525081996639</v>
      </c>
      <c r="Y80" s="242">
        <f>+Y$66*Y46/12</f>
        <v>34024.621560081789</v>
      </c>
      <c r="Z80" s="242">
        <f>+Z$66*Z46/12</f>
        <v>359536.40507459658</v>
      </c>
      <c r="AA80" s="267">
        <f>+AA$66*AA46/12</f>
        <v>649.50251729482704</v>
      </c>
      <c r="AB80" s="242">
        <f>+AB$66*AB46/12</f>
        <v>3534927.0293152644</v>
      </c>
      <c r="AC80" s="24">
        <f>SUM(D80:AB80)</f>
        <v>50975719.186369486</v>
      </c>
      <c r="AD80" s="8">
        <f>A80</f>
        <v>502</v>
      </c>
    </row>
    <row r="81" spans="1:30" x14ac:dyDescent="0.25">
      <c r="A81" s="8">
        <f>A80+1</f>
        <v>503</v>
      </c>
      <c r="B81" s="246" t="s">
        <v>475</v>
      </c>
      <c r="C81" s="255">
        <f>'1-BaseTRR'!$G$3</f>
        <v>2025</v>
      </c>
      <c r="D81" s="236">
        <f>+D$66*D47/12</f>
        <v>0</v>
      </c>
      <c r="E81" s="236">
        <f>+E$66*E47/12</f>
        <v>322226.55850029126</v>
      </c>
      <c r="F81" s="236">
        <f>+F$66*F47/12</f>
        <v>503082.40115765826</v>
      </c>
      <c r="G81" s="236">
        <f>+G$66*G47/12</f>
        <v>150517.39395838504</v>
      </c>
      <c r="H81" s="236">
        <f>+H$66*H47/12</f>
        <v>21702728.536446761</v>
      </c>
      <c r="I81" s="236">
        <f>+I$66*I47/12</f>
        <v>7896.9136337005521</v>
      </c>
      <c r="J81" s="236">
        <f>+J$66*J47/12</f>
        <v>2954626.1494535855</v>
      </c>
      <c r="K81" s="242">
        <f>+K$66*K47/12</f>
        <v>0</v>
      </c>
      <c r="L81" s="236">
        <f>+L$66*L47/12</f>
        <v>7910763.0941970907</v>
      </c>
      <c r="M81" s="236">
        <f>+M$66*M47/12</f>
        <v>7911026.7079651831</v>
      </c>
      <c r="N81" s="236">
        <f>+N$66*N47/12</f>
        <v>663379.03765183361</v>
      </c>
      <c r="O81" s="236">
        <f>+O$66*O47/12</f>
        <v>467090.54950953095</v>
      </c>
      <c r="P81" s="236">
        <f>+P$66*P47/12</f>
        <v>422211.24787797203</v>
      </c>
      <c r="Q81" s="242">
        <f>+Q$66*Q47/12</f>
        <v>398031.2414966689</v>
      </c>
      <c r="R81" s="242">
        <f>+R$66*R47/12</f>
        <v>22941.014446758632</v>
      </c>
      <c r="S81" s="242">
        <f>+S$66*S47/12</f>
        <v>2087862.1360981187</v>
      </c>
      <c r="T81" s="242">
        <f>+T$66*T47/12</f>
        <v>10220.378472929568</v>
      </c>
      <c r="U81" s="242">
        <f>+U$66*U47/12</f>
        <v>336827.96810349968</v>
      </c>
      <c r="V81" s="242">
        <f>+V$66*V47/12</f>
        <v>414808.82633438631</v>
      </c>
      <c r="W81" s="242">
        <f>+W$66*W47/12</f>
        <v>1074729.7237529058</v>
      </c>
      <c r="X81" s="242">
        <f>+X$66*X47/12</f>
        <v>72414.58710628665</v>
      </c>
      <c r="Y81" s="242">
        <f>+Y$66*Y47/12</f>
        <v>34024.621560081789</v>
      </c>
      <c r="Z81" s="242">
        <f>+Z$66*Z47/12</f>
        <v>361710.44721925416</v>
      </c>
      <c r="AA81" s="267">
        <f>+AA$66*AA47/12</f>
        <v>649.50251729482704</v>
      </c>
      <c r="AB81" s="242">
        <f>+AB$66*AB47/12</f>
        <v>3548536.9143504933</v>
      </c>
      <c r="AC81" s="24">
        <f>SUM(D81:AB81)</f>
        <v>51378305.951810673</v>
      </c>
      <c r="AD81" s="8">
        <f>A81</f>
        <v>503</v>
      </c>
    </row>
    <row r="82" spans="1:30" s="30" customFormat="1" x14ac:dyDescent="0.25">
      <c r="A82" s="8">
        <f>A81+1</f>
        <v>504</v>
      </c>
      <c r="B82" s="246" t="s">
        <v>474</v>
      </c>
      <c r="C82" s="255">
        <f>'1-BaseTRR'!$G$3</f>
        <v>2025</v>
      </c>
      <c r="D82" s="236">
        <f>+D$66*D48/12</f>
        <v>0</v>
      </c>
      <c r="E82" s="236">
        <f>+E$66*E48/12</f>
        <v>322362.47015311732</v>
      </c>
      <c r="F82" s="236">
        <f>+F$66*F48/12</f>
        <v>519648.429631854</v>
      </c>
      <c r="G82" s="236">
        <f>+G$66*G48/12</f>
        <v>152005.11291092323</v>
      </c>
      <c r="H82" s="236">
        <f>+H$66*H48/12</f>
        <v>21862440.207167882</v>
      </c>
      <c r="I82" s="236">
        <f>+I$66*I48/12</f>
        <v>7896.9136337005521</v>
      </c>
      <c r="J82" s="236">
        <f>+J$66*J48/12</f>
        <v>2965063.4800442872</v>
      </c>
      <c r="K82" s="242">
        <f>+K$66*K48/12</f>
        <v>0</v>
      </c>
      <c r="L82" s="236">
        <f>+L$66*L48/12</f>
        <v>7907566.2792954789</v>
      </c>
      <c r="M82" s="236">
        <f>+M$66*M48/12</f>
        <v>7918287.9994644979</v>
      </c>
      <c r="N82" s="236">
        <f>+N$66*N48/12</f>
        <v>663365.07332203572</v>
      </c>
      <c r="O82" s="236">
        <f>+O$66*O48/12</f>
        <v>467089.0588226532</v>
      </c>
      <c r="P82" s="236">
        <f>+P$66*P48/12</f>
        <v>423787.51963784685</v>
      </c>
      <c r="Q82" s="242">
        <f>+Q$66*Q48/12</f>
        <v>398031.24149666884</v>
      </c>
      <c r="R82" s="242">
        <f>+R$66*R48/12</f>
        <v>22941.014446758632</v>
      </c>
      <c r="S82" s="242">
        <f>+S$66*S48/12</f>
        <v>2098636.6043276205</v>
      </c>
      <c r="T82" s="242">
        <f>+T$66*T48/12</f>
        <v>16036.264540372787</v>
      </c>
      <c r="U82" s="242">
        <f>+U$66*U48/12</f>
        <v>337650.94585061207</v>
      </c>
      <c r="V82" s="242">
        <f>+V$66*V48/12</f>
        <v>414952.75427188579</v>
      </c>
      <c r="W82" s="242">
        <f>+W$66*W48/12</f>
        <v>1106396.7259809927</v>
      </c>
      <c r="X82" s="242">
        <f>+X$66*X48/12</f>
        <v>74909.445263262533</v>
      </c>
      <c r="Y82" s="242">
        <f>+Y$66*Y48/12</f>
        <v>34024.621560081789</v>
      </c>
      <c r="Z82" s="242">
        <f>+Z$66*Z48/12</f>
        <v>364516.72091709799</v>
      </c>
      <c r="AA82" s="267">
        <f>+AA$66*AA48/12</f>
        <v>649.50251729482704</v>
      </c>
      <c r="AB82" s="242">
        <f>+AB$66*AB48/12</f>
        <v>3602090.39484919</v>
      </c>
      <c r="AC82" s="24">
        <f>SUM(D82:AB82)</f>
        <v>51680348.780106105</v>
      </c>
      <c r="AD82" s="8">
        <f>A82</f>
        <v>504</v>
      </c>
    </row>
    <row r="83" spans="1:30" x14ac:dyDescent="0.25">
      <c r="A83" s="8">
        <f>A82+1</f>
        <v>505</v>
      </c>
      <c r="B83" s="246" t="s">
        <v>763</v>
      </c>
      <c r="C83" s="255">
        <f>'1-BaseTRR'!$G$3</f>
        <v>2025</v>
      </c>
      <c r="D83" s="236">
        <f>+D$66*D49/12</f>
        <v>0</v>
      </c>
      <c r="E83" s="236">
        <f>+E$66*E49/12</f>
        <v>322967.83276823041</v>
      </c>
      <c r="F83" s="236">
        <f>+F$66*F49/12</f>
        <v>520330.35816528299</v>
      </c>
      <c r="G83" s="236">
        <f>+G$66*G49/12</f>
        <v>153274.21679613428</v>
      </c>
      <c r="H83" s="236">
        <f>+H$66*H49/12</f>
        <v>21972602.699693199</v>
      </c>
      <c r="I83" s="236">
        <f>+I$66*I49/12</f>
        <v>7901.6155523050256</v>
      </c>
      <c r="J83" s="236">
        <f>+J$66*J49/12</f>
        <v>2982835.7259490844</v>
      </c>
      <c r="K83" s="242">
        <f>+K$66*K49/12</f>
        <v>0</v>
      </c>
      <c r="L83" s="236">
        <f>+L$66*L49/12</f>
        <v>7956985.1866425397</v>
      </c>
      <c r="M83" s="236">
        <f>+M$66*M49/12</f>
        <v>7931075.5614873143</v>
      </c>
      <c r="N83" s="236">
        <f>+N$66*N49/12</f>
        <v>663447.94266474969</v>
      </c>
      <c r="O83" s="236">
        <f>+O$66*O49/12</f>
        <v>467088.51470581652</v>
      </c>
      <c r="P83" s="236">
        <f>+P$66*P49/12</f>
        <v>428469.4074266557</v>
      </c>
      <c r="Q83" s="242">
        <f>+Q$66*Q49/12</f>
        <v>398031.24149666884</v>
      </c>
      <c r="R83" s="242">
        <f>+R$66*R49/12</f>
        <v>22941.014446758632</v>
      </c>
      <c r="S83" s="242">
        <f>+S$66*S49/12</f>
        <v>2118140.2825605008</v>
      </c>
      <c r="T83" s="242">
        <f>+T$66*T49/12</f>
        <v>22307.178074479703</v>
      </c>
      <c r="U83" s="242">
        <f>+U$66*U49/12</f>
        <v>347145.58247081644</v>
      </c>
      <c r="V83" s="242">
        <f>+V$66*V49/12</f>
        <v>419779.26281340834</v>
      </c>
      <c r="W83" s="242">
        <f>+W$66*W49/12</f>
        <v>1106517.64682005</v>
      </c>
      <c r="X83" s="242">
        <f>+X$66*X49/12</f>
        <v>74913.443639208403</v>
      </c>
      <c r="Y83" s="242">
        <f>+Y$66*Y49/12</f>
        <v>34024.621560081789</v>
      </c>
      <c r="Z83" s="242">
        <f>+Z$66*Z49/12</f>
        <v>366701.02444858494</v>
      </c>
      <c r="AA83" s="267">
        <f>+AA$66*AA49/12</f>
        <v>649.50251729482704</v>
      </c>
      <c r="AB83" s="242">
        <f>+AB$66*AB49/12</f>
        <v>3660891.1890335255</v>
      </c>
      <c r="AC83" s="24">
        <f>SUM(D83:AB83)</f>
        <v>51979021.051732704</v>
      </c>
      <c r="AD83" s="8">
        <f>A83</f>
        <v>505</v>
      </c>
    </row>
    <row r="84" spans="1:30" x14ac:dyDescent="0.25">
      <c r="A84" s="8">
        <f>A83+1</f>
        <v>506</v>
      </c>
      <c r="B84" s="246" t="s">
        <v>472</v>
      </c>
      <c r="C84" s="255">
        <f>'1-BaseTRR'!$G$3</f>
        <v>2025</v>
      </c>
      <c r="D84" s="236">
        <f>+D$66*D50/12</f>
        <v>0</v>
      </c>
      <c r="E84" s="236">
        <f>+E$66*E50/12</f>
        <v>325121.90096035629</v>
      </c>
      <c r="F84" s="236">
        <f>+F$66*F50/12</f>
        <v>520750.09595804516</v>
      </c>
      <c r="G84" s="236">
        <f>+G$66*G50/12</f>
        <v>154103.48343250068</v>
      </c>
      <c r="H84" s="236">
        <f>+H$66*H50/12</f>
        <v>22036009.835688904</v>
      </c>
      <c r="I84" s="236">
        <f>+I$66*I50/12</f>
        <v>7902.4032460946719</v>
      </c>
      <c r="J84" s="236">
        <f>+J$66*J50/12</f>
        <v>2988651.9554073871</v>
      </c>
      <c r="K84" s="242">
        <f>+K$66*K50/12</f>
        <v>0</v>
      </c>
      <c r="L84" s="236">
        <f>+L$66*L50/12</f>
        <v>7999303.3937538965</v>
      </c>
      <c r="M84" s="236">
        <f>+M$66*M50/12</f>
        <v>7918182.3278543614</v>
      </c>
      <c r="N84" s="236">
        <f>+N$66*N50/12</f>
        <v>664609.7908338526</v>
      </c>
      <c r="O84" s="236">
        <f>+O$66*O50/12</f>
        <v>467086.6138538954</v>
      </c>
      <c r="P84" s="236">
        <f>+P$66*P50/12</f>
        <v>430622.59217818105</v>
      </c>
      <c r="Q84" s="242">
        <f>+Q$66*Q50/12</f>
        <v>269072.59096790629</v>
      </c>
      <c r="R84" s="242">
        <f>+R$66*R50/12</f>
        <v>22941.014446758632</v>
      </c>
      <c r="S84" s="242">
        <f>+S$66*S50/12</f>
        <v>1610409.8913528873</v>
      </c>
      <c r="T84" s="242">
        <f>+T$66*T50/12</f>
        <v>24912.578945150352</v>
      </c>
      <c r="U84" s="242">
        <f>+U$66*U50/12</f>
        <v>410770.10613214836</v>
      </c>
      <c r="V84" s="242">
        <f>+V$66*V50/12</f>
        <v>383400.11424961506</v>
      </c>
      <c r="W84" s="242">
        <f>+W$66*W50/12</f>
        <v>963575.388175503</v>
      </c>
      <c r="X84" s="242">
        <f>+X$66*X50/12</f>
        <v>54331.899402959367</v>
      </c>
      <c r="Y84" s="242">
        <f>+Y$66*Y50/12</f>
        <v>33145.378205970352</v>
      </c>
      <c r="Z84" s="242">
        <f>+Z$66*Z50/12</f>
        <v>367207.78374449868</v>
      </c>
      <c r="AA84" s="267">
        <f>+AA$66*AA50/12</f>
        <v>649.50251729482704</v>
      </c>
      <c r="AB84" s="242">
        <f>+AB$66*AB50/12</f>
        <v>3765419.3191274069</v>
      </c>
      <c r="AC84" s="24">
        <f>SUM(D84:AB84)</f>
        <v>51418179.960435569</v>
      </c>
      <c r="AD84" s="8">
        <f>A84</f>
        <v>506</v>
      </c>
    </row>
    <row r="85" spans="1:30" x14ac:dyDescent="0.25">
      <c r="A85" s="8">
        <f>A84+1</f>
        <v>507</v>
      </c>
      <c r="B85" s="246" t="s">
        <v>471</v>
      </c>
      <c r="C85" s="255">
        <f>'1-BaseTRR'!$G$3</f>
        <v>2025</v>
      </c>
      <c r="D85" s="236">
        <f>+D$66*D51/12</f>
        <v>0</v>
      </c>
      <c r="E85" s="236">
        <f>+E$66*E51/12</f>
        <v>331028.07162031851</v>
      </c>
      <c r="F85" s="236">
        <f>+F$66*F51/12</f>
        <v>519390.8418074068</v>
      </c>
      <c r="G85" s="236">
        <f>+G$66*G51/12</f>
        <v>179634.59185947498</v>
      </c>
      <c r="H85" s="236">
        <f>+H$66*H51/12</f>
        <v>22057109.889119763</v>
      </c>
      <c r="I85" s="236">
        <f>+I$66*I51/12</f>
        <v>7904.3025399614389</v>
      </c>
      <c r="J85" s="236">
        <f>+J$66*J51/12</f>
        <v>2859506.7890535407</v>
      </c>
      <c r="K85" s="242">
        <f>+K$66*K51/12</f>
        <v>212951.39844846181</v>
      </c>
      <c r="L85" s="236">
        <f>+L$66*L51/12</f>
        <v>8092681.4784476636</v>
      </c>
      <c r="M85" s="236">
        <f>+M$66*M51/12</f>
        <v>7989992.0893920017</v>
      </c>
      <c r="N85" s="236">
        <f>+N$66*N51/12</f>
        <v>663642.32519070245</v>
      </c>
      <c r="O85" s="236">
        <f>+O$66*O51/12</f>
        <v>467085.12330692</v>
      </c>
      <c r="P85" s="236">
        <f>+P$66*P51/12</f>
        <v>432276.68233140279</v>
      </c>
      <c r="Q85" s="242">
        <f>+Q$66*Q51/12</f>
        <v>269072.59096790629</v>
      </c>
      <c r="R85" s="242">
        <f>+R$66*R51/12</f>
        <v>22941.014446758632</v>
      </c>
      <c r="S85" s="242">
        <f>+S$66*S51/12</f>
        <v>1610683.023598057</v>
      </c>
      <c r="T85" s="242">
        <f>+T$66*T51/12</f>
        <v>30835.708182866376</v>
      </c>
      <c r="U85" s="242">
        <f>+U$66*U51/12</f>
        <v>429776.50715165446</v>
      </c>
      <c r="V85" s="242">
        <f>+V$66*V51/12</f>
        <v>390603.11802772642</v>
      </c>
      <c r="W85" s="242">
        <f>+W$66*W51/12</f>
        <v>982313.22169115662</v>
      </c>
      <c r="X85" s="242">
        <f>+X$66*X51/12</f>
        <v>54333.085569904193</v>
      </c>
      <c r="Y85" s="242">
        <f>+Y$66*Y51/12</f>
        <v>33145.378205970352</v>
      </c>
      <c r="Z85" s="242">
        <f>+Z$66*Z51/12</f>
        <v>368278.10849936726</v>
      </c>
      <c r="AA85" s="267">
        <f>+AA$66*AA51/12</f>
        <v>649.50251729482704</v>
      </c>
      <c r="AB85" s="242">
        <f>+AB$66*AB51/12</f>
        <v>3747890.6058269111</v>
      </c>
      <c r="AC85" s="24">
        <f>SUM(D85:AB85)</f>
        <v>51753725.447803199</v>
      </c>
      <c r="AD85" s="8">
        <f>A85</f>
        <v>507</v>
      </c>
    </row>
    <row r="86" spans="1:30" x14ac:dyDescent="0.25">
      <c r="A86" s="8">
        <f>A85+1</f>
        <v>508</v>
      </c>
      <c r="B86" s="246" t="s">
        <v>470</v>
      </c>
      <c r="C86" s="255">
        <f>'1-BaseTRR'!$G$3</f>
        <v>2025</v>
      </c>
      <c r="D86" s="236">
        <f>+D$66*D52/12</f>
        <v>0</v>
      </c>
      <c r="E86" s="236">
        <f>+E$66*E52/12</f>
        <v>334282.30141730176</v>
      </c>
      <c r="F86" s="236">
        <f>+F$66*F52/12</f>
        <v>520573.01931440621</v>
      </c>
      <c r="G86" s="236">
        <f>+G$66*G52/12</f>
        <v>174024.19673783713</v>
      </c>
      <c r="H86" s="236">
        <f>+H$66*H52/12</f>
        <v>22161737.300324384</v>
      </c>
      <c r="I86" s="236">
        <f>+I$66*I52/12</f>
        <v>7905.7043990260245</v>
      </c>
      <c r="J86" s="236">
        <f>+J$66*J52/12</f>
        <v>2882909.3023895496</v>
      </c>
      <c r="K86" s="242">
        <f>+K$66*K52/12</f>
        <v>251395.23523368617</v>
      </c>
      <c r="L86" s="236">
        <f>+L$66*L52/12</f>
        <v>8171675.2186478199</v>
      </c>
      <c r="M86" s="236">
        <f>+M$66*M52/12</f>
        <v>7997215.6864283374</v>
      </c>
      <c r="N86" s="236">
        <f>+N$66*N52/12</f>
        <v>663662.43945503049</v>
      </c>
      <c r="O86" s="236">
        <f>+O$66*O52/12</f>
        <v>467083.09707992111</v>
      </c>
      <c r="P86" s="236">
        <f>+P$66*P52/12</f>
        <v>433999.01252794144</v>
      </c>
      <c r="Q86" s="242">
        <f>+Q$66*Q52/12</f>
        <v>269072.59096790629</v>
      </c>
      <c r="R86" s="242">
        <f>+R$66*R52/12</f>
        <v>22941.014446758632</v>
      </c>
      <c r="S86" s="242">
        <f>+S$66*S52/12</f>
        <v>1610693.9021822496</v>
      </c>
      <c r="T86" s="242">
        <f>+T$66*T52/12</f>
        <v>37354.635286098834</v>
      </c>
      <c r="U86" s="242">
        <f>+U$66*U52/12</f>
        <v>440089.71291189879</v>
      </c>
      <c r="V86" s="242">
        <f>+V$66*V52/12</f>
        <v>393858.2311052272</v>
      </c>
      <c r="W86" s="242">
        <f>+W$66*W52/12</f>
        <v>982705.83797425067</v>
      </c>
      <c r="X86" s="242">
        <f>+X$66*X52/12</f>
        <v>68126.062688742386</v>
      </c>
      <c r="Y86" s="242">
        <f>+Y$66*Y52/12</f>
        <v>33145.378205970352</v>
      </c>
      <c r="Z86" s="242">
        <f>+Z$66*Z52/12</f>
        <v>402576.15756295942</v>
      </c>
      <c r="AA86" s="267">
        <f>+AA$66*AA52/12</f>
        <v>1817.7947209213387</v>
      </c>
      <c r="AB86" s="242">
        <f>+AB$66*AB52/12</f>
        <v>3819944.4990915968</v>
      </c>
      <c r="AC86" s="24">
        <f>SUM(D86:AB86)</f>
        <v>52148788.331099823</v>
      </c>
      <c r="AD86" s="8">
        <f>A86</f>
        <v>508</v>
      </c>
    </row>
    <row r="87" spans="1:30" x14ac:dyDescent="0.25">
      <c r="A87" s="8">
        <f>A86+1</f>
        <v>509</v>
      </c>
      <c r="B87" s="246" t="s">
        <v>469</v>
      </c>
      <c r="C87" s="255">
        <f>'1-BaseTRR'!$G$3</f>
        <v>2025</v>
      </c>
      <c r="D87" s="236">
        <f>+D$66*D53/12</f>
        <v>0</v>
      </c>
      <c r="E87" s="236">
        <f>+E$66*E53/12</f>
        <v>333589.48425221507</v>
      </c>
      <c r="F87" s="236">
        <f>+F$66*F53/12</f>
        <v>521019.88664001884</v>
      </c>
      <c r="G87" s="236">
        <f>+G$66*G53/12</f>
        <v>143729.95813142994</v>
      </c>
      <c r="H87" s="236">
        <f>+H$66*H53/12</f>
        <v>22218972.123360585</v>
      </c>
      <c r="I87" s="236">
        <f>+I$66*I53/12</f>
        <v>7905.6638706490694</v>
      </c>
      <c r="J87" s="236">
        <f>+J$66*J53/12</f>
        <v>2824370.7543531843</v>
      </c>
      <c r="K87" s="242">
        <f>+K$66*K53/12</f>
        <v>516160.05372724374</v>
      </c>
      <c r="L87" s="236">
        <f>+L$66*L53/12</f>
        <v>8202439.4636696242</v>
      </c>
      <c r="M87" s="236">
        <f>+M$66*M53/12</f>
        <v>8041354.8559416682</v>
      </c>
      <c r="N87" s="236">
        <f>+N$66*N53/12</f>
        <v>663659.56138421141</v>
      </c>
      <c r="O87" s="236">
        <f>+O$66*O53/12</f>
        <v>466252.72100519156</v>
      </c>
      <c r="P87" s="236">
        <f>+P$66*P53/12</f>
        <v>440043.39783035842</v>
      </c>
      <c r="Q87" s="242">
        <f>+Q$66*Q53/12</f>
        <v>269072.59096790629</v>
      </c>
      <c r="R87" s="242">
        <f>+R$66*R53/12</f>
        <v>22941.014446758632</v>
      </c>
      <c r="S87" s="242">
        <f>+S$66*S53/12</f>
        <v>1621486.98014071</v>
      </c>
      <c r="T87" s="242">
        <f>+T$66*T53/12</f>
        <v>45349.319822163736</v>
      </c>
      <c r="U87" s="242">
        <f>+U$66*U53/12</f>
        <v>498091.85958721209</v>
      </c>
      <c r="V87" s="242">
        <f>+V$66*V53/12</f>
        <v>399655.13960035826</v>
      </c>
      <c r="W87" s="242">
        <f>+W$66*W53/12</f>
        <v>990386.66123003571</v>
      </c>
      <c r="X87" s="242">
        <f>+X$66*X53/12</f>
        <v>101961.77396134811</v>
      </c>
      <c r="Y87" s="242">
        <f>+Y$66*Y53/12</f>
        <v>33145.378205970352</v>
      </c>
      <c r="Z87" s="242">
        <f>+Z$66*Z53/12</f>
        <v>404300.63406788994</v>
      </c>
      <c r="AA87" s="267">
        <f>+AA$66*AA53/12</f>
        <v>1817.7947209213387</v>
      </c>
      <c r="AB87" s="242">
        <f>+AB$66*AB53/12</f>
        <v>3709402.3865411715</v>
      </c>
      <c r="AC87" s="24">
        <f>SUM(D87:AB87)</f>
        <v>52477109.457458824</v>
      </c>
      <c r="AD87" s="8">
        <f>A87</f>
        <v>509</v>
      </c>
    </row>
    <row r="88" spans="1:30" x14ac:dyDescent="0.25">
      <c r="A88" s="8">
        <f>A87+1</f>
        <v>510</v>
      </c>
      <c r="B88" s="246" t="s">
        <v>468</v>
      </c>
      <c r="C88" s="255">
        <f>'1-BaseTRR'!$G$3</f>
        <v>2025</v>
      </c>
      <c r="D88" s="236">
        <f>+D$66*D54/12</f>
        <v>0</v>
      </c>
      <c r="E88" s="236">
        <f>+E$66*E54/12</f>
        <v>333497.78179680259</v>
      </c>
      <c r="F88" s="236">
        <f>+F$66*F54/12</f>
        <v>521266.81309571257</v>
      </c>
      <c r="G88" s="236">
        <f>+G$66*G54/12</f>
        <v>168652.86820821647</v>
      </c>
      <c r="H88" s="236">
        <f>+H$66*H54/12</f>
        <v>22444572.22269924</v>
      </c>
      <c r="I88" s="236">
        <f>+I$66*I54/12</f>
        <v>7905.6638706490694</v>
      </c>
      <c r="J88" s="236">
        <f>+J$66*J54/12</f>
        <v>2821574.3747248636</v>
      </c>
      <c r="K88" s="242">
        <f>+K$66*K54/12</f>
        <v>539707.5260958015</v>
      </c>
      <c r="L88" s="236">
        <f>+L$66*L54/12</f>
        <v>8292126.4773407504</v>
      </c>
      <c r="M88" s="236">
        <f>+M$66*M54/12</f>
        <v>8109903.3181210766</v>
      </c>
      <c r="N88" s="236">
        <f>+N$66*N54/12</f>
        <v>663685.07680234814</v>
      </c>
      <c r="O88" s="236">
        <f>+O$66*O54/12</f>
        <v>468316.78272534226</v>
      </c>
      <c r="P88" s="236">
        <f>+P$66*P54/12</f>
        <v>447702.85862940009</v>
      </c>
      <c r="Q88" s="242">
        <f>+Q$66*Q54/12</f>
        <v>269072.59096790629</v>
      </c>
      <c r="R88" s="242">
        <f>+R$66*R54/12</f>
        <v>22941.014446758632</v>
      </c>
      <c r="S88" s="242">
        <f>+S$66*S54/12</f>
        <v>1657962.0346965387</v>
      </c>
      <c r="T88" s="242">
        <f>+T$66*T54/12</f>
        <v>57194.700511096969</v>
      </c>
      <c r="U88" s="242">
        <f>+U$66*U54/12</f>
        <v>509227.39357925742</v>
      </c>
      <c r="V88" s="242">
        <f>+V$66*V54/12</f>
        <v>407577.83749793516</v>
      </c>
      <c r="W88" s="242">
        <f>+W$66*W54/12</f>
        <v>1055089.0385289479</v>
      </c>
      <c r="X88" s="242">
        <f>+X$66*X54/12</f>
        <v>107886.88855612226</v>
      </c>
      <c r="Y88" s="242">
        <f>+Y$66*Y54/12</f>
        <v>33145.378205970352</v>
      </c>
      <c r="Z88" s="242">
        <f>+Z$66*Z54/12</f>
        <v>409549.45049763838</v>
      </c>
      <c r="AA88" s="267">
        <f>+AA$66*AA54/12</f>
        <v>1817.7947209213387</v>
      </c>
      <c r="AB88" s="242">
        <f>+AB$66*AB54/12</f>
        <v>3842755.961310273</v>
      </c>
      <c r="AC88" s="24">
        <f>SUM(D88:AB88)</f>
        <v>53193131.847629569</v>
      </c>
      <c r="AD88" s="8">
        <f>A88</f>
        <v>510</v>
      </c>
    </row>
    <row r="89" spans="1:30" x14ac:dyDescent="0.25">
      <c r="A89" s="8">
        <f>A88+1</f>
        <v>511</v>
      </c>
      <c r="B89" s="254" t="s">
        <v>467</v>
      </c>
      <c r="C89" s="253">
        <f>'1-BaseTRR'!$G$3</f>
        <v>2025</v>
      </c>
      <c r="D89" s="251">
        <f>+D$66*D55/12</f>
        <v>0</v>
      </c>
      <c r="E89" s="251">
        <f>+E$66*E55/12</f>
        <v>334652.22139021079</v>
      </c>
      <c r="F89" s="251">
        <f>+F$66*F55/12</f>
        <v>524759.19909645105</v>
      </c>
      <c r="G89" s="251">
        <f>+G$66*G55/12</f>
        <v>168837.67505029458</v>
      </c>
      <c r="H89" s="251">
        <f>+H$66*H55/12</f>
        <v>22485837.385187153</v>
      </c>
      <c r="I89" s="251">
        <f>+I$66*I55/12</f>
        <v>7905.6633890089324</v>
      </c>
      <c r="J89" s="251">
        <f>+J$66*J55/12</f>
        <v>2937098.5927290204</v>
      </c>
      <c r="K89" s="251">
        <f>+K$66*K55/12</f>
        <v>553557.44033936004</v>
      </c>
      <c r="L89" s="251">
        <f>+L$66*L55/12</f>
        <v>8375188.645384077</v>
      </c>
      <c r="M89" s="251">
        <f>+M$66*M55/12</f>
        <v>8188546.7164110383</v>
      </c>
      <c r="N89" s="251">
        <f>+N$66*N55/12</f>
        <v>685899.94544383604</v>
      </c>
      <c r="O89" s="251">
        <f>+O$66*O55/12</f>
        <v>475440.23068188172</v>
      </c>
      <c r="P89" s="251">
        <f>+P$66*P55/12</f>
        <v>449843.61053393991</v>
      </c>
      <c r="Q89" s="251">
        <f>+Q$66*Q55/12</f>
        <v>269072.59096790623</v>
      </c>
      <c r="R89" s="251">
        <f>+R$66*R55/12</f>
        <v>22941.014446758625</v>
      </c>
      <c r="S89" s="251">
        <f>+S$66*S55/12</f>
        <v>1737921.6796007187</v>
      </c>
      <c r="T89" s="251">
        <f>+T$66*T55/12</f>
        <v>88154.161899308325</v>
      </c>
      <c r="U89" s="251">
        <f>+U$66*U55/12</f>
        <v>521130.97660461854</v>
      </c>
      <c r="V89" s="251">
        <f>+V$66*V55/12</f>
        <v>407898.70111876098</v>
      </c>
      <c r="W89" s="251">
        <f>+W$66*W55/12</f>
        <v>1072991.1070179762</v>
      </c>
      <c r="X89" s="251">
        <f>+X$66*X55/12</f>
        <v>107886.88855612224</v>
      </c>
      <c r="Y89" s="251">
        <f>+Y$66*Y55/12</f>
        <v>33145.378205970352</v>
      </c>
      <c r="Z89" s="251">
        <f>+Z$66*Z55/12</f>
        <v>412219.217920319</v>
      </c>
      <c r="AA89" s="266">
        <f>+AA$66*AA55/12</f>
        <v>1817.794720921338</v>
      </c>
      <c r="AB89" s="251">
        <f>+AB$66*AB55/12</f>
        <v>3919864.1733545722</v>
      </c>
      <c r="AC89" s="263">
        <f>SUM(D89:AB89)</f>
        <v>53782611.010050215</v>
      </c>
      <c r="AD89" s="8">
        <f>A89</f>
        <v>511</v>
      </c>
    </row>
    <row r="90" spans="1:30" x14ac:dyDescent="0.25">
      <c r="A90" s="8">
        <f>A89+1</f>
        <v>512</v>
      </c>
      <c r="B90" s="249" t="s">
        <v>466</v>
      </c>
      <c r="C90" s="249"/>
      <c r="D90" s="332">
        <f>SUM(D78:D89)</f>
        <v>0</v>
      </c>
      <c r="E90" s="332">
        <f>SUM(E78:E89)</f>
        <v>3925471.2843416752</v>
      </c>
      <c r="F90" s="332">
        <f>SUM(F78:F89)</f>
        <v>6181474.9994820375</v>
      </c>
      <c r="G90" s="332">
        <f>SUM(G78:G89)</f>
        <v>1906018.6522150945</v>
      </c>
      <c r="H90" s="332">
        <f>SUM(H78:H89)</f>
        <v>263648697.62293398</v>
      </c>
      <c r="I90" s="332">
        <f>SUM(I78:I89)</f>
        <v>94815.585036196979</v>
      </c>
      <c r="J90" s="332">
        <f>SUM(J78:J89)</f>
        <v>34520205.532825321</v>
      </c>
      <c r="K90" s="248">
        <f>SUM(K78:K89)</f>
        <v>2073771.653844553</v>
      </c>
      <c r="L90" s="332">
        <f>SUM(L78:L89)</f>
        <v>96357314.960067779</v>
      </c>
      <c r="M90" s="332">
        <f>SUM(M78:M89)</f>
        <v>95297967.662975937</v>
      </c>
      <c r="N90" s="332">
        <f>SUM(N78:N89)</f>
        <v>7984651.0723823933</v>
      </c>
      <c r="O90" s="332">
        <f>SUM(O78:O89)</f>
        <v>5613803.1324151484</v>
      </c>
      <c r="P90" s="332">
        <f>SUM(P78:P89)</f>
        <v>5168204.071666141</v>
      </c>
      <c r="Q90" s="248">
        <f>SUM(Q78:Q89)</f>
        <v>3987502.6082507139</v>
      </c>
      <c r="R90" s="248">
        <f>SUM(R78:R89)</f>
        <v>275292.17416302243</v>
      </c>
      <c r="S90" s="248">
        <f>SUM(S78:S89)</f>
        <v>22009381.602820907</v>
      </c>
      <c r="T90" s="248">
        <f>SUM(T78:T89)</f>
        <v>507793.09650781879</v>
      </c>
      <c r="U90" s="248">
        <f>SUM(U78:U89)</f>
        <v>4730540.8414531657</v>
      </c>
      <c r="V90" s="248">
        <f>SUM(V78:V89)</f>
        <v>4779770.8162211757</v>
      </c>
      <c r="W90" s="248">
        <f>SUM(W78:W89)</f>
        <v>12027112.997138742</v>
      </c>
      <c r="X90" s="248">
        <f>SUM(X78:X89)</f>
        <v>905841.99437233538</v>
      </c>
      <c r="Y90" s="248">
        <f>SUM(Y78:Y89)</f>
        <v>373169.14311603381</v>
      </c>
      <c r="Z90" s="248">
        <f>SUM(Z78:Z89)</f>
        <v>4471178.789072562</v>
      </c>
      <c r="AA90" s="261">
        <f>SUM(AA78:AA89)</f>
        <v>12256.495813346033</v>
      </c>
      <c r="AB90" s="248">
        <f>SUM(AB78:AB89)</f>
        <v>44719419.953205086</v>
      </c>
      <c r="AC90" s="332">
        <f>SUM(AC78:AC89)</f>
        <v>621571656.74232101</v>
      </c>
      <c r="AD90" s="8">
        <f>A90</f>
        <v>512</v>
      </c>
    </row>
    <row r="93" spans="1:30" x14ac:dyDescent="0.25">
      <c r="B93" s="83" t="s">
        <v>1014</v>
      </c>
      <c r="C93" s="35"/>
      <c r="D93" s="35"/>
      <c r="E93" s="35"/>
      <c r="F93" s="35"/>
      <c r="G93" s="35"/>
      <c r="H93" s="35"/>
      <c r="I93" s="35"/>
      <c r="J93" s="35"/>
      <c r="K93" s="35"/>
      <c r="L93" s="35"/>
      <c r="M93" s="35"/>
      <c r="N93" s="35"/>
      <c r="O93" s="35"/>
      <c r="P93" s="35"/>
      <c r="Q93" s="35"/>
      <c r="R93" s="35"/>
      <c r="S93" s="35"/>
      <c r="T93" s="35"/>
      <c r="U93" s="35"/>
      <c r="V93" s="35"/>
      <c r="W93" s="35"/>
      <c r="X93" s="35"/>
      <c r="Y93" s="35"/>
      <c r="Z93" s="35"/>
      <c r="AA93" s="35"/>
      <c r="AB93" s="35"/>
      <c r="AC93" s="35"/>
    </row>
    <row r="94" spans="1:30" x14ac:dyDescent="0.25">
      <c r="B94" s="6" t="s">
        <v>1013</v>
      </c>
    </row>
    <row r="96" spans="1:30" x14ac:dyDescent="0.25">
      <c r="A96" s="33" t="s">
        <v>106</v>
      </c>
      <c r="AD96" s="33" t="str">
        <f>A96</f>
        <v>Line</v>
      </c>
    </row>
    <row r="97" spans="1:30" x14ac:dyDescent="0.25">
      <c r="A97" s="8">
        <v>600</v>
      </c>
      <c r="B97" s="38" t="s">
        <v>1012</v>
      </c>
      <c r="F97" s="24">
        <f>+AC90</f>
        <v>621571656.74232101</v>
      </c>
      <c r="G97" s="6" t="s">
        <v>1011</v>
      </c>
      <c r="AD97" s="8">
        <f>A97</f>
        <v>600</v>
      </c>
    </row>
    <row r="98" spans="1:30" x14ac:dyDescent="0.25">
      <c r="A98" s="8">
        <f>+A97+1</f>
        <v>601</v>
      </c>
      <c r="B98" s="331" t="s">
        <v>1010</v>
      </c>
      <c r="C98" s="330"/>
      <c r="D98" s="330"/>
      <c r="E98" s="330"/>
      <c r="F98" s="263">
        <f>+AB16</f>
        <v>617554802.94716358</v>
      </c>
      <c r="G98" s="6" t="s">
        <v>1009</v>
      </c>
      <c r="AD98" s="8">
        <f>A98</f>
        <v>601</v>
      </c>
    </row>
    <row r="99" spans="1:30" x14ac:dyDescent="0.25">
      <c r="A99" s="8">
        <f>+A98+1</f>
        <v>602</v>
      </c>
      <c r="B99" s="30" t="s">
        <v>1008</v>
      </c>
      <c r="F99" s="94">
        <f>+F97-F98</f>
        <v>4016853.7951574326</v>
      </c>
      <c r="G99" s="6" t="s">
        <v>1007</v>
      </c>
      <c r="H99" s="30"/>
      <c r="I99" s="30"/>
      <c r="J99" s="30"/>
      <c r="K99" s="30"/>
      <c r="L99" s="30"/>
      <c r="M99" s="8"/>
      <c r="N99" s="30"/>
      <c r="O99" s="30"/>
      <c r="P99" s="30"/>
      <c r="AD99" s="8">
        <f>A99</f>
        <v>602</v>
      </c>
    </row>
    <row r="100" spans="1:30" x14ac:dyDescent="0.25">
      <c r="B100" s="8"/>
      <c r="C100" s="175"/>
      <c r="D100" s="175"/>
    </row>
    <row r="101" spans="1:30" x14ac:dyDescent="0.25">
      <c r="B101" s="8"/>
      <c r="C101" s="175"/>
      <c r="D101" s="175"/>
    </row>
    <row r="102" spans="1:30" x14ac:dyDescent="0.25">
      <c r="B102" s="25" t="s">
        <v>145</v>
      </c>
      <c r="C102" s="175"/>
      <c r="D102" s="175"/>
    </row>
    <row r="103" spans="1:30" x14ac:dyDescent="0.25">
      <c r="B103" s="6" t="s">
        <v>1006</v>
      </c>
    </row>
    <row r="104" spans="1:30" x14ac:dyDescent="0.25">
      <c r="B104" s="6" t="s">
        <v>1005</v>
      </c>
    </row>
    <row r="105" spans="1:30" x14ac:dyDescent="0.25">
      <c r="B105" s="6" t="s">
        <v>1004</v>
      </c>
    </row>
  </sheetData>
  <mergeCells count="1">
    <mergeCell ref="B31:AC31"/>
  </mergeCells>
  <printOptions horizontalCentered="1"/>
  <pageMargins left="1" right="1" top="1" bottom="1" header="0.5" footer="0.5"/>
  <pageSetup scale="22" fitToHeight="0" orientation="landscape" r:id="rId1"/>
  <headerFooter>
    <oddHeader>&amp;R&amp;F</oddHeader>
  </headerFooter>
  <rowBreaks count="1" manualBreakCount="1">
    <brk id="34" max="16383" man="1"/>
  </rowBreaks>
  <customProperties>
    <customPr name="_pios_id" r:id="rId2"/>
  </customPropertie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2FD810-E63B-4AEC-9C73-6239F3FC11A7}">
  <sheetPr>
    <pageSetUpPr fitToPage="1"/>
  </sheetPr>
  <dimension ref="A1:T120"/>
  <sheetViews>
    <sheetView view="pageBreakPreview" topLeftCell="A89" zoomScale="60" zoomScaleNormal="77" workbookViewId="0">
      <selection activeCell="Q36" sqref="Q36"/>
    </sheetView>
  </sheetViews>
  <sheetFormatPr defaultColWidth="8.85546875" defaultRowHeight="15" x14ac:dyDescent="0.25"/>
  <cols>
    <col min="1" max="1" width="6.85546875" style="8" bestFit="1" customWidth="1"/>
    <col min="2" max="2" width="8.85546875" style="6"/>
    <col min="3" max="3" width="13" style="38" customWidth="1"/>
    <col min="4" max="4" width="13" style="6" customWidth="1"/>
    <col min="5" max="5" width="79.140625" style="6" customWidth="1"/>
    <col min="6" max="6" width="23.5703125" style="6" bestFit="1" customWidth="1"/>
    <col min="7" max="7" width="7.85546875" style="6" customWidth="1"/>
    <col min="8" max="8" width="21.5703125" style="6" bestFit="1" customWidth="1"/>
    <col min="9" max="9" width="20.5703125" style="6" bestFit="1" customWidth="1"/>
    <col min="10" max="10" width="21.85546875" style="6" bestFit="1" customWidth="1"/>
    <col min="11" max="11" width="10" style="6" customWidth="1"/>
    <col min="12" max="12" width="13" style="6" customWidth="1"/>
    <col min="13" max="13" width="18.85546875" style="6" customWidth="1"/>
    <col min="14" max="14" width="16.85546875" style="6" customWidth="1"/>
    <col min="15" max="16" width="14.85546875" style="6" bestFit="1" customWidth="1"/>
    <col min="17" max="17" width="6.85546875" style="6" bestFit="1" customWidth="1"/>
    <col min="18" max="18" width="17.85546875" style="6" customWidth="1"/>
    <col min="19" max="19" width="15" style="6" bestFit="1" customWidth="1"/>
    <col min="20" max="20" width="13.5703125" style="6" bestFit="1" customWidth="1"/>
    <col min="21" max="16384" width="8.85546875" style="6"/>
  </cols>
  <sheetData>
    <row r="1" spans="1:18" x14ac:dyDescent="0.25">
      <c r="B1" s="30" t="s">
        <v>1234</v>
      </c>
      <c r="P1" s="76"/>
    </row>
    <row r="2" spans="1:18" x14ac:dyDescent="0.25">
      <c r="B2" s="30" t="s">
        <v>1233</v>
      </c>
      <c r="P2" s="76"/>
    </row>
    <row r="3" spans="1:18" x14ac:dyDescent="0.25">
      <c r="B3" s="30"/>
      <c r="P3" s="76"/>
    </row>
    <row r="4" spans="1:18" x14ac:dyDescent="0.25">
      <c r="B4" s="83" t="s">
        <v>1232</v>
      </c>
      <c r="C4" s="75"/>
      <c r="D4" s="83"/>
      <c r="E4" s="35"/>
      <c r="F4" s="35"/>
      <c r="G4" s="35"/>
      <c r="H4" s="35"/>
      <c r="I4" s="35"/>
      <c r="J4" s="35"/>
      <c r="K4" s="35"/>
      <c r="L4" s="35"/>
      <c r="M4" s="35"/>
      <c r="N4" s="35"/>
      <c r="O4" s="35"/>
      <c r="P4" s="35"/>
    </row>
    <row r="5" spans="1:18" x14ac:dyDescent="0.25">
      <c r="B5" s="30"/>
      <c r="D5" s="30"/>
    </row>
    <row r="6" spans="1:18" x14ac:dyDescent="0.25">
      <c r="B6" s="8"/>
      <c r="C6" s="8"/>
      <c r="D6" s="8"/>
      <c r="E6" s="23"/>
      <c r="F6" s="369" t="s">
        <v>492</v>
      </c>
      <c r="G6" s="369" t="s">
        <v>491</v>
      </c>
      <c r="H6" s="369" t="s">
        <v>490</v>
      </c>
      <c r="I6" s="369" t="s">
        <v>489</v>
      </c>
      <c r="J6" s="369" t="s">
        <v>519</v>
      </c>
      <c r="K6" s="369" t="s">
        <v>518</v>
      </c>
      <c r="L6" s="369" t="s">
        <v>517</v>
      </c>
      <c r="M6" s="369" t="s">
        <v>538</v>
      </c>
      <c r="N6" s="369" t="s">
        <v>537</v>
      </c>
      <c r="O6" s="369" t="s">
        <v>770</v>
      </c>
      <c r="P6" s="369" t="s">
        <v>769</v>
      </c>
      <c r="Q6" s="23"/>
    </row>
    <row r="7" spans="1:18" s="374" customFormat="1" ht="30" x14ac:dyDescent="0.25">
      <c r="A7" s="368"/>
      <c r="B7" s="368"/>
      <c r="C7" s="265"/>
      <c r="D7" s="368"/>
      <c r="E7" s="265"/>
      <c r="F7" s="258" t="s">
        <v>1231</v>
      </c>
      <c r="G7" s="265"/>
      <c r="H7" s="265" t="s">
        <v>1200</v>
      </c>
      <c r="I7" s="258" t="s">
        <v>1230</v>
      </c>
      <c r="J7" s="265" t="s">
        <v>1198</v>
      </c>
      <c r="K7" s="265"/>
      <c r="L7" s="265"/>
      <c r="M7" s="265" t="s">
        <v>1197</v>
      </c>
      <c r="N7" s="265"/>
      <c r="O7" s="265"/>
      <c r="P7" s="265"/>
      <c r="Q7" s="265"/>
    </row>
    <row r="8" spans="1:18" x14ac:dyDescent="0.25">
      <c r="B8" s="30"/>
      <c r="D8" s="30"/>
    </row>
    <row r="9" spans="1:18" x14ac:dyDescent="0.25">
      <c r="F9" s="8" t="s">
        <v>1196</v>
      </c>
      <c r="G9" s="366" t="s">
        <v>1195</v>
      </c>
      <c r="H9" s="366"/>
      <c r="I9" s="8" t="s">
        <v>1194</v>
      </c>
      <c r="J9" s="8" t="s">
        <v>1193</v>
      </c>
      <c r="K9" s="367" t="s">
        <v>1192</v>
      </c>
      <c r="L9" s="8" t="s">
        <v>1191</v>
      </c>
      <c r="M9" s="366" t="s">
        <v>1190</v>
      </c>
      <c r="N9" s="366"/>
    </row>
    <row r="10" spans="1:18" x14ac:dyDescent="0.25">
      <c r="A10" s="33" t="s">
        <v>106</v>
      </c>
      <c r="B10" s="33" t="s">
        <v>1158</v>
      </c>
      <c r="C10" s="33" t="s">
        <v>819</v>
      </c>
      <c r="D10" s="33" t="s">
        <v>1157</v>
      </c>
      <c r="E10" s="33" t="s">
        <v>1156</v>
      </c>
      <c r="F10" s="363" t="s">
        <v>1189</v>
      </c>
      <c r="G10" s="363" t="s">
        <v>1188</v>
      </c>
      <c r="H10" s="365" t="s">
        <v>1183</v>
      </c>
      <c r="I10" s="363" t="s">
        <v>1187</v>
      </c>
      <c r="J10" s="363" t="s">
        <v>1186</v>
      </c>
      <c r="K10" s="364" t="s">
        <v>1185</v>
      </c>
      <c r="L10" s="363" t="s">
        <v>1184</v>
      </c>
      <c r="M10" s="363" t="s">
        <v>1183</v>
      </c>
      <c r="N10" s="363" t="s">
        <v>1182</v>
      </c>
      <c r="O10" s="363" t="s">
        <v>1181</v>
      </c>
      <c r="P10" s="363" t="s">
        <v>1180</v>
      </c>
      <c r="Q10" s="33" t="str">
        <f>A10</f>
        <v>Line</v>
      </c>
    </row>
    <row r="11" spans="1:18" x14ac:dyDescent="0.25">
      <c r="A11" s="8">
        <v>100</v>
      </c>
      <c r="B11" s="6" t="str">
        <f>IF(RIGHT(E11,4)="CPUC","ETC","ETP")</f>
        <v>ETP</v>
      </c>
      <c r="C11" s="38">
        <v>352.01</v>
      </c>
      <c r="D11" s="6" t="str">
        <f>IF(LEN(C11)&gt;=6,"ETP"&amp;LEFT(C11,3)&amp;RIGHT(C11,2),"ETP"&amp;LEFT(C11,3)&amp;"00")</f>
        <v>ETP35201</v>
      </c>
      <c r="E11" s="6" t="s">
        <v>1084</v>
      </c>
      <c r="F11" s="267">
        <f>'7-PlantInService'!F$25</f>
        <v>386753222.08858752</v>
      </c>
      <c r="G11" s="359">
        <v>-20</v>
      </c>
      <c r="H11" s="242">
        <f>+F11*G11/100</f>
        <v>-77350644.417717502</v>
      </c>
      <c r="I11" s="267">
        <f>'10-AccDep'!F$27</f>
        <v>135620964.33051452</v>
      </c>
      <c r="J11" s="242">
        <f>+F11-H11-I11</f>
        <v>328482902.17579055</v>
      </c>
      <c r="K11" s="38" t="s">
        <v>1178</v>
      </c>
      <c r="L11" s="355">
        <v>53.82</v>
      </c>
      <c r="M11" s="242">
        <f>N11*F11</f>
        <v>6297110.3891574126</v>
      </c>
      <c r="N11" s="336">
        <v>1.6281985590581666E-2</v>
      </c>
      <c r="O11" s="67">
        <v>1.3253607939985281E-2</v>
      </c>
      <c r="P11" s="67">
        <v>3.0283776505963867E-3</v>
      </c>
      <c r="Q11" s="8">
        <f>A11</f>
        <v>100</v>
      </c>
      <c r="R11" s="372"/>
    </row>
    <row r="12" spans="1:18" x14ac:dyDescent="0.25">
      <c r="A12" s="8">
        <f>+A11+1</f>
        <v>101</v>
      </c>
      <c r="B12" s="6" t="str">
        <f>IF(RIGHT(E12,4)="CPUC","ETC","ETP")</f>
        <v>ETP</v>
      </c>
      <c r="C12" s="38">
        <v>352.02</v>
      </c>
      <c r="D12" s="6" t="str">
        <f>IF(LEN(C12)&gt;=6,"ETP"&amp;LEFT(C12,3)&amp;RIGHT(C12,2),"ETP"&amp;LEFT(C12,3)&amp;"00")</f>
        <v>ETP35202</v>
      </c>
      <c r="E12" s="6" t="s">
        <v>1179</v>
      </c>
      <c r="F12" s="267">
        <f>'7-PlantInService'!G$25</f>
        <v>118854056.24855964</v>
      </c>
      <c r="G12" s="359">
        <v>-20</v>
      </c>
      <c r="H12" s="242">
        <f>+F12*G12/100</f>
        <v>-23770811.249711927</v>
      </c>
      <c r="I12" s="267">
        <f>'10-AccDep'!G$27</f>
        <v>25973056.818733916</v>
      </c>
      <c r="J12" s="242">
        <f>+F12-H12-I12</f>
        <v>116651810.67953764</v>
      </c>
      <c r="K12" s="38" t="s">
        <v>1178</v>
      </c>
      <c r="L12" s="355">
        <v>60.38</v>
      </c>
      <c r="M12" s="242">
        <f>N12*F12</f>
        <v>2026052.1006035351</v>
      </c>
      <c r="N12" s="336">
        <v>1.7046554106377738E-2</v>
      </c>
      <c r="O12" s="67">
        <v>1.4399701854757332E-2</v>
      </c>
      <c r="P12" s="67">
        <v>2.6468522516204089E-3</v>
      </c>
      <c r="Q12" s="8">
        <f>A12</f>
        <v>101</v>
      </c>
      <c r="R12" s="372"/>
    </row>
    <row r="13" spans="1:18" x14ac:dyDescent="0.25">
      <c r="A13" s="8">
        <f>+A12+1</f>
        <v>102</v>
      </c>
      <c r="B13" s="6" t="str">
        <f>IF(RIGHT(E13,4)="CPUC","ETC","ETP")</f>
        <v>ETP</v>
      </c>
      <c r="C13" s="38">
        <v>353.01</v>
      </c>
      <c r="D13" s="6" t="str">
        <f>IF(LEN(C13)&gt;=6,"ETP"&amp;LEFT(C13,3)&amp;RIGHT(C13,2),"ETP"&amp;LEFT(C13,3)&amp;"00")</f>
        <v>ETP35301</v>
      </c>
      <c r="E13" s="6" t="s">
        <v>1177</v>
      </c>
      <c r="F13" s="267">
        <f>'7-PlantInService'!H$25</f>
        <v>9116820679.8303223</v>
      </c>
      <c r="G13" s="359">
        <v>-35</v>
      </c>
      <c r="H13" s="242">
        <f>+F13*G13/100</f>
        <v>-3190887237.9406128</v>
      </c>
      <c r="I13" s="267">
        <f>'10-AccDep'!H$27</f>
        <v>2619565730.9596591</v>
      </c>
      <c r="J13" s="242">
        <f>+F13-H13-I13</f>
        <v>9688142186.8112755</v>
      </c>
      <c r="K13" s="38" t="s">
        <v>1229</v>
      </c>
      <c r="L13" s="355">
        <v>37.270000000000003</v>
      </c>
      <c r="M13" s="242">
        <f>N13*F13</f>
        <v>269830048.62224585</v>
      </c>
      <c r="N13" s="336">
        <v>2.9596945919887038E-2</v>
      </c>
      <c r="O13" s="67">
        <v>2.1200378864971035E-2</v>
      </c>
      <c r="P13" s="67">
        <v>8.3965670549160046E-3</v>
      </c>
      <c r="Q13" s="8">
        <f>A13</f>
        <v>102</v>
      </c>
      <c r="R13" s="372"/>
    </row>
    <row r="14" spans="1:18" x14ac:dyDescent="0.25">
      <c r="A14" s="8">
        <f>+A13+1</f>
        <v>103</v>
      </c>
      <c r="B14" s="6" t="str">
        <f>IF(RIGHT(E14,4)="CPUC","ETC","ETP")</f>
        <v>ETP</v>
      </c>
      <c r="C14" s="38">
        <v>353.02</v>
      </c>
      <c r="D14" s="6" t="str">
        <f>IF(LEN(C14)&gt;=6,"ETP"&amp;LEFT(C14,3)&amp;RIGHT(C14,2),"ETP"&amp;LEFT(C14,3)&amp;"00")</f>
        <v>ETP35302</v>
      </c>
      <c r="E14" s="6" t="s">
        <v>1175</v>
      </c>
      <c r="F14" s="267">
        <f>'7-PlantInService'!I$25</f>
        <v>5422803.9396241782</v>
      </c>
      <c r="G14" s="359">
        <v>-5</v>
      </c>
      <c r="H14" s="242">
        <f>+F14*G14/100</f>
        <v>-271140.19698120892</v>
      </c>
      <c r="I14" s="267">
        <f>'10-AccDep'!I$27</f>
        <v>1788313.1500171367</v>
      </c>
      <c r="J14" s="242">
        <f>+F14-H14-I14</f>
        <v>3905630.9865882508</v>
      </c>
      <c r="K14" s="38" t="s">
        <v>1228</v>
      </c>
      <c r="L14" s="355">
        <v>32.92</v>
      </c>
      <c r="M14" s="242">
        <f>N14*F14</f>
        <v>94867.960668107189</v>
      </c>
      <c r="N14" s="336">
        <v>1.7494263433518474E-2</v>
      </c>
      <c r="O14" s="67">
        <v>1.6143267648053874E-2</v>
      </c>
      <c r="P14" s="67">
        <v>1.3509957854645968E-3</v>
      </c>
      <c r="Q14" s="8">
        <f>A14</f>
        <v>103</v>
      </c>
      <c r="R14" s="372"/>
    </row>
    <row r="15" spans="1:18" x14ac:dyDescent="0.25">
      <c r="A15" s="8">
        <f>+A14+1</f>
        <v>104</v>
      </c>
      <c r="B15" s="6" t="str">
        <f>IF(RIGHT(E15,4)="CPUC","ETC","ETP")</f>
        <v>ETP</v>
      </c>
      <c r="C15" s="38">
        <v>354</v>
      </c>
      <c r="D15" s="6" t="str">
        <f>IF(LEN(C15)&gt;=6,"ETP"&amp;LEFT(C15,3)&amp;RIGHT(C15,2),"ETP"&amp;LEFT(C15,3)&amp;"00")</f>
        <v>ETP35400</v>
      </c>
      <c r="E15" s="6" t="s">
        <v>1173</v>
      </c>
      <c r="F15" s="267">
        <f>'7-PlantInService'!J$25</f>
        <v>1392889808.7384157</v>
      </c>
      <c r="G15" s="359">
        <v>-90</v>
      </c>
      <c r="H15" s="242">
        <f>+F15*G15/100</f>
        <v>-1253600827.8645742</v>
      </c>
      <c r="I15" s="267">
        <f>'10-AccDep'!J$27</f>
        <v>423399711.445714</v>
      </c>
      <c r="J15" s="242">
        <f>+F15-H15-I15</f>
        <v>2223090925.1572762</v>
      </c>
      <c r="K15" s="38" t="s">
        <v>1227</v>
      </c>
      <c r="L15" s="355">
        <v>61.87</v>
      </c>
      <c r="M15" s="242">
        <f>N15*F15</f>
        <v>35245183.112748243</v>
      </c>
      <c r="N15" s="336">
        <v>2.5303640597866762E-2</v>
      </c>
      <c r="O15" s="67">
        <v>1.1681269490991148E-2</v>
      </c>
      <c r="P15" s="67">
        <v>1.3622371106875615E-2</v>
      </c>
      <c r="Q15" s="8">
        <f>A15</f>
        <v>104</v>
      </c>
      <c r="R15" s="372"/>
    </row>
    <row r="16" spans="1:18" x14ac:dyDescent="0.25">
      <c r="A16" s="8">
        <f>+A15+1</f>
        <v>105</v>
      </c>
      <c r="B16" s="6" t="s">
        <v>1207</v>
      </c>
      <c r="C16" s="38">
        <v>354.02</v>
      </c>
      <c r="D16" s="6" t="s">
        <v>868</v>
      </c>
      <c r="E16" s="6" t="s">
        <v>1226</v>
      </c>
      <c r="F16" s="242">
        <f>'7-PlantInService'!K$25</f>
        <v>132853785.6814464</v>
      </c>
      <c r="G16" s="359">
        <v>0</v>
      </c>
      <c r="H16" s="242">
        <f>+F16*G16/100</f>
        <v>0</v>
      </c>
      <c r="I16" s="242">
        <f>'10-AccDep'!K$27</f>
        <v>6297559.9427096583</v>
      </c>
      <c r="J16" s="242">
        <f>+F16-H16-I16</f>
        <v>126556225.73873675</v>
      </c>
      <c r="K16" s="38" t="s">
        <v>1225</v>
      </c>
      <c r="L16" s="185" t="s">
        <v>408</v>
      </c>
      <c r="M16" s="242">
        <f>N16*F16</f>
        <v>6642689.2840723209</v>
      </c>
      <c r="N16" s="336">
        <v>0.05</v>
      </c>
      <c r="O16" s="67">
        <v>0.05</v>
      </c>
      <c r="P16" s="67">
        <v>0</v>
      </c>
      <c r="Q16" s="8">
        <f>A16</f>
        <v>105</v>
      </c>
      <c r="R16" s="372"/>
    </row>
    <row r="17" spans="1:18" x14ac:dyDescent="0.25">
      <c r="A17" s="8">
        <f>+A16+1</f>
        <v>106</v>
      </c>
      <c r="B17" s="6" t="str">
        <f>IF(RIGHT(E17,4)="CPUC","ETC","ETP")</f>
        <v>ETP</v>
      </c>
      <c r="C17" s="38">
        <v>355</v>
      </c>
      <c r="D17" s="6" t="str">
        <f>IF(LEN(C17)&gt;=6,"ETP"&amp;LEFT(C17,3)&amp;RIGHT(C17,2),"ETP"&amp;LEFT(C17,3)&amp;"00")</f>
        <v>ETP35500</v>
      </c>
      <c r="E17" s="6" t="s">
        <v>1171</v>
      </c>
      <c r="F17" s="267">
        <f>'7-PlantInService'!L$25</f>
        <v>3197201485.2027988</v>
      </c>
      <c r="G17" s="359">
        <v>-75</v>
      </c>
      <c r="H17" s="242">
        <f>+F17*G17/100</f>
        <v>-2397901113.9020991</v>
      </c>
      <c r="I17" s="267">
        <f>'10-AccDep'!L$27</f>
        <v>606607240.04607558</v>
      </c>
      <c r="J17" s="242">
        <f>+F17-H17-I17</f>
        <v>4988495359.0588226</v>
      </c>
      <c r="K17" s="38" t="s">
        <v>1224</v>
      </c>
      <c r="L17" s="355">
        <v>49.51</v>
      </c>
      <c r="M17" s="242">
        <f>N17*F17</f>
        <v>100502263.74460892</v>
      </c>
      <c r="N17" s="336">
        <v>3.1434447972625679E-2</v>
      </c>
      <c r="O17" s="67">
        <v>1.7378854166247563E-2</v>
      </c>
      <c r="P17" s="67">
        <v>1.4055593806378115E-2</v>
      </c>
      <c r="Q17" s="8">
        <f>A17</f>
        <v>106</v>
      </c>
      <c r="R17" s="372"/>
    </row>
    <row r="18" spans="1:18" x14ac:dyDescent="0.25">
      <c r="A18" s="8">
        <f>+A17+1</f>
        <v>107</v>
      </c>
      <c r="B18" s="6" t="str">
        <f>IF(RIGHT(E18,4)="CPUC","ETC","ETP")</f>
        <v>ETP</v>
      </c>
      <c r="C18" s="38">
        <v>356</v>
      </c>
      <c r="D18" s="6" t="str">
        <f>IF(LEN(C18)&gt;=6,"ETP"&amp;LEFT(C18,3)&amp;RIGHT(C18,2),"ETP"&amp;LEFT(C18,3)&amp;"00")</f>
        <v>ETP35600</v>
      </c>
      <c r="E18" s="6" t="s">
        <v>1169</v>
      </c>
      <c r="F18" s="267">
        <f>'7-PlantInService'!M$25</f>
        <v>3107549087.6383648</v>
      </c>
      <c r="G18" s="359">
        <v>-95</v>
      </c>
      <c r="H18" s="242">
        <f>+F18*G18/100</f>
        <v>-2952171633.2564464</v>
      </c>
      <c r="I18" s="267">
        <f>'10-AccDep'!M$27</f>
        <v>632504222.69331086</v>
      </c>
      <c r="J18" s="242">
        <f>+F18-H18-I18</f>
        <v>5427216498.2015009</v>
      </c>
      <c r="K18" s="38" t="s">
        <v>1223</v>
      </c>
      <c r="L18" s="355">
        <v>55.87</v>
      </c>
      <c r="M18" s="242">
        <f>N18*F18</f>
        <v>98262560.596932456</v>
      </c>
      <c r="N18" s="336">
        <v>3.1620598042301169E-2</v>
      </c>
      <c r="O18" s="67">
        <v>1.4774765387229908E-2</v>
      </c>
      <c r="P18" s="67">
        <v>1.6845832655071259E-2</v>
      </c>
      <c r="Q18" s="8">
        <f>A18</f>
        <v>107</v>
      </c>
      <c r="R18" s="372"/>
    </row>
    <row r="19" spans="1:18" x14ac:dyDescent="0.25">
      <c r="A19" s="8">
        <f>+A18+1</f>
        <v>108</v>
      </c>
      <c r="B19" s="6" t="str">
        <f>IF(RIGHT(E19,4)="CPUC","ETC","ETP")</f>
        <v>ETP</v>
      </c>
      <c r="C19" s="38">
        <v>357</v>
      </c>
      <c r="D19" s="6" t="str">
        <f>IF(LEN(C19)&gt;=6,"ETP"&amp;LEFT(C19,3)&amp;RIGHT(C19,2),"ETP"&amp;LEFT(C19,3)&amp;"00")</f>
        <v>ETP35700</v>
      </c>
      <c r="E19" s="6" t="s">
        <v>1167</v>
      </c>
      <c r="F19" s="267">
        <f>'7-PlantInService'!N$25</f>
        <v>536877136.24501705</v>
      </c>
      <c r="G19" s="359">
        <v>0</v>
      </c>
      <c r="H19" s="242">
        <f>+F19*G19/100</f>
        <v>0</v>
      </c>
      <c r="I19" s="267">
        <f>'10-AccDep'!N$27</f>
        <v>140330035.10516462</v>
      </c>
      <c r="J19" s="242">
        <f>+F19-H19-I19</f>
        <v>396547101.1398524</v>
      </c>
      <c r="K19" s="38" t="s">
        <v>1166</v>
      </c>
      <c r="L19" s="355">
        <v>50.51</v>
      </c>
      <c r="M19" s="242">
        <f>N19*F19</f>
        <v>8230799.3453260325</v>
      </c>
      <c r="N19" s="336">
        <v>1.5330880735382453E-2</v>
      </c>
      <c r="O19" s="67">
        <v>1.5268052267952581E-2</v>
      </c>
      <c r="P19" s="67">
        <v>6.2828467429871978E-5</v>
      </c>
      <c r="Q19" s="8">
        <f>A19</f>
        <v>108</v>
      </c>
      <c r="R19" s="372"/>
    </row>
    <row r="20" spans="1:18" x14ac:dyDescent="0.25">
      <c r="A20" s="8">
        <f>+A19+1</f>
        <v>109</v>
      </c>
      <c r="B20" s="6" t="str">
        <f>IF(RIGHT(E20,4)="CPUC","ETC","ETP")</f>
        <v>ETP</v>
      </c>
      <c r="C20" s="38">
        <v>358</v>
      </c>
      <c r="D20" s="6" t="str">
        <f>IF(LEN(C20)&gt;=6,"ETP"&amp;LEFT(C20,3)&amp;RIGHT(C20,2),"ETP"&amp;LEFT(C20,3)&amp;"00")</f>
        <v>ETP35800</v>
      </c>
      <c r="E20" s="6" t="s">
        <v>1165</v>
      </c>
      <c r="F20" s="267">
        <f>'7-PlantInService'!O$25</f>
        <v>286849895.21234781</v>
      </c>
      <c r="G20" s="359">
        <v>-10</v>
      </c>
      <c r="H20" s="242">
        <f>+F20*G20/100</f>
        <v>-28684989.521234781</v>
      </c>
      <c r="I20" s="267">
        <f>'10-AccDep'!O$27</f>
        <v>98591830.027108788</v>
      </c>
      <c r="J20" s="242">
        <f>+F20-H20-I20</f>
        <v>216943054.70647383</v>
      </c>
      <c r="K20" s="38" t="s">
        <v>1164</v>
      </c>
      <c r="L20" s="355">
        <v>39.880000000000003</v>
      </c>
      <c r="M20" s="242">
        <f>N20*F20</f>
        <v>5705282.7681825804</v>
      </c>
      <c r="N20" s="336">
        <v>1.9889436473243618E-2</v>
      </c>
      <c r="O20" s="67">
        <v>1.7635741890916323E-2</v>
      </c>
      <c r="P20" s="67">
        <v>2.2536945823272928E-3</v>
      </c>
      <c r="Q20" s="8">
        <f>A20</f>
        <v>109</v>
      </c>
      <c r="R20" s="372"/>
    </row>
    <row r="21" spans="1:18" x14ac:dyDescent="0.25">
      <c r="A21" s="8">
        <f>+A20+1</f>
        <v>110</v>
      </c>
      <c r="B21" s="6" t="str">
        <f>IF(RIGHT(E21,4)="CPUC","ETC","ETP")</f>
        <v>ETP</v>
      </c>
      <c r="C21" s="38">
        <v>359</v>
      </c>
      <c r="D21" s="6" t="str">
        <f>IF(LEN(C21)&gt;=6,"ETP"&amp;LEFT(C21,3)&amp;RIGHT(C21,2),"ETP"&amp;LEFT(C21,3)&amp;"00")</f>
        <v>ETP35900</v>
      </c>
      <c r="E21" s="6" t="s">
        <v>1163</v>
      </c>
      <c r="F21" s="358">
        <f>'7-PlantInService'!P$25</f>
        <v>283940569.44711864</v>
      </c>
      <c r="G21" s="359">
        <v>-10</v>
      </c>
      <c r="H21" s="236">
        <f>+F21*G21/100</f>
        <v>-28394056.944711868</v>
      </c>
      <c r="I21" s="358">
        <f>'10-AccDep'!P$27</f>
        <v>25742380.743406612</v>
      </c>
      <c r="J21" s="236">
        <f>+F21-H21-I21</f>
        <v>286592245.64842391</v>
      </c>
      <c r="K21" s="38" t="s">
        <v>1162</v>
      </c>
      <c r="L21" s="373">
        <v>54.09</v>
      </c>
      <c r="M21" s="236">
        <f>N21*F21</f>
        <v>5398123.3264072789</v>
      </c>
      <c r="N21" s="338">
        <v>1.9011454886205089E-2</v>
      </c>
      <c r="O21" s="339">
        <v>1.6938143755998735E-2</v>
      </c>
      <c r="P21" s="339">
        <v>2.0733111302063561E-3</v>
      </c>
      <c r="Q21" s="8">
        <f>A21</f>
        <v>110</v>
      </c>
      <c r="R21" s="372"/>
    </row>
    <row r="22" spans="1:18" x14ac:dyDescent="0.25">
      <c r="A22" s="8">
        <f>+A21+1</f>
        <v>111</v>
      </c>
      <c r="B22" s="6" t="s">
        <v>1207</v>
      </c>
      <c r="C22" s="38" t="s">
        <v>887</v>
      </c>
      <c r="D22" s="6" t="s">
        <v>862</v>
      </c>
      <c r="E22" s="6" t="s">
        <v>1222</v>
      </c>
      <c r="F22" s="236">
        <f>'7-PlantInService'!Q$25</f>
        <v>12982995.94537545</v>
      </c>
      <c r="G22" s="359">
        <v>0</v>
      </c>
      <c r="H22" s="236">
        <f>+F22*G22/100</f>
        <v>0</v>
      </c>
      <c r="I22" s="236">
        <f>'10-AccDep'!Q$27</f>
        <v>11250840.543780338</v>
      </c>
      <c r="J22" s="236">
        <f>+F22-H22-I22</f>
        <v>1732155.4015951119</v>
      </c>
      <c r="K22" s="38" t="s">
        <v>1215</v>
      </c>
      <c r="L22" s="185" t="s">
        <v>408</v>
      </c>
      <c r="M22" s="236">
        <f>N22*F22</f>
        <v>3228871.0916148745</v>
      </c>
      <c r="N22" s="338">
        <v>0.2487</v>
      </c>
      <c r="O22" s="339">
        <v>0.2487</v>
      </c>
      <c r="P22" s="339">
        <v>0</v>
      </c>
      <c r="Q22" s="8">
        <f>A22</f>
        <v>111</v>
      </c>
    </row>
    <row r="23" spans="1:18" x14ac:dyDescent="0.25">
      <c r="A23" s="8">
        <f>+A22+1</f>
        <v>112</v>
      </c>
      <c r="B23" s="6" t="s">
        <v>1207</v>
      </c>
      <c r="C23" s="38" t="s">
        <v>886</v>
      </c>
      <c r="D23" s="6" t="s">
        <v>861</v>
      </c>
      <c r="E23" s="6" t="s">
        <v>1221</v>
      </c>
      <c r="F23" s="242">
        <f>'7-PlantInService'!R$25</f>
        <v>13363697.735975899</v>
      </c>
      <c r="G23" s="359">
        <v>0</v>
      </c>
      <c r="H23" s="242">
        <f>+F23*G23/100</f>
        <v>0</v>
      </c>
      <c r="I23" s="242">
        <f>'10-AccDep'!R$27</f>
        <v>-2868151.3055761214</v>
      </c>
      <c r="J23" s="242">
        <f>+F23-H23-I23</f>
        <v>16231849.04155202</v>
      </c>
      <c r="K23" s="38" t="s">
        <v>1215</v>
      </c>
      <c r="L23" s="185" t="s">
        <v>408</v>
      </c>
      <c r="M23" s="242">
        <f>N23*F23</f>
        <v>275292.17336110352</v>
      </c>
      <c r="N23" s="336">
        <v>2.06E-2</v>
      </c>
      <c r="O23" s="67">
        <v>2.06E-2</v>
      </c>
      <c r="P23" s="67">
        <v>0</v>
      </c>
      <c r="Q23" s="8">
        <f>A23</f>
        <v>112</v>
      </c>
    </row>
    <row r="24" spans="1:18" x14ac:dyDescent="0.25">
      <c r="A24" s="8">
        <f>+A23+1</f>
        <v>113</v>
      </c>
      <c r="B24" s="6" t="s">
        <v>1207</v>
      </c>
      <c r="C24" s="38" t="s">
        <v>885</v>
      </c>
      <c r="D24" s="6" t="s">
        <v>860</v>
      </c>
      <c r="E24" s="6" t="s">
        <v>1218</v>
      </c>
      <c r="F24" s="242">
        <f>'7-PlantInService'!S$25</f>
        <v>121320885.13792104</v>
      </c>
      <c r="G24" s="359">
        <v>0</v>
      </c>
      <c r="H24" s="242">
        <f>+F24*G24/100</f>
        <v>0</v>
      </c>
      <c r="I24" s="242">
        <f>'10-AccDep'!S$27</f>
        <v>53020177.66247952</v>
      </c>
      <c r="J24" s="242">
        <f>+F24-H24-I24</f>
        <v>68300707.475441515</v>
      </c>
      <c r="K24" s="38" t="s">
        <v>1215</v>
      </c>
      <c r="L24" s="185" t="s">
        <v>408</v>
      </c>
      <c r="M24" s="242">
        <f>N24*F24</f>
        <v>20855060.155208625</v>
      </c>
      <c r="N24" s="336">
        <v>0.1719</v>
      </c>
      <c r="O24" s="67">
        <v>0.17190000000000003</v>
      </c>
      <c r="P24" s="67">
        <v>0</v>
      </c>
      <c r="Q24" s="8">
        <f>A24</f>
        <v>113</v>
      </c>
    </row>
    <row r="25" spans="1:18" x14ac:dyDescent="0.25">
      <c r="A25" s="8">
        <f>+A24+1</f>
        <v>114</v>
      </c>
      <c r="B25" s="6" t="s">
        <v>1207</v>
      </c>
      <c r="C25" s="38" t="s">
        <v>884</v>
      </c>
      <c r="D25" s="6" t="s">
        <v>859</v>
      </c>
      <c r="E25" s="6" t="s">
        <v>1220</v>
      </c>
      <c r="F25" s="242">
        <f>'7-PlantInService'!T$25</f>
        <v>10525870.077529352</v>
      </c>
      <c r="G25" s="359">
        <v>0</v>
      </c>
      <c r="H25" s="242">
        <f>+F25*G25/100</f>
        <v>0</v>
      </c>
      <c r="I25" s="242">
        <f>'10-AccDep'!T$27</f>
        <v>359746.56041337783</v>
      </c>
      <c r="J25" s="242">
        <f>+F25-H25-I25</f>
        <v>10166123.517115975</v>
      </c>
      <c r="K25" s="38" t="s">
        <v>1219</v>
      </c>
      <c r="L25" s="185" t="s">
        <v>408</v>
      </c>
      <c r="M25" s="242">
        <f>N25*F25</f>
        <v>1057849.9427916999</v>
      </c>
      <c r="N25" s="336">
        <v>0.10050000000000001</v>
      </c>
      <c r="O25" s="67">
        <v>0.10050000000000001</v>
      </c>
      <c r="P25" s="67">
        <v>0</v>
      </c>
      <c r="Q25" s="8">
        <f>A25</f>
        <v>114</v>
      </c>
    </row>
    <row r="26" spans="1:18" x14ac:dyDescent="0.25">
      <c r="A26" s="8">
        <f>+A25+1</f>
        <v>115</v>
      </c>
      <c r="B26" s="6" t="s">
        <v>1207</v>
      </c>
      <c r="C26" s="38" t="s">
        <v>883</v>
      </c>
      <c r="D26" s="6" t="s">
        <v>858</v>
      </c>
      <c r="E26" s="6" t="s">
        <v>1218</v>
      </c>
      <c r="F26" s="242">
        <f>'7-PlantInService'!U$25</f>
        <v>25524782.527573153</v>
      </c>
      <c r="G26" s="359">
        <v>0</v>
      </c>
      <c r="H26" s="242">
        <f>+F26*G26/100</f>
        <v>0</v>
      </c>
      <c r="I26" s="242">
        <f>'10-AccDep'!U$27</f>
        <v>9907501.2389526218</v>
      </c>
      <c r="J26" s="242">
        <f>+F26-H26-I26</f>
        <v>15617281.288620532</v>
      </c>
      <c r="K26" s="38" t="s">
        <v>1215</v>
      </c>
      <c r="L26" s="185" t="s">
        <v>408</v>
      </c>
      <c r="M26" s="242">
        <f>N26*F26</f>
        <v>6253571.7192554222</v>
      </c>
      <c r="N26" s="336">
        <v>0.245</v>
      </c>
      <c r="O26" s="67">
        <v>0.245</v>
      </c>
      <c r="P26" s="67">
        <v>0</v>
      </c>
      <c r="Q26" s="8">
        <f>A26</f>
        <v>115</v>
      </c>
    </row>
    <row r="27" spans="1:18" x14ac:dyDescent="0.25">
      <c r="A27" s="8">
        <f>+A26+1</f>
        <v>116</v>
      </c>
      <c r="B27" s="6" t="s">
        <v>1207</v>
      </c>
      <c r="C27" s="38" t="s">
        <v>882</v>
      </c>
      <c r="D27" s="6" t="s">
        <v>857</v>
      </c>
      <c r="E27" s="6" t="s">
        <v>1217</v>
      </c>
      <c r="F27" s="242">
        <f>'7-PlantInService'!V$25</f>
        <v>34863136.847757347</v>
      </c>
      <c r="G27" s="359">
        <v>0</v>
      </c>
      <c r="H27" s="242">
        <f>+F27*G27/100</f>
        <v>0</v>
      </c>
      <c r="I27" s="242">
        <f>'10-AccDep'!V$27</f>
        <v>17125014.944983523</v>
      </c>
      <c r="J27" s="242">
        <f>+F27-H27-I27</f>
        <v>17738121.902773824</v>
      </c>
      <c r="K27" s="38" t="s">
        <v>1212</v>
      </c>
      <c r="L27" s="185" t="s">
        <v>408</v>
      </c>
      <c r="M27" s="242">
        <f>N27*F27</f>
        <v>4894784.4134251317</v>
      </c>
      <c r="N27" s="336">
        <v>0.1404</v>
      </c>
      <c r="O27" s="67">
        <v>0.1404</v>
      </c>
      <c r="P27" s="67">
        <v>0</v>
      </c>
      <c r="Q27" s="8">
        <f>A27</f>
        <v>116</v>
      </c>
    </row>
    <row r="28" spans="1:18" x14ac:dyDescent="0.25">
      <c r="A28" s="8">
        <f>+A27+1</f>
        <v>117</v>
      </c>
      <c r="B28" s="6" t="s">
        <v>1207</v>
      </c>
      <c r="C28" s="38" t="s">
        <v>881</v>
      </c>
      <c r="D28" s="6" t="s">
        <v>856</v>
      </c>
      <c r="E28" s="6" t="s">
        <v>1216</v>
      </c>
      <c r="F28" s="242">
        <f>'7-PlantInService'!W$25</f>
        <v>63742045.961463928</v>
      </c>
      <c r="G28" s="359">
        <v>0</v>
      </c>
      <c r="H28" s="242">
        <f>+F28*G28/100</f>
        <v>0</v>
      </c>
      <c r="I28" s="242">
        <f>'10-AccDep'!W$27</f>
        <v>25740155.12982057</v>
      </c>
      <c r="J28" s="242">
        <f>+F28-H28-I28</f>
        <v>38001890.831643358</v>
      </c>
      <c r="K28" s="38" t="s">
        <v>1215</v>
      </c>
      <c r="L28" s="185" t="s">
        <v>408</v>
      </c>
      <c r="M28" s="242">
        <f>N28*F28</f>
        <v>12875893.284215715</v>
      </c>
      <c r="N28" s="336">
        <v>0.20200000000000001</v>
      </c>
      <c r="O28" s="67">
        <v>0.20200000000000004</v>
      </c>
      <c r="P28" s="67">
        <v>0</v>
      </c>
      <c r="Q28" s="8">
        <f>A28</f>
        <v>117</v>
      </c>
    </row>
    <row r="29" spans="1:18" x14ac:dyDescent="0.25">
      <c r="A29" s="8">
        <f>+A28+1</f>
        <v>118</v>
      </c>
      <c r="B29" s="6" t="s">
        <v>1207</v>
      </c>
      <c r="C29" s="38" t="s">
        <v>880</v>
      </c>
      <c r="D29" s="6" t="s">
        <v>855</v>
      </c>
      <c r="E29" s="6" t="s">
        <v>1214</v>
      </c>
      <c r="F29" s="242">
        <f>'7-PlantInService'!X$25</f>
        <v>8801105.796556538</v>
      </c>
      <c r="G29" s="359">
        <v>0</v>
      </c>
      <c r="H29" s="242">
        <f>+F29*G29/100</f>
        <v>0</v>
      </c>
      <c r="I29" s="242">
        <f>'10-AccDep'!X$27</f>
        <v>1806906.9303922369</v>
      </c>
      <c r="J29" s="242">
        <f>+F29-H29-I29</f>
        <v>6994198.8661643006</v>
      </c>
      <c r="K29" s="38" t="s">
        <v>1212</v>
      </c>
      <c r="L29" s="185" t="s">
        <v>408</v>
      </c>
      <c r="M29" s="242">
        <f>N29*F29</f>
        <v>1294642.6626734668</v>
      </c>
      <c r="N29" s="336">
        <v>0.14710000000000001</v>
      </c>
      <c r="O29" s="67">
        <v>0.14710000000000001</v>
      </c>
      <c r="P29" s="67">
        <v>0</v>
      </c>
      <c r="Q29" s="8">
        <f>A29</f>
        <v>118</v>
      </c>
    </row>
    <row r="30" spans="1:18" x14ac:dyDescent="0.25">
      <c r="A30" s="8">
        <f>+A29+1</f>
        <v>119</v>
      </c>
      <c r="B30" s="6" t="s">
        <v>1207</v>
      </c>
      <c r="C30" s="38" t="s">
        <v>879</v>
      </c>
      <c r="D30" s="6" t="s">
        <v>854</v>
      </c>
      <c r="E30" s="6" t="s">
        <v>1213</v>
      </c>
      <c r="F30" s="242">
        <f>'7-PlantInService'!Y$25</f>
        <v>2655170.4837893476</v>
      </c>
      <c r="G30" s="359">
        <v>0</v>
      </c>
      <c r="H30" s="242">
        <f>+F30*G30/100</f>
        <v>0</v>
      </c>
      <c r="I30" s="242">
        <f>'10-AccDep'!Y$27</f>
        <v>1157064.0097625996</v>
      </c>
      <c r="J30" s="242">
        <f>+F30-H30-I30</f>
        <v>1498106.474026748</v>
      </c>
      <c r="K30" s="38" t="s">
        <v>1212</v>
      </c>
      <c r="L30" s="185" t="s">
        <v>408</v>
      </c>
      <c r="M30" s="242">
        <f>N30*F30</f>
        <v>397744.53847164422</v>
      </c>
      <c r="N30" s="336">
        <v>0.14979999999999999</v>
      </c>
      <c r="O30" s="67">
        <v>0.14979999999999999</v>
      </c>
      <c r="P30" s="67">
        <v>0</v>
      </c>
      <c r="Q30" s="8">
        <f>A30</f>
        <v>119</v>
      </c>
    </row>
    <row r="31" spans="1:18" x14ac:dyDescent="0.25">
      <c r="A31" s="8">
        <f>+A30+1</f>
        <v>120</v>
      </c>
      <c r="B31" s="6" t="s">
        <v>1207</v>
      </c>
      <c r="C31" s="38" t="s">
        <v>878</v>
      </c>
      <c r="D31" s="6" t="s">
        <v>853</v>
      </c>
      <c r="E31" s="6" t="s">
        <v>1211</v>
      </c>
      <c r="F31" s="242">
        <f>'7-PlantInService'!Z$25</f>
        <v>101782522.94328865</v>
      </c>
      <c r="G31" s="359">
        <v>0</v>
      </c>
      <c r="H31" s="242">
        <f>+F31*G31/100</f>
        <v>0</v>
      </c>
      <c r="I31" s="242">
        <f>'10-AccDep'!Z$27</f>
        <v>48815569.689118207</v>
      </c>
      <c r="J31" s="242">
        <f>+F31-H31-I31</f>
        <v>52966953.254170448</v>
      </c>
      <c r="K31" s="38" t="s">
        <v>1210</v>
      </c>
      <c r="L31" s="185" t="s">
        <v>408</v>
      </c>
      <c r="M31" s="242">
        <f>N31*F31</f>
        <v>4946630.6150438283</v>
      </c>
      <c r="N31" s="336">
        <v>4.8599999999999997E-2</v>
      </c>
      <c r="O31" s="67">
        <v>4.8599999999999997E-2</v>
      </c>
      <c r="P31" s="67">
        <v>0</v>
      </c>
      <c r="Q31" s="8">
        <f>A31</f>
        <v>120</v>
      </c>
    </row>
    <row r="32" spans="1:18" x14ac:dyDescent="0.25">
      <c r="A32" s="8">
        <f>+A31+1</f>
        <v>121</v>
      </c>
      <c r="B32" s="6" t="s">
        <v>1207</v>
      </c>
      <c r="C32" s="38">
        <v>351.35</v>
      </c>
      <c r="D32" s="6" t="s">
        <v>852</v>
      </c>
      <c r="E32" s="6" t="s">
        <v>1209</v>
      </c>
      <c r="F32" s="267">
        <f>'7-PlantInService'!AA$25</f>
        <v>212400.55161690415</v>
      </c>
      <c r="G32" s="359">
        <v>0</v>
      </c>
      <c r="H32" s="267">
        <f>+F32*G32/100</f>
        <v>0</v>
      </c>
      <c r="I32" s="267">
        <f>'10-AccDep'!AA$27</f>
        <v>102171.62285925572</v>
      </c>
      <c r="J32" s="267">
        <f>+F32-H32-I32</f>
        <v>110228.92875764843</v>
      </c>
      <c r="K32" s="38" t="s">
        <v>1208</v>
      </c>
      <c r="L32" s="185" t="s">
        <v>408</v>
      </c>
      <c r="M32" s="267">
        <f>N32*F32</f>
        <v>21813.536651056056</v>
      </c>
      <c r="N32" s="336">
        <v>0.1027</v>
      </c>
      <c r="O32" s="67">
        <v>0.1027</v>
      </c>
      <c r="P32" s="49">
        <v>0</v>
      </c>
      <c r="Q32" s="8">
        <f>A32</f>
        <v>121</v>
      </c>
    </row>
    <row r="33" spans="1:20" x14ac:dyDescent="0.25">
      <c r="A33" s="8">
        <f>+A32+1</f>
        <v>122</v>
      </c>
      <c r="B33" s="6" t="s">
        <v>1207</v>
      </c>
      <c r="C33" s="38" t="s">
        <v>876</v>
      </c>
      <c r="D33" s="6" t="s">
        <v>851</v>
      </c>
      <c r="E33" s="6" t="s">
        <v>1206</v>
      </c>
      <c r="F33" s="251">
        <f>'7-PlantInService'!AB$25</f>
        <v>677786312.3956033</v>
      </c>
      <c r="G33" s="362">
        <v>0</v>
      </c>
      <c r="H33" s="251">
        <f>+F33*G33/100</f>
        <v>0</v>
      </c>
      <c r="I33" s="251">
        <f>'10-AccDep'!AB$27</f>
        <v>206088518.07266909</v>
      </c>
      <c r="J33" s="251">
        <f>+F33-H33-I33</f>
        <v>471697794.32293421</v>
      </c>
      <c r="K33" s="331" t="s">
        <v>1205</v>
      </c>
      <c r="L33" s="371" t="s">
        <v>408</v>
      </c>
      <c r="M33" s="251">
        <f>N33*F33</f>
        <v>47038370.080254868</v>
      </c>
      <c r="N33" s="370">
        <v>6.9400000000000003E-2</v>
      </c>
      <c r="O33" s="66">
        <v>6.9400000000000003E-2</v>
      </c>
      <c r="P33" s="66">
        <v>0</v>
      </c>
      <c r="Q33" s="8">
        <f>A33</f>
        <v>122</v>
      </c>
    </row>
    <row r="34" spans="1:20" x14ac:dyDescent="0.25">
      <c r="F34" s="236"/>
      <c r="G34" s="359"/>
      <c r="H34" s="358"/>
      <c r="I34" s="236"/>
      <c r="J34" s="358"/>
      <c r="L34" s="357"/>
      <c r="M34" s="358"/>
      <c r="N34" s="357"/>
    </row>
    <row r="35" spans="1:20" x14ac:dyDescent="0.25">
      <c r="A35" s="8">
        <f>A33+1</f>
        <v>123</v>
      </c>
      <c r="C35" s="39" t="s">
        <v>1161</v>
      </c>
      <c r="D35" s="30"/>
      <c r="F35" s="248">
        <f>SUM(F11:F33)</f>
        <v>19639573456.677055</v>
      </c>
      <c r="G35" s="356"/>
      <c r="H35" s="248">
        <f>SUM(H11:H33)</f>
        <v>-9953032455.2940903</v>
      </c>
      <c r="I35" s="248">
        <f>SUM(I11:I33)</f>
        <v>5088926560.3620701</v>
      </c>
      <c r="J35" s="248">
        <f>SUM(J11:J33)</f>
        <v>24503679351.609066</v>
      </c>
      <c r="K35" s="356"/>
      <c r="L35" s="356"/>
      <c r="M35" s="248">
        <f>SUM(M11:M33)</f>
        <v>641375505.46392012</v>
      </c>
      <c r="N35" s="287">
        <f>+M35/F35</f>
        <v>3.2657303218867284E-2</v>
      </c>
      <c r="O35" s="49">
        <v>1.8249886569844199E-2</v>
      </c>
      <c r="P35" s="49">
        <f>N35-O35</f>
        <v>1.4407416649023085E-2</v>
      </c>
      <c r="Q35" s="8">
        <f>A35</f>
        <v>123</v>
      </c>
    </row>
    <row r="36" spans="1:20" x14ac:dyDescent="0.25">
      <c r="C36" s="39"/>
      <c r="D36" s="30"/>
      <c r="F36" s="248"/>
      <c r="G36" s="356"/>
      <c r="H36" s="248"/>
      <c r="I36" s="248"/>
      <c r="J36" s="248"/>
      <c r="K36" s="356"/>
      <c r="L36" s="356"/>
      <c r="M36" s="248"/>
      <c r="N36" s="287"/>
      <c r="O36" s="67"/>
      <c r="P36" s="49"/>
      <c r="Q36" s="8"/>
    </row>
    <row r="37" spans="1:20" x14ac:dyDescent="0.25">
      <c r="B37" s="83" t="s">
        <v>1204</v>
      </c>
      <c r="C37" s="75"/>
      <c r="D37" s="83"/>
      <c r="E37" s="35"/>
      <c r="F37" s="35"/>
      <c r="G37" s="35"/>
      <c r="H37" s="35"/>
      <c r="I37" s="35"/>
      <c r="J37" s="35"/>
      <c r="K37" s="35"/>
      <c r="L37" s="35"/>
      <c r="M37" s="35"/>
      <c r="N37" s="35"/>
      <c r="O37" s="35"/>
      <c r="P37" s="35"/>
    </row>
    <row r="38" spans="1:20" x14ac:dyDescent="0.25">
      <c r="B38" s="6" t="s">
        <v>1203</v>
      </c>
      <c r="D38" s="30"/>
    </row>
    <row r="39" spans="1:20" x14ac:dyDescent="0.25">
      <c r="B39" s="6" t="s">
        <v>1202</v>
      </c>
      <c r="D39" s="30"/>
    </row>
    <row r="40" spans="1:20" x14ac:dyDescent="0.25">
      <c r="D40" s="30"/>
    </row>
    <row r="41" spans="1:20" x14ac:dyDescent="0.25">
      <c r="B41" s="8"/>
      <c r="C41" s="8"/>
      <c r="D41" s="8"/>
      <c r="E41" s="23"/>
      <c r="F41" s="369" t="s">
        <v>492</v>
      </c>
      <c r="G41" s="369" t="s">
        <v>491</v>
      </c>
      <c r="H41" s="369" t="s">
        <v>490</v>
      </c>
      <c r="I41" s="369" t="s">
        <v>489</v>
      </c>
      <c r="J41" s="369" t="s">
        <v>519</v>
      </c>
      <c r="K41" s="369" t="s">
        <v>518</v>
      </c>
      <c r="L41" s="369" t="s">
        <v>517</v>
      </c>
      <c r="M41" s="369" t="s">
        <v>538</v>
      </c>
      <c r="N41" s="369" t="s">
        <v>537</v>
      </c>
      <c r="O41" s="369" t="s">
        <v>770</v>
      </c>
      <c r="P41" s="369" t="s">
        <v>769</v>
      </c>
      <c r="Q41" s="23"/>
    </row>
    <row r="42" spans="1:20" ht="30" x14ac:dyDescent="0.25">
      <c r="A42" s="368"/>
      <c r="B42" s="368"/>
      <c r="C42" s="265"/>
      <c r="D42" s="368"/>
      <c r="E42" s="265"/>
      <c r="F42" s="258" t="s">
        <v>1201</v>
      </c>
      <c r="G42" s="265"/>
      <c r="H42" s="265" t="s">
        <v>1200</v>
      </c>
      <c r="I42" s="258" t="s">
        <v>1199</v>
      </c>
      <c r="J42" s="265" t="s">
        <v>1198</v>
      </c>
      <c r="K42" s="265"/>
      <c r="L42" s="265"/>
      <c r="M42" s="265" t="s">
        <v>1197</v>
      </c>
      <c r="N42" s="265"/>
      <c r="O42" s="265"/>
      <c r="P42" s="265"/>
      <c r="Q42" s="265"/>
    </row>
    <row r="43" spans="1:20" x14ac:dyDescent="0.25">
      <c r="B43" s="30"/>
      <c r="D43" s="30"/>
    </row>
    <row r="44" spans="1:20" x14ac:dyDescent="0.25">
      <c r="F44" s="8" t="s">
        <v>1196</v>
      </c>
      <c r="G44" s="366" t="s">
        <v>1195</v>
      </c>
      <c r="H44" s="366"/>
      <c r="I44" s="8" t="s">
        <v>1194</v>
      </c>
      <c r="J44" s="8" t="s">
        <v>1193</v>
      </c>
      <c r="K44" s="367" t="s">
        <v>1192</v>
      </c>
      <c r="L44" s="8" t="s">
        <v>1191</v>
      </c>
      <c r="M44" s="366" t="s">
        <v>1190</v>
      </c>
      <c r="N44" s="366"/>
    </row>
    <row r="45" spans="1:20" x14ac:dyDescent="0.25">
      <c r="A45" s="33" t="s">
        <v>106</v>
      </c>
      <c r="B45" s="33" t="s">
        <v>1158</v>
      </c>
      <c r="C45" s="33" t="s">
        <v>819</v>
      </c>
      <c r="D45" s="33" t="s">
        <v>1157</v>
      </c>
      <c r="E45" s="33" t="s">
        <v>1156</v>
      </c>
      <c r="F45" s="363" t="s">
        <v>1189</v>
      </c>
      <c r="G45" s="363" t="s">
        <v>1188</v>
      </c>
      <c r="H45" s="365" t="s">
        <v>1183</v>
      </c>
      <c r="I45" s="363" t="s">
        <v>1187</v>
      </c>
      <c r="J45" s="363" t="s">
        <v>1186</v>
      </c>
      <c r="K45" s="364" t="s">
        <v>1185</v>
      </c>
      <c r="L45" s="363" t="s">
        <v>1184</v>
      </c>
      <c r="M45" s="363" t="s">
        <v>1183</v>
      </c>
      <c r="N45" s="363" t="s">
        <v>1182</v>
      </c>
      <c r="O45" s="363" t="s">
        <v>1181</v>
      </c>
      <c r="P45" s="363" t="s">
        <v>1180</v>
      </c>
      <c r="Q45" s="33" t="str">
        <f>A45</f>
        <v>Line</v>
      </c>
    </row>
    <row r="46" spans="1:20" x14ac:dyDescent="0.25">
      <c r="A46" s="8">
        <v>200</v>
      </c>
      <c r="B46" s="6" t="str">
        <f>IF(RIGHT(E46,4)="CPUC","ETC","ETP")</f>
        <v>ETP</v>
      </c>
      <c r="C46" s="38">
        <v>352.01</v>
      </c>
      <c r="D46" s="6" t="str">
        <f>IF(LEN(C46)&gt;=6,"ETP"&amp;LEFT(C46,3)&amp;RIGHT(C46,2),"ETP"&amp;LEFT(C46,3)&amp;"00")</f>
        <v>ETP35201</v>
      </c>
      <c r="E46" s="6" t="s">
        <v>1084</v>
      </c>
      <c r="F46" s="267">
        <f>'7-PlantInService'!F$25</f>
        <v>386753222.08858752</v>
      </c>
      <c r="G46" s="359">
        <v>-20</v>
      </c>
      <c r="H46" s="242">
        <f>+F46*G46/100</f>
        <v>-77350644.417717502</v>
      </c>
      <c r="I46" s="267">
        <f>'10-AccDep'!F$27</f>
        <v>135620964.33051452</v>
      </c>
      <c r="J46" s="242">
        <f>+F46-H46-I46</f>
        <v>328482902.17579055</v>
      </c>
      <c r="K46" s="38" t="s">
        <v>1178</v>
      </c>
      <c r="L46" s="355">
        <v>57.45</v>
      </c>
      <c r="M46" s="242">
        <f>N46*F46</f>
        <v>6304077.5200439757</v>
      </c>
      <c r="N46" s="67">
        <v>1.6299999999999999E-2</v>
      </c>
      <c r="O46" s="67">
        <v>1.325E-2</v>
      </c>
      <c r="P46" s="67">
        <v>3.0500000000000002E-3</v>
      </c>
      <c r="Q46" s="8">
        <f>A46</f>
        <v>200</v>
      </c>
      <c r="R46" s="51"/>
      <c r="S46" s="360"/>
      <c r="T46" s="26"/>
    </row>
    <row r="47" spans="1:20" x14ac:dyDescent="0.25">
      <c r="A47" s="8">
        <f>+A46+1</f>
        <v>201</v>
      </c>
      <c r="B47" s="6" t="str">
        <f>IF(RIGHT(E47,4)="CPUC","ETC","ETP")</f>
        <v>ETP</v>
      </c>
      <c r="C47" s="38">
        <v>352.02</v>
      </c>
      <c r="D47" s="6" t="str">
        <f>IF(LEN(C47)&gt;=6,"ETP"&amp;LEFT(C47,3)&amp;RIGHT(C47,2),"ETP"&amp;LEFT(C47,3)&amp;"00")</f>
        <v>ETP35202</v>
      </c>
      <c r="E47" s="6" t="s">
        <v>1179</v>
      </c>
      <c r="F47" s="267">
        <f>'7-PlantInService'!G$25</f>
        <v>118854056.24855964</v>
      </c>
      <c r="G47" s="359">
        <v>-20</v>
      </c>
      <c r="H47" s="242">
        <f>+F47*G47/100</f>
        <v>-23770811.249711927</v>
      </c>
      <c r="I47" s="267">
        <f>'10-AccDep'!G$27</f>
        <v>25973056.818733916</v>
      </c>
      <c r="J47" s="242">
        <f>+F47-H47-I47</f>
        <v>116651810.67953764</v>
      </c>
      <c r="K47" s="38" t="s">
        <v>1178</v>
      </c>
      <c r="L47" s="355">
        <v>63.8</v>
      </c>
      <c r="M47" s="242">
        <f>N47*F47</f>
        <v>2037158.524100312</v>
      </c>
      <c r="N47" s="67">
        <v>1.7139999999999999E-2</v>
      </c>
      <c r="O47" s="67">
        <v>1.414E-2</v>
      </c>
      <c r="P47" s="67">
        <v>3.0000000000000001E-3</v>
      </c>
      <c r="Q47" s="8">
        <f>A47</f>
        <v>201</v>
      </c>
      <c r="R47" s="51"/>
      <c r="S47" s="360"/>
    </row>
    <row r="48" spans="1:20" x14ac:dyDescent="0.25">
      <c r="A48" s="8">
        <f>+A47+1</f>
        <v>202</v>
      </c>
      <c r="B48" s="6" t="str">
        <f>IF(RIGHT(E48,4)="CPUC","ETC","ETP")</f>
        <v>ETP</v>
      </c>
      <c r="C48" s="38">
        <v>353.01</v>
      </c>
      <c r="D48" s="6" t="str">
        <f>IF(LEN(C48)&gt;=6,"ETP"&amp;LEFT(C48,3)&amp;RIGHT(C48,2),"ETP"&amp;LEFT(C48,3)&amp;"00")</f>
        <v>ETP35301</v>
      </c>
      <c r="E48" s="6" t="s">
        <v>1177</v>
      </c>
      <c r="F48" s="267">
        <f>'7-PlantInService'!H$25</f>
        <v>9116820679.8303223</v>
      </c>
      <c r="G48" s="359">
        <v>-60</v>
      </c>
      <c r="H48" s="242">
        <f>+F48*G48/100</f>
        <v>-5470092407.8981934</v>
      </c>
      <c r="I48" s="267">
        <f>'10-AccDep'!H$27</f>
        <v>2619565730.9596591</v>
      </c>
      <c r="J48" s="242">
        <f>+F48-H48-I48</f>
        <v>11967347356.768856</v>
      </c>
      <c r="K48" s="38" t="s">
        <v>1176</v>
      </c>
      <c r="L48" s="355">
        <v>37.869999999999997</v>
      </c>
      <c r="M48" s="242">
        <f>N48*F48</f>
        <v>285447655.48548734</v>
      </c>
      <c r="N48" s="67">
        <v>3.1309999999999998E-2</v>
      </c>
      <c r="O48" s="67">
        <v>2.128E-2</v>
      </c>
      <c r="P48" s="67">
        <v>1.0030000000000001E-2</v>
      </c>
      <c r="Q48" s="8">
        <f>A48</f>
        <v>202</v>
      </c>
      <c r="R48" s="51"/>
      <c r="S48" s="360"/>
    </row>
    <row r="49" spans="1:19" x14ac:dyDescent="0.25">
      <c r="A49" s="8">
        <f>+A48+1</f>
        <v>203</v>
      </c>
      <c r="B49" s="6" t="str">
        <f>IF(RIGHT(E49,4)="CPUC","ETC","ETP")</f>
        <v>ETP</v>
      </c>
      <c r="C49" s="38">
        <v>353.02</v>
      </c>
      <c r="D49" s="6" t="str">
        <f>IF(LEN(C49)&gt;=6,"ETP"&amp;LEFT(C49,3)&amp;RIGHT(C49,2),"ETP"&amp;LEFT(C49,3)&amp;"00")</f>
        <v>ETP35302</v>
      </c>
      <c r="E49" s="6" t="s">
        <v>1175</v>
      </c>
      <c r="F49" s="267">
        <f>'7-PlantInService'!I$25</f>
        <v>5422803.9396241782</v>
      </c>
      <c r="G49" s="359">
        <v>-5</v>
      </c>
      <c r="H49" s="242">
        <f>+F49*G49/100</f>
        <v>-271140.19698120892</v>
      </c>
      <c r="I49" s="267">
        <f>'10-AccDep'!I$27</f>
        <v>1788313.1500171367</v>
      </c>
      <c r="J49" s="242">
        <f>+F49-H49-I49</f>
        <v>3905630.9865882508</v>
      </c>
      <c r="K49" s="38" t="s">
        <v>1174</v>
      </c>
      <c r="L49" s="355">
        <v>34.299999999999997</v>
      </c>
      <c r="M49" s="242">
        <f>N49*F49</f>
        <v>90072.773437157593</v>
      </c>
      <c r="N49" s="67">
        <v>1.661E-2</v>
      </c>
      <c r="O49" s="67">
        <v>1.5440000000000001E-2</v>
      </c>
      <c r="P49" s="67">
        <v>1.17E-3</v>
      </c>
      <c r="Q49" s="8">
        <f>A49</f>
        <v>203</v>
      </c>
      <c r="R49" s="51"/>
      <c r="S49" s="360"/>
    </row>
    <row r="50" spans="1:19" x14ac:dyDescent="0.25">
      <c r="A50" s="8">
        <f>+A49+1</f>
        <v>204</v>
      </c>
      <c r="B50" s="6" t="str">
        <f>IF(RIGHT(E50,4)="CPUC","ETC","ETP")</f>
        <v>ETP</v>
      </c>
      <c r="C50" s="38">
        <v>354</v>
      </c>
      <c r="D50" s="6" t="str">
        <f>IF(LEN(C50)&gt;=6,"ETP"&amp;LEFT(C50,3)&amp;RIGHT(C50,2),"ETP"&amp;LEFT(C50,3)&amp;"00")</f>
        <v>ETP35400</v>
      </c>
      <c r="E50" s="6" t="s">
        <v>1173</v>
      </c>
      <c r="F50" s="267">
        <f>'7-PlantInService'!J$25</f>
        <v>1392889808.7384157</v>
      </c>
      <c r="G50" s="359">
        <v>-100</v>
      </c>
      <c r="H50" s="242">
        <f>+F50*G50/100</f>
        <v>-1392889808.7384157</v>
      </c>
      <c r="I50" s="267">
        <f>'10-AccDep'!J$27</f>
        <v>423399711.445714</v>
      </c>
      <c r="J50" s="242">
        <f>+F50-H50-I50</f>
        <v>2362379906.0311174</v>
      </c>
      <c r="K50" s="38" t="s">
        <v>1172</v>
      </c>
      <c r="L50" s="355">
        <v>57.03</v>
      </c>
      <c r="M50" s="242">
        <f>N50*F50</f>
        <v>32022536.702896178</v>
      </c>
      <c r="N50" s="67">
        <v>2.299E-2</v>
      </c>
      <c r="O50" s="67">
        <v>1.188E-2</v>
      </c>
      <c r="P50" s="67">
        <v>1.111E-2</v>
      </c>
      <c r="Q50" s="8">
        <f>A50</f>
        <v>204</v>
      </c>
      <c r="R50" s="51"/>
      <c r="S50" s="360"/>
    </row>
    <row r="51" spans="1:19" x14ac:dyDescent="0.25">
      <c r="A51" s="8">
        <f>+A50+1</f>
        <v>205</v>
      </c>
      <c r="B51" s="6" t="str">
        <f>IF(RIGHT(E51,4)="CPUC","ETC","ETP")</f>
        <v>ETP</v>
      </c>
      <c r="C51" s="38">
        <v>355</v>
      </c>
      <c r="D51" s="6" t="str">
        <f>IF(LEN(C51)&gt;=6,"ETP"&amp;LEFT(C51,3)&amp;RIGHT(C51,2),"ETP"&amp;LEFT(C51,3)&amp;"00")</f>
        <v>ETP35500</v>
      </c>
      <c r="E51" s="6" t="s">
        <v>1171</v>
      </c>
      <c r="F51" s="267">
        <f>'7-PlantInService'!L$25</f>
        <v>3197201485.2027988</v>
      </c>
      <c r="G51" s="359">
        <v>-80</v>
      </c>
      <c r="H51" s="242">
        <f>+F51*G51/100</f>
        <v>-2557761188.1622391</v>
      </c>
      <c r="I51" s="267">
        <f>'10-AccDep'!L$27</f>
        <v>606607240.04607558</v>
      </c>
      <c r="J51" s="242">
        <f>+F51-H51-I51</f>
        <v>5148355433.3189621</v>
      </c>
      <c r="K51" s="38" t="s">
        <v>1170</v>
      </c>
      <c r="L51" s="355">
        <v>46.49</v>
      </c>
      <c r="M51" s="242">
        <f>N51*F51</f>
        <v>100903678.87300032</v>
      </c>
      <c r="N51" s="67">
        <v>3.1559999999999998E-2</v>
      </c>
      <c r="O51" s="67">
        <v>1.7139999999999999E-2</v>
      </c>
      <c r="P51" s="67">
        <v>1.4420000000000001E-2</v>
      </c>
      <c r="Q51" s="8">
        <f>A51</f>
        <v>205</v>
      </c>
      <c r="R51" s="51"/>
      <c r="S51" s="360"/>
    </row>
    <row r="52" spans="1:19" x14ac:dyDescent="0.25">
      <c r="A52" s="8">
        <f>+A51+1</f>
        <v>206</v>
      </c>
      <c r="B52" s="6" t="str">
        <f>IF(RIGHT(E52,4)="CPUC","ETC","ETP")</f>
        <v>ETP</v>
      </c>
      <c r="C52" s="38">
        <v>356</v>
      </c>
      <c r="D52" s="6" t="str">
        <f>IF(LEN(C52)&gt;=6,"ETP"&amp;LEFT(C52,3)&amp;RIGHT(C52,2),"ETP"&amp;LEFT(C52,3)&amp;"00")</f>
        <v>ETP35600</v>
      </c>
      <c r="E52" s="6" t="s">
        <v>1169</v>
      </c>
      <c r="F52" s="267">
        <f>'7-PlantInService'!M$25</f>
        <v>3107549087.6383648</v>
      </c>
      <c r="G52" s="359">
        <v>-110</v>
      </c>
      <c r="H52" s="242">
        <f>+F52*G52/100</f>
        <v>-3418303996.4022017</v>
      </c>
      <c r="I52" s="267">
        <f>'10-AccDep'!M$27</f>
        <v>632504222.69331086</v>
      </c>
      <c r="J52" s="242">
        <f>+F52-H52-I52</f>
        <v>5893348861.3472557</v>
      </c>
      <c r="K52" s="38" t="s">
        <v>1168</v>
      </c>
      <c r="L52" s="355">
        <v>51.91</v>
      </c>
      <c r="M52" s="242">
        <f>N52*F52</f>
        <v>84649637.147269055</v>
      </c>
      <c r="N52" s="67">
        <v>2.724E-2</v>
      </c>
      <c r="O52" s="67">
        <v>1.3610000000000001E-2</v>
      </c>
      <c r="P52" s="67">
        <v>1.363E-2</v>
      </c>
      <c r="Q52" s="8">
        <f>A52</f>
        <v>206</v>
      </c>
      <c r="R52" s="51"/>
      <c r="S52" s="360"/>
    </row>
    <row r="53" spans="1:19" x14ac:dyDescent="0.25">
      <c r="A53" s="8">
        <f>+A52+1</f>
        <v>207</v>
      </c>
      <c r="B53" s="6" t="str">
        <f>IF(RIGHT(E53,4)="CPUC","ETC","ETP")</f>
        <v>ETP</v>
      </c>
      <c r="C53" s="38">
        <v>357</v>
      </c>
      <c r="D53" s="6" t="str">
        <f>IF(LEN(C53)&gt;=6,"ETP"&amp;LEFT(C53,3)&amp;RIGHT(C53,2),"ETP"&amp;LEFT(C53,3)&amp;"00")</f>
        <v>ETP35700</v>
      </c>
      <c r="E53" s="6" t="s">
        <v>1167</v>
      </c>
      <c r="F53" s="267">
        <f>'7-PlantInService'!N$25</f>
        <v>536877136.24501705</v>
      </c>
      <c r="G53" s="359">
        <v>0</v>
      </c>
      <c r="H53" s="242">
        <f>+F53*G53/100</f>
        <v>0</v>
      </c>
      <c r="I53" s="267">
        <f>'10-AccDep'!N$27</f>
        <v>140330035.10516462</v>
      </c>
      <c r="J53" s="242">
        <f>+F53-H53-I53</f>
        <v>396547101.1398524</v>
      </c>
      <c r="K53" s="38" t="s">
        <v>1166</v>
      </c>
      <c r="L53" s="355">
        <v>54.8</v>
      </c>
      <c r="M53" s="242">
        <f>N53*F53</f>
        <v>8208851.4131863108</v>
      </c>
      <c r="N53" s="67">
        <v>1.529E-2</v>
      </c>
      <c r="O53" s="67">
        <v>1.524E-2</v>
      </c>
      <c r="P53" s="67">
        <v>5.0000000000000002E-5</v>
      </c>
      <c r="Q53" s="8">
        <f>A53</f>
        <v>207</v>
      </c>
      <c r="R53" s="51"/>
      <c r="S53" s="360"/>
    </row>
    <row r="54" spans="1:19" x14ac:dyDescent="0.25">
      <c r="A54" s="8">
        <f>+A53+1</f>
        <v>208</v>
      </c>
      <c r="B54" s="6" t="str">
        <f>IF(RIGHT(E54,4)="CPUC","ETC","ETP")</f>
        <v>ETP</v>
      </c>
      <c r="C54" s="38">
        <v>358</v>
      </c>
      <c r="D54" s="6" t="str">
        <f>IF(LEN(C54)&gt;=6,"ETP"&amp;LEFT(C54,3)&amp;RIGHT(C54,2),"ETP"&amp;LEFT(C54,3)&amp;"00")</f>
        <v>ETP35800</v>
      </c>
      <c r="E54" s="6" t="s">
        <v>1165</v>
      </c>
      <c r="F54" s="267">
        <f>'7-PlantInService'!O$25</f>
        <v>286849895.21234781</v>
      </c>
      <c r="G54" s="359">
        <v>-10</v>
      </c>
      <c r="H54" s="242">
        <f>+F54*G54/100</f>
        <v>-28684989.521234781</v>
      </c>
      <c r="I54" s="267">
        <f>'10-AccDep'!O$27</f>
        <v>98591830.027108788</v>
      </c>
      <c r="J54" s="242">
        <f>+F54-H54-I54</f>
        <v>216943054.70647383</v>
      </c>
      <c r="K54" s="38" t="s">
        <v>1164</v>
      </c>
      <c r="L54" s="355">
        <v>43.69</v>
      </c>
      <c r="M54" s="242">
        <f>N54*F54</f>
        <v>5708312.9147257218</v>
      </c>
      <c r="N54" s="67">
        <v>1.9900000000000001E-2</v>
      </c>
      <c r="O54" s="67">
        <v>1.7639999999999999E-2</v>
      </c>
      <c r="P54" s="67">
        <v>2.2599999999999999E-3</v>
      </c>
      <c r="Q54" s="8">
        <f>A54</f>
        <v>208</v>
      </c>
      <c r="R54" s="51"/>
      <c r="S54" s="360"/>
    </row>
    <row r="55" spans="1:19" x14ac:dyDescent="0.25">
      <c r="A55" s="8">
        <f>+A54+1</f>
        <v>209</v>
      </c>
      <c r="B55" s="6" t="str">
        <f>IF(RIGHT(E55,4)="CPUC","ETC","ETP")</f>
        <v>ETP</v>
      </c>
      <c r="C55" s="38">
        <v>359</v>
      </c>
      <c r="D55" s="6" t="str">
        <f>IF(LEN(C55)&gt;=6,"ETP"&amp;LEFT(C55,3)&amp;RIGHT(C55,2),"ETP"&amp;LEFT(C55,3)&amp;"00")</f>
        <v>ETP35900</v>
      </c>
      <c r="E55" s="6" t="s">
        <v>1163</v>
      </c>
      <c r="F55" s="266">
        <f>'7-PlantInService'!P$25</f>
        <v>283940569.44711864</v>
      </c>
      <c r="G55" s="362">
        <v>-10</v>
      </c>
      <c r="H55" s="251">
        <f>+F55*G55/100</f>
        <v>-28394056.944711868</v>
      </c>
      <c r="I55" s="266">
        <f>'10-AccDep'!P$27</f>
        <v>25742380.743406612</v>
      </c>
      <c r="J55" s="251">
        <f>+F55-H55-I55</f>
        <v>286592245.64842391</v>
      </c>
      <c r="K55" s="331" t="s">
        <v>1162</v>
      </c>
      <c r="L55" s="361">
        <v>52.76</v>
      </c>
      <c r="M55" s="251">
        <f>N55*F55</f>
        <v>5286973.4031053493</v>
      </c>
      <c r="N55" s="66">
        <v>1.8620000000000001E-2</v>
      </c>
      <c r="O55" s="66">
        <v>1.6459999999999999E-2</v>
      </c>
      <c r="P55" s="66">
        <v>2.16E-3</v>
      </c>
      <c r="Q55" s="8">
        <f>A55</f>
        <v>209</v>
      </c>
      <c r="R55" s="51"/>
      <c r="S55" s="360"/>
    </row>
    <row r="56" spans="1:19" x14ac:dyDescent="0.25">
      <c r="F56" s="236"/>
      <c r="G56" s="359"/>
      <c r="H56" s="358"/>
      <c r="I56" s="236"/>
      <c r="J56" s="358"/>
      <c r="L56" s="357"/>
      <c r="M56" s="358"/>
      <c r="N56" s="357"/>
    </row>
    <row r="57" spans="1:19" x14ac:dyDescent="0.25">
      <c r="A57" s="8">
        <f>+A55+1</f>
        <v>210</v>
      </c>
      <c r="C57" s="39" t="s">
        <v>1161</v>
      </c>
      <c r="D57" s="30"/>
      <c r="F57" s="248">
        <f>SUM(F46:F55)</f>
        <v>18433158744.591156</v>
      </c>
      <c r="G57" s="356"/>
      <c r="H57" s="248">
        <f>SUM(H46:H55)</f>
        <v>-12997519043.531406</v>
      </c>
      <c r="I57" s="248">
        <f>SUM(I46:I55)</f>
        <v>4710123485.319705</v>
      </c>
      <c r="J57" s="248">
        <f>SUM(J46:J55)</f>
        <v>26720554302.802853</v>
      </c>
      <c r="K57" s="356"/>
      <c r="L57" s="356"/>
      <c r="M57" s="248">
        <f>SUM(M46:M55)</f>
        <v>530658954.75725174</v>
      </c>
      <c r="N57" s="287">
        <f>+M57/F57</f>
        <v>2.878828105969429E-2</v>
      </c>
      <c r="O57" s="49">
        <v>1.83E-2</v>
      </c>
      <c r="P57" s="49">
        <f>N57-O57</f>
        <v>1.048828105969429E-2</v>
      </c>
      <c r="Q57" s="8">
        <f>A57</f>
        <v>210</v>
      </c>
      <c r="R57" s="51"/>
    </row>
    <row r="58" spans="1:19" x14ac:dyDescent="0.25">
      <c r="O58" s="50"/>
    </row>
    <row r="59" spans="1:19" x14ac:dyDescent="0.25">
      <c r="B59" s="83" t="s">
        <v>1160</v>
      </c>
      <c r="C59" s="35"/>
      <c r="D59" s="35"/>
      <c r="E59" s="35"/>
      <c r="F59" s="35"/>
      <c r="G59" s="35"/>
      <c r="H59" s="35"/>
      <c r="I59" s="35"/>
      <c r="J59" s="35"/>
      <c r="K59" s="35"/>
      <c r="L59" s="35"/>
      <c r="M59" s="35"/>
      <c r="N59" s="35"/>
      <c r="O59" s="35"/>
      <c r="P59" s="35"/>
    </row>
    <row r="61" spans="1:19" x14ac:dyDescent="0.25">
      <c r="D61" s="8"/>
      <c r="F61" s="8" t="s">
        <v>1159</v>
      </c>
    </row>
    <row r="62" spans="1:19" x14ac:dyDescent="0.25">
      <c r="A62" s="33" t="s">
        <v>106</v>
      </c>
      <c r="B62" s="33" t="s">
        <v>1158</v>
      </c>
      <c r="C62" s="33" t="s">
        <v>819</v>
      </c>
      <c r="D62" s="33" t="s">
        <v>1157</v>
      </c>
      <c r="E62" s="33" t="s">
        <v>1156</v>
      </c>
      <c r="F62" s="110" t="s">
        <v>1155</v>
      </c>
      <c r="Q62" s="33" t="str">
        <f>A62</f>
        <v>Line</v>
      </c>
    </row>
    <row r="63" spans="1:19" x14ac:dyDescent="0.25">
      <c r="A63" s="8">
        <v>300</v>
      </c>
      <c r="D63" s="6" t="s">
        <v>1154</v>
      </c>
      <c r="E63" s="6" t="s">
        <v>1153</v>
      </c>
      <c r="F63" s="355">
        <v>0</v>
      </c>
      <c r="Q63" s="8">
        <f>A63</f>
        <v>300</v>
      </c>
    </row>
    <row r="64" spans="1:19" x14ac:dyDescent="0.25">
      <c r="A64" s="8">
        <f>A63+1</f>
        <v>301</v>
      </c>
      <c r="D64" s="6" t="s">
        <v>1152</v>
      </c>
      <c r="E64" s="6" t="s">
        <v>1151</v>
      </c>
      <c r="F64" s="355">
        <v>0</v>
      </c>
      <c r="Q64" s="8">
        <f>A64</f>
        <v>301</v>
      </c>
    </row>
    <row r="65" spans="1:17" x14ac:dyDescent="0.25">
      <c r="A65" s="8">
        <f>A64+1</f>
        <v>302</v>
      </c>
      <c r="D65" s="6" t="s">
        <v>1150</v>
      </c>
      <c r="E65" s="6" t="s">
        <v>1149</v>
      </c>
      <c r="F65" s="355">
        <v>3.36</v>
      </c>
      <c r="Q65" s="8">
        <f>A65</f>
        <v>302</v>
      </c>
    </row>
    <row r="66" spans="1:17" x14ac:dyDescent="0.25">
      <c r="A66" s="8">
        <f>A65+1</f>
        <v>303</v>
      </c>
      <c r="D66" s="6" t="s">
        <v>1148</v>
      </c>
      <c r="E66" s="6" t="s">
        <v>1147</v>
      </c>
      <c r="F66" s="355">
        <v>17.190000000000001</v>
      </c>
      <c r="Q66" s="8">
        <f>A66</f>
        <v>303</v>
      </c>
    </row>
    <row r="67" spans="1:17" x14ac:dyDescent="0.25">
      <c r="A67" s="8">
        <f>A66+1</f>
        <v>304</v>
      </c>
      <c r="D67" s="6" t="s">
        <v>1146</v>
      </c>
      <c r="E67" s="6" t="s">
        <v>1145</v>
      </c>
      <c r="F67" s="355">
        <v>10.050000000000001</v>
      </c>
      <c r="Q67" s="8">
        <f>A67</f>
        <v>304</v>
      </c>
    </row>
    <row r="68" spans="1:17" x14ac:dyDescent="0.25">
      <c r="A68" s="8">
        <f>A67+1</f>
        <v>305</v>
      </c>
      <c r="D68" s="6" t="s">
        <v>1144</v>
      </c>
      <c r="E68" s="6" t="s">
        <v>1143</v>
      </c>
      <c r="F68" s="355">
        <v>0</v>
      </c>
      <c r="Q68" s="8">
        <f>A68</f>
        <v>305</v>
      </c>
    </row>
    <row r="69" spans="1:17" x14ac:dyDescent="0.25">
      <c r="A69" s="8">
        <f>A68+1</f>
        <v>306</v>
      </c>
      <c r="D69" s="6" t="s">
        <v>1142</v>
      </c>
      <c r="E69" s="6" t="s">
        <v>1086</v>
      </c>
      <c r="F69" s="355">
        <v>2.6</v>
      </c>
      <c r="Q69" s="8">
        <f>A69</f>
        <v>306</v>
      </c>
    </row>
    <row r="70" spans="1:17" x14ac:dyDescent="0.25">
      <c r="A70" s="8">
        <f>A69+1</f>
        <v>307</v>
      </c>
      <c r="D70" s="6" t="s">
        <v>1141</v>
      </c>
      <c r="E70" s="6" t="s">
        <v>1084</v>
      </c>
      <c r="F70" s="355">
        <v>2.06</v>
      </c>
      <c r="Q70" s="8">
        <f>A70</f>
        <v>307</v>
      </c>
    </row>
    <row r="71" spans="1:17" x14ac:dyDescent="0.25">
      <c r="A71" s="8">
        <f>A70+1</f>
        <v>308</v>
      </c>
      <c r="D71" s="6" t="s">
        <v>1140</v>
      </c>
      <c r="E71" s="6" t="s">
        <v>1139</v>
      </c>
      <c r="F71" s="355">
        <v>21.85</v>
      </c>
      <c r="Q71" s="8">
        <f>A71</f>
        <v>308</v>
      </c>
    </row>
    <row r="72" spans="1:17" x14ac:dyDescent="0.25">
      <c r="A72" s="8">
        <f>A71+1</f>
        <v>309</v>
      </c>
      <c r="D72" s="6" t="s">
        <v>1138</v>
      </c>
      <c r="E72" s="6" t="s">
        <v>1137</v>
      </c>
      <c r="F72" s="355">
        <v>24.87</v>
      </c>
      <c r="Q72" s="8">
        <f>A72</f>
        <v>309</v>
      </c>
    </row>
    <row r="73" spans="1:17" x14ac:dyDescent="0.25">
      <c r="A73" s="8">
        <f>A72+1</f>
        <v>310</v>
      </c>
      <c r="D73" s="6" t="s">
        <v>1136</v>
      </c>
      <c r="E73" s="6" t="s">
        <v>1135</v>
      </c>
      <c r="F73" s="355">
        <v>2.06</v>
      </c>
      <c r="Q73" s="8">
        <f>A73</f>
        <v>310</v>
      </c>
    </row>
    <row r="74" spans="1:17" x14ac:dyDescent="0.25">
      <c r="A74" s="8">
        <f>A73+1</f>
        <v>311</v>
      </c>
      <c r="D74" s="6" t="s">
        <v>1134</v>
      </c>
      <c r="E74" s="6" t="s">
        <v>1082</v>
      </c>
      <c r="F74" s="355">
        <v>6.6899999999999995</v>
      </c>
      <c r="Q74" s="8">
        <f>A74</f>
        <v>311</v>
      </c>
    </row>
    <row r="75" spans="1:17" x14ac:dyDescent="0.25">
      <c r="A75" s="8">
        <f>A74+1</f>
        <v>312</v>
      </c>
      <c r="D75" s="6" t="s">
        <v>1133</v>
      </c>
      <c r="E75" s="6" t="s">
        <v>1132</v>
      </c>
      <c r="F75" s="355">
        <v>24.87</v>
      </c>
      <c r="Q75" s="8">
        <f>A75</f>
        <v>312</v>
      </c>
    </row>
    <row r="76" spans="1:17" x14ac:dyDescent="0.25">
      <c r="A76" s="8">
        <f>A75+1</f>
        <v>313</v>
      </c>
      <c r="D76" s="6" t="s">
        <v>1131</v>
      </c>
      <c r="E76" s="6" t="s">
        <v>1130</v>
      </c>
      <c r="F76" s="355">
        <v>2.5100000000000002</v>
      </c>
      <c r="Q76" s="8">
        <f>A76</f>
        <v>313</v>
      </c>
    </row>
    <row r="77" spans="1:17" x14ac:dyDescent="0.25">
      <c r="A77" s="8">
        <f>A76+1</f>
        <v>314</v>
      </c>
      <c r="D77" s="6" t="s">
        <v>1129</v>
      </c>
      <c r="E77" s="6" t="s">
        <v>1128</v>
      </c>
      <c r="F77" s="355">
        <v>15.939999999999998</v>
      </c>
      <c r="Q77" s="8">
        <f>A77</f>
        <v>314</v>
      </c>
    </row>
    <row r="78" spans="1:17" x14ac:dyDescent="0.25">
      <c r="A78" s="8">
        <f>A77+1</f>
        <v>315</v>
      </c>
      <c r="D78" s="6" t="s">
        <v>1127</v>
      </c>
      <c r="E78" s="6" t="s">
        <v>1126</v>
      </c>
      <c r="F78" s="355">
        <v>10.299999999999999</v>
      </c>
      <c r="Q78" s="8">
        <f>A78</f>
        <v>315</v>
      </c>
    </row>
    <row r="79" spans="1:17" x14ac:dyDescent="0.25">
      <c r="A79" s="8">
        <f>A78+1</f>
        <v>316</v>
      </c>
      <c r="D79" s="6" t="s">
        <v>1125</v>
      </c>
      <c r="E79" s="6" t="s">
        <v>1124</v>
      </c>
      <c r="F79" s="355">
        <v>9.9</v>
      </c>
      <c r="Q79" s="8">
        <f>A79</f>
        <v>316</v>
      </c>
    </row>
    <row r="80" spans="1:17" x14ac:dyDescent="0.25">
      <c r="A80" s="8">
        <f>A79+1</f>
        <v>317</v>
      </c>
      <c r="D80" s="6" t="s">
        <v>1123</v>
      </c>
      <c r="E80" s="6" t="s">
        <v>1122</v>
      </c>
      <c r="F80" s="355">
        <v>9.370000000000001</v>
      </c>
      <c r="Q80" s="8">
        <f>A80</f>
        <v>317</v>
      </c>
    </row>
    <row r="81" spans="1:17" x14ac:dyDescent="0.25">
      <c r="A81" s="8">
        <f>A80+1</f>
        <v>318</v>
      </c>
      <c r="D81" s="6" t="s">
        <v>1121</v>
      </c>
      <c r="E81" s="6" t="s">
        <v>1120</v>
      </c>
      <c r="F81" s="355">
        <v>8.5799999999999983</v>
      </c>
      <c r="Q81" s="8">
        <f>A81</f>
        <v>318</v>
      </c>
    </row>
    <row r="82" spans="1:17" x14ac:dyDescent="0.25">
      <c r="A82" s="8">
        <f>A81+1</f>
        <v>319</v>
      </c>
      <c r="D82" s="6" t="s">
        <v>1119</v>
      </c>
      <c r="E82" s="6" t="s">
        <v>1118</v>
      </c>
      <c r="F82" s="355">
        <v>7.0600000000000014</v>
      </c>
      <c r="Q82" s="8">
        <f>A82</f>
        <v>319</v>
      </c>
    </row>
    <row r="83" spans="1:17" x14ac:dyDescent="0.25">
      <c r="A83" s="8">
        <f>A82+1</f>
        <v>320</v>
      </c>
      <c r="D83" s="6" t="s">
        <v>1117</v>
      </c>
      <c r="E83" s="6" t="s">
        <v>1116</v>
      </c>
      <c r="F83" s="355">
        <v>5.5600000000000005</v>
      </c>
      <c r="Q83" s="8">
        <f>A83</f>
        <v>320</v>
      </c>
    </row>
    <row r="84" spans="1:17" x14ac:dyDescent="0.25">
      <c r="A84" s="8">
        <f>A83+1</f>
        <v>321</v>
      </c>
      <c r="D84" s="6" t="s">
        <v>1115</v>
      </c>
      <c r="E84" s="6" t="s">
        <v>1114</v>
      </c>
      <c r="F84" s="355">
        <v>3.4099999999999997</v>
      </c>
      <c r="Q84" s="8">
        <f>A84</f>
        <v>321</v>
      </c>
    </row>
    <row r="85" spans="1:17" x14ac:dyDescent="0.25">
      <c r="A85" s="8">
        <f>A84+1</f>
        <v>322</v>
      </c>
      <c r="D85" s="6" t="s">
        <v>1113</v>
      </c>
      <c r="E85" s="6" t="s">
        <v>1112</v>
      </c>
      <c r="F85" s="355">
        <v>6.01</v>
      </c>
      <c r="Q85" s="8">
        <f>A85</f>
        <v>322</v>
      </c>
    </row>
    <row r="86" spans="1:17" x14ac:dyDescent="0.25">
      <c r="A86" s="8">
        <f>A85+1</f>
        <v>323</v>
      </c>
      <c r="D86" s="6" t="s">
        <v>1111</v>
      </c>
      <c r="E86" s="6" t="s">
        <v>1110</v>
      </c>
      <c r="F86" s="355">
        <v>3.5300000000000002</v>
      </c>
      <c r="Q86" s="8">
        <f>A86</f>
        <v>323</v>
      </c>
    </row>
    <row r="87" spans="1:17" x14ac:dyDescent="0.25">
      <c r="A87" s="8">
        <f>A86+1</f>
        <v>324</v>
      </c>
      <c r="D87" s="6" t="s">
        <v>1109</v>
      </c>
      <c r="E87" s="6" t="s">
        <v>1078</v>
      </c>
      <c r="F87" s="355">
        <v>6.11</v>
      </c>
      <c r="Q87" s="8">
        <f>A87</f>
        <v>324</v>
      </c>
    </row>
    <row r="88" spans="1:17" x14ac:dyDescent="0.25">
      <c r="A88" s="8">
        <f>A87+1</f>
        <v>325</v>
      </c>
      <c r="D88" s="6" t="s">
        <v>1108</v>
      </c>
      <c r="E88" s="6" t="s">
        <v>1076</v>
      </c>
      <c r="F88" s="355">
        <v>5.3000000000000007</v>
      </c>
      <c r="Q88" s="8">
        <f>A88</f>
        <v>325</v>
      </c>
    </row>
    <row r="89" spans="1:17" x14ac:dyDescent="0.25">
      <c r="A89" s="8">
        <f>A88+1</f>
        <v>326</v>
      </c>
      <c r="D89" s="6" t="s">
        <v>1107</v>
      </c>
      <c r="E89" s="6" t="s">
        <v>1106</v>
      </c>
      <c r="F89" s="355">
        <v>14.04</v>
      </c>
      <c r="Q89" s="8">
        <f>A89</f>
        <v>326</v>
      </c>
    </row>
    <row r="90" spans="1:17" x14ac:dyDescent="0.25">
      <c r="A90" s="8">
        <f>A89+1</f>
        <v>327</v>
      </c>
      <c r="D90" s="6" t="s">
        <v>1105</v>
      </c>
      <c r="E90" s="6" t="s">
        <v>1104</v>
      </c>
      <c r="F90" s="355">
        <v>20.200000000000003</v>
      </c>
      <c r="Q90" s="8">
        <f>A90</f>
        <v>327</v>
      </c>
    </row>
    <row r="91" spans="1:17" x14ac:dyDescent="0.25">
      <c r="A91" s="8">
        <f>A90+1</f>
        <v>328</v>
      </c>
      <c r="D91" s="6" t="s">
        <v>1103</v>
      </c>
      <c r="E91" s="6" t="s">
        <v>1102</v>
      </c>
      <c r="F91" s="355">
        <v>14.71</v>
      </c>
      <c r="Q91" s="8">
        <f>A91</f>
        <v>328</v>
      </c>
    </row>
    <row r="92" spans="1:17" x14ac:dyDescent="0.25">
      <c r="A92" s="8">
        <f>A91+1</f>
        <v>329</v>
      </c>
      <c r="D92" s="6" t="s">
        <v>1101</v>
      </c>
      <c r="E92" s="6" t="s">
        <v>1100</v>
      </c>
      <c r="F92" s="355">
        <v>14.979999999999999</v>
      </c>
      <c r="Q92" s="8">
        <f>A92</f>
        <v>329</v>
      </c>
    </row>
    <row r="93" spans="1:17" x14ac:dyDescent="0.25">
      <c r="A93" s="8">
        <f>A92+1</f>
        <v>330</v>
      </c>
      <c r="D93" s="6" t="s">
        <v>1099</v>
      </c>
      <c r="E93" s="6" t="s">
        <v>1098</v>
      </c>
      <c r="F93" s="355">
        <v>4.8599999999999994</v>
      </c>
      <c r="Q93" s="8">
        <f>A93</f>
        <v>330</v>
      </c>
    </row>
    <row r="94" spans="1:17" x14ac:dyDescent="0.25">
      <c r="A94" s="8">
        <f>A93+1</f>
        <v>331</v>
      </c>
      <c r="D94" s="6" t="s">
        <v>1097</v>
      </c>
      <c r="E94" s="6" t="s">
        <v>1096</v>
      </c>
      <c r="F94" s="355">
        <v>11.32</v>
      </c>
      <c r="Q94" s="8">
        <f>A94</f>
        <v>331</v>
      </c>
    </row>
    <row r="95" spans="1:17" x14ac:dyDescent="0.25">
      <c r="A95" s="8">
        <f>A94+1</f>
        <v>332</v>
      </c>
      <c r="D95" s="6" t="s">
        <v>1095</v>
      </c>
      <c r="E95" s="6" t="s">
        <v>1094</v>
      </c>
      <c r="F95" s="355">
        <v>6.1899999999999995</v>
      </c>
      <c r="Q95" s="8">
        <f>A95</f>
        <v>332</v>
      </c>
    </row>
    <row r="96" spans="1:17" x14ac:dyDescent="0.25">
      <c r="A96" s="8">
        <f>A95+1</f>
        <v>333</v>
      </c>
      <c r="D96" s="6" t="s">
        <v>1093</v>
      </c>
      <c r="E96" s="6" t="s">
        <v>1072</v>
      </c>
      <c r="F96" s="355">
        <v>10.27</v>
      </c>
      <c r="Q96" s="8">
        <f>A96</f>
        <v>333</v>
      </c>
    </row>
    <row r="97" spans="1:17" x14ac:dyDescent="0.25">
      <c r="A97" s="8">
        <f>A96+1</f>
        <v>334</v>
      </c>
      <c r="D97" s="6" t="s">
        <v>1092</v>
      </c>
      <c r="E97" s="6" t="s">
        <v>1070</v>
      </c>
      <c r="F97" s="355">
        <v>5.2</v>
      </c>
      <c r="Q97" s="8">
        <f>A97</f>
        <v>334</v>
      </c>
    </row>
    <row r="98" spans="1:17" x14ac:dyDescent="0.25">
      <c r="A98" s="8">
        <f>A97+1</f>
        <v>335</v>
      </c>
      <c r="D98" s="6" t="s">
        <v>1091</v>
      </c>
      <c r="E98" s="6" t="s">
        <v>1090</v>
      </c>
      <c r="F98" s="355">
        <v>0</v>
      </c>
      <c r="Q98" s="8">
        <f>A98</f>
        <v>335</v>
      </c>
    </row>
    <row r="99" spans="1:17" x14ac:dyDescent="0.25">
      <c r="A99" s="8">
        <f>A98+1</f>
        <v>336</v>
      </c>
      <c r="D99" s="6" t="s">
        <v>1089</v>
      </c>
      <c r="E99" s="6" t="s">
        <v>1088</v>
      </c>
      <c r="F99" s="355">
        <v>0</v>
      </c>
      <c r="Q99" s="8">
        <f>A99</f>
        <v>336</v>
      </c>
    </row>
    <row r="100" spans="1:17" x14ac:dyDescent="0.25">
      <c r="A100" s="8">
        <f>A99+1</f>
        <v>337</v>
      </c>
      <c r="D100" s="6" t="s">
        <v>1087</v>
      </c>
      <c r="E100" s="6" t="s">
        <v>1086</v>
      </c>
      <c r="F100" s="355">
        <v>3.02</v>
      </c>
      <c r="Q100" s="8">
        <f>A100</f>
        <v>337</v>
      </c>
    </row>
    <row r="101" spans="1:17" x14ac:dyDescent="0.25">
      <c r="A101" s="8">
        <f>A100+1</f>
        <v>338</v>
      </c>
      <c r="D101" s="6" t="s">
        <v>1085</v>
      </c>
      <c r="E101" s="6" t="s">
        <v>1084</v>
      </c>
      <c r="F101" s="355">
        <v>1.9199950000000001</v>
      </c>
      <c r="Q101" s="8">
        <f>A101</f>
        <v>338</v>
      </c>
    </row>
    <row r="102" spans="1:17" x14ac:dyDescent="0.25">
      <c r="A102" s="8">
        <f>A101+1</f>
        <v>339</v>
      </c>
      <c r="D102" s="6" t="s">
        <v>1083</v>
      </c>
      <c r="E102" s="6" t="s">
        <v>1082</v>
      </c>
      <c r="F102" s="355">
        <v>5.8000000000000007</v>
      </c>
      <c r="Q102" s="8">
        <f>A102</f>
        <v>339</v>
      </c>
    </row>
    <row r="103" spans="1:17" x14ac:dyDescent="0.25">
      <c r="A103" s="8">
        <f>A102+1</f>
        <v>340</v>
      </c>
      <c r="D103" s="6" t="s">
        <v>1081</v>
      </c>
      <c r="E103" s="6" t="s">
        <v>1080</v>
      </c>
      <c r="F103" s="355">
        <v>3.9800000000000004</v>
      </c>
      <c r="Q103" s="8">
        <f>A103</f>
        <v>340</v>
      </c>
    </row>
    <row r="104" spans="1:17" x14ac:dyDescent="0.25">
      <c r="A104" s="8">
        <f>A103+1</f>
        <v>341</v>
      </c>
      <c r="D104" s="6" t="s">
        <v>1079</v>
      </c>
      <c r="E104" s="6" t="s">
        <v>1078</v>
      </c>
      <c r="F104" s="355">
        <v>4.62</v>
      </c>
      <c r="Q104" s="8">
        <f>A104</f>
        <v>341</v>
      </c>
    </row>
    <row r="105" spans="1:17" x14ac:dyDescent="0.25">
      <c r="A105" s="8">
        <f>A104+1</f>
        <v>342</v>
      </c>
      <c r="D105" s="6" t="s">
        <v>1077</v>
      </c>
      <c r="E105" s="6" t="s">
        <v>1076</v>
      </c>
      <c r="F105" s="355">
        <v>0</v>
      </c>
      <c r="Q105" s="8">
        <f>A105</f>
        <v>342</v>
      </c>
    </row>
    <row r="106" spans="1:17" x14ac:dyDescent="0.25">
      <c r="A106" s="8">
        <f>A105+1</f>
        <v>343</v>
      </c>
      <c r="D106" s="6" t="s">
        <v>1075</v>
      </c>
      <c r="E106" s="6" t="s">
        <v>1074</v>
      </c>
      <c r="F106" s="355">
        <v>6.9399999999999995</v>
      </c>
      <c r="Q106" s="8">
        <f>A106</f>
        <v>343</v>
      </c>
    </row>
    <row r="107" spans="1:17" x14ac:dyDescent="0.25">
      <c r="A107" s="8">
        <f>A106+1</f>
        <v>344</v>
      </c>
      <c r="D107" s="6" t="s">
        <v>1073</v>
      </c>
      <c r="E107" s="6" t="s">
        <v>1072</v>
      </c>
      <c r="F107" s="355">
        <v>8.2199999999999989</v>
      </c>
      <c r="Q107" s="8">
        <f>A107</f>
        <v>344</v>
      </c>
    </row>
    <row r="108" spans="1:17" x14ac:dyDescent="0.25">
      <c r="A108" s="8">
        <f>A107+1</f>
        <v>345</v>
      </c>
      <c r="D108" s="6" t="s">
        <v>1071</v>
      </c>
      <c r="E108" s="6" t="s">
        <v>1070</v>
      </c>
      <c r="F108" s="355">
        <v>4.84</v>
      </c>
      <c r="Q108" s="8">
        <f>A108</f>
        <v>345</v>
      </c>
    </row>
    <row r="109" spans="1:17" x14ac:dyDescent="0.25">
      <c r="A109" s="8">
        <f>A108+1</f>
        <v>346</v>
      </c>
      <c r="D109" s="6" t="s">
        <v>1069</v>
      </c>
      <c r="E109" s="6" t="s">
        <v>1068</v>
      </c>
      <c r="F109" s="355">
        <v>2.33</v>
      </c>
      <c r="Q109" s="8">
        <f>A109</f>
        <v>346</v>
      </c>
    </row>
    <row r="110" spans="1:17" x14ac:dyDescent="0.25">
      <c r="A110" s="8">
        <f>A109+1</f>
        <v>347</v>
      </c>
      <c r="D110" s="6" t="s">
        <v>1067</v>
      </c>
      <c r="E110" s="6" t="s">
        <v>1066</v>
      </c>
      <c r="F110" s="355">
        <v>0</v>
      </c>
      <c r="Q110" s="8">
        <f>A110</f>
        <v>347</v>
      </c>
    </row>
    <row r="111" spans="1:17" x14ac:dyDescent="0.25">
      <c r="A111" s="8">
        <f>A110+1</f>
        <v>348</v>
      </c>
      <c r="D111" s="6" t="s">
        <v>1065</v>
      </c>
      <c r="E111" s="6" t="s">
        <v>1064</v>
      </c>
      <c r="F111" s="355">
        <v>24.5</v>
      </c>
      <c r="Q111" s="8">
        <f>A111</f>
        <v>348</v>
      </c>
    </row>
    <row r="113" spans="2:16" x14ac:dyDescent="0.25">
      <c r="B113" s="354" t="s">
        <v>145</v>
      </c>
      <c r="C113" s="6"/>
    </row>
    <row r="114" spans="2:16" x14ac:dyDescent="0.25">
      <c r="B114" s="38" t="s">
        <v>1063</v>
      </c>
      <c r="C114" s="6"/>
    </row>
    <row r="115" spans="2:16" x14ac:dyDescent="0.25">
      <c r="B115" s="6" t="s">
        <v>1062</v>
      </c>
      <c r="C115" s="6"/>
    </row>
    <row r="116" spans="2:16" x14ac:dyDescent="0.25">
      <c r="B116" s="6" t="s">
        <v>1061</v>
      </c>
      <c r="C116" s="6"/>
    </row>
    <row r="117" spans="2:16" ht="15" customHeight="1" x14ac:dyDescent="0.25">
      <c r="B117" s="350"/>
      <c r="C117" s="350"/>
      <c r="D117" s="350"/>
      <c r="E117" s="350"/>
      <c r="F117" s="350"/>
      <c r="G117" s="350"/>
      <c r="H117" s="350"/>
      <c r="I117" s="350"/>
      <c r="J117" s="350"/>
      <c r="K117" s="350"/>
      <c r="L117" s="350"/>
      <c r="M117" s="350"/>
      <c r="N117" s="350"/>
      <c r="O117" s="350"/>
      <c r="P117" s="350"/>
    </row>
    <row r="118" spans="2:16" ht="28.5" customHeight="1" x14ac:dyDescent="0.25">
      <c r="B118" s="353"/>
      <c r="C118" s="353"/>
      <c r="D118" s="353"/>
      <c r="E118" s="353"/>
      <c r="F118" s="353"/>
      <c r="G118" s="353"/>
      <c r="H118" s="353"/>
      <c r="I118" s="353"/>
      <c r="J118" s="353"/>
      <c r="K118" s="353"/>
      <c r="L118" s="353"/>
      <c r="M118" s="353"/>
      <c r="N118" s="353"/>
      <c r="O118" s="350"/>
      <c r="P118" s="350"/>
    </row>
    <row r="119" spans="2:16" ht="28.5" customHeight="1" x14ac:dyDescent="0.25">
      <c r="B119" s="352"/>
      <c r="C119" s="352"/>
      <c r="D119" s="352"/>
      <c r="E119" s="352"/>
      <c r="F119" s="352"/>
      <c r="G119" s="352"/>
      <c r="H119" s="352"/>
      <c r="I119" s="352"/>
      <c r="J119" s="352"/>
      <c r="K119" s="352"/>
      <c r="L119" s="352"/>
      <c r="M119" s="352"/>
      <c r="N119" s="352"/>
      <c r="O119" s="352"/>
      <c r="P119" s="352"/>
    </row>
    <row r="120" spans="2:16" x14ac:dyDescent="0.25">
      <c r="B120" s="350" t="s">
        <v>83</v>
      </c>
      <c r="C120" s="351"/>
      <c r="D120" s="350"/>
      <c r="E120" s="350"/>
      <c r="F120" s="350"/>
      <c r="G120" s="350"/>
      <c r="H120" s="350"/>
      <c r="I120" s="350"/>
      <c r="J120" s="350"/>
      <c r="K120" s="350"/>
      <c r="L120" s="350"/>
      <c r="M120" s="350"/>
      <c r="N120" s="350"/>
      <c r="O120" s="350"/>
      <c r="P120" s="350"/>
    </row>
  </sheetData>
  <mergeCells count="5">
    <mergeCell ref="G9:H9"/>
    <mergeCell ref="M9:N9"/>
    <mergeCell ref="G44:H44"/>
    <mergeCell ref="M44:N44"/>
    <mergeCell ref="B118:N118"/>
  </mergeCells>
  <printOptions horizontalCentered="1"/>
  <pageMargins left="1" right="1" top="1" bottom="1" header="0.5" footer="0.5"/>
  <pageSetup scale="36" fitToHeight="0" orientation="landscape" r:id="rId1"/>
  <headerFooter>
    <oddHeader>&amp;R&amp;F</oddHeader>
  </headerFooter>
  <customProperties>
    <customPr name="_pios_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54D535-63ED-4A40-982F-A47565DE00C0}">
  <sheetPr>
    <pageSetUpPr fitToPage="1"/>
  </sheetPr>
  <dimension ref="A5:F17"/>
  <sheetViews>
    <sheetView tabSelected="1" view="pageBreakPreview" zoomScale="60" zoomScaleNormal="100" workbookViewId="0">
      <selection activeCell="Q36" sqref="Q36"/>
    </sheetView>
  </sheetViews>
  <sheetFormatPr defaultRowHeight="15" x14ac:dyDescent="0.25"/>
  <sheetData>
    <row r="5" spans="1:6" ht="20.25" x14ac:dyDescent="0.3">
      <c r="A5" s="2"/>
      <c r="B5" s="2"/>
      <c r="C5" s="2"/>
      <c r="D5" s="2"/>
      <c r="E5" s="2"/>
      <c r="F5" s="2"/>
    </row>
    <row r="6" spans="1:6" ht="20.25" x14ac:dyDescent="0.3">
      <c r="A6" s="2"/>
      <c r="B6" s="2"/>
      <c r="C6" s="2"/>
      <c r="D6" s="2"/>
      <c r="E6" s="2"/>
      <c r="F6" s="2"/>
    </row>
    <row r="7" spans="1:6" ht="20.25" x14ac:dyDescent="0.3">
      <c r="A7" s="2"/>
      <c r="B7" s="2"/>
      <c r="C7" s="2"/>
      <c r="D7" s="2"/>
      <c r="E7" s="2"/>
      <c r="F7" s="2"/>
    </row>
    <row r="8" spans="1:6" ht="20.25" x14ac:dyDescent="0.3">
      <c r="A8" s="5"/>
      <c r="B8" s="5"/>
      <c r="C8" s="5"/>
      <c r="D8" s="5"/>
      <c r="E8" s="5"/>
      <c r="F8" s="5"/>
    </row>
    <row r="9" spans="1:6" x14ac:dyDescent="0.25">
      <c r="A9" s="1"/>
      <c r="B9" s="1"/>
      <c r="C9" s="1"/>
      <c r="D9" s="1"/>
      <c r="E9" s="1"/>
      <c r="F9" s="1"/>
    </row>
    <row r="10" spans="1:6" ht="18.75" x14ac:dyDescent="0.3">
      <c r="A10" s="3" t="s">
        <v>3</v>
      </c>
      <c r="B10" s="3"/>
      <c r="C10" s="3"/>
      <c r="D10" s="3"/>
      <c r="E10" s="3"/>
      <c r="F10" s="3"/>
    </row>
    <row r="11" spans="1:6" ht="18.75" x14ac:dyDescent="0.3">
      <c r="A11" s="3" t="s">
        <v>2</v>
      </c>
      <c r="B11" s="3"/>
      <c r="C11" s="3"/>
      <c r="D11" s="3"/>
      <c r="E11" s="3"/>
      <c r="F11" s="3"/>
    </row>
    <row r="12" spans="1:6" ht="18.75" x14ac:dyDescent="0.3">
      <c r="A12" s="4"/>
      <c r="B12" s="4"/>
      <c r="C12" s="4"/>
      <c r="D12" s="4"/>
      <c r="E12" s="4"/>
      <c r="F12" s="4"/>
    </row>
    <row r="13" spans="1:6" ht="18.75" x14ac:dyDescent="0.3">
      <c r="A13" s="3" t="s">
        <v>1</v>
      </c>
      <c r="B13" s="3"/>
      <c r="C13" s="3"/>
      <c r="D13" s="3"/>
      <c r="E13" s="3"/>
      <c r="F13" s="3"/>
    </row>
    <row r="14" spans="1:6" ht="18.75" x14ac:dyDescent="0.3">
      <c r="A14" s="3" t="s">
        <v>0</v>
      </c>
      <c r="B14" s="3"/>
      <c r="C14" s="3"/>
      <c r="D14" s="3"/>
      <c r="E14" s="3"/>
      <c r="F14" s="3"/>
    </row>
    <row r="15" spans="1:6" ht="20.25" x14ac:dyDescent="0.3">
      <c r="A15" s="2"/>
      <c r="B15" s="2"/>
      <c r="C15" s="2"/>
      <c r="D15" s="2"/>
      <c r="E15" s="2"/>
      <c r="F15" s="2"/>
    </row>
    <row r="16" spans="1:6" x14ac:dyDescent="0.25">
      <c r="A16" s="1"/>
      <c r="B16" s="1"/>
      <c r="C16" s="1"/>
      <c r="D16" s="1"/>
      <c r="E16" s="1"/>
      <c r="F16" s="1"/>
    </row>
    <row r="17" spans="1:6" x14ac:dyDescent="0.25">
      <c r="A17" s="1"/>
      <c r="B17" s="1"/>
      <c r="C17" s="1"/>
      <c r="D17" s="1"/>
      <c r="E17" s="1"/>
      <c r="F17" s="1"/>
    </row>
  </sheetData>
  <mergeCells count="8">
    <mergeCell ref="A5:F5"/>
    <mergeCell ref="A6:F6"/>
    <mergeCell ref="A7:F7"/>
    <mergeCell ref="A10:F10"/>
    <mergeCell ref="A15:F15"/>
    <mergeCell ref="A11:F11"/>
    <mergeCell ref="A13:F13"/>
    <mergeCell ref="A14:F14"/>
  </mergeCells>
  <printOptions horizontalCentered="1"/>
  <pageMargins left="1" right="1" top="1" bottom="1" header="0.5" footer="0.5"/>
  <pageSetup orientation="landscape" r:id="rId1"/>
  <customProperties>
    <customPr name="_pios_id" r:id="rId2"/>
  </customPropertie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6B53D2-5B26-4722-AC6B-E646386A13E4}">
  <sheetPr>
    <pageSetUpPr fitToPage="1"/>
  </sheetPr>
  <dimension ref="A1:R75"/>
  <sheetViews>
    <sheetView view="pageBreakPreview" topLeftCell="A60" zoomScale="80" zoomScaleNormal="84" zoomScaleSheetLayoutView="80" workbookViewId="0">
      <selection activeCell="Q36" sqref="Q36"/>
    </sheetView>
  </sheetViews>
  <sheetFormatPr defaultColWidth="9.140625" defaultRowHeight="15" x14ac:dyDescent="0.25"/>
  <cols>
    <col min="1" max="1" width="5.42578125" style="6" customWidth="1"/>
    <col min="2" max="2" width="27.42578125" style="6" customWidth="1"/>
    <col min="3" max="3" width="18.85546875" style="6" customWidth="1"/>
    <col min="4" max="4" width="25.85546875" style="6" customWidth="1"/>
    <col min="5" max="5" width="19.140625" style="6" customWidth="1"/>
    <col min="6" max="6" width="20" style="6" customWidth="1"/>
    <col min="7" max="7" width="20.42578125" style="6" customWidth="1"/>
    <col min="8" max="9" width="17.85546875" style="6" customWidth="1"/>
    <col min="10" max="10" width="8.140625" style="6" customWidth="1"/>
    <col min="11" max="11" width="4.5703125" style="6" bestFit="1" customWidth="1"/>
    <col min="12" max="14" width="12.85546875" style="6" customWidth="1"/>
    <col min="15" max="15" width="2.42578125" style="6" customWidth="1"/>
    <col min="16" max="18" width="12.85546875" style="6" customWidth="1"/>
    <col min="19" max="16384" width="9.140625" style="6"/>
  </cols>
  <sheetData>
    <row r="1" spans="1:10" x14ac:dyDescent="0.25">
      <c r="B1" s="30" t="s">
        <v>1273</v>
      </c>
      <c r="I1" s="76"/>
    </row>
    <row r="2" spans="1:10" x14ac:dyDescent="0.25">
      <c r="B2" s="30" t="s">
        <v>47</v>
      </c>
      <c r="I2" s="76" t="str">
        <f>CONCATENATE("Prior Year: ",'1-BaseTRR'!$G$3)</f>
        <v>Prior Year: 2025</v>
      </c>
    </row>
    <row r="3" spans="1:10" x14ac:dyDescent="0.25">
      <c r="B3" s="77" t="s">
        <v>367</v>
      </c>
      <c r="C3" s="89"/>
    </row>
    <row r="5" spans="1:10" x14ac:dyDescent="0.25">
      <c r="B5" s="83" t="s">
        <v>1272</v>
      </c>
      <c r="C5" s="35"/>
      <c r="D5" s="35"/>
      <c r="E5" s="35"/>
      <c r="F5" s="35"/>
      <c r="G5" s="35"/>
      <c r="H5" s="35"/>
      <c r="I5" s="35"/>
    </row>
    <row r="6" spans="1:10" x14ac:dyDescent="0.25">
      <c r="B6" s="6" t="s">
        <v>1271</v>
      </c>
      <c r="D6" s="335"/>
      <c r="E6" s="404"/>
    </row>
    <row r="7" spans="1:10" x14ac:dyDescent="0.25">
      <c r="D7" s="335"/>
      <c r="E7" s="404"/>
    </row>
    <row r="8" spans="1:10" x14ac:dyDescent="0.25">
      <c r="D8" s="175" t="s">
        <v>492</v>
      </c>
      <c r="E8" s="175" t="s">
        <v>491</v>
      </c>
      <c r="F8" s="175" t="s">
        <v>490</v>
      </c>
      <c r="G8" s="175" t="s">
        <v>489</v>
      </c>
      <c r="H8" s="175"/>
    </row>
    <row r="9" spans="1:10" ht="30" x14ac:dyDescent="0.25">
      <c r="B9" s="258"/>
      <c r="C9" s="258"/>
      <c r="D9" s="406" t="s">
        <v>99</v>
      </c>
      <c r="E9" s="405" t="s">
        <v>183</v>
      </c>
      <c r="F9" s="258" t="s">
        <v>1270</v>
      </c>
      <c r="G9" s="258" t="s">
        <v>1269</v>
      </c>
    </row>
    <row r="10" spans="1:10" x14ac:dyDescent="0.25">
      <c r="D10" s="380"/>
      <c r="E10" s="404"/>
      <c r="F10" s="403"/>
      <c r="G10" s="403"/>
    </row>
    <row r="11" spans="1:10" x14ac:dyDescent="0.25">
      <c r="D11" s="286" t="s">
        <v>1268</v>
      </c>
      <c r="E11" s="286" t="s">
        <v>466</v>
      </c>
      <c r="F11" s="403"/>
      <c r="G11" s="403"/>
    </row>
    <row r="12" spans="1:10" x14ac:dyDescent="0.25">
      <c r="B12" s="296"/>
      <c r="C12" s="284"/>
      <c r="D12" s="286" t="s">
        <v>1267</v>
      </c>
      <c r="E12" s="286" t="s">
        <v>843</v>
      </c>
      <c r="F12" s="286" t="s">
        <v>916</v>
      </c>
      <c r="G12" s="286" t="s">
        <v>913</v>
      </c>
    </row>
    <row r="13" spans="1:10" x14ac:dyDescent="0.25">
      <c r="A13" s="110" t="s">
        <v>1266</v>
      </c>
      <c r="B13" s="402" t="s">
        <v>483</v>
      </c>
      <c r="C13" s="402" t="s">
        <v>510</v>
      </c>
      <c r="D13" s="402" t="s">
        <v>1265</v>
      </c>
      <c r="E13" s="402" t="s">
        <v>1264</v>
      </c>
      <c r="F13" s="402" t="s">
        <v>837</v>
      </c>
      <c r="G13" s="402" t="s">
        <v>837</v>
      </c>
      <c r="J13" s="110" t="str">
        <f>A13</f>
        <v xml:space="preserve">Line </v>
      </c>
    </row>
    <row r="14" spans="1:10" x14ac:dyDescent="0.25">
      <c r="A14" s="8">
        <v>100</v>
      </c>
      <c r="B14" s="284" t="s">
        <v>467</v>
      </c>
      <c r="C14" s="377">
        <f>'1-BaseTRR'!$G$3-1</f>
        <v>2024</v>
      </c>
      <c r="D14" s="401">
        <v>767707254.66999996</v>
      </c>
      <c r="E14" s="401">
        <v>98853552.26843594</v>
      </c>
      <c r="F14" s="400">
        <f>+E14*'24-Allocators'!$C$44</f>
        <v>34608123.24370563</v>
      </c>
      <c r="G14" s="400">
        <f>+E14*'24-Allocators'!$C$45</f>
        <v>64245429.024730287</v>
      </c>
      <c r="J14" s="8">
        <f>A14</f>
        <v>100</v>
      </c>
    </row>
    <row r="15" spans="1:10" x14ac:dyDescent="0.25">
      <c r="A15" s="8">
        <f>A14+1</f>
        <v>101</v>
      </c>
      <c r="B15" s="284" t="s">
        <v>478</v>
      </c>
      <c r="C15" s="377">
        <f>'1-BaseTRR'!$G$3</f>
        <v>2025</v>
      </c>
      <c r="D15" s="178">
        <v>762131962.19000006</v>
      </c>
      <c r="E15" s="178">
        <v>98981822.187414736</v>
      </c>
      <c r="F15" s="400">
        <f>+E15*'24-Allocators'!$C$44</f>
        <v>34653029.886538491</v>
      </c>
      <c r="G15" s="400">
        <f>+E15*'24-Allocators'!$C$45</f>
        <v>64328792.300876223</v>
      </c>
      <c r="J15" s="8">
        <f>A15</f>
        <v>101</v>
      </c>
    </row>
    <row r="16" spans="1:10" x14ac:dyDescent="0.25">
      <c r="A16" s="8">
        <f>A15+1</f>
        <v>102</v>
      </c>
      <c r="B16" s="284" t="s">
        <v>477</v>
      </c>
      <c r="C16" s="377">
        <f>'1-BaseTRR'!$G$3</f>
        <v>2025</v>
      </c>
      <c r="D16" s="178">
        <v>759550358.16999996</v>
      </c>
      <c r="E16" s="178">
        <v>99620300.35168466</v>
      </c>
      <c r="F16" s="400">
        <f>+E16*'24-Allocators'!$C$44</f>
        <v>34876557.827521995</v>
      </c>
      <c r="G16" s="400">
        <f>+E16*'24-Allocators'!$C$45</f>
        <v>64743742.524162643</v>
      </c>
      <c r="J16" s="8">
        <f>A16</f>
        <v>102</v>
      </c>
    </row>
    <row r="17" spans="1:10" x14ac:dyDescent="0.25">
      <c r="A17" s="8">
        <f>A16+1</f>
        <v>103</v>
      </c>
      <c r="B17" s="284" t="s">
        <v>476</v>
      </c>
      <c r="C17" s="377">
        <f>'1-BaseTRR'!$G$3</f>
        <v>2025</v>
      </c>
      <c r="D17" s="178">
        <v>743959304.91999996</v>
      </c>
      <c r="E17" s="178">
        <v>96241885.209993899</v>
      </c>
      <c r="F17" s="400">
        <f>+E17*'24-Allocators'!$C$44</f>
        <v>33693791.959133789</v>
      </c>
      <c r="G17" s="400">
        <f>+E17*'24-Allocators'!$C$45</f>
        <v>62548093.250860088</v>
      </c>
      <c r="J17" s="8">
        <f>A17</f>
        <v>103</v>
      </c>
    </row>
    <row r="18" spans="1:10" x14ac:dyDescent="0.25">
      <c r="A18" s="8">
        <f>A17+1</f>
        <v>104</v>
      </c>
      <c r="B18" s="284" t="s">
        <v>475</v>
      </c>
      <c r="C18" s="377">
        <f>'1-BaseTRR'!$G$3</f>
        <v>2025</v>
      </c>
      <c r="D18" s="178">
        <v>737669161.97000003</v>
      </c>
      <c r="E18" s="178">
        <v>97468261.918866888</v>
      </c>
      <c r="F18" s="400">
        <f>+E18*'24-Allocators'!$C$44</f>
        <v>34123140.174852274</v>
      </c>
      <c r="G18" s="400">
        <f>+E18*'24-Allocators'!$C$45</f>
        <v>63345121.744014591</v>
      </c>
      <c r="J18" s="8">
        <f>A18</f>
        <v>104</v>
      </c>
    </row>
    <row r="19" spans="1:10" x14ac:dyDescent="0.25">
      <c r="A19" s="8">
        <f>A18+1</f>
        <v>105</v>
      </c>
      <c r="B19" s="284" t="s">
        <v>474</v>
      </c>
      <c r="C19" s="377">
        <f>'1-BaseTRR'!$G$3</f>
        <v>2025</v>
      </c>
      <c r="D19" s="178">
        <v>727666360.13</v>
      </c>
      <c r="E19" s="178">
        <v>95346804.591053173</v>
      </c>
      <c r="F19" s="400">
        <f>+E19*'24-Allocators'!$C$44</f>
        <v>33380428.810693409</v>
      </c>
      <c r="G19" s="400">
        <f>+E19*'24-Allocators'!$C$45</f>
        <v>61966375.780359745</v>
      </c>
      <c r="J19" s="8">
        <f>A19</f>
        <v>105</v>
      </c>
    </row>
    <row r="20" spans="1:10" x14ac:dyDescent="0.25">
      <c r="A20" s="8">
        <f>A19+1</f>
        <v>106</v>
      </c>
      <c r="B20" s="284" t="s">
        <v>763</v>
      </c>
      <c r="C20" s="377">
        <f>'1-BaseTRR'!$G$3</f>
        <v>2025</v>
      </c>
      <c r="D20" s="178">
        <v>713398969.13</v>
      </c>
      <c r="E20" s="178">
        <v>97081912.268665954</v>
      </c>
      <c r="F20" s="400">
        <f>+E20*'24-Allocators'!$C$44</f>
        <v>33987881.13759473</v>
      </c>
      <c r="G20" s="400">
        <f>+E20*'24-Allocators'!$C$45</f>
        <v>63094031.131071202</v>
      </c>
      <c r="J20" s="8">
        <f>A20</f>
        <v>106</v>
      </c>
    </row>
    <row r="21" spans="1:10" x14ac:dyDescent="0.25">
      <c r="A21" s="8">
        <f>A20+1</f>
        <v>107</v>
      </c>
      <c r="B21" s="284" t="s">
        <v>472</v>
      </c>
      <c r="C21" s="377">
        <f>'1-BaseTRR'!$G$3</f>
        <v>2025</v>
      </c>
      <c r="D21" s="178">
        <v>716325552.85000002</v>
      </c>
      <c r="E21" s="178">
        <v>96484672.502528161</v>
      </c>
      <c r="F21" s="400">
        <f>+E21*'24-Allocators'!$C$44</f>
        <v>33778790.548959017</v>
      </c>
      <c r="G21" s="400">
        <f>+E21*'24-Allocators'!$C$45</f>
        <v>62705881.953569122</v>
      </c>
      <c r="J21" s="8">
        <f>A21</f>
        <v>107</v>
      </c>
    </row>
    <row r="22" spans="1:10" x14ac:dyDescent="0.25">
      <c r="A22" s="8">
        <f>A21+1</f>
        <v>108</v>
      </c>
      <c r="B22" s="284" t="s">
        <v>471</v>
      </c>
      <c r="C22" s="377">
        <f>'1-BaseTRR'!$G$3</f>
        <v>2025</v>
      </c>
      <c r="D22" s="178">
        <v>700330055.13999999</v>
      </c>
      <c r="E22" s="178">
        <v>95182474.150028422</v>
      </c>
      <c r="F22" s="400">
        <f>+E22*'24-Allocators'!$C$44</f>
        <v>33322897.563457765</v>
      </c>
      <c r="G22" s="400">
        <f>+E22*'24-Allocators'!$C$45</f>
        <v>61859576.586570635</v>
      </c>
      <c r="J22" s="8">
        <f>A22</f>
        <v>108</v>
      </c>
    </row>
    <row r="23" spans="1:10" x14ac:dyDescent="0.25">
      <c r="A23" s="8">
        <f>A22+1</f>
        <v>109</v>
      </c>
      <c r="B23" s="284" t="s">
        <v>470</v>
      </c>
      <c r="C23" s="377">
        <f>'1-BaseTRR'!$G$3</f>
        <v>2025</v>
      </c>
      <c r="D23" s="178">
        <v>689391166.85000002</v>
      </c>
      <c r="E23" s="178">
        <v>93947182.254319713</v>
      </c>
      <c r="F23" s="400">
        <f>+E23*'24-Allocators'!$C$44</f>
        <v>32890428.186408497</v>
      </c>
      <c r="G23" s="400">
        <f>+E23*'24-Allocators'!$C$45</f>
        <v>61056754.067911193</v>
      </c>
      <c r="J23" s="8">
        <f>A23</f>
        <v>109</v>
      </c>
    </row>
    <row r="24" spans="1:10" x14ac:dyDescent="0.25">
      <c r="A24" s="8">
        <f>A23+1</f>
        <v>110</v>
      </c>
      <c r="B24" s="284" t="s">
        <v>469</v>
      </c>
      <c r="C24" s="377">
        <f>'1-BaseTRR'!$G$3</f>
        <v>2025</v>
      </c>
      <c r="D24" s="178">
        <v>685927141.36000001</v>
      </c>
      <c r="E24" s="178">
        <v>92830931.244617745</v>
      </c>
      <c r="F24" s="400">
        <f>+E24*'24-Allocators'!$C$44</f>
        <v>32499634.414933562</v>
      </c>
      <c r="G24" s="400">
        <f>+E24*'24-Allocators'!$C$45</f>
        <v>60331296.829684161</v>
      </c>
      <c r="J24" s="8">
        <f>A24</f>
        <v>110</v>
      </c>
    </row>
    <row r="25" spans="1:10" x14ac:dyDescent="0.25">
      <c r="A25" s="8">
        <f>A24+1</f>
        <v>111</v>
      </c>
      <c r="B25" s="284" t="s">
        <v>468</v>
      </c>
      <c r="C25" s="377">
        <f>'1-BaseTRR'!$G$3</f>
        <v>2025</v>
      </c>
      <c r="D25" s="178">
        <v>694796555.47000003</v>
      </c>
      <c r="E25" s="178">
        <v>93447773.705341667</v>
      </c>
      <c r="F25" s="400">
        <f>+E25*'24-Allocators'!$C$44</f>
        <v>32715587.806721795</v>
      </c>
      <c r="G25" s="400">
        <f>+E25*'24-Allocators'!$C$45</f>
        <v>60732185.898619846</v>
      </c>
      <c r="J25" s="8">
        <f>A25</f>
        <v>111</v>
      </c>
    </row>
    <row r="26" spans="1:10" x14ac:dyDescent="0.25">
      <c r="A26" s="8">
        <f>A25+1</f>
        <v>112</v>
      </c>
      <c r="B26" s="294" t="s">
        <v>467</v>
      </c>
      <c r="C26" s="399">
        <f>'1-BaseTRR'!$G$3</f>
        <v>2025</v>
      </c>
      <c r="D26" s="398">
        <v>744565833.62</v>
      </c>
      <c r="E26" s="398">
        <v>97634083.916185409</v>
      </c>
      <c r="F26" s="397">
        <f>+E26*'24-Allocators'!$C$44</f>
        <v>34181193.608320534</v>
      </c>
      <c r="G26" s="397">
        <f>+E26*'24-Allocators'!$C$45</f>
        <v>63452890.307864852</v>
      </c>
      <c r="J26" s="8">
        <f>A26</f>
        <v>112</v>
      </c>
    </row>
    <row r="27" spans="1:10" x14ac:dyDescent="0.25">
      <c r="A27" s="8">
        <f>A26+1</f>
        <v>113</v>
      </c>
      <c r="B27" s="262" t="s">
        <v>850</v>
      </c>
      <c r="C27" s="262"/>
      <c r="D27" s="94">
        <f>SUM(D14:D26)/13</f>
        <v>726416898.19000006</v>
      </c>
      <c r="E27" s="396">
        <f>SUM(E14:E26)/13</f>
        <v>96393973.582241237</v>
      </c>
      <c r="F27" s="396">
        <f>SUM(F14:F26)/13</f>
        <v>33747037.320680127</v>
      </c>
      <c r="G27" s="396">
        <f>SUM(G14:G26)/13</f>
        <v>62646936.261561126</v>
      </c>
      <c r="J27" s="8">
        <f>A27</f>
        <v>113</v>
      </c>
    </row>
    <row r="30" spans="1:10" x14ac:dyDescent="0.25">
      <c r="B30" s="83" t="s">
        <v>1263</v>
      </c>
      <c r="C30" s="35"/>
      <c r="D30" s="35"/>
      <c r="E30" s="35"/>
      <c r="F30" s="35"/>
      <c r="G30" s="35"/>
      <c r="H30" s="35"/>
      <c r="I30" s="35"/>
    </row>
    <row r="31" spans="1:10" ht="15" customHeight="1" x14ac:dyDescent="0.25">
      <c r="B31" s="6" t="s">
        <v>1262</v>
      </c>
      <c r="C31" s="395"/>
      <c r="D31" s="395"/>
      <c r="E31" s="395"/>
      <c r="F31" s="395"/>
      <c r="G31" s="395"/>
      <c r="H31" s="395"/>
      <c r="I31" s="395"/>
      <c r="J31" s="395"/>
    </row>
    <row r="32" spans="1:10" x14ac:dyDescent="0.25">
      <c r="B32" s="6" t="s">
        <v>1261</v>
      </c>
      <c r="C32" s="395"/>
      <c r="D32" s="395"/>
      <c r="E32" s="395"/>
      <c r="F32" s="395"/>
      <c r="G32" s="395"/>
      <c r="H32" s="395"/>
      <c r="I32" s="395"/>
      <c r="J32" s="395"/>
    </row>
    <row r="33" spans="1:18" x14ac:dyDescent="0.25">
      <c r="B33" s="395"/>
      <c r="C33" s="395"/>
      <c r="D33" s="395"/>
      <c r="E33" s="395"/>
      <c r="F33" s="395"/>
      <c r="G33" s="394"/>
      <c r="H33" s="394"/>
      <c r="I33" s="394"/>
    </row>
    <row r="34" spans="1:18" x14ac:dyDescent="0.25">
      <c r="B34" s="175" t="s">
        <v>492</v>
      </c>
      <c r="C34" s="175" t="s">
        <v>491</v>
      </c>
      <c r="D34" s="175" t="s">
        <v>490</v>
      </c>
      <c r="E34" s="175" t="s">
        <v>489</v>
      </c>
      <c r="F34" s="175" t="s">
        <v>519</v>
      </c>
      <c r="G34" s="175" t="s">
        <v>518</v>
      </c>
      <c r="H34" s="175" t="s">
        <v>517</v>
      </c>
      <c r="I34" s="175" t="s">
        <v>538</v>
      </c>
      <c r="J34" s="175"/>
    </row>
    <row r="35" spans="1:18" x14ac:dyDescent="0.25">
      <c r="B35" s="163" t="s">
        <v>1260</v>
      </c>
      <c r="C35" s="175"/>
      <c r="D35" s="380" t="s">
        <v>1259</v>
      </c>
      <c r="E35" s="163" t="s">
        <v>157</v>
      </c>
      <c r="F35" s="163" t="s">
        <v>1258</v>
      </c>
      <c r="G35" s="163" t="s">
        <v>350</v>
      </c>
      <c r="H35" s="163" t="s">
        <v>536</v>
      </c>
      <c r="I35" s="163" t="s">
        <v>535</v>
      </c>
    </row>
    <row r="36" spans="1:18" ht="15" customHeight="1" x14ac:dyDescent="0.25">
      <c r="E36" s="393" t="s">
        <v>1257</v>
      </c>
      <c r="G36" s="392" t="s">
        <v>1256</v>
      </c>
      <c r="H36" s="392"/>
      <c r="I36" s="392"/>
    </row>
    <row r="37" spans="1:18" ht="27.75" customHeight="1" x14ac:dyDescent="0.25">
      <c r="A37" s="110" t="s">
        <v>106</v>
      </c>
      <c r="B37" s="110" t="s">
        <v>483</v>
      </c>
      <c r="C37" s="110" t="s">
        <v>510</v>
      </c>
      <c r="D37" s="110" t="s">
        <v>1255</v>
      </c>
      <c r="E37" s="110" t="s">
        <v>1254</v>
      </c>
      <c r="F37" s="110" t="s">
        <v>1253</v>
      </c>
      <c r="G37" s="110" t="s">
        <v>1252</v>
      </c>
      <c r="H37" s="110" t="s">
        <v>1251</v>
      </c>
      <c r="I37" s="110" t="s">
        <v>1250</v>
      </c>
      <c r="J37" s="391" t="str">
        <f>A37</f>
        <v>Line</v>
      </c>
    </row>
    <row r="38" spans="1:18" x14ac:dyDescent="0.25">
      <c r="A38" s="8">
        <v>200</v>
      </c>
      <c r="B38" s="284" t="s">
        <v>467</v>
      </c>
      <c r="C38" s="377">
        <f>'1-BaseTRR'!$G$3-1</f>
        <v>2024</v>
      </c>
      <c r="D38" s="178">
        <v>647232032.18000007</v>
      </c>
      <c r="E38" s="178">
        <v>32614349.950000003</v>
      </c>
      <c r="F38" s="24">
        <f>+D38-E38</f>
        <v>614617682.23000002</v>
      </c>
      <c r="G38" s="390">
        <v>5106041.8600000003</v>
      </c>
      <c r="H38" s="390">
        <v>78865438.270000011</v>
      </c>
      <c r="I38" s="390">
        <v>530646202.10000002</v>
      </c>
      <c r="J38" s="8">
        <f>A38</f>
        <v>200</v>
      </c>
      <c r="L38" s="388"/>
      <c r="M38" s="388"/>
      <c r="N38" s="388"/>
      <c r="O38" s="388"/>
      <c r="P38" s="387"/>
      <c r="Q38" s="386"/>
      <c r="R38" s="386"/>
    </row>
    <row r="39" spans="1:18" x14ac:dyDescent="0.25">
      <c r="A39" s="8">
        <f>A38+1</f>
        <v>201</v>
      </c>
      <c r="B39" s="284" t="s">
        <v>478</v>
      </c>
      <c r="C39" s="377">
        <f>'1-BaseTRR'!$G$3</f>
        <v>2025</v>
      </c>
      <c r="D39" s="178">
        <v>690178414.37</v>
      </c>
      <c r="E39" s="178">
        <v>34354727.760000005</v>
      </c>
      <c r="F39" s="24">
        <f>+D39-E39</f>
        <v>655823686.61000001</v>
      </c>
      <c r="G39" s="390">
        <v>2585715.6800000002</v>
      </c>
      <c r="H39" s="390">
        <v>65676282.330000006</v>
      </c>
      <c r="I39" s="390">
        <v>587561688.5999999</v>
      </c>
      <c r="J39" s="8">
        <f>A39</f>
        <v>201</v>
      </c>
      <c r="L39" s="388"/>
      <c r="M39" s="388"/>
      <c r="N39" s="388"/>
      <c r="O39" s="388"/>
      <c r="P39" s="387"/>
      <c r="Q39" s="386"/>
      <c r="R39" s="386"/>
    </row>
    <row r="40" spans="1:18" x14ac:dyDescent="0.25">
      <c r="A40" s="8">
        <f>A39+1</f>
        <v>202</v>
      </c>
      <c r="B40" s="284" t="s">
        <v>477</v>
      </c>
      <c r="C40" s="377">
        <f>'1-BaseTRR'!$G$3</f>
        <v>2025</v>
      </c>
      <c r="D40" s="178">
        <v>697652343.20000005</v>
      </c>
      <c r="E40" s="178">
        <v>33560686.450000003</v>
      </c>
      <c r="F40" s="24">
        <f>+D40-E40</f>
        <v>664091656.75</v>
      </c>
      <c r="G40" s="390">
        <v>65389.5</v>
      </c>
      <c r="H40" s="390">
        <v>50249692.790000007</v>
      </c>
      <c r="I40" s="390">
        <v>613776574.46000004</v>
      </c>
      <c r="J40" s="8">
        <f>A40</f>
        <v>202</v>
      </c>
      <c r="L40" s="388"/>
      <c r="M40" s="388"/>
      <c r="N40" s="388"/>
      <c r="O40" s="388"/>
      <c r="P40" s="387"/>
      <c r="Q40" s="386"/>
      <c r="R40" s="386"/>
    </row>
    <row r="41" spans="1:18" x14ac:dyDescent="0.25">
      <c r="A41" s="8">
        <f>A40+1</f>
        <v>203</v>
      </c>
      <c r="B41" s="284" t="s">
        <v>476</v>
      </c>
      <c r="C41" s="377">
        <f>'1-BaseTRR'!$G$3</f>
        <v>2025</v>
      </c>
      <c r="D41" s="178">
        <v>713044139.87</v>
      </c>
      <c r="E41" s="178">
        <v>34358071.180000007</v>
      </c>
      <c r="F41" s="24">
        <f>+D41-E41</f>
        <v>678686068.69000006</v>
      </c>
      <c r="G41" s="390">
        <v>24467021.219999999</v>
      </c>
      <c r="H41" s="390">
        <v>34823103.25</v>
      </c>
      <c r="I41" s="390">
        <v>619395944.22000003</v>
      </c>
      <c r="J41" s="8">
        <f>A41</f>
        <v>203</v>
      </c>
      <c r="L41" s="388"/>
      <c r="M41" s="388"/>
      <c r="N41" s="388"/>
      <c r="O41" s="388"/>
      <c r="P41" s="387"/>
      <c r="Q41" s="386"/>
      <c r="R41" s="386"/>
    </row>
    <row r="42" spans="1:18" x14ac:dyDescent="0.25">
      <c r="A42" s="8">
        <f>A41+1</f>
        <v>204</v>
      </c>
      <c r="B42" s="284" t="s">
        <v>475</v>
      </c>
      <c r="C42" s="377">
        <f>'1-BaseTRR'!$G$3</f>
        <v>2025</v>
      </c>
      <c r="D42" s="178">
        <v>843444346.0999999</v>
      </c>
      <c r="E42" s="178">
        <v>38526954.280000009</v>
      </c>
      <c r="F42" s="24">
        <f>+D42-E42</f>
        <v>804917391.81999993</v>
      </c>
      <c r="G42" s="390">
        <v>22244929.699999999</v>
      </c>
      <c r="H42" s="390">
        <v>19898503.289999999</v>
      </c>
      <c r="I42" s="390">
        <v>762773958.82999992</v>
      </c>
      <c r="J42" s="8">
        <f>A42</f>
        <v>204</v>
      </c>
      <c r="L42" s="388"/>
      <c r="M42" s="388"/>
      <c r="N42" s="388"/>
      <c r="O42" s="388"/>
      <c r="P42" s="387"/>
      <c r="Q42" s="386"/>
      <c r="R42" s="386"/>
    </row>
    <row r="43" spans="1:18" x14ac:dyDescent="0.25">
      <c r="A43" s="8">
        <f>A42+1</f>
        <v>205</v>
      </c>
      <c r="B43" s="284" t="s">
        <v>474</v>
      </c>
      <c r="C43" s="377">
        <f>'1-BaseTRR'!$G$3</f>
        <v>2025</v>
      </c>
      <c r="D43" s="178">
        <v>763254181.16999996</v>
      </c>
      <c r="E43" s="178">
        <v>33065509.180000007</v>
      </c>
      <c r="F43" s="24">
        <f>+D43-E43</f>
        <v>730188671.99000001</v>
      </c>
      <c r="G43" s="390">
        <v>20715466.079999998</v>
      </c>
      <c r="H43" s="390">
        <v>4834666.2300000004</v>
      </c>
      <c r="I43" s="390">
        <v>704638539.67999995</v>
      </c>
      <c r="J43" s="8">
        <f>A43</f>
        <v>205</v>
      </c>
      <c r="L43" s="388"/>
      <c r="M43" s="388"/>
      <c r="N43" s="388"/>
      <c r="O43" s="388"/>
      <c r="P43" s="387"/>
      <c r="Q43" s="386"/>
      <c r="R43" s="386"/>
    </row>
    <row r="44" spans="1:18" x14ac:dyDescent="0.25">
      <c r="A44" s="8">
        <f>A43+1</f>
        <v>206</v>
      </c>
      <c r="B44" s="284" t="s">
        <v>763</v>
      </c>
      <c r="C44" s="377">
        <f>'1-BaseTRR'!$G$3</f>
        <v>2025</v>
      </c>
      <c r="D44" s="178">
        <v>239866596.93000001</v>
      </c>
      <c r="E44" s="178">
        <v>33844332.240000002</v>
      </c>
      <c r="F44" s="24">
        <f>+D44-E44</f>
        <v>206022264.69</v>
      </c>
      <c r="G44" s="390">
        <v>18424111.77</v>
      </c>
      <c r="H44" s="390">
        <v>7020073.7700000005</v>
      </c>
      <c r="I44" s="390">
        <v>180578079.15000001</v>
      </c>
      <c r="J44" s="8">
        <f>A44</f>
        <v>206</v>
      </c>
      <c r="L44" s="388"/>
      <c r="M44" s="388"/>
      <c r="N44" s="388"/>
      <c r="O44" s="388"/>
      <c r="P44" s="387"/>
      <c r="Q44" s="386"/>
      <c r="R44" s="386"/>
    </row>
    <row r="45" spans="1:18" x14ac:dyDescent="0.25">
      <c r="A45" s="8">
        <f>A44+1</f>
        <v>207</v>
      </c>
      <c r="B45" s="284" t="s">
        <v>472</v>
      </c>
      <c r="C45" s="377">
        <f>'1-BaseTRR'!$G$3</f>
        <v>2025</v>
      </c>
      <c r="D45" s="178">
        <v>334263116.62</v>
      </c>
      <c r="E45" s="178">
        <v>33070250.220000006</v>
      </c>
      <c r="F45" s="24">
        <f>+D45-E45</f>
        <v>301192866.39999998</v>
      </c>
      <c r="G45" s="390">
        <v>18530972.16</v>
      </c>
      <c r="H45" s="390">
        <v>62103108.200000003</v>
      </c>
      <c r="I45" s="390">
        <v>220558786.03999999</v>
      </c>
      <c r="J45" s="8">
        <f>A45</f>
        <v>207</v>
      </c>
      <c r="L45" s="388"/>
      <c r="M45" s="388"/>
      <c r="N45" s="388"/>
      <c r="O45" s="388"/>
      <c r="P45" s="387"/>
      <c r="Q45" s="386"/>
      <c r="R45" s="386"/>
    </row>
    <row r="46" spans="1:18" x14ac:dyDescent="0.25">
      <c r="A46" s="8">
        <f>A45+1</f>
        <v>208</v>
      </c>
      <c r="B46" s="284" t="s">
        <v>471</v>
      </c>
      <c r="C46" s="377">
        <f>'1-BaseTRR'!$G$3</f>
        <v>2025</v>
      </c>
      <c r="D46" s="178">
        <v>318288440.62</v>
      </c>
      <c r="E46" s="178">
        <v>34228546.040000007</v>
      </c>
      <c r="F46" s="24">
        <f>+D46-E46</f>
        <v>284059894.57999998</v>
      </c>
      <c r="G46" s="390">
        <v>15976740.880000001</v>
      </c>
      <c r="H46" s="390">
        <v>55923509.379999995</v>
      </c>
      <c r="I46" s="390">
        <v>212159644.31999999</v>
      </c>
      <c r="J46" s="8">
        <f>A46</f>
        <v>208</v>
      </c>
      <c r="L46" s="388"/>
      <c r="M46" s="388"/>
      <c r="N46" s="388"/>
      <c r="O46" s="388"/>
      <c r="P46" s="387"/>
      <c r="Q46" s="386"/>
      <c r="R46" s="386"/>
    </row>
    <row r="47" spans="1:18" x14ac:dyDescent="0.25">
      <c r="A47" s="8">
        <f>A46+1</f>
        <v>209</v>
      </c>
      <c r="B47" s="284" t="s">
        <v>470</v>
      </c>
      <c r="C47" s="377">
        <f>'1-BaseTRR'!$G$3</f>
        <v>2025</v>
      </c>
      <c r="D47" s="178">
        <v>300824509.01999998</v>
      </c>
      <c r="E47" s="178">
        <v>35942167.460000008</v>
      </c>
      <c r="F47" s="24">
        <f>+D47-E47</f>
        <v>264882341.55999997</v>
      </c>
      <c r="G47" s="390">
        <v>13532098.43</v>
      </c>
      <c r="H47" s="390">
        <v>49906568.560000002</v>
      </c>
      <c r="I47" s="390">
        <v>201443674.56999999</v>
      </c>
      <c r="J47" s="8">
        <f>A47</f>
        <v>209</v>
      </c>
      <c r="L47" s="388"/>
      <c r="M47" s="388"/>
      <c r="N47" s="388"/>
      <c r="O47" s="388"/>
      <c r="P47" s="387"/>
      <c r="Q47" s="386"/>
      <c r="R47" s="386"/>
    </row>
    <row r="48" spans="1:18" x14ac:dyDescent="0.25">
      <c r="A48" s="8">
        <f>A47+1</f>
        <v>210</v>
      </c>
      <c r="B48" s="284" t="s">
        <v>469</v>
      </c>
      <c r="C48" s="377">
        <f>'1-BaseTRR'!$G$3</f>
        <v>2025</v>
      </c>
      <c r="D48" s="178">
        <v>297464639.16000003</v>
      </c>
      <c r="E48" s="178">
        <v>35137545.439999998</v>
      </c>
      <c r="F48" s="24">
        <f>+D48-E48</f>
        <v>262327093.72000003</v>
      </c>
      <c r="G48" s="390">
        <v>10914389.32</v>
      </c>
      <c r="H48" s="390">
        <v>43494361.74000001</v>
      </c>
      <c r="I48" s="390">
        <v>207918342.66</v>
      </c>
      <c r="J48" s="8">
        <f>A48</f>
        <v>210</v>
      </c>
      <c r="L48" s="388"/>
      <c r="M48" s="388"/>
      <c r="N48" s="388"/>
      <c r="O48" s="388"/>
      <c r="P48" s="387"/>
      <c r="Q48" s="386"/>
      <c r="R48" s="386"/>
    </row>
    <row r="49" spans="1:18" x14ac:dyDescent="0.25">
      <c r="A49" s="8">
        <f>A48+1</f>
        <v>211</v>
      </c>
      <c r="B49" s="284" t="s">
        <v>468</v>
      </c>
      <c r="C49" s="377">
        <f>'1-BaseTRR'!$G$3</f>
        <v>2025</v>
      </c>
      <c r="D49" s="178">
        <v>277254707.87333333</v>
      </c>
      <c r="E49" s="178">
        <v>34392776.050000004</v>
      </c>
      <c r="F49" s="24">
        <f>+D49-E49</f>
        <v>242861931.82333332</v>
      </c>
      <c r="G49" s="390">
        <v>8383213.540000001</v>
      </c>
      <c r="H49" s="390">
        <v>37279787.920000002</v>
      </c>
      <c r="I49" s="390">
        <v>197198930.36333334</v>
      </c>
      <c r="J49" s="8">
        <f>A49</f>
        <v>211</v>
      </c>
      <c r="L49" s="388"/>
      <c r="M49" s="388"/>
      <c r="N49" s="388"/>
      <c r="O49" s="388"/>
      <c r="P49" s="387"/>
      <c r="Q49" s="386"/>
      <c r="R49" s="386"/>
    </row>
    <row r="50" spans="1:18" x14ac:dyDescent="0.25">
      <c r="A50" s="8">
        <f>A49+1</f>
        <v>212</v>
      </c>
      <c r="B50" s="296" t="s">
        <v>467</v>
      </c>
      <c r="C50" s="377">
        <f>'1-BaseTRR'!$G$3</f>
        <v>2025</v>
      </c>
      <c r="D50" s="178">
        <v>268392941.63</v>
      </c>
      <c r="E50" s="178">
        <v>36342337.810000002</v>
      </c>
      <c r="F50" s="24">
        <f>+D50-E50</f>
        <v>232050603.81999999</v>
      </c>
      <c r="G50" s="390">
        <v>5918726.6500000004</v>
      </c>
      <c r="H50" s="390">
        <v>31662765.839999996</v>
      </c>
      <c r="I50" s="390">
        <v>194469111.32999998</v>
      </c>
      <c r="J50" s="8">
        <f>A50</f>
        <v>212</v>
      </c>
      <c r="L50" s="388"/>
      <c r="M50" s="388"/>
      <c r="N50" s="388"/>
      <c r="O50" s="388"/>
      <c r="P50" s="387"/>
      <c r="Q50" s="386"/>
      <c r="R50" s="386"/>
    </row>
    <row r="51" spans="1:18" x14ac:dyDescent="0.25">
      <c r="A51" s="8"/>
      <c r="B51" s="296"/>
      <c r="C51" s="377"/>
      <c r="D51" s="102"/>
      <c r="E51" s="102"/>
      <c r="F51" s="102"/>
      <c r="G51" s="389"/>
      <c r="H51" s="389"/>
      <c r="I51" s="389"/>
      <c r="J51" s="8"/>
      <c r="L51" s="388"/>
      <c r="M51" s="388"/>
      <c r="N51" s="388"/>
      <c r="O51" s="388"/>
      <c r="P51" s="387"/>
      <c r="Q51" s="386"/>
      <c r="R51" s="386"/>
    </row>
    <row r="52" spans="1:18" x14ac:dyDescent="0.25">
      <c r="B52" s="296"/>
      <c r="C52" s="377"/>
      <c r="D52" s="376"/>
      <c r="E52" s="102"/>
      <c r="F52" s="376"/>
      <c r="G52" s="47"/>
      <c r="H52" s="23"/>
      <c r="J52" s="8"/>
    </row>
    <row r="53" spans="1:18" ht="30" x14ac:dyDescent="0.25">
      <c r="A53" s="8"/>
      <c r="C53" s="377"/>
      <c r="D53" s="376"/>
      <c r="E53" s="102"/>
      <c r="F53" s="376"/>
      <c r="G53" s="8"/>
      <c r="H53" s="257" t="s">
        <v>1249</v>
      </c>
      <c r="I53" s="8"/>
      <c r="J53" s="8"/>
    </row>
    <row r="54" spans="1:18" ht="60" x14ac:dyDescent="0.25">
      <c r="A54" s="8"/>
      <c r="B54" s="385" t="s">
        <v>1248</v>
      </c>
      <c r="C54" s="377"/>
      <c r="D54" s="376"/>
      <c r="E54" s="102"/>
      <c r="F54" s="376"/>
      <c r="G54" s="384" t="s">
        <v>234</v>
      </c>
      <c r="H54" s="384" t="s">
        <v>1247</v>
      </c>
      <c r="I54" s="384" t="s">
        <v>221</v>
      </c>
      <c r="J54" s="8"/>
    </row>
    <row r="55" spans="1:18" x14ac:dyDescent="0.25">
      <c r="A55" s="8">
        <f>A50+1</f>
        <v>213</v>
      </c>
      <c r="B55" s="296" t="s">
        <v>481</v>
      </c>
      <c r="C55" s="383" t="s">
        <v>1246</v>
      </c>
      <c r="D55" s="376"/>
      <c r="E55" s="102"/>
      <c r="F55" s="376"/>
      <c r="G55" s="382">
        <f>'24-Allocators'!C30</f>
        <v>0.1564767525133699</v>
      </c>
      <c r="H55" s="381">
        <f>'24-Allocators'!C57</f>
        <v>0.12760861086462347</v>
      </c>
      <c r="I55" s="68">
        <f>'24-Allocators'!C25</f>
        <v>9.874046921587705E-2</v>
      </c>
      <c r="J55" s="8">
        <f>A55</f>
        <v>213</v>
      </c>
    </row>
    <row r="56" spans="1:18" x14ac:dyDescent="0.25">
      <c r="B56" s="296"/>
      <c r="C56" s="377"/>
      <c r="D56" s="376"/>
      <c r="E56" s="102"/>
      <c r="F56" s="376"/>
      <c r="G56" s="47"/>
      <c r="J56" s="8"/>
    </row>
    <row r="57" spans="1:18" ht="29.25" customHeight="1" x14ac:dyDescent="0.25">
      <c r="A57" s="8">
        <f>+A55+1</f>
        <v>214</v>
      </c>
      <c r="B57" s="262" t="s">
        <v>1245</v>
      </c>
      <c r="C57" s="74" t="str">
        <f>"(Sum Line "&amp;A38&amp;" to Line "&amp;A50&amp;") / 13"</f>
        <v>(Sum Line 200 to Line 212) / 13</v>
      </c>
      <c r="D57" s="378">
        <f>AVERAGE(D38:D50)</f>
        <v>491627723.74948716</v>
      </c>
      <c r="E57" s="378">
        <f>AVERAGE(E38:E50)</f>
        <v>34572173.38923078</v>
      </c>
      <c r="F57" s="378">
        <f>AVERAGE(F38:F50)</f>
        <v>457055550.36025643</v>
      </c>
      <c r="G57" s="378">
        <f>AVERAGE(G38:G50)</f>
        <v>12835755.137692304</v>
      </c>
      <c r="H57" s="378">
        <f>AVERAGE(H38:H50)</f>
        <v>41672143.197692312</v>
      </c>
      <c r="I57" s="378">
        <f>AVERAGE(I38:I50)</f>
        <v>402547652.02487177</v>
      </c>
      <c r="J57" s="8">
        <f>A57</f>
        <v>214</v>
      </c>
      <c r="L57" s="102"/>
    </row>
    <row r="58" spans="1:18" x14ac:dyDescent="0.25">
      <c r="A58" s="8">
        <f>A57+1</f>
        <v>215</v>
      </c>
      <c r="B58" s="296" t="s">
        <v>1243</v>
      </c>
      <c r="C58" s="23" t="str">
        <f>"Line "&amp;A55&amp;" * Line "&amp;A57&amp;""</f>
        <v>Line 213 * Line 214</v>
      </c>
      <c r="D58" s="379"/>
      <c r="E58" s="379"/>
      <c r="F58" s="379">
        <f>+G58+H58+I58</f>
        <v>47073965</v>
      </c>
      <c r="G58" s="378">
        <f>ROUND(G57*G55,0)</f>
        <v>2008497</v>
      </c>
      <c r="H58" s="378">
        <f>ROUND(H57*H55,0)</f>
        <v>5317724</v>
      </c>
      <c r="I58" s="378">
        <f>ROUND(I57*I55,0)</f>
        <v>39747744</v>
      </c>
      <c r="J58" s="8">
        <f>A58</f>
        <v>215</v>
      </c>
      <c r="L58" s="102"/>
    </row>
    <row r="59" spans="1:18" x14ac:dyDescent="0.25">
      <c r="B59" s="296"/>
      <c r="C59" s="380"/>
      <c r="D59" s="376"/>
      <c r="E59" s="376"/>
      <c r="F59" s="376"/>
      <c r="G59" s="376"/>
      <c r="H59" s="376"/>
      <c r="I59" s="376"/>
      <c r="J59" s="8"/>
    </row>
    <row r="60" spans="1:18" x14ac:dyDescent="0.25">
      <c r="A60" s="8">
        <f>A58+1</f>
        <v>216</v>
      </c>
      <c r="B60" s="262" t="s">
        <v>1244</v>
      </c>
      <c r="C60" s="380" t="str">
        <f>"Line "&amp;A50&amp;""</f>
        <v>Line 212</v>
      </c>
      <c r="D60" s="378">
        <f>+D50</f>
        <v>268392941.63</v>
      </c>
      <c r="E60" s="378">
        <f>+E50</f>
        <v>36342337.810000002</v>
      </c>
      <c r="F60" s="378">
        <f>+F50</f>
        <v>232050603.81999999</v>
      </c>
      <c r="G60" s="378">
        <f>+G50</f>
        <v>5918726.6500000004</v>
      </c>
      <c r="H60" s="378">
        <f>+H50</f>
        <v>31662765.839999996</v>
      </c>
      <c r="I60" s="378">
        <f>+I50</f>
        <v>194469111.32999998</v>
      </c>
      <c r="J60" s="8">
        <f>A60</f>
        <v>216</v>
      </c>
      <c r="L60" s="102"/>
    </row>
    <row r="61" spans="1:18" x14ac:dyDescent="0.25">
      <c r="A61" s="8">
        <f>A60+1</f>
        <v>217</v>
      </c>
      <c r="B61" s="296" t="s">
        <v>1243</v>
      </c>
      <c r="C61" s="23" t="str">
        <f>"Line "&amp;A55&amp;" * Line "&amp;A60&amp;""</f>
        <v>Line 213 * Line 216</v>
      </c>
      <c r="D61" s="378"/>
      <c r="E61" s="378"/>
      <c r="F61" s="379">
        <f>+G61+H61+I61</f>
        <v>24168556</v>
      </c>
      <c r="G61" s="378">
        <f>ROUND(G60*G55,0)</f>
        <v>926143</v>
      </c>
      <c r="H61" s="378">
        <f>ROUND(H60*H55,0)</f>
        <v>4040442</v>
      </c>
      <c r="I61" s="378">
        <f>ROUND(I60*I55,0)</f>
        <v>19201971</v>
      </c>
      <c r="J61" s="8">
        <f>A61</f>
        <v>217</v>
      </c>
      <c r="L61" s="102"/>
    </row>
    <row r="62" spans="1:18" x14ac:dyDescent="0.25">
      <c r="A62" s="8"/>
      <c r="B62" s="262"/>
      <c r="C62" s="377"/>
      <c r="D62" s="376"/>
      <c r="E62" s="376"/>
      <c r="F62" s="376"/>
      <c r="G62" s="376"/>
      <c r="H62" s="376"/>
      <c r="I62" s="376"/>
      <c r="J62" s="8"/>
      <c r="L62" s="102"/>
    </row>
    <row r="63" spans="1:18" x14ac:dyDescent="0.25">
      <c r="A63" s="8"/>
      <c r="B63" s="262" t="s">
        <v>145</v>
      </c>
      <c r="C63" s="377"/>
      <c r="D63" s="376"/>
      <c r="E63" s="376"/>
      <c r="F63" s="376"/>
      <c r="G63" s="376"/>
      <c r="H63" s="376"/>
      <c r="I63" s="376"/>
      <c r="J63" s="8"/>
      <c r="L63" s="102"/>
    </row>
    <row r="64" spans="1:18" x14ac:dyDescent="0.25">
      <c r="A64" s="8"/>
      <c r="B64" s="296" t="s">
        <v>1242</v>
      </c>
      <c r="C64" s="377"/>
      <c r="D64" s="376"/>
      <c r="E64" s="376"/>
      <c r="F64" s="376"/>
      <c r="G64" s="376"/>
      <c r="H64" s="376"/>
      <c r="I64" s="376"/>
      <c r="J64" s="8"/>
      <c r="L64" s="102"/>
    </row>
    <row r="65" spans="1:12" x14ac:dyDescent="0.25">
      <c r="A65" s="8"/>
      <c r="B65" s="296" t="s">
        <v>1241</v>
      </c>
      <c r="C65" s="377"/>
      <c r="D65" s="376"/>
      <c r="E65" s="376"/>
      <c r="F65" s="376"/>
      <c r="G65" s="376"/>
      <c r="H65" s="376"/>
      <c r="I65" s="376"/>
      <c r="J65" s="8"/>
      <c r="L65" s="102"/>
    </row>
    <row r="66" spans="1:12" x14ac:dyDescent="0.25">
      <c r="A66" s="8"/>
      <c r="B66" s="296" t="s">
        <v>1240</v>
      </c>
      <c r="C66" s="377"/>
      <c r="D66" s="376"/>
      <c r="E66" s="376"/>
      <c r="F66" s="376"/>
      <c r="G66" s="376"/>
      <c r="H66" s="376"/>
      <c r="I66" s="376"/>
      <c r="J66" s="8"/>
      <c r="L66" s="102"/>
    </row>
    <row r="67" spans="1:12" x14ac:dyDescent="0.25">
      <c r="A67" s="8"/>
      <c r="B67" s="296" t="s">
        <v>1239</v>
      </c>
      <c r="C67" s="377"/>
      <c r="D67" s="376"/>
      <c r="E67" s="376"/>
      <c r="F67" s="376"/>
      <c r="G67" s="376"/>
      <c r="H67" s="376"/>
      <c r="I67" s="376"/>
      <c r="J67" s="8"/>
      <c r="L67" s="102"/>
    </row>
    <row r="68" spans="1:12" x14ac:dyDescent="0.25">
      <c r="A68" s="8"/>
      <c r="B68" s="296" t="s">
        <v>1238</v>
      </c>
      <c r="C68" s="377"/>
      <c r="D68" s="376"/>
      <c r="E68" s="376"/>
      <c r="F68" s="376"/>
      <c r="G68" s="376"/>
      <c r="H68" s="376"/>
      <c r="I68" s="376"/>
      <c r="J68" s="8"/>
      <c r="L68" s="102"/>
    </row>
    <row r="69" spans="1:12" x14ac:dyDescent="0.25">
      <c r="A69" s="8"/>
      <c r="B69" s="296" t="s">
        <v>1237</v>
      </c>
      <c r="C69" s="377"/>
      <c r="D69" s="376"/>
      <c r="E69" s="376"/>
      <c r="F69" s="376"/>
      <c r="G69" s="376"/>
      <c r="H69" s="376"/>
      <c r="I69" s="376"/>
      <c r="J69" s="8"/>
      <c r="L69" s="102"/>
    </row>
    <row r="70" spans="1:12" x14ac:dyDescent="0.25">
      <c r="A70" s="8"/>
      <c r="B70" s="296" t="s">
        <v>1236</v>
      </c>
      <c r="C70" s="377"/>
      <c r="D70" s="376"/>
      <c r="E70" s="376"/>
      <c r="F70" s="376"/>
      <c r="G70" s="376"/>
      <c r="H70" s="376"/>
      <c r="I70" s="376"/>
      <c r="J70" s="8"/>
      <c r="L70" s="102"/>
    </row>
    <row r="71" spans="1:12" x14ac:dyDescent="0.25">
      <c r="B71" s="296" t="s">
        <v>1235</v>
      </c>
    </row>
    <row r="73" spans="1:12" x14ac:dyDescent="0.25">
      <c r="H73" s="51"/>
    </row>
    <row r="75" spans="1:12" x14ac:dyDescent="0.25">
      <c r="H75" s="375"/>
    </row>
  </sheetData>
  <mergeCells count="1">
    <mergeCell ref="G33:I33"/>
  </mergeCells>
  <printOptions horizontalCentered="1"/>
  <pageMargins left="1" right="1" top="1" bottom="1" header="0.5" footer="0.5"/>
  <pageSetup scale="63" fitToHeight="0" orientation="landscape" r:id="rId1"/>
  <headerFooter>
    <oddHeader>&amp;R&amp;F</oddHeader>
  </headerFooter>
  <rowBreaks count="1" manualBreakCount="1">
    <brk id="29" max="9" man="1"/>
  </rowBreaks>
  <customProperties>
    <customPr name="_pios_id" r:id="rId2"/>
  </customPropertie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D2DD41-8ECD-4B75-8AC3-2FF2C0C48B8C}">
  <sheetPr>
    <pageSetUpPr fitToPage="1"/>
  </sheetPr>
  <dimension ref="A1:P190"/>
  <sheetViews>
    <sheetView view="pageBreakPreview" topLeftCell="A161" zoomScale="60" zoomScaleNormal="70" workbookViewId="0">
      <selection activeCell="Q36" sqref="Q36"/>
    </sheetView>
  </sheetViews>
  <sheetFormatPr defaultColWidth="9.140625" defaultRowHeight="15" x14ac:dyDescent="0.25"/>
  <cols>
    <col min="1" max="1" width="6.85546875" style="6" bestFit="1" customWidth="1"/>
    <col min="2" max="2" width="14.5703125" style="6" customWidth="1"/>
    <col min="3" max="3" width="54.42578125" style="6" customWidth="1"/>
    <col min="4" max="4" width="25.140625" style="6" customWidth="1"/>
    <col min="5" max="5" width="28.140625" style="6" customWidth="1"/>
    <col min="6" max="6" width="30.140625" style="6" customWidth="1"/>
    <col min="7" max="7" width="25.140625" style="6" customWidth="1"/>
    <col min="8" max="8" width="22.140625" style="6" customWidth="1"/>
    <col min="9" max="9" width="53.5703125" style="6" bestFit="1" customWidth="1"/>
    <col min="10" max="10" width="34.85546875" style="6" customWidth="1"/>
    <col min="11" max="11" width="19.140625" style="6" bestFit="1" customWidth="1"/>
    <col min="12" max="12" width="15" style="6" customWidth="1"/>
    <col min="13" max="13" width="18.85546875" style="6" customWidth="1"/>
    <col min="14" max="16" width="9.140625" style="6"/>
    <col min="17" max="17" width="11.42578125" style="6" bestFit="1" customWidth="1"/>
    <col min="18" max="16384" width="9.140625" style="6"/>
  </cols>
  <sheetData>
    <row r="1" spans="1:14" x14ac:dyDescent="0.25">
      <c r="B1" s="30" t="s">
        <v>1437</v>
      </c>
      <c r="M1" s="76"/>
    </row>
    <row r="2" spans="1:14" x14ac:dyDescent="0.25">
      <c r="B2" s="30" t="s">
        <v>45</v>
      </c>
      <c r="I2" s="76"/>
      <c r="M2" s="76" t="str">
        <f>CONCATENATE("Prior Year: ",'1-BaseTRR'!$G$3)</f>
        <v>Prior Year: 2025</v>
      </c>
    </row>
    <row r="3" spans="1:14" x14ac:dyDescent="0.25">
      <c r="B3" s="77" t="s">
        <v>367</v>
      </c>
      <c r="C3" s="462"/>
      <c r="I3" s="76"/>
      <c r="J3" s="76"/>
    </row>
    <row r="4" spans="1:14" x14ac:dyDescent="0.25">
      <c r="B4" s="30"/>
      <c r="C4" s="284"/>
      <c r="D4" s="284"/>
    </row>
    <row r="5" spans="1:14" x14ac:dyDescent="0.25">
      <c r="B5" s="303" t="s">
        <v>1436</v>
      </c>
      <c r="C5" s="301"/>
      <c r="D5" s="301"/>
      <c r="E5" s="35"/>
      <c r="F5" s="35"/>
      <c r="G5" s="35"/>
      <c r="H5" s="35"/>
      <c r="I5" s="35"/>
      <c r="J5" s="35"/>
      <c r="K5" s="35"/>
      <c r="L5" s="35"/>
      <c r="M5" s="35"/>
    </row>
    <row r="6" spans="1:14" x14ac:dyDescent="0.25">
      <c r="B6" s="479" t="s">
        <v>1435</v>
      </c>
      <c r="C6" s="284"/>
      <c r="D6" s="284"/>
    </row>
    <row r="7" spans="1:14" x14ac:dyDescent="0.25">
      <c r="B7" s="290"/>
      <c r="C7" s="175" t="s">
        <v>492</v>
      </c>
      <c r="D7" s="175" t="s">
        <v>491</v>
      </c>
      <c r="E7" s="175" t="s">
        <v>490</v>
      </c>
    </row>
    <row r="8" spans="1:14" x14ac:dyDescent="0.25">
      <c r="C8" s="284"/>
    </row>
    <row r="9" spans="1:14" x14ac:dyDescent="0.25">
      <c r="A9" s="33" t="s">
        <v>106</v>
      </c>
      <c r="B9" s="290"/>
      <c r="C9" s="25" t="s">
        <v>1434</v>
      </c>
      <c r="D9" s="33" t="s">
        <v>1433</v>
      </c>
      <c r="E9" s="33" t="s">
        <v>154</v>
      </c>
      <c r="N9" s="33" t="str">
        <f>A9</f>
        <v>Line</v>
      </c>
    </row>
    <row r="10" spans="1:14" x14ac:dyDescent="0.25">
      <c r="A10" s="8">
        <v>100</v>
      </c>
      <c r="B10" s="290"/>
      <c r="C10" s="6" t="s">
        <v>1432</v>
      </c>
      <c r="D10" s="24">
        <f>+D46</f>
        <v>415203817.8136611</v>
      </c>
      <c r="E10" s="47" t="str">
        <f>"Line "&amp;A46&amp;", Col. 2"</f>
        <v>Line 212, Col. 2</v>
      </c>
      <c r="N10" s="8">
        <f>A10</f>
        <v>100</v>
      </c>
    </row>
    <row r="11" spans="1:14" x14ac:dyDescent="0.25">
      <c r="A11" s="8">
        <f>A10+1</f>
        <v>101</v>
      </c>
      <c r="B11" s="290"/>
      <c r="C11" s="6" t="s">
        <v>1431</v>
      </c>
      <c r="D11" s="24">
        <f>+D65</f>
        <v>-2623751999.8046002</v>
      </c>
      <c r="E11" s="47" t="str">
        <f>"Line "&amp;A65&amp;", Col. 2"</f>
        <v>Line 309, Col. 2</v>
      </c>
      <c r="N11" s="8">
        <f>A11</f>
        <v>101</v>
      </c>
    </row>
    <row r="12" spans="1:14" x14ac:dyDescent="0.25">
      <c r="A12" s="8">
        <f>A11+1</f>
        <v>102</v>
      </c>
      <c r="B12" s="290"/>
      <c r="C12" s="6" t="s">
        <v>1430</v>
      </c>
      <c r="D12" s="24">
        <f>+D84</f>
        <v>0</v>
      </c>
      <c r="E12" s="47" t="str">
        <f>"Line "&amp;A84&amp;", Col. 2"</f>
        <v>Line 406, Col. 2</v>
      </c>
      <c r="I12" s="96"/>
      <c r="N12" s="8">
        <f>A12</f>
        <v>102</v>
      </c>
    </row>
    <row r="13" spans="1:14" x14ac:dyDescent="0.25">
      <c r="A13" s="8">
        <f>A12+1</f>
        <v>103</v>
      </c>
      <c r="B13" s="290"/>
      <c r="C13" s="6" t="s">
        <v>1429</v>
      </c>
      <c r="D13" s="24">
        <f>+D100</f>
        <v>-3377665.5532804038</v>
      </c>
      <c r="E13" s="47" t="str">
        <f>"Line "&amp;A100&amp;", Col. 2"</f>
        <v>Line 505, Col. 2</v>
      </c>
      <c r="I13" s="96"/>
      <c r="N13" s="8">
        <f>A13</f>
        <v>103</v>
      </c>
    </row>
    <row r="14" spans="1:14" x14ac:dyDescent="0.25">
      <c r="A14" s="8">
        <f>A13+1</f>
        <v>104</v>
      </c>
      <c r="B14" s="290"/>
      <c r="C14" s="6" t="s">
        <v>1426</v>
      </c>
      <c r="D14" s="484">
        <f>SUM(D10:D13)</f>
        <v>-2211925847.5442195</v>
      </c>
      <c r="E14" s="483" t="str">
        <f>"Sum of Lines "&amp;A10&amp;" to "&amp;A13&amp;""</f>
        <v>Sum of Lines 100 to 103</v>
      </c>
      <c r="N14" s="8">
        <f>A14</f>
        <v>104</v>
      </c>
    </row>
    <row r="15" spans="1:14" x14ac:dyDescent="0.25">
      <c r="A15" s="8"/>
      <c r="B15" s="290"/>
      <c r="G15" s="482"/>
      <c r="H15" s="47"/>
      <c r="I15" s="96"/>
      <c r="N15" s="8"/>
    </row>
    <row r="16" spans="1:14" x14ac:dyDescent="0.25">
      <c r="A16" s="8"/>
      <c r="B16" s="479" t="s">
        <v>1428</v>
      </c>
      <c r="G16" s="96"/>
      <c r="H16" s="481"/>
      <c r="I16" s="96"/>
      <c r="N16" s="8"/>
    </row>
    <row r="17" spans="1:14" x14ac:dyDescent="0.25">
      <c r="A17" s="8"/>
      <c r="B17" s="290"/>
      <c r="D17" s="33" t="s">
        <v>1427</v>
      </c>
      <c r="E17" s="33" t="s">
        <v>154</v>
      </c>
      <c r="G17" s="478"/>
      <c r="H17" s="96"/>
      <c r="I17" s="96"/>
      <c r="N17" s="8"/>
    </row>
    <row r="18" spans="1:14" ht="15.75" thickBot="1" x14ac:dyDescent="0.3">
      <c r="A18" s="8">
        <f>A14+1</f>
        <v>105</v>
      </c>
      <c r="B18" s="290"/>
      <c r="C18" s="6" t="s">
        <v>1426</v>
      </c>
      <c r="D18" s="480">
        <v>-1971788466.8533022</v>
      </c>
      <c r="E18" s="47" t="s">
        <v>1425</v>
      </c>
      <c r="G18" s="96"/>
      <c r="H18" s="96"/>
      <c r="I18" s="96"/>
      <c r="N18" s="8">
        <f>A18</f>
        <v>105</v>
      </c>
    </row>
    <row r="19" spans="1:14" ht="15.75" thickTop="1" x14ac:dyDescent="0.25">
      <c r="A19" s="8"/>
      <c r="B19" s="290"/>
      <c r="F19" s="96"/>
      <c r="G19" s="96"/>
      <c r="H19" s="96"/>
      <c r="I19" s="96"/>
      <c r="N19" s="8"/>
    </row>
    <row r="20" spans="1:14" x14ac:dyDescent="0.25">
      <c r="A20" s="8"/>
      <c r="B20" s="479" t="s">
        <v>1424</v>
      </c>
      <c r="F20" s="96"/>
      <c r="G20" s="96"/>
      <c r="H20" s="96"/>
      <c r="I20" s="96"/>
      <c r="N20" s="8"/>
    </row>
    <row r="21" spans="1:14" x14ac:dyDescent="0.25">
      <c r="A21" s="8"/>
      <c r="B21" s="284"/>
      <c r="D21" s="33" t="s">
        <v>1423</v>
      </c>
      <c r="E21" s="33" t="s">
        <v>154</v>
      </c>
      <c r="G21" s="478"/>
      <c r="N21" s="8"/>
    </row>
    <row r="22" spans="1:14" x14ac:dyDescent="0.25">
      <c r="A22" s="8">
        <f>A18+1</f>
        <v>106</v>
      </c>
      <c r="B22" s="284"/>
      <c r="C22" s="289" t="s">
        <v>1422</v>
      </c>
      <c r="D22" s="475">
        <f>J125</f>
        <v>-2083030189.5523596</v>
      </c>
      <c r="E22" s="47" t="str">
        <f>"Line "&amp;A125&amp;", Col. 8"</f>
        <v>Line 614, Col. 8</v>
      </c>
      <c r="G22" s="96"/>
      <c r="N22" s="8">
        <f>A22</f>
        <v>106</v>
      </c>
    </row>
    <row r="23" spans="1:14" x14ac:dyDescent="0.25">
      <c r="A23" s="8">
        <f>+A22+1</f>
        <v>107</v>
      </c>
      <c r="B23" s="284"/>
      <c r="C23" s="289" t="s">
        <v>1421</v>
      </c>
      <c r="D23" s="477">
        <v>0</v>
      </c>
      <c r="E23" s="47" t="s">
        <v>1420</v>
      </c>
      <c r="G23" s="96"/>
      <c r="N23" s="8">
        <f>A23</f>
        <v>107</v>
      </c>
    </row>
    <row r="24" spans="1:14" ht="15.75" thickBot="1" x14ac:dyDescent="0.3">
      <c r="A24" s="8">
        <f>+A23+1</f>
        <v>108</v>
      </c>
      <c r="B24" s="284"/>
      <c r="C24" s="289" t="s">
        <v>1419</v>
      </c>
      <c r="D24" s="476">
        <f>SUM(D22:D23)</f>
        <v>-2083030189.5523596</v>
      </c>
      <c r="E24" s="47" t="s">
        <v>1418</v>
      </c>
      <c r="G24" s="96"/>
      <c r="N24" s="8">
        <f>A24</f>
        <v>108</v>
      </c>
    </row>
    <row r="25" spans="1:14" ht="15.75" thickTop="1" x14ac:dyDescent="0.25">
      <c r="A25" s="8"/>
      <c r="B25" s="284"/>
      <c r="C25" s="289"/>
      <c r="D25" s="475"/>
      <c r="E25" s="47"/>
      <c r="G25" s="96"/>
      <c r="N25" s="8"/>
    </row>
    <row r="26" spans="1:14" x14ac:dyDescent="0.25">
      <c r="A26" s="8"/>
      <c r="B26" s="284"/>
      <c r="C26" s="289"/>
      <c r="D26" s="475"/>
      <c r="E26" s="47"/>
      <c r="G26" s="96"/>
      <c r="N26" s="8"/>
    </row>
    <row r="27" spans="1:14" x14ac:dyDescent="0.25">
      <c r="A27" s="8"/>
      <c r="B27" s="284"/>
      <c r="C27" s="474"/>
      <c r="D27" s="473"/>
      <c r="N27" s="8"/>
    </row>
    <row r="28" spans="1:14" x14ac:dyDescent="0.25">
      <c r="A28" s="8"/>
      <c r="B28" s="303" t="s">
        <v>1417</v>
      </c>
      <c r="C28" s="472"/>
      <c r="D28" s="471"/>
      <c r="E28" s="35"/>
      <c r="F28" s="35"/>
      <c r="G28" s="35"/>
      <c r="H28" s="35"/>
      <c r="I28" s="35"/>
      <c r="J28" s="35"/>
      <c r="K28" s="35"/>
      <c r="L28" s="35"/>
      <c r="M28" s="35"/>
      <c r="N28" s="23"/>
    </row>
    <row r="29" spans="1:14" x14ac:dyDescent="0.25">
      <c r="A29" s="8"/>
      <c r="B29" s="290"/>
      <c r="C29" s="175" t="s">
        <v>492</v>
      </c>
      <c r="D29" s="175" t="s">
        <v>491</v>
      </c>
      <c r="E29" s="175" t="s">
        <v>490</v>
      </c>
      <c r="F29" s="175" t="s">
        <v>489</v>
      </c>
      <c r="G29" s="175" t="s">
        <v>519</v>
      </c>
      <c r="H29" s="175" t="s">
        <v>518</v>
      </c>
      <c r="I29" s="175" t="s">
        <v>517</v>
      </c>
      <c r="N29" s="23"/>
    </row>
    <row r="30" spans="1:14" x14ac:dyDescent="0.25">
      <c r="A30" s="23"/>
      <c r="B30" s="286"/>
      <c r="C30" s="286"/>
      <c r="D30" s="286" t="s">
        <v>1360</v>
      </c>
      <c r="E30" s="286" t="s">
        <v>1359</v>
      </c>
      <c r="F30" s="286"/>
      <c r="G30" s="286" t="s">
        <v>1416</v>
      </c>
      <c r="H30" s="286" t="s">
        <v>1415</v>
      </c>
      <c r="I30" s="163"/>
      <c r="N30" s="23"/>
    </row>
    <row r="31" spans="1:14" x14ac:dyDescent="0.25">
      <c r="A31" s="33" t="s">
        <v>106</v>
      </c>
      <c r="B31" s="449" t="s">
        <v>1414</v>
      </c>
      <c r="C31" s="449" t="s">
        <v>1355</v>
      </c>
      <c r="D31" s="449" t="s">
        <v>1354</v>
      </c>
      <c r="E31" s="449" t="s">
        <v>1353</v>
      </c>
      <c r="F31" s="449" t="s">
        <v>1352</v>
      </c>
      <c r="G31" s="449" t="s">
        <v>1351</v>
      </c>
      <c r="H31" s="449" t="s">
        <v>1350</v>
      </c>
      <c r="I31" s="449" t="s">
        <v>79</v>
      </c>
      <c r="J31" s="286" t="s">
        <v>671</v>
      </c>
      <c r="N31" s="33" t="str">
        <f>A31</f>
        <v>Line</v>
      </c>
    </row>
    <row r="32" spans="1:14" x14ac:dyDescent="0.25">
      <c r="A32" s="8"/>
      <c r="B32" s="284" t="s">
        <v>1349</v>
      </c>
      <c r="C32" s="284"/>
      <c r="D32" s="284"/>
      <c r="N32" s="8"/>
    </row>
    <row r="33" spans="1:14" x14ac:dyDescent="0.25">
      <c r="A33" s="8">
        <v>200</v>
      </c>
      <c r="B33" s="463">
        <v>190</v>
      </c>
      <c r="C33" s="462" t="s">
        <v>1413</v>
      </c>
      <c r="D33" s="470">
        <f>SUM(E33:H33)</f>
        <v>-390045157</v>
      </c>
      <c r="E33" s="469">
        <v>-390045157</v>
      </c>
      <c r="F33" s="178"/>
      <c r="G33" s="464"/>
      <c r="H33" s="464"/>
      <c r="I33" s="230" t="s">
        <v>1341</v>
      </c>
      <c r="J33" s="47" t="s">
        <v>1412</v>
      </c>
      <c r="N33" s="8">
        <f>A33</f>
        <v>200</v>
      </c>
    </row>
    <row r="34" spans="1:14" x14ac:dyDescent="0.25">
      <c r="A34" s="8">
        <f>A33+1</f>
        <v>201</v>
      </c>
      <c r="B34" s="463">
        <v>190</v>
      </c>
      <c r="C34" s="462" t="s">
        <v>1411</v>
      </c>
      <c r="D34" s="470">
        <f>SUM(E34:H34)</f>
        <v>63309910</v>
      </c>
      <c r="E34" s="469">
        <v>63309910</v>
      </c>
      <c r="F34" s="178"/>
      <c r="G34" s="464"/>
      <c r="H34" s="464"/>
      <c r="I34" s="230" t="s">
        <v>1341</v>
      </c>
      <c r="J34" s="47" t="s">
        <v>1410</v>
      </c>
      <c r="N34" s="8">
        <f>A34</f>
        <v>201</v>
      </c>
    </row>
    <row r="35" spans="1:14" x14ac:dyDescent="0.25">
      <c r="A35" s="8">
        <f>A34+1</f>
        <v>202</v>
      </c>
      <c r="B35" s="463">
        <v>190</v>
      </c>
      <c r="C35" s="462" t="s">
        <v>1409</v>
      </c>
      <c r="D35" s="470">
        <f>SUM(E35:H35)</f>
        <v>42058718</v>
      </c>
      <c r="E35" s="469">
        <f>42058718-H35</f>
        <v>12400263</v>
      </c>
      <c r="F35" s="178"/>
      <c r="G35" s="464"/>
      <c r="H35" s="464">
        <v>29658455</v>
      </c>
      <c r="I35" s="230" t="s">
        <v>1394</v>
      </c>
      <c r="J35" s="47" t="s">
        <v>1408</v>
      </c>
      <c r="N35" s="8">
        <f>A35</f>
        <v>202</v>
      </c>
    </row>
    <row r="36" spans="1:14" x14ac:dyDescent="0.25">
      <c r="A36" s="8">
        <f>A35+1</f>
        <v>203</v>
      </c>
      <c r="B36" s="463">
        <v>190</v>
      </c>
      <c r="C36" s="462" t="s">
        <v>1407</v>
      </c>
      <c r="D36" s="470">
        <f>SUM(E36:H36)</f>
        <v>73350637</v>
      </c>
      <c r="E36" s="469">
        <v>73350637</v>
      </c>
      <c r="F36" s="464"/>
      <c r="G36" s="464"/>
      <c r="H36" s="464"/>
      <c r="I36" s="230" t="s">
        <v>1341</v>
      </c>
      <c r="J36" s="47" t="s">
        <v>1406</v>
      </c>
      <c r="N36" s="8">
        <f>A36</f>
        <v>203</v>
      </c>
    </row>
    <row r="37" spans="1:14" x14ac:dyDescent="0.25">
      <c r="A37" s="8">
        <f>A36+1</f>
        <v>204</v>
      </c>
      <c r="B37" s="463">
        <v>190</v>
      </c>
      <c r="C37" s="462" t="s">
        <v>1405</v>
      </c>
      <c r="D37" s="470">
        <f>SUM(E37:H37)</f>
        <v>63100506</v>
      </c>
      <c r="E37" s="469">
        <v>63100506</v>
      </c>
      <c r="F37" s="178"/>
      <c r="G37" s="464"/>
      <c r="H37" s="464"/>
      <c r="I37" s="230" t="s">
        <v>1341</v>
      </c>
      <c r="J37" s="47" t="s">
        <v>1404</v>
      </c>
      <c r="N37" s="8">
        <f>A37</f>
        <v>204</v>
      </c>
    </row>
    <row r="38" spans="1:14" ht="15.75" customHeight="1" x14ac:dyDescent="0.25">
      <c r="A38" s="8">
        <f>A37+1</f>
        <v>205</v>
      </c>
      <c r="B38" s="463">
        <v>190</v>
      </c>
      <c r="C38" s="462" t="s">
        <v>1403</v>
      </c>
      <c r="D38" s="470">
        <f>SUM(E38:H38)</f>
        <v>-506951059</v>
      </c>
      <c r="E38" s="469">
        <f>-506951059-G38</f>
        <v>-514443458.02812999</v>
      </c>
      <c r="F38" s="178"/>
      <c r="G38" s="464">
        <v>7492399.0281299856</v>
      </c>
      <c r="H38" s="464"/>
      <c r="I38" s="230" t="s">
        <v>1394</v>
      </c>
      <c r="J38" s="47" t="s">
        <v>1402</v>
      </c>
      <c r="N38" s="8">
        <f>A38</f>
        <v>205</v>
      </c>
    </row>
    <row r="39" spans="1:14" x14ac:dyDescent="0.25">
      <c r="A39" s="8">
        <f>A38+1</f>
        <v>206</v>
      </c>
      <c r="B39" s="463">
        <v>190</v>
      </c>
      <c r="C39" s="462" t="s">
        <v>1401</v>
      </c>
      <c r="D39" s="470">
        <f>SUM(E39:H39)</f>
        <v>9737077202</v>
      </c>
      <c r="E39" s="469">
        <f>9737077202-F39</f>
        <v>9310161052.3906822</v>
      </c>
      <c r="F39" s="178">
        <f>-426916.149609318*-1000</f>
        <v>426916149.60931802</v>
      </c>
      <c r="G39" s="464"/>
      <c r="H39" s="464"/>
      <c r="I39" s="230" t="s">
        <v>1347</v>
      </c>
      <c r="J39" s="47" t="s">
        <v>1400</v>
      </c>
      <c r="N39" s="8">
        <f>A39</f>
        <v>206</v>
      </c>
    </row>
    <row r="40" spans="1:14" x14ac:dyDescent="0.25">
      <c r="A40" s="8">
        <f>A39+1</f>
        <v>207</v>
      </c>
      <c r="B40" s="463">
        <v>190</v>
      </c>
      <c r="C40" s="462" t="s">
        <v>1399</v>
      </c>
      <c r="D40" s="470">
        <f>SUM(E40:H40)</f>
        <v>0</v>
      </c>
      <c r="E40" s="469">
        <v>0</v>
      </c>
      <c r="F40" s="178"/>
      <c r="G40" s="464"/>
      <c r="H40" s="464"/>
      <c r="I40" s="230" t="s">
        <v>1341</v>
      </c>
      <c r="J40" s="47" t="s">
        <v>1398</v>
      </c>
      <c r="N40" s="8">
        <f>A40</f>
        <v>207</v>
      </c>
    </row>
    <row r="41" spans="1:14" x14ac:dyDescent="0.25">
      <c r="A41" s="8">
        <f>A40+1</f>
        <v>208</v>
      </c>
      <c r="B41" s="463">
        <v>190</v>
      </c>
      <c r="C41" s="462" t="s">
        <v>1397</v>
      </c>
      <c r="D41" s="470">
        <f>SUM(E41:H41)</f>
        <v>-120077105</v>
      </c>
      <c r="E41" s="469">
        <f>-120077105-G41</f>
        <v>-36470848</v>
      </c>
      <c r="F41" s="178"/>
      <c r="G41" s="464">
        <v>-83606257</v>
      </c>
      <c r="H41" s="464"/>
      <c r="I41" s="230" t="s">
        <v>1394</v>
      </c>
      <c r="J41" s="47" t="s">
        <v>1396</v>
      </c>
      <c r="N41" s="8">
        <f>A41</f>
        <v>208</v>
      </c>
    </row>
    <row r="42" spans="1:14" x14ac:dyDescent="0.25">
      <c r="A42" s="8">
        <f>A41+1</f>
        <v>209</v>
      </c>
      <c r="B42" s="463">
        <v>190</v>
      </c>
      <c r="C42" s="462" t="s">
        <v>1395</v>
      </c>
      <c r="D42" s="470">
        <f>SUM(E42:H42)</f>
        <v>3534365151</v>
      </c>
      <c r="E42" s="469">
        <v>3534365151</v>
      </c>
      <c r="F42" s="178"/>
      <c r="G42" s="464"/>
      <c r="H42" s="464"/>
      <c r="I42" s="230" t="s">
        <v>1394</v>
      </c>
      <c r="J42" s="47" t="s">
        <v>1393</v>
      </c>
      <c r="N42" s="8">
        <f>A42</f>
        <v>209</v>
      </c>
    </row>
    <row r="43" spans="1:14" x14ac:dyDescent="0.25">
      <c r="A43" s="8"/>
      <c r="B43" s="468"/>
      <c r="C43" s="284"/>
      <c r="D43" s="288"/>
      <c r="E43" s="102"/>
      <c r="F43" s="102"/>
      <c r="G43" s="102"/>
      <c r="H43" s="102"/>
      <c r="I43" s="33"/>
      <c r="N43" s="8"/>
    </row>
    <row r="44" spans="1:14" x14ac:dyDescent="0.25">
      <c r="A44" s="8">
        <f>+A42+1</f>
        <v>210</v>
      </c>
      <c r="B44" s="284"/>
      <c r="C44" s="284" t="s">
        <v>1392</v>
      </c>
      <c r="D44" s="459">
        <f>SUM(D33:D42)</f>
        <v>12496188803</v>
      </c>
      <c r="E44" s="459">
        <f>SUM(E33:E42)</f>
        <v>12115728056.362553</v>
      </c>
      <c r="F44" s="442">
        <f>SUM(F33:F42)</f>
        <v>426916149.60931802</v>
      </c>
      <c r="G44" s="442">
        <f>SUM(G33:G42)</f>
        <v>-76113857.97187002</v>
      </c>
      <c r="H44" s="442">
        <f>SUM(H33:H42)</f>
        <v>29658455</v>
      </c>
      <c r="I44" s="47" t="str">
        <f>"Sum of Above Lines beginning on Line "&amp;A33&amp;""</f>
        <v>Sum of Above Lines beginning on Line 200</v>
      </c>
      <c r="N44" s="8">
        <f>A44</f>
        <v>210</v>
      </c>
    </row>
    <row r="45" spans="1:14" x14ac:dyDescent="0.25">
      <c r="A45" s="8">
        <f>A44+1</f>
        <v>211</v>
      </c>
      <c r="B45" s="284"/>
      <c r="C45" s="284" t="s">
        <v>1339</v>
      </c>
      <c r="D45" s="424"/>
      <c r="E45" s="424">
        <f>+D49-D44</f>
        <v>0</v>
      </c>
      <c r="F45" s="424"/>
      <c r="G45" s="429">
        <f>'24-Allocators'!C34</f>
        <v>0.20526315623584498</v>
      </c>
      <c r="H45" s="429">
        <f>'24-Allocators'!C24</f>
        <v>0.13186927386932037</v>
      </c>
      <c r="I45" s="438" t="s">
        <v>1391</v>
      </c>
      <c r="N45" s="8">
        <f>A45</f>
        <v>211</v>
      </c>
    </row>
    <row r="46" spans="1:14" x14ac:dyDescent="0.25">
      <c r="A46" s="8">
        <f>+A45+1</f>
        <v>212</v>
      </c>
      <c r="B46" s="284"/>
      <c r="C46" s="290" t="s">
        <v>1390</v>
      </c>
      <c r="D46" s="461">
        <f>SUM(F46:H46)</f>
        <v>415203817.8136611</v>
      </c>
      <c r="E46" s="442"/>
      <c r="F46" s="441">
        <f>+F44</f>
        <v>426916149.60931802</v>
      </c>
      <c r="G46" s="441">
        <f>+G44*G45</f>
        <v>-15623370.720592871</v>
      </c>
      <c r="H46" s="441">
        <f>+H44*H45</f>
        <v>3911038.9249359141</v>
      </c>
      <c r="I46" s="438" t="str">
        <f>CONCATENATE("Line ",A44," * ","Line ",A45," for Cols 5 and 6")</f>
        <v>Line 210 * Line 211 for Cols 5 and 6</v>
      </c>
      <c r="N46" s="8">
        <f>A46</f>
        <v>212</v>
      </c>
    </row>
    <row r="47" spans="1:14" x14ac:dyDescent="0.25">
      <c r="A47" s="8"/>
      <c r="B47" s="284"/>
      <c r="C47" s="439" t="s">
        <v>1336</v>
      </c>
      <c r="D47" s="424"/>
      <c r="E47" s="424"/>
      <c r="F47" s="424"/>
      <c r="G47" s="424"/>
      <c r="H47" s="424"/>
      <c r="I47" s="438"/>
      <c r="N47" s="8"/>
    </row>
    <row r="48" spans="1:14" x14ac:dyDescent="0.25">
      <c r="A48" s="8"/>
      <c r="B48" s="284"/>
      <c r="C48" s="284"/>
      <c r="D48" s="457"/>
      <c r="E48" s="424"/>
      <c r="F48" s="424"/>
      <c r="G48" s="424"/>
      <c r="H48" s="424"/>
      <c r="I48" s="438"/>
      <c r="N48" s="8"/>
    </row>
    <row r="49" spans="1:14" x14ac:dyDescent="0.25">
      <c r="A49" s="8">
        <f>+A46+1</f>
        <v>213</v>
      </c>
      <c r="B49" s="284"/>
      <c r="C49" s="284" t="s">
        <v>1389</v>
      </c>
      <c r="D49" s="327">
        <v>12496188803</v>
      </c>
      <c r="E49" s="425" t="str">
        <f>CONCATENATE("Must match amount on Line ",A44," ",D29)</f>
        <v>Must match amount on Line 210 Col 2</v>
      </c>
      <c r="G49" s="424"/>
      <c r="H49" s="424"/>
      <c r="J49" s="438" t="s">
        <v>1388</v>
      </c>
      <c r="N49" s="8">
        <f>A49</f>
        <v>213</v>
      </c>
    </row>
    <row r="50" spans="1:14" x14ac:dyDescent="0.25">
      <c r="A50" s="8"/>
      <c r="B50" s="284"/>
      <c r="C50" s="284"/>
      <c r="D50" s="467"/>
      <c r="E50" s="467"/>
      <c r="F50" s="467"/>
      <c r="G50" s="467"/>
      <c r="H50" s="467"/>
      <c r="I50" s="456"/>
      <c r="N50" s="8"/>
    </row>
    <row r="51" spans="1:14" x14ac:dyDescent="0.25">
      <c r="A51" s="23"/>
      <c r="B51" s="303" t="s">
        <v>1387</v>
      </c>
      <c r="C51" s="466"/>
      <c r="D51" s="465"/>
      <c r="E51" s="35"/>
      <c r="F51" s="35"/>
      <c r="G51" s="35"/>
      <c r="H51" s="35"/>
      <c r="I51" s="35"/>
      <c r="J51" s="35"/>
      <c r="K51" s="35"/>
      <c r="L51" s="35"/>
      <c r="M51" s="35"/>
      <c r="N51" s="8"/>
    </row>
    <row r="52" spans="1:14" x14ac:dyDescent="0.25">
      <c r="A52" s="23"/>
      <c r="C52" s="175" t="s">
        <v>492</v>
      </c>
      <c r="D52" s="175" t="s">
        <v>491</v>
      </c>
      <c r="E52" s="175" t="s">
        <v>490</v>
      </c>
      <c r="F52" s="175" t="s">
        <v>489</v>
      </c>
      <c r="G52" s="175" t="s">
        <v>519</v>
      </c>
      <c r="H52" s="175" t="s">
        <v>518</v>
      </c>
      <c r="I52" s="175" t="s">
        <v>517</v>
      </c>
      <c r="N52" s="8"/>
    </row>
    <row r="53" spans="1:14" x14ac:dyDescent="0.25">
      <c r="A53" s="23"/>
      <c r="B53" s="286"/>
      <c r="C53" s="286"/>
      <c r="D53" s="286" t="s">
        <v>1360</v>
      </c>
      <c r="E53" s="286" t="s">
        <v>1359</v>
      </c>
      <c r="F53" s="286"/>
      <c r="G53" s="286" t="s">
        <v>1358</v>
      </c>
      <c r="H53" s="286" t="s">
        <v>1357</v>
      </c>
      <c r="I53" s="163"/>
      <c r="N53" s="8"/>
    </row>
    <row r="54" spans="1:14" x14ac:dyDescent="0.25">
      <c r="A54" s="33" t="s">
        <v>106</v>
      </c>
      <c r="B54" s="449" t="s">
        <v>1386</v>
      </c>
      <c r="C54" s="449" t="s">
        <v>1355</v>
      </c>
      <c r="D54" s="449" t="s">
        <v>1354</v>
      </c>
      <c r="E54" s="449" t="s">
        <v>1353</v>
      </c>
      <c r="F54" s="449" t="s">
        <v>1352</v>
      </c>
      <c r="G54" s="449" t="s">
        <v>1351</v>
      </c>
      <c r="H54" s="449" t="s">
        <v>1350</v>
      </c>
      <c r="I54" s="449" t="s">
        <v>79</v>
      </c>
      <c r="N54" s="33" t="str">
        <f>A54</f>
        <v>Line</v>
      </c>
    </row>
    <row r="55" spans="1:14" x14ac:dyDescent="0.25">
      <c r="A55" s="8">
        <v>300</v>
      </c>
      <c r="B55" s="448">
        <v>282</v>
      </c>
      <c r="C55" s="230" t="s">
        <v>1385</v>
      </c>
      <c r="D55" s="447">
        <f>SUM(E55:H55)</f>
        <v>-2669057233</v>
      </c>
      <c r="E55" s="464"/>
      <c r="F55" s="464">
        <v>-2669057233</v>
      </c>
      <c r="G55" s="464"/>
      <c r="H55" s="464"/>
      <c r="I55" s="230" t="s">
        <v>1347</v>
      </c>
      <c r="J55" s="47" t="s">
        <v>1384</v>
      </c>
      <c r="N55" s="8">
        <f>A55</f>
        <v>300</v>
      </c>
    </row>
    <row r="56" spans="1:14" x14ac:dyDescent="0.25">
      <c r="A56" s="8">
        <f>A55+1</f>
        <v>301</v>
      </c>
      <c r="B56" s="448">
        <v>282</v>
      </c>
      <c r="C56" s="230" t="s">
        <v>1383</v>
      </c>
      <c r="D56" s="447">
        <f>SUM(E56:H56)</f>
        <v>-11634867494</v>
      </c>
      <c r="E56" s="464">
        <f>-14901186878-F55-G57</f>
        <v>-11634867494</v>
      </c>
      <c r="F56" s="464"/>
      <c r="G56" s="464"/>
      <c r="H56" s="464"/>
      <c r="I56" s="230" t="s">
        <v>1382</v>
      </c>
      <c r="J56" s="47"/>
      <c r="N56" s="8">
        <f>A56</f>
        <v>301</v>
      </c>
    </row>
    <row r="57" spans="1:14" x14ac:dyDescent="0.25">
      <c r="A57" s="8">
        <f>A56+1</f>
        <v>302</v>
      </c>
      <c r="B57" s="448">
        <v>282</v>
      </c>
      <c r="C57" s="230" t="s">
        <v>1381</v>
      </c>
      <c r="D57" s="447">
        <f>SUM(E57:H57)</f>
        <v>-597262151</v>
      </c>
      <c r="E57" s="464"/>
      <c r="F57" s="464"/>
      <c r="G57" s="464">
        <v>-597262151</v>
      </c>
      <c r="H57" s="464"/>
      <c r="I57" s="230" t="s">
        <v>1344</v>
      </c>
      <c r="J57" s="47" t="s">
        <v>1380</v>
      </c>
      <c r="N57" s="8">
        <f>A57</f>
        <v>302</v>
      </c>
    </row>
    <row r="58" spans="1:14" x14ac:dyDescent="0.25">
      <c r="A58" s="8">
        <f>A57+1</f>
        <v>303</v>
      </c>
      <c r="B58" s="455"/>
      <c r="C58" s="230"/>
      <c r="D58" s="447">
        <f>SUM(E58:H58)</f>
        <v>0</v>
      </c>
      <c r="E58" s="464"/>
      <c r="F58" s="464"/>
      <c r="G58" s="464"/>
      <c r="H58" s="464"/>
      <c r="I58" s="230"/>
      <c r="J58" s="47"/>
      <c r="N58" s="8">
        <f>A58</f>
        <v>303</v>
      </c>
    </row>
    <row r="59" spans="1:14" x14ac:dyDescent="0.25">
      <c r="A59" s="8">
        <f>A58+1</f>
        <v>304</v>
      </c>
      <c r="B59" s="455"/>
      <c r="C59" s="230"/>
      <c r="D59" s="447">
        <f>SUM(E59:H59)</f>
        <v>0</v>
      </c>
      <c r="E59" s="464"/>
      <c r="F59" s="464"/>
      <c r="G59" s="464"/>
      <c r="H59" s="464"/>
      <c r="I59" s="230"/>
      <c r="J59" s="47"/>
      <c r="N59" s="8">
        <f>A59</f>
        <v>304</v>
      </c>
    </row>
    <row r="60" spans="1:14" x14ac:dyDescent="0.25">
      <c r="A60" s="8">
        <f>A59+1</f>
        <v>305</v>
      </c>
      <c r="B60" s="455"/>
      <c r="C60" s="230"/>
      <c r="D60" s="447">
        <f>SUM(E60:H60)</f>
        <v>0</v>
      </c>
      <c r="E60" s="464"/>
      <c r="F60" s="464"/>
      <c r="G60" s="464"/>
      <c r="H60" s="464"/>
      <c r="I60" s="230"/>
      <c r="J60" s="47"/>
      <c r="N60" s="8">
        <f>A60</f>
        <v>305</v>
      </c>
    </row>
    <row r="61" spans="1:14" x14ac:dyDescent="0.25">
      <c r="A61" s="8">
        <f>A60+1</f>
        <v>306</v>
      </c>
      <c r="B61" s="463"/>
      <c r="C61" s="462"/>
      <c r="D61" s="447">
        <f>SUM(E61:H61)</f>
        <v>0</v>
      </c>
      <c r="E61" s="178"/>
      <c r="F61" s="178"/>
      <c r="G61" s="178"/>
      <c r="H61" s="178"/>
      <c r="I61" s="89"/>
      <c r="N61" s="8">
        <f>A61</f>
        <v>306</v>
      </c>
    </row>
    <row r="62" spans="1:14" x14ac:dyDescent="0.25">
      <c r="A62" s="8"/>
      <c r="B62" s="163"/>
      <c r="D62" s="457"/>
      <c r="E62" s="102"/>
      <c r="F62" s="102"/>
      <c r="G62" s="102"/>
      <c r="H62" s="102"/>
      <c r="N62" s="8"/>
    </row>
    <row r="63" spans="1:14" x14ac:dyDescent="0.25">
      <c r="A63" s="8">
        <f>+A61+1</f>
        <v>307</v>
      </c>
      <c r="B63" s="23"/>
      <c r="C63" s="6" t="s">
        <v>1379</v>
      </c>
      <c r="D63" s="442">
        <f>SUM(D55:D61)</f>
        <v>-14901186878</v>
      </c>
      <c r="E63" s="442">
        <f>SUM(E55:E61)</f>
        <v>-11634867494</v>
      </c>
      <c r="F63" s="442">
        <f>SUM(F55:F61)</f>
        <v>-2669057233</v>
      </c>
      <c r="G63" s="442">
        <f>SUM(G55:G61)</f>
        <v>-597262151</v>
      </c>
      <c r="H63" s="442">
        <f>SUM(H55:H61)</f>
        <v>0</v>
      </c>
      <c r="I63" s="47" t="str">
        <f>"Sum of Above Lines beginning on Line "&amp;A55&amp;""</f>
        <v>Sum of Above Lines beginning on Line 300</v>
      </c>
      <c r="N63" s="8">
        <f>A63</f>
        <v>307</v>
      </c>
    </row>
    <row r="64" spans="1:14" x14ac:dyDescent="0.25">
      <c r="A64" s="8">
        <f>+A63+1</f>
        <v>308</v>
      </c>
      <c r="B64" s="284"/>
      <c r="C64" s="284" t="s">
        <v>1339</v>
      </c>
      <c r="D64" s="424"/>
      <c r="E64" s="424"/>
      <c r="F64" s="339">
        <f>+'24-Allocators'!C38</f>
        <v>0.94801052848647183</v>
      </c>
      <c r="G64" s="429">
        <f>'24-Allocators'!$C$30</f>
        <v>0.1564767525133699</v>
      </c>
      <c r="H64" s="429">
        <f>'24-Allocators'!$C$25</f>
        <v>9.874046921587705E-2</v>
      </c>
      <c r="I64" s="438" t="s">
        <v>1338</v>
      </c>
      <c r="N64" s="8">
        <f>A64</f>
        <v>308</v>
      </c>
    </row>
    <row r="65" spans="1:14" x14ac:dyDescent="0.25">
      <c r="A65" s="8">
        <f>+A64+1</f>
        <v>309</v>
      </c>
      <c r="B65" s="284"/>
      <c r="C65" s="290" t="s">
        <v>1378</v>
      </c>
      <c r="D65" s="461">
        <f>SUM(F65:H65)</f>
        <v>-2623751999.8046002</v>
      </c>
      <c r="E65" s="460"/>
      <c r="F65" s="440">
        <f>+F63*F64</f>
        <v>-2530294358.0169702</v>
      </c>
      <c r="G65" s="441">
        <f>+G63*G64</f>
        <v>-93457641.787629962</v>
      </c>
      <c r="H65" s="441">
        <f>+H63*H64</f>
        <v>0</v>
      </c>
      <c r="I65" s="438" t="str">
        <f>CONCATENATE("Line ",A63," * ","Line ",A64," for Cols 4 to 6")</f>
        <v>Line 307 * Line 308 for Cols 4 to 6</v>
      </c>
      <c r="N65" s="8">
        <f>A65</f>
        <v>309</v>
      </c>
    </row>
    <row r="66" spans="1:14" x14ac:dyDescent="0.25">
      <c r="A66" s="8"/>
      <c r="B66" s="284"/>
      <c r="C66" s="439" t="s">
        <v>1336</v>
      </c>
      <c r="E66" s="424"/>
      <c r="F66" s="424"/>
      <c r="G66" s="424"/>
      <c r="H66" s="424"/>
      <c r="I66" s="438"/>
      <c r="N66" s="8"/>
    </row>
    <row r="67" spans="1:14" x14ac:dyDescent="0.25">
      <c r="A67" s="8"/>
      <c r="B67" s="284"/>
      <c r="D67" s="439"/>
      <c r="E67" s="424"/>
      <c r="F67" s="424"/>
      <c r="G67" s="424"/>
      <c r="H67" s="424"/>
      <c r="I67" s="438"/>
      <c r="N67" s="8"/>
    </row>
    <row r="68" spans="1:14" x14ac:dyDescent="0.25">
      <c r="A68" s="8">
        <f>+A65+1</f>
        <v>310</v>
      </c>
      <c r="B68" s="23"/>
      <c r="C68" s="284" t="s">
        <v>1375</v>
      </c>
      <c r="D68" s="328">
        <v>-14901186878</v>
      </c>
      <c r="E68" s="425"/>
      <c r="F68" s="424"/>
      <c r="G68" s="424"/>
      <c r="H68" s="424"/>
      <c r="J68" s="47" t="s">
        <v>1377</v>
      </c>
      <c r="N68" s="8">
        <f>A68</f>
        <v>310</v>
      </c>
    </row>
    <row r="69" spans="1:14" x14ac:dyDescent="0.25">
      <c r="A69" s="8">
        <f>A68+1</f>
        <v>311</v>
      </c>
      <c r="B69" s="23"/>
      <c r="C69" s="284" t="s">
        <v>1376</v>
      </c>
      <c r="D69" s="459"/>
      <c r="E69" s="425"/>
      <c r="F69" s="424"/>
      <c r="G69" s="424"/>
      <c r="H69" s="424"/>
      <c r="J69" s="47"/>
      <c r="N69" s="8">
        <f>A69</f>
        <v>311</v>
      </c>
    </row>
    <row r="70" spans="1:14" ht="15.75" thickBot="1" x14ac:dyDescent="0.3">
      <c r="A70" s="8">
        <f>A69+1</f>
        <v>312</v>
      </c>
      <c r="B70" s="23"/>
      <c r="C70" s="284" t="s">
        <v>1375</v>
      </c>
      <c r="D70" s="458">
        <f>SUM(D68:D69)</f>
        <v>-14901186878</v>
      </c>
      <c r="E70" s="425" t="str">
        <f>CONCATENATE("Must match amount on Line ",A63," ",D52)</f>
        <v>Must match amount on Line 307 Col 2</v>
      </c>
      <c r="F70" s="424"/>
      <c r="G70" s="424"/>
      <c r="H70" s="424"/>
      <c r="I70" s="456"/>
      <c r="N70" s="8">
        <f>A70</f>
        <v>312</v>
      </c>
    </row>
    <row r="71" spans="1:14" ht="15.75" thickTop="1" x14ac:dyDescent="0.25">
      <c r="A71" s="8"/>
      <c r="B71" s="23"/>
      <c r="D71" s="457"/>
      <c r="E71" s="425"/>
      <c r="F71" s="424"/>
      <c r="G71" s="424"/>
      <c r="H71" s="424"/>
      <c r="I71" s="456"/>
      <c r="N71" s="8"/>
    </row>
    <row r="72" spans="1:14" x14ac:dyDescent="0.25">
      <c r="A72" s="23"/>
      <c r="B72" s="303" t="s">
        <v>1374</v>
      </c>
      <c r="C72" s="301"/>
      <c r="D72" s="436"/>
      <c r="E72" s="108"/>
      <c r="F72" s="108"/>
      <c r="G72" s="108"/>
      <c r="H72" s="108"/>
      <c r="I72" s="35"/>
      <c r="J72" s="35"/>
      <c r="K72" s="35"/>
      <c r="L72" s="35"/>
      <c r="M72" s="35"/>
      <c r="N72" s="8"/>
    </row>
    <row r="73" spans="1:14" x14ac:dyDescent="0.25">
      <c r="A73" s="23"/>
      <c r="B73" s="290"/>
      <c r="C73" s="175" t="s">
        <v>492</v>
      </c>
      <c r="D73" s="175" t="s">
        <v>491</v>
      </c>
      <c r="E73" s="175" t="s">
        <v>490</v>
      </c>
      <c r="F73" s="175" t="s">
        <v>489</v>
      </c>
      <c r="G73" s="175" t="s">
        <v>519</v>
      </c>
      <c r="H73" s="175" t="s">
        <v>518</v>
      </c>
      <c r="I73" s="175" t="s">
        <v>517</v>
      </c>
      <c r="N73" s="8"/>
    </row>
    <row r="74" spans="1:14" x14ac:dyDescent="0.25">
      <c r="A74" s="23"/>
      <c r="B74" s="286"/>
      <c r="C74" s="286"/>
      <c r="D74" s="286" t="s">
        <v>1360</v>
      </c>
      <c r="E74" s="286" t="s">
        <v>1359</v>
      </c>
      <c r="F74" s="451"/>
      <c r="G74" s="286" t="s">
        <v>1358</v>
      </c>
      <c r="H74" s="286" t="s">
        <v>1357</v>
      </c>
      <c r="I74" s="163"/>
      <c r="N74" s="8"/>
    </row>
    <row r="75" spans="1:14" x14ac:dyDescent="0.25">
      <c r="A75" s="33" t="s">
        <v>106</v>
      </c>
      <c r="B75" s="449" t="s">
        <v>1373</v>
      </c>
      <c r="C75" s="449" t="s">
        <v>1355</v>
      </c>
      <c r="D75" s="449" t="s">
        <v>1354</v>
      </c>
      <c r="E75" s="449" t="s">
        <v>1353</v>
      </c>
      <c r="F75" s="450" t="s">
        <v>1352</v>
      </c>
      <c r="G75" s="450" t="s">
        <v>1351</v>
      </c>
      <c r="H75" s="450" t="s">
        <v>1350</v>
      </c>
      <c r="I75" s="449" t="s">
        <v>79</v>
      </c>
      <c r="N75" s="33" t="str">
        <f>A75</f>
        <v>Line</v>
      </c>
    </row>
    <row r="76" spans="1:14" x14ac:dyDescent="0.25">
      <c r="A76" s="8"/>
      <c r="B76" s="284" t="s">
        <v>1349</v>
      </c>
      <c r="D76" s="102"/>
      <c r="E76" s="102"/>
      <c r="F76" s="102"/>
      <c r="G76" s="102"/>
      <c r="H76" s="102"/>
      <c r="N76" s="8"/>
    </row>
    <row r="77" spans="1:14" x14ac:dyDescent="0.25">
      <c r="A77" s="8">
        <v>400</v>
      </c>
      <c r="B77" s="448">
        <v>283</v>
      </c>
      <c r="C77" s="230" t="s">
        <v>1372</v>
      </c>
      <c r="D77" s="447">
        <f>SUM(E77:H77)</f>
        <v>28867341</v>
      </c>
      <c r="E77" s="328">
        <f>18707887+10159454</f>
        <v>28867341</v>
      </c>
      <c r="F77" s="328"/>
      <c r="G77" s="328"/>
      <c r="H77" s="328"/>
      <c r="I77" s="230" t="s">
        <v>1341</v>
      </c>
      <c r="J77" s="47" t="s">
        <v>1371</v>
      </c>
      <c r="N77" s="8">
        <f>A77</f>
        <v>400</v>
      </c>
    </row>
    <row r="78" spans="1:14" x14ac:dyDescent="0.25">
      <c r="A78" s="8">
        <f>A77+1</f>
        <v>401</v>
      </c>
      <c r="B78" s="448">
        <v>283</v>
      </c>
      <c r="C78" s="230" t="s">
        <v>1370</v>
      </c>
      <c r="D78" s="447">
        <f>SUM(E78:H78)</f>
        <v>1925002560</v>
      </c>
      <c r="E78" s="328">
        <f>1605922933+319079627</f>
        <v>1925002560</v>
      </c>
      <c r="F78" s="328"/>
      <c r="G78" s="328"/>
      <c r="H78" s="328"/>
      <c r="I78" s="230" t="s">
        <v>1369</v>
      </c>
      <c r="J78" s="47" t="s">
        <v>1368</v>
      </c>
      <c r="N78" s="8">
        <f>A78</f>
        <v>401</v>
      </c>
    </row>
    <row r="79" spans="1:14" x14ac:dyDescent="0.25">
      <c r="A79" s="8">
        <f>A78+1</f>
        <v>402</v>
      </c>
      <c r="B79" s="448">
        <v>283</v>
      </c>
      <c r="C79" s="230" t="s">
        <v>557</v>
      </c>
      <c r="D79" s="447">
        <f>SUM(E79:H79)</f>
        <v>379569852</v>
      </c>
      <c r="E79" s="328">
        <f>(205999168-47949030+221519714)</f>
        <v>379569852</v>
      </c>
      <c r="F79" s="328"/>
      <c r="G79" s="328"/>
      <c r="H79" s="328"/>
      <c r="I79" s="230" t="s">
        <v>1341</v>
      </c>
      <c r="J79" s="47" t="s">
        <v>1367</v>
      </c>
      <c r="N79" s="8">
        <f>A79</f>
        <v>402</v>
      </c>
    </row>
    <row r="80" spans="1:14" x14ac:dyDescent="0.25">
      <c r="A80" s="8">
        <f>A79+1</f>
        <v>403</v>
      </c>
      <c r="B80" s="455"/>
      <c r="C80" s="230"/>
      <c r="D80" s="447"/>
      <c r="E80" s="328"/>
      <c r="F80" s="328"/>
      <c r="G80" s="328"/>
      <c r="H80" s="328"/>
      <c r="I80" s="230"/>
      <c r="J80" s="47"/>
      <c r="N80" s="8">
        <f>A80</f>
        <v>403</v>
      </c>
    </row>
    <row r="81" spans="1:14" x14ac:dyDescent="0.25">
      <c r="A81" s="8"/>
      <c r="B81" s="446"/>
      <c r="D81" s="102"/>
      <c r="E81" s="102"/>
      <c r="F81" s="102"/>
      <c r="G81" s="102"/>
      <c r="H81" s="102"/>
      <c r="N81" s="8"/>
    </row>
    <row r="82" spans="1:14" x14ac:dyDescent="0.25">
      <c r="A82" s="8">
        <f>A80+1</f>
        <v>404</v>
      </c>
      <c r="C82" s="6" t="s">
        <v>1366</v>
      </c>
      <c r="D82" s="442">
        <f>SUM(D77:D80)</f>
        <v>2333439753</v>
      </c>
      <c r="E82" s="442">
        <f>SUM(E77:E80)</f>
        <v>2333439753</v>
      </c>
      <c r="F82" s="442">
        <f>SUM(F77:F80)</f>
        <v>0</v>
      </c>
      <c r="G82" s="442">
        <f>SUM(G77:G80)</f>
        <v>0</v>
      </c>
      <c r="H82" s="442">
        <f>SUM(H77:H80)</f>
        <v>0</v>
      </c>
      <c r="I82" s="47" t="str">
        <f>"Sum of Above Lines beginning on Line "&amp;A77&amp;""</f>
        <v>Sum of Above Lines beginning on Line 400</v>
      </c>
      <c r="N82" s="8">
        <f>A82</f>
        <v>404</v>
      </c>
    </row>
    <row r="83" spans="1:14" x14ac:dyDescent="0.25">
      <c r="A83" s="8">
        <f>A82+1</f>
        <v>405</v>
      </c>
      <c r="B83" s="284"/>
      <c r="C83" s="284" t="s">
        <v>1339</v>
      </c>
      <c r="D83" s="445"/>
      <c r="E83" s="445"/>
      <c r="F83" s="424"/>
      <c r="G83" s="429">
        <f>'24-Allocators'!$C$30</f>
        <v>0.1564767525133699</v>
      </c>
      <c r="H83" s="429">
        <f>'24-Allocators'!$C$25</f>
        <v>9.874046921587705E-2</v>
      </c>
      <c r="I83" s="438" t="s">
        <v>1365</v>
      </c>
      <c r="N83" s="8">
        <f>A83</f>
        <v>405</v>
      </c>
    </row>
    <row r="84" spans="1:14" x14ac:dyDescent="0.25">
      <c r="A84" s="8">
        <f>+A83+1</f>
        <v>406</v>
      </c>
      <c r="B84" s="284"/>
      <c r="C84" s="290" t="s">
        <v>1364</v>
      </c>
      <c r="D84" s="454">
        <f>SUM(F84:H84)</f>
        <v>0</v>
      </c>
      <c r="E84" s="424"/>
      <c r="F84" s="453">
        <f>+F82</f>
        <v>0</v>
      </c>
      <c r="G84" s="453">
        <f>+G82*G83</f>
        <v>0</v>
      </c>
      <c r="H84" s="452">
        <f>+H82*H83</f>
        <v>0</v>
      </c>
      <c r="I84" s="438" t="str">
        <f>CONCATENATE("Line ",A82," * ","Line ",A83," for Cols 5 and 6")</f>
        <v>Line 404 * Line 405 for Cols 5 and 6</v>
      </c>
      <c r="N84" s="8">
        <f>A84</f>
        <v>406</v>
      </c>
    </row>
    <row r="85" spans="1:14" x14ac:dyDescent="0.25">
      <c r="A85" s="8"/>
      <c r="C85" s="439" t="s">
        <v>1336</v>
      </c>
      <c r="D85" s="102"/>
      <c r="E85" s="102"/>
      <c r="F85" s="102"/>
      <c r="G85" s="102"/>
      <c r="H85" s="102"/>
      <c r="I85" s="438"/>
      <c r="J85" s="102"/>
      <c r="N85" s="8"/>
    </row>
    <row r="86" spans="1:14" x14ac:dyDescent="0.25">
      <c r="A86" s="8"/>
      <c r="D86" s="102"/>
      <c r="E86" s="102"/>
      <c r="F86" s="102"/>
      <c r="G86" s="102"/>
      <c r="H86" s="102"/>
      <c r="I86" s="438"/>
      <c r="N86" s="8"/>
    </row>
    <row r="87" spans="1:14" x14ac:dyDescent="0.25">
      <c r="A87" s="8">
        <f>A84+1</f>
        <v>407</v>
      </c>
      <c r="C87" s="284" t="s">
        <v>1363</v>
      </c>
      <c r="D87" s="328">
        <v>2333439753</v>
      </c>
      <c r="E87" s="425" t="str">
        <f>CONCATENATE("Must match amount on Line ",A82," ",D73)</f>
        <v>Must match amount on Line 404 Col 2</v>
      </c>
      <c r="F87" s="424"/>
      <c r="G87" s="424"/>
      <c r="H87" s="424"/>
      <c r="N87" s="8">
        <f>A87</f>
        <v>407</v>
      </c>
    </row>
    <row r="88" spans="1:14" x14ac:dyDescent="0.25">
      <c r="A88" s="8"/>
      <c r="C88" s="284"/>
      <c r="D88" s="425"/>
      <c r="E88" s="425"/>
      <c r="F88" s="424"/>
      <c r="G88" s="424"/>
      <c r="H88" s="424"/>
      <c r="I88" s="47"/>
      <c r="J88" s="47" t="s">
        <v>1362</v>
      </c>
      <c r="N88" s="8"/>
    </row>
    <row r="89" spans="1:14" x14ac:dyDescent="0.25">
      <c r="A89" s="23"/>
      <c r="B89" s="303" t="s">
        <v>1361</v>
      </c>
      <c r="C89" s="301"/>
      <c r="D89" s="436"/>
      <c r="E89" s="108"/>
      <c r="F89" s="108"/>
      <c r="G89" s="108"/>
      <c r="H89" s="108"/>
      <c r="I89" s="35"/>
      <c r="J89" s="35"/>
      <c r="K89" s="35"/>
      <c r="L89" s="35"/>
      <c r="M89" s="35"/>
      <c r="N89" s="8"/>
    </row>
    <row r="90" spans="1:14" x14ac:dyDescent="0.25">
      <c r="A90" s="23"/>
      <c r="B90" s="290"/>
      <c r="C90" s="175" t="s">
        <v>492</v>
      </c>
      <c r="D90" s="175" t="s">
        <v>491</v>
      </c>
      <c r="E90" s="175" t="s">
        <v>490</v>
      </c>
      <c r="F90" s="175" t="s">
        <v>489</v>
      </c>
      <c r="G90" s="175" t="s">
        <v>519</v>
      </c>
      <c r="H90" s="175" t="s">
        <v>518</v>
      </c>
      <c r="I90" s="175" t="s">
        <v>517</v>
      </c>
      <c r="N90" s="8"/>
    </row>
    <row r="91" spans="1:14" x14ac:dyDescent="0.25">
      <c r="A91" s="23"/>
      <c r="B91" s="286"/>
      <c r="C91" s="286"/>
      <c r="D91" s="286" t="s">
        <v>1360</v>
      </c>
      <c r="E91" s="286" t="s">
        <v>1359</v>
      </c>
      <c r="F91" s="451"/>
      <c r="G91" s="286" t="s">
        <v>1358</v>
      </c>
      <c r="H91" s="286" t="s">
        <v>1357</v>
      </c>
      <c r="I91" s="163"/>
      <c r="N91" s="8"/>
    </row>
    <row r="92" spans="1:14" x14ac:dyDescent="0.25">
      <c r="A92" s="33" t="s">
        <v>106</v>
      </c>
      <c r="B92" s="449" t="s">
        <v>1356</v>
      </c>
      <c r="C92" s="449" t="s">
        <v>1355</v>
      </c>
      <c r="D92" s="449" t="s">
        <v>1354</v>
      </c>
      <c r="E92" s="449" t="s">
        <v>1353</v>
      </c>
      <c r="F92" s="450" t="s">
        <v>1352</v>
      </c>
      <c r="G92" s="450" t="s">
        <v>1351</v>
      </c>
      <c r="H92" s="450" t="s">
        <v>1350</v>
      </c>
      <c r="I92" s="449" t="s">
        <v>79</v>
      </c>
      <c r="N92" s="33" t="str">
        <f>A92</f>
        <v>Line</v>
      </c>
    </row>
    <row r="93" spans="1:14" x14ac:dyDescent="0.25">
      <c r="A93" s="8"/>
      <c r="B93" s="284" t="s">
        <v>1349</v>
      </c>
      <c r="D93" s="102"/>
      <c r="E93" s="102"/>
      <c r="F93" s="102"/>
      <c r="G93" s="102"/>
      <c r="H93" s="102"/>
      <c r="N93" s="8"/>
    </row>
    <row r="94" spans="1:14" x14ac:dyDescent="0.25">
      <c r="A94" s="8">
        <v>500</v>
      </c>
      <c r="B94" s="448">
        <v>255</v>
      </c>
      <c r="C94" s="230" t="s">
        <v>1348</v>
      </c>
      <c r="D94" s="447">
        <f>SUM(E94:H94)</f>
        <v>-76980628</v>
      </c>
      <c r="E94" s="328">
        <v>-74818824</v>
      </c>
      <c r="F94" s="328">
        <v>-2161804</v>
      </c>
      <c r="G94" s="328"/>
      <c r="H94" s="328"/>
      <c r="I94" s="230" t="s">
        <v>1347</v>
      </c>
      <c r="J94" s="47" t="s">
        <v>1346</v>
      </c>
      <c r="N94" s="8">
        <f>A94</f>
        <v>500</v>
      </c>
    </row>
    <row r="95" spans="1:14" x14ac:dyDescent="0.25">
      <c r="A95" s="8">
        <f>A94+1</f>
        <v>501</v>
      </c>
      <c r="B95" s="448">
        <v>255</v>
      </c>
      <c r="C95" s="230" t="s">
        <v>1345</v>
      </c>
      <c r="D95" s="447">
        <f>SUM(E95:H95)</f>
        <v>-8488498</v>
      </c>
      <c r="E95" s="328"/>
      <c r="F95" s="328"/>
      <c r="G95" s="328">
        <v>-8488498</v>
      </c>
      <c r="H95" s="328"/>
      <c r="I95" s="230" t="s">
        <v>1344</v>
      </c>
      <c r="J95" s="47" t="s">
        <v>1343</v>
      </c>
      <c r="N95" s="8">
        <f>A95</f>
        <v>501</v>
      </c>
    </row>
    <row r="96" spans="1:14" x14ac:dyDescent="0.25">
      <c r="A96" s="8">
        <f>+A95+1</f>
        <v>502</v>
      </c>
      <c r="B96" s="448">
        <v>255</v>
      </c>
      <c r="C96" s="230" t="s">
        <v>1342</v>
      </c>
      <c r="D96" s="447">
        <f>SUM(E96:H96)</f>
        <v>-5948917</v>
      </c>
      <c r="E96" s="328">
        <f>-91418043-E94-F94-G95</f>
        <v>-5948917</v>
      </c>
      <c r="F96" s="328"/>
      <c r="G96" s="328"/>
      <c r="H96" s="328"/>
      <c r="I96" s="230" t="s">
        <v>1341</v>
      </c>
      <c r="N96" s="8">
        <f>A96</f>
        <v>502</v>
      </c>
    </row>
    <row r="97" spans="1:14" x14ac:dyDescent="0.25">
      <c r="A97" s="8"/>
      <c r="B97" s="446"/>
      <c r="D97" s="102"/>
      <c r="E97" s="102"/>
      <c r="F97" s="102"/>
      <c r="G97" s="102"/>
      <c r="H97" s="102"/>
      <c r="N97" s="8"/>
    </row>
    <row r="98" spans="1:14" x14ac:dyDescent="0.25">
      <c r="A98" s="8">
        <f>A96+1</f>
        <v>503</v>
      </c>
      <c r="C98" s="6" t="s">
        <v>1340</v>
      </c>
      <c r="D98" s="442">
        <f>SUM(D94:D96)</f>
        <v>-91418043</v>
      </c>
      <c r="E98" s="442">
        <f>SUM(E94:E96)</f>
        <v>-80767741</v>
      </c>
      <c r="F98" s="442">
        <f>SUM(F94:F96)</f>
        <v>-2161804</v>
      </c>
      <c r="G98" s="442">
        <f>SUM(G94:G96)</f>
        <v>-8488498</v>
      </c>
      <c r="H98" s="442">
        <f>SUM(H94:H96)</f>
        <v>0</v>
      </c>
      <c r="I98" s="47" t="str">
        <f>"Sum of Above Lines beginning on Line "&amp;A94&amp;""</f>
        <v>Sum of Above Lines beginning on Line 500</v>
      </c>
      <c r="N98" s="8">
        <f>A98</f>
        <v>503</v>
      </c>
    </row>
    <row r="99" spans="1:14" x14ac:dyDescent="0.25">
      <c r="A99" s="8">
        <f>A98+1</f>
        <v>504</v>
      </c>
      <c r="B99" s="284"/>
      <c r="C99" s="284" t="s">
        <v>1339</v>
      </c>
      <c r="D99" s="445"/>
      <c r="E99" s="445"/>
      <c r="F99" s="444">
        <f>+'24-Allocators'!C38</f>
        <v>0.94801052848647183</v>
      </c>
      <c r="G99" s="429">
        <f>'24-Allocators'!$C$30</f>
        <v>0.1564767525133699</v>
      </c>
      <c r="H99" s="429">
        <f>'24-Allocators'!$C$25</f>
        <v>9.874046921587705E-2</v>
      </c>
      <c r="I99" s="438" t="s">
        <v>1338</v>
      </c>
      <c r="N99" s="8">
        <f>A99</f>
        <v>504</v>
      </c>
    </row>
    <row r="100" spans="1:14" x14ac:dyDescent="0.25">
      <c r="A100" s="8">
        <f>+A99+1</f>
        <v>505</v>
      </c>
      <c r="B100" s="284"/>
      <c r="C100" s="290" t="s">
        <v>1337</v>
      </c>
      <c r="D100" s="443">
        <f>SUM(F100:H100)</f>
        <v>-3377665.5532804038</v>
      </c>
      <c r="E100" s="442"/>
      <c r="F100" s="441">
        <f>F98*F99</f>
        <v>-2049412.9525241686</v>
      </c>
      <c r="G100" s="441">
        <f>+G98*G99</f>
        <v>-1328252.6007562354</v>
      </c>
      <c r="H100" s="440">
        <f>+H98*H99</f>
        <v>0</v>
      </c>
      <c r="I100" s="438" t="str">
        <f>CONCATENATE("Line ",A98," * ","Line ",A99," for Cols 4 to 6")</f>
        <v>Line 503 * Line 504 for Cols 4 to 6</v>
      </c>
      <c r="N100" s="8">
        <f>A100</f>
        <v>505</v>
      </c>
    </row>
    <row r="101" spans="1:14" x14ac:dyDescent="0.25">
      <c r="A101" s="8"/>
      <c r="C101" s="439" t="s">
        <v>1336</v>
      </c>
      <c r="D101" s="102"/>
      <c r="E101" s="102"/>
      <c r="F101" s="102"/>
      <c r="G101" s="102"/>
      <c r="H101" s="102"/>
      <c r="I101" s="438"/>
      <c r="J101" s="102"/>
      <c r="N101" s="8"/>
    </row>
    <row r="102" spans="1:14" x14ac:dyDescent="0.25">
      <c r="A102" s="8"/>
      <c r="D102" s="102"/>
      <c r="E102" s="102"/>
      <c r="F102" s="102"/>
      <c r="G102" s="102"/>
      <c r="H102" s="102"/>
      <c r="I102" s="438"/>
      <c r="N102" s="8"/>
    </row>
    <row r="103" spans="1:14" x14ac:dyDescent="0.25">
      <c r="A103" s="8">
        <f>A100+1</f>
        <v>506</v>
      </c>
      <c r="C103" s="284" t="s">
        <v>1335</v>
      </c>
      <c r="D103" s="328">
        <v>-91418043</v>
      </c>
      <c r="E103" s="425" t="str">
        <f>CONCATENATE("Must match amount on Line ",A98," ",D90)</f>
        <v>Must match amount on Line 503 Col 2</v>
      </c>
      <c r="F103" s="424"/>
      <c r="G103" s="424"/>
      <c r="H103" s="424"/>
      <c r="J103" s="47" t="s">
        <v>1334</v>
      </c>
      <c r="N103" s="8">
        <f>A103</f>
        <v>506</v>
      </c>
    </row>
    <row r="104" spans="1:14" x14ac:dyDescent="0.25">
      <c r="A104" s="8"/>
      <c r="C104" s="284"/>
      <c r="D104" s="425"/>
      <c r="E104" s="425"/>
      <c r="F104" s="424"/>
      <c r="G104" s="424"/>
      <c r="H104" s="424"/>
      <c r="I104" s="47"/>
      <c r="N104" s="8"/>
    </row>
    <row r="105" spans="1:14" x14ac:dyDescent="0.25">
      <c r="A105" s="8"/>
      <c r="B105" s="83" t="s">
        <v>1333</v>
      </c>
      <c r="C105" s="301"/>
      <c r="D105" s="437"/>
      <c r="E105" s="437"/>
      <c r="F105" s="436"/>
      <c r="G105" s="436"/>
      <c r="H105" s="436"/>
      <c r="I105" s="435"/>
      <c r="J105" s="35"/>
      <c r="K105" s="35"/>
      <c r="L105" s="35"/>
      <c r="M105" s="35"/>
      <c r="N105" s="8"/>
    </row>
    <row r="106" spans="1:14" x14ac:dyDescent="0.25">
      <c r="A106" s="8"/>
      <c r="C106" s="175" t="s">
        <v>492</v>
      </c>
      <c r="D106" s="175" t="s">
        <v>491</v>
      </c>
      <c r="E106" s="175" t="s">
        <v>490</v>
      </c>
      <c r="F106" s="175" t="s">
        <v>489</v>
      </c>
      <c r="G106" s="175" t="s">
        <v>519</v>
      </c>
      <c r="H106" s="175" t="s">
        <v>518</v>
      </c>
      <c r="I106" s="175" t="s">
        <v>517</v>
      </c>
      <c r="J106" s="175" t="s">
        <v>538</v>
      </c>
      <c r="N106" s="8"/>
    </row>
    <row r="107" spans="1:14" x14ac:dyDescent="0.25">
      <c r="A107" s="8"/>
      <c r="C107" s="284"/>
      <c r="D107" s="433" t="s">
        <v>1332</v>
      </c>
      <c r="E107" s="433" t="s">
        <v>1331</v>
      </c>
      <c r="F107" s="424"/>
      <c r="G107" s="424"/>
      <c r="H107" s="433" t="s">
        <v>1330</v>
      </c>
      <c r="I107" s="434" t="s">
        <v>1329</v>
      </c>
      <c r="J107" s="433" t="s">
        <v>1328</v>
      </c>
      <c r="N107" s="8"/>
    </row>
    <row r="108" spans="1:14" x14ac:dyDescent="0.25">
      <c r="A108" s="8"/>
      <c r="C108" s="284"/>
      <c r="D108" s="425"/>
      <c r="E108" s="425"/>
      <c r="F108" s="424"/>
      <c r="G108" s="424"/>
      <c r="H108" s="424"/>
      <c r="I108" s="47"/>
      <c r="N108" s="8"/>
    </row>
    <row r="109" spans="1:14" x14ac:dyDescent="0.25">
      <c r="A109" s="8"/>
      <c r="C109" s="297"/>
      <c r="D109" s="433" t="s">
        <v>1327</v>
      </c>
      <c r="E109" s="433" t="s">
        <v>1326</v>
      </c>
      <c r="F109" s="433"/>
      <c r="G109" s="433" t="s">
        <v>1325</v>
      </c>
      <c r="H109" s="433" t="s">
        <v>1324</v>
      </c>
      <c r="I109" s="8" t="s">
        <v>1323</v>
      </c>
      <c r="J109" s="8" t="s">
        <v>1322</v>
      </c>
      <c r="N109" s="8"/>
    </row>
    <row r="110" spans="1:14" x14ac:dyDescent="0.25">
      <c r="A110" s="33" t="s">
        <v>106</v>
      </c>
      <c r="B110" s="33" t="s">
        <v>510</v>
      </c>
      <c r="C110" s="297" t="s">
        <v>1321</v>
      </c>
      <c r="D110" s="432" t="s">
        <v>1320</v>
      </c>
      <c r="E110" s="432" t="s">
        <v>1319</v>
      </c>
      <c r="F110" s="432" t="s">
        <v>1318</v>
      </c>
      <c r="G110" s="432" t="s">
        <v>1317</v>
      </c>
      <c r="H110" s="432" t="s">
        <v>1304</v>
      </c>
      <c r="I110" s="33" t="s">
        <v>1316</v>
      </c>
      <c r="J110" s="33" t="s">
        <v>1315</v>
      </c>
      <c r="N110" s="33" t="str">
        <f>A110</f>
        <v>Line</v>
      </c>
    </row>
    <row r="111" spans="1:14" x14ac:dyDescent="0.25">
      <c r="A111" s="8">
        <v>600</v>
      </c>
      <c r="C111" s="71" t="s">
        <v>1314</v>
      </c>
      <c r="D111" s="431"/>
      <c r="E111" s="276">
        <f>D18</f>
        <v>-1971788466.8533022</v>
      </c>
      <c r="F111" s="424"/>
      <c r="G111" s="71">
        <f>+G112+F112-G123</f>
        <v>365</v>
      </c>
      <c r="H111" s="429">
        <f>1</f>
        <v>1</v>
      </c>
      <c r="I111" s="157"/>
      <c r="J111" s="96">
        <f>+E111</f>
        <v>-1971788466.8533022</v>
      </c>
      <c r="N111" s="8">
        <f>A111</f>
        <v>600</v>
      </c>
    </row>
    <row r="112" spans="1:14" x14ac:dyDescent="0.25">
      <c r="A112" s="8">
        <f>A111+1</f>
        <v>601</v>
      </c>
      <c r="B112" s="23">
        <f>'1-BaseTRR'!$G$3</f>
        <v>2025</v>
      </c>
      <c r="C112" s="71" t="s">
        <v>478</v>
      </c>
      <c r="D112" s="276">
        <f>($D$14-$D$18)/12</f>
        <v>-20011448.390909772</v>
      </c>
      <c r="E112" s="276">
        <f>E111+D112</f>
        <v>-1991799915.2442119</v>
      </c>
      <c r="F112" s="71">
        <v>31</v>
      </c>
      <c r="G112" s="71">
        <f>+G113+F113</f>
        <v>335</v>
      </c>
      <c r="H112" s="429">
        <f>G112/G111</f>
        <v>0.9178082191780822</v>
      </c>
      <c r="I112" s="428">
        <f>D112*H112</f>
        <v>-18366671.810834996</v>
      </c>
      <c r="J112" s="96">
        <f>J111+I112</f>
        <v>-1990155138.6641371</v>
      </c>
      <c r="N112" s="8">
        <f>A112</f>
        <v>601</v>
      </c>
    </row>
    <row r="113" spans="1:14" x14ac:dyDescent="0.25">
      <c r="A113" s="8">
        <f>A112+1</f>
        <v>602</v>
      </c>
      <c r="B113" s="23">
        <f>'1-BaseTRR'!$G$3</f>
        <v>2025</v>
      </c>
      <c r="C113" s="71" t="s">
        <v>477</v>
      </c>
      <c r="D113" s="276">
        <f>($D$14-$D$18)/12</f>
        <v>-20011448.390909772</v>
      </c>
      <c r="E113" s="276">
        <f>E112+D113</f>
        <v>-2011811363.6351216</v>
      </c>
      <c r="F113" s="430">
        <v>28</v>
      </c>
      <c r="G113" s="71">
        <f>+G114+F114</f>
        <v>307</v>
      </c>
      <c r="H113" s="429">
        <f>G113/G111</f>
        <v>0.84109589041095889</v>
      </c>
      <c r="I113" s="428">
        <f>D113*H113</f>
        <v>-16831547.002765205</v>
      </c>
      <c r="J113" s="96">
        <f>J112+I113</f>
        <v>-2006986685.6669023</v>
      </c>
      <c r="N113" s="8">
        <f>A113</f>
        <v>602</v>
      </c>
    </row>
    <row r="114" spans="1:14" x14ac:dyDescent="0.25">
      <c r="A114" s="8">
        <f>A113+1</f>
        <v>603</v>
      </c>
      <c r="B114" s="23">
        <f>'1-BaseTRR'!$G$3</f>
        <v>2025</v>
      </c>
      <c r="C114" s="71" t="s">
        <v>476</v>
      </c>
      <c r="D114" s="276">
        <f>($D$14-$D$18)/12</f>
        <v>-20011448.390909772</v>
      </c>
      <c r="E114" s="276">
        <f>E113+D114</f>
        <v>-2031822812.0260313</v>
      </c>
      <c r="F114" s="71">
        <v>31</v>
      </c>
      <c r="G114" s="71">
        <f>+G115+F115</f>
        <v>276</v>
      </c>
      <c r="H114" s="429">
        <f>G114/G111</f>
        <v>0.75616438356164384</v>
      </c>
      <c r="I114" s="428">
        <f>D114*H114</f>
        <v>-15131944.536687937</v>
      </c>
      <c r="J114" s="96">
        <f>J113+I114</f>
        <v>-2022118630.2035902</v>
      </c>
      <c r="N114" s="8">
        <f>A114</f>
        <v>603</v>
      </c>
    </row>
    <row r="115" spans="1:14" x14ac:dyDescent="0.25">
      <c r="A115" s="8">
        <f>A114+1</f>
        <v>604</v>
      </c>
      <c r="B115" s="23">
        <f>'1-BaseTRR'!$G$3</f>
        <v>2025</v>
      </c>
      <c r="C115" s="71" t="s">
        <v>475</v>
      </c>
      <c r="D115" s="276">
        <f>($D$14-$D$18)/12</f>
        <v>-20011448.390909772</v>
      </c>
      <c r="E115" s="276">
        <f>E114+D115</f>
        <v>-2051834260.4169409</v>
      </c>
      <c r="F115" s="71">
        <v>30</v>
      </c>
      <c r="G115" s="71">
        <f>+G116+F116</f>
        <v>246</v>
      </c>
      <c r="H115" s="429">
        <f>G115/G111</f>
        <v>0.67397260273972603</v>
      </c>
      <c r="I115" s="428">
        <f>D115*H115</f>
        <v>-13487167.956613163</v>
      </c>
      <c r="J115" s="96">
        <f>J114+I115</f>
        <v>-2035605798.1602032</v>
      </c>
      <c r="N115" s="8">
        <f>A115</f>
        <v>604</v>
      </c>
    </row>
    <row r="116" spans="1:14" x14ac:dyDescent="0.25">
      <c r="A116" s="8">
        <f>A115+1</f>
        <v>605</v>
      </c>
      <c r="B116" s="23">
        <f>'1-BaseTRR'!$G$3</f>
        <v>2025</v>
      </c>
      <c r="C116" s="71" t="s">
        <v>474</v>
      </c>
      <c r="D116" s="276">
        <f>($D$14-$D$18)/12</f>
        <v>-20011448.390909772</v>
      </c>
      <c r="E116" s="276">
        <f>E115+D116</f>
        <v>-2071845708.8078506</v>
      </c>
      <c r="F116" s="71">
        <v>31</v>
      </c>
      <c r="G116" s="71">
        <f>+G117+F117</f>
        <v>215</v>
      </c>
      <c r="H116" s="429">
        <f>G116/G111</f>
        <v>0.58904109589041098</v>
      </c>
      <c r="I116" s="428">
        <f>D116*H116</f>
        <v>-11787565.490535894</v>
      </c>
      <c r="J116" s="96">
        <f>J115+I116</f>
        <v>-2047393363.6507392</v>
      </c>
      <c r="N116" s="8">
        <f>A116</f>
        <v>605</v>
      </c>
    </row>
    <row r="117" spans="1:14" x14ac:dyDescent="0.25">
      <c r="A117" s="8">
        <f>A116+1</f>
        <v>606</v>
      </c>
      <c r="B117" s="23">
        <f>'1-BaseTRR'!$G$3</f>
        <v>2025</v>
      </c>
      <c r="C117" s="71" t="s">
        <v>763</v>
      </c>
      <c r="D117" s="276">
        <f>($D$14-$D$18)/12</f>
        <v>-20011448.390909772</v>
      </c>
      <c r="E117" s="276">
        <f>E116+D117</f>
        <v>-2091857157.1987603</v>
      </c>
      <c r="F117" s="71">
        <v>30</v>
      </c>
      <c r="G117" s="71">
        <f>+G118+F118</f>
        <v>185</v>
      </c>
      <c r="H117" s="429">
        <f>G117/G111</f>
        <v>0.50684931506849318</v>
      </c>
      <c r="I117" s="428">
        <f>D117*H117</f>
        <v>-10142788.910461118</v>
      </c>
      <c r="J117" s="96">
        <f>J116+I117</f>
        <v>-2057536152.5612004</v>
      </c>
      <c r="N117" s="8">
        <f>A117</f>
        <v>606</v>
      </c>
    </row>
    <row r="118" spans="1:14" x14ac:dyDescent="0.25">
      <c r="A118" s="8">
        <f>A117+1</f>
        <v>607</v>
      </c>
      <c r="B118" s="23">
        <f>'1-BaseTRR'!$G$3</f>
        <v>2025</v>
      </c>
      <c r="C118" s="71" t="s">
        <v>472</v>
      </c>
      <c r="D118" s="276">
        <f>($D$14-$D$18)/12</f>
        <v>-20011448.390909772</v>
      </c>
      <c r="E118" s="276">
        <f>E117+D118</f>
        <v>-2111868605.5896699</v>
      </c>
      <c r="F118" s="71">
        <v>31</v>
      </c>
      <c r="G118" s="71">
        <f>+G119+F119</f>
        <v>154</v>
      </c>
      <c r="H118" s="429">
        <f>G118/G111</f>
        <v>0.42191780821917807</v>
      </c>
      <c r="I118" s="428">
        <f>D118*H118</f>
        <v>-8443186.4443838485</v>
      </c>
      <c r="J118" s="96">
        <f>J117+I118</f>
        <v>-2065979339.0055842</v>
      </c>
      <c r="N118" s="8">
        <f>A118</f>
        <v>607</v>
      </c>
    </row>
    <row r="119" spans="1:14" x14ac:dyDescent="0.25">
      <c r="A119" s="8">
        <f>A118+1</f>
        <v>608</v>
      </c>
      <c r="B119" s="23">
        <f>'1-BaseTRR'!$G$3</f>
        <v>2025</v>
      </c>
      <c r="C119" s="71" t="s">
        <v>471</v>
      </c>
      <c r="D119" s="276">
        <f>($D$14-$D$18)/12</f>
        <v>-20011448.390909772</v>
      </c>
      <c r="E119" s="276">
        <f>E118+D119</f>
        <v>-2131880053.9805796</v>
      </c>
      <c r="F119" s="71">
        <v>31</v>
      </c>
      <c r="G119" s="71">
        <f>+G120+F120</f>
        <v>123</v>
      </c>
      <c r="H119" s="429">
        <f>G119/G111</f>
        <v>0.33698630136986302</v>
      </c>
      <c r="I119" s="428">
        <f>D119*H119</f>
        <v>-6743583.9783065813</v>
      </c>
      <c r="J119" s="96">
        <f>J118+I119</f>
        <v>-2072722922.9838908</v>
      </c>
      <c r="N119" s="8">
        <f>A119</f>
        <v>608</v>
      </c>
    </row>
    <row r="120" spans="1:14" x14ac:dyDescent="0.25">
      <c r="A120" s="8">
        <f>A119+1</f>
        <v>609</v>
      </c>
      <c r="B120" s="23">
        <f>'1-BaseTRR'!$G$3</f>
        <v>2025</v>
      </c>
      <c r="C120" s="71" t="s">
        <v>470</v>
      </c>
      <c r="D120" s="276">
        <f>($D$14-$D$18)/12</f>
        <v>-20011448.390909772</v>
      </c>
      <c r="E120" s="276">
        <f>E119+D120</f>
        <v>-2151891502.3714895</v>
      </c>
      <c r="F120" s="71">
        <v>30</v>
      </c>
      <c r="G120" s="71">
        <f>+G121+F121</f>
        <v>93</v>
      </c>
      <c r="H120" s="429">
        <f>G120/G111</f>
        <v>0.25479452054794521</v>
      </c>
      <c r="I120" s="428">
        <f>D120*H120</f>
        <v>-5098807.3982318053</v>
      </c>
      <c r="J120" s="96">
        <f>J119+I120</f>
        <v>-2077821730.3821225</v>
      </c>
      <c r="N120" s="8">
        <f>A120</f>
        <v>609</v>
      </c>
    </row>
    <row r="121" spans="1:14" x14ac:dyDescent="0.25">
      <c r="A121" s="8">
        <f>A120+1</f>
        <v>610</v>
      </c>
      <c r="B121" s="23">
        <f>'1-BaseTRR'!$G$3</f>
        <v>2025</v>
      </c>
      <c r="C121" s="71" t="s">
        <v>469</v>
      </c>
      <c r="D121" s="276">
        <f>($D$14-$D$18)/12</f>
        <v>-20011448.390909772</v>
      </c>
      <c r="E121" s="276">
        <f>E120+D121</f>
        <v>-2171902950.7623992</v>
      </c>
      <c r="F121" s="71">
        <v>31</v>
      </c>
      <c r="G121" s="71">
        <f>+G122+F122</f>
        <v>62</v>
      </c>
      <c r="H121" s="429">
        <f>G121/G111</f>
        <v>0.16986301369863013</v>
      </c>
      <c r="I121" s="428">
        <f>D121*H121</f>
        <v>-3399204.9321545367</v>
      </c>
      <c r="J121" s="96">
        <f>J120+I121</f>
        <v>-2081220935.3142772</v>
      </c>
      <c r="N121" s="8">
        <f>A121</f>
        <v>610</v>
      </c>
    </row>
    <row r="122" spans="1:14" x14ac:dyDescent="0.25">
      <c r="A122" s="8">
        <f>A121+1</f>
        <v>611</v>
      </c>
      <c r="B122" s="23">
        <f>'1-BaseTRR'!$G$3</f>
        <v>2025</v>
      </c>
      <c r="C122" s="71" t="s">
        <v>468</v>
      </c>
      <c r="D122" s="276">
        <f>($D$14-$D$18)/12</f>
        <v>-20011448.390909772</v>
      </c>
      <c r="E122" s="276">
        <f>E121+D122</f>
        <v>-2191914399.1533089</v>
      </c>
      <c r="F122" s="71">
        <v>30</v>
      </c>
      <c r="G122" s="71">
        <f>+G123+F123</f>
        <v>32</v>
      </c>
      <c r="H122" s="429">
        <f>G122/G111</f>
        <v>8.7671232876712329E-2</v>
      </c>
      <c r="I122" s="428">
        <f>D122*H122</f>
        <v>-1754428.352079761</v>
      </c>
      <c r="J122" s="96">
        <f>J121+I122</f>
        <v>-2082975363.666357</v>
      </c>
      <c r="N122" s="8">
        <f>A122</f>
        <v>611</v>
      </c>
    </row>
    <row r="123" spans="1:14" x14ac:dyDescent="0.25">
      <c r="A123" s="8">
        <f>A122+1</f>
        <v>612</v>
      </c>
      <c r="B123" s="23">
        <f>'1-BaseTRR'!$G$3</f>
        <v>2025</v>
      </c>
      <c r="C123" s="71" t="s">
        <v>467</v>
      </c>
      <c r="D123" s="276">
        <f>($D$14-$D$18)/12</f>
        <v>-20011448.390909772</v>
      </c>
      <c r="E123" s="276">
        <f>E122+D123</f>
        <v>-2211925847.5442185</v>
      </c>
      <c r="F123" s="71">
        <v>31</v>
      </c>
      <c r="G123" s="430">
        <v>1</v>
      </c>
      <c r="H123" s="429">
        <f>G123/G111</f>
        <v>2.7397260273972603E-3</v>
      </c>
      <c r="I123" s="428">
        <f>D123*H123</f>
        <v>-54825.886002492531</v>
      </c>
      <c r="J123" s="427">
        <f>J122+I123</f>
        <v>-2083030189.5523596</v>
      </c>
      <c r="N123" s="8">
        <f>A123</f>
        <v>612</v>
      </c>
    </row>
    <row r="124" spans="1:14" x14ac:dyDescent="0.25">
      <c r="A124" s="8">
        <f>A123+1</f>
        <v>613</v>
      </c>
      <c r="C124" s="71" t="s">
        <v>504</v>
      </c>
      <c r="D124" s="276"/>
      <c r="E124" s="276">
        <f>D14</f>
        <v>-2211925847.5442195</v>
      </c>
      <c r="F124" s="424"/>
      <c r="G124" s="424"/>
      <c r="H124" s="424"/>
      <c r="I124" s="47"/>
      <c r="J124" s="426"/>
      <c r="N124" s="8">
        <f>A124</f>
        <v>613</v>
      </c>
    </row>
    <row r="125" spans="1:14" x14ac:dyDescent="0.25">
      <c r="A125" s="8">
        <f>A124+1</f>
        <v>614</v>
      </c>
      <c r="C125" s="284"/>
      <c r="D125" s="425"/>
      <c r="E125" s="425"/>
      <c r="F125" s="424"/>
      <c r="G125" s="424"/>
      <c r="H125" s="424"/>
      <c r="I125" s="423" t="s">
        <v>1313</v>
      </c>
      <c r="J125" s="422">
        <f>+J123</f>
        <v>-2083030189.5523596</v>
      </c>
      <c r="N125" s="8">
        <f>A125</f>
        <v>614</v>
      </c>
    </row>
    <row r="126" spans="1:14" x14ac:dyDescent="0.25">
      <c r="A126" s="23"/>
      <c r="K126" s="8"/>
    </row>
    <row r="127" spans="1:14" x14ac:dyDescent="0.25">
      <c r="A127" s="23"/>
      <c r="B127" s="83" t="s">
        <v>1312</v>
      </c>
      <c r="C127" s="35"/>
      <c r="D127" s="35"/>
      <c r="E127" s="35"/>
      <c r="F127" s="35"/>
      <c r="G127" s="35"/>
      <c r="H127" s="35"/>
      <c r="I127" s="35"/>
      <c r="J127" s="35"/>
      <c r="K127" s="35"/>
      <c r="L127" s="35"/>
      <c r="M127" s="35"/>
      <c r="N127" s="8"/>
    </row>
    <row r="128" spans="1:14" x14ac:dyDescent="0.25">
      <c r="A128" s="23"/>
      <c r="C128" s="25" t="s">
        <v>1311</v>
      </c>
      <c r="E128" s="30"/>
      <c r="F128" s="257" t="s">
        <v>1310</v>
      </c>
      <c r="G128" s="257" t="s">
        <v>1309</v>
      </c>
      <c r="H128" s="30"/>
      <c r="N128" s="8"/>
    </row>
    <row r="129" spans="1:14" x14ac:dyDescent="0.25">
      <c r="A129" s="23"/>
      <c r="D129" s="286" t="s">
        <v>957</v>
      </c>
      <c r="E129" s="30"/>
      <c r="F129" s="421">
        <f>+C169</f>
        <v>0.05</v>
      </c>
      <c r="G129" s="421">
        <f>+C170</f>
        <v>9.5000000000000001E-2</v>
      </c>
      <c r="H129" s="421">
        <f>+'1-BaseTRR'!E139</f>
        <v>0.27983599999999997</v>
      </c>
      <c r="I129" s="8" t="s">
        <v>1308</v>
      </c>
      <c r="K129" s="420" t="s">
        <v>1307</v>
      </c>
      <c r="L129" s="8" t="s">
        <v>527</v>
      </c>
      <c r="M129" s="8" t="s">
        <v>526</v>
      </c>
      <c r="N129" s="23"/>
    </row>
    <row r="130" spans="1:14" x14ac:dyDescent="0.25">
      <c r="A130" s="23"/>
      <c r="D130" s="297" t="s">
        <v>973</v>
      </c>
      <c r="E130" s="33" t="s">
        <v>1306</v>
      </c>
      <c r="F130" s="33" t="s">
        <v>1305</v>
      </c>
      <c r="G130" s="33" t="s">
        <v>1305</v>
      </c>
      <c r="H130" s="33" t="s">
        <v>1297</v>
      </c>
      <c r="I130" s="110" t="s">
        <v>1296</v>
      </c>
      <c r="J130" s="33" t="s">
        <v>1295</v>
      </c>
      <c r="K130" s="419" t="s">
        <v>1304</v>
      </c>
      <c r="L130" s="297" t="s">
        <v>924</v>
      </c>
      <c r="M130" s="33" t="s">
        <v>924</v>
      </c>
      <c r="N130" s="23"/>
    </row>
    <row r="131" spans="1:14" x14ac:dyDescent="0.25">
      <c r="A131" s="23"/>
      <c r="C131" s="175" t="s">
        <v>492</v>
      </c>
      <c r="D131" s="175" t="s">
        <v>491</v>
      </c>
      <c r="E131" s="175" t="s">
        <v>490</v>
      </c>
      <c r="F131" s="175" t="s">
        <v>489</v>
      </c>
      <c r="G131" s="175" t="s">
        <v>519</v>
      </c>
      <c r="H131" s="175" t="s">
        <v>518</v>
      </c>
      <c r="I131" s="175" t="s">
        <v>517</v>
      </c>
      <c r="J131" s="175" t="s">
        <v>538</v>
      </c>
      <c r="K131" s="175" t="s">
        <v>537</v>
      </c>
      <c r="L131" s="175" t="s">
        <v>770</v>
      </c>
      <c r="M131" s="175" t="s">
        <v>769</v>
      </c>
      <c r="N131" s="23"/>
    </row>
    <row r="132" spans="1:14" ht="45" x14ac:dyDescent="0.25">
      <c r="A132" s="33" t="s">
        <v>106</v>
      </c>
      <c r="B132" s="33" t="s">
        <v>510</v>
      </c>
      <c r="C132" s="44" t="s">
        <v>948</v>
      </c>
      <c r="D132" s="412" t="s">
        <v>1303</v>
      </c>
      <c r="E132" s="412" t="s">
        <v>1302</v>
      </c>
      <c r="F132" s="412" t="s">
        <v>1288</v>
      </c>
      <c r="G132" s="415"/>
      <c r="H132" s="412" t="s">
        <v>1301</v>
      </c>
      <c r="I132" s="23" t="s">
        <v>1285</v>
      </c>
      <c r="J132" s="23" t="s">
        <v>1284</v>
      </c>
      <c r="K132" s="412" t="s">
        <v>1283</v>
      </c>
      <c r="L132" s="23" t="s">
        <v>1282</v>
      </c>
      <c r="M132" s="411" t="s">
        <v>1281</v>
      </c>
      <c r="N132" s="23"/>
    </row>
    <row r="133" spans="1:14" x14ac:dyDescent="0.25">
      <c r="A133" s="8">
        <v>700</v>
      </c>
      <c r="B133" s="23">
        <f>'1-BaseTRR'!$G$2-1</f>
        <v>2026</v>
      </c>
      <c r="C133" s="71" t="s">
        <v>478</v>
      </c>
      <c r="D133" s="288">
        <f>+'9-PlantAdditions'!D16</f>
        <v>137069106.79218054</v>
      </c>
      <c r="E133" s="48">
        <f>+D133*'12-DepRates'!$N$35/12*12</f>
        <v>4476307.3824515408</v>
      </c>
      <c r="F133" s="48">
        <f>+D133*$F$129</f>
        <v>6853455.3396090269</v>
      </c>
      <c r="G133" s="48"/>
      <c r="H133" s="48">
        <f>+(E133-F133)*$H$129</f>
        <v>-665211.57573912223</v>
      </c>
      <c r="I133" s="24">
        <f>-'1-BaseTRR'!$E$115/12</f>
        <v>0</v>
      </c>
      <c r="J133" s="24">
        <f>+H133+I133</f>
        <v>-665211.57573912223</v>
      </c>
      <c r="K133" s="418">
        <f>+H112</f>
        <v>0.9178082191780822</v>
      </c>
      <c r="L133" s="48">
        <f>+J133*K133</f>
        <v>-610536.65170576971</v>
      </c>
      <c r="M133" s="260">
        <f>+L133</f>
        <v>-610536.65170576971</v>
      </c>
      <c r="N133" s="8">
        <f>+A133</f>
        <v>700</v>
      </c>
    </row>
    <row r="134" spans="1:14" x14ac:dyDescent="0.25">
      <c r="A134" s="8">
        <f>A133+1</f>
        <v>701</v>
      </c>
      <c r="B134" s="23">
        <f>+B133</f>
        <v>2026</v>
      </c>
      <c r="C134" s="71" t="s">
        <v>477</v>
      </c>
      <c r="D134" s="288">
        <f>+'9-PlantAdditions'!D17</f>
        <v>60877149.269343317</v>
      </c>
      <c r="E134" s="48">
        <f>+D134*'12-DepRates'!$N$35/12*11</f>
        <v>1822409.8958900904</v>
      </c>
      <c r="F134" s="48">
        <f>+D134*$F$129</f>
        <v>3043857.4634671658</v>
      </c>
      <c r="G134" s="48"/>
      <c r="H134" s="48">
        <f>+(E134-F134)*$H$129</f>
        <v>-341805.00152049848</v>
      </c>
      <c r="I134" s="24">
        <f>-'1-BaseTRR'!$E$115/12</f>
        <v>0</v>
      </c>
      <c r="J134" s="24">
        <f>+H134+I134</f>
        <v>-341805.00152049848</v>
      </c>
      <c r="K134" s="418">
        <f>+H113</f>
        <v>0.84109589041095889</v>
      </c>
      <c r="L134" s="48">
        <f>+J134*K134</f>
        <v>-287490.78210080281</v>
      </c>
      <c r="M134" s="260">
        <f>+L134+M133</f>
        <v>-898027.43380657258</v>
      </c>
      <c r="N134" s="8">
        <f>+A134</f>
        <v>701</v>
      </c>
    </row>
    <row r="135" spans="1:14" x14ac:dyDescent="0.25">
      <c r="A135" s="8">
        <f>A134+1</f>
        <v>702</v>
      </c>
      <c r="B135" s="23">
        <f>+B134</f>
        <v>2026</v>
      </c>
      <c r="C135" s="71" t="s">
        <v>476</v>
      </c>
      <c r="D135" s="288">
        <f>+'9-PlantAdditions'!D18</f>
        <v>117282659.9793767</v>
      </c>
      <c r="E135" s="48">
        <f>+D135*'12-DepRates'!$N$35/12*10</f>
        <v>3191779.4910515137</v>
      </c>
      <c r="F135" s="48">
        <f>+D135*$F$129</f>
        <v>5864132.9989688359</v>
      </c>
      <c r="G135" s="48"/>
      <c r="H135" s="48">
        <f>+(E135-F135)*$H$129</f>
        <v>-747820.71624155168</v>
      </c>
      <c r="I135" s="24">
        <f>-'1-BaseTRR'!$E$115/12</f>
        <v>0</v>
      </c>
      <c r="J135" s="24">
        <f>+H135+I135</f>
        <v>-747820.71624155168</v>
      </c>
      <c r="K135" s="418">
        <f>+H114</f>
        <v>0.75616438356164384</v>
      </c>
      <c r="L135" s="48">
        <f>+J135*K135</f>
        <v>-565475.39091141988</v>
      </c>
      <c r="M135" s="260">
        <f>+L135+M134</f>
        <v>-1463502.8247179925</v>
      </c>
      <c r="N135" s="8">
        <f>+A135</f>
        <v>702</v>
      </c>
    </row>
    <row r="136" spans="1:14" x14ac:dyDescent="0.25">
      <c r="A136" s="8">
        <f>A135+1</f>
        <v>703</v>
      </c>
      <c r="B136" s="23">
        <f>+B135</f>
        <v>2026</v>
      </c>
      <c r="C136" s="71" t="s">
        <v>475</v>
      </c>
      <c r="D136" s="288">
        <f>+'9-PlantAdditions'!D19</f>
        <v>190203577.52175152</v>
      </c>
      <c r="E136" s="48">
        <f>+D136*'12-DepRates'!$N$35/12*9</f>
        <v>4658651.9283308769</v>
      </c>
      <c r="F136" s="48">
        <f>+D136*$F$129</f>
        <v>9510178.8760875762</v>
      </c>
      <c r="G136" s="48"/>
      <c r="H136" s="48">
        <f>+(E136-F136)*$H$129</f>
        <v>-1357631.8949524437</v>
      </c>
      <c r="I136" s="24">
        <f>-'1-BaseTRR'!$E$115/12</f>
        <v>0</v>
      </c>
      <c r="J136" s="24">
        <f>+H136+I136</f>
        <v>-1357631.8949524437</v>
      </c>
      <c r="K136" s="418">
        <f>+H115</f>
        <v>0.67397260273972603</v>
      </c>
      <c r="L136" s="48">
        <f>+J136*K136</f>
        <v>-915006.70180356479</v>
      </c>
      <c r="M136" s="260">
        <f>+L136+M135</f>
        <v>-2378509.526521557</v>
      </c>
      <c r="N136" s="8">
        <f>+A136</f>
        <v>703</v>
      </c>
    </row>
    <row r="137" spans="1:14" x14ac:dyDescent="0.25">
      <c r="A137" s="8">
        <f>A136+1</f>
        <v>704</v>
      </c>
      <c r="B137" s="23">
        <f>+B136</f>
        <v>2026</v>
      </c>
      <c r="C137" s="71" t="s">
        <v>474</v>
      </c>
      <c r="D137" s="288">
        <f>+'9-PlantAdditions'!D20</f>
        <v>122739020.19238505</v>
      </c>
      <c r="E137" s="48">
        <f>+D137*'12-DepRates'!$N$35/12*8</f>
        <v>2672216.9328062618</v>
      </c>
      <c r="F137" s="48">
        <f>+D137*$F$129</f>
        <v>6136951.0096192528</v>
      </c>
      <c r="G137" s="48"/>
      <c r="H137" s="48">
        <f>+(E137-F137)*$H$129</f>
        <v>-969557.32511904009</v>
      </c>
      <c r="I137" s="24">
        <f>-'1-BaseTRR'!$E$115/12</f>
        <v>0</v>
      </c>
      <c r="J137" s="24">
        <f>+H137+I137</f>
        <v>-969557.32511904009</v>
      </c>
      <c r="K137" s="418">
        <f>+H116</f>
        <v>0.58904109589041098</v>
      </c>
      <c r="L137" s="48">
        <f>+J137*K137</f>
        <v>-571109.1093166949</v>
      </c>
      <c r="M137" s="260">
        <f>+L137+M136</f>
        <v>-2949618.635838252</v>
      </c>
      <c r="N137" s="8">
        <f>+A137</f>
        <v>704</v>
      </c>
    </row>
    <row r="138" spans="1:14" x14ac:dyDescent="0.25">
      <c r="A138" s="8">
        <f>A137+1</f>
        <v>705</v>
      </c>
      <c r="B138" s="23">
        <f>+B137</f>
        <v>2026</v>
      </c>
      <c r="C138" s="71" t="s">
        <v>763</v>
      </c>
      <c r="D138" s="288">
        <f>+'9-PlantAdditions'!D21</f>
        <v>143332859.50526816</v>
      </c>
      <c r="E138" s="48">
        <f>+D138*'12-DepRates'!$N$35/12*7</f>
        <v>2730504.3815529938</v>
      </c>
      <c r="F138" s="48">
        <f>+D138*$F$129</f>
        <v>7166642.9752634084</v>
      </c>
      <c r="G138" s="48"/>
      <c r="H138" s="48">
        <f>+(E138-F138)*$H$129</f>
        <v>-1241391.2795095476</v>
      </c>
      <c r="I138" s="24">
        <f>-'1-BaseTRR'!$E$115/12</f>
        <v>0</v>
      </c>
      <c r="J138" s="24">
        <f>+H138+I138</f>
        <v>-1241391.2795095476</v>
      </c>
      <c r="K138" s="418">
        <f>+H117</f>
        <v>0.50684931506849318</v>
      </c>
      <c r="L138" s="48">
        <f>+J138*K138</f>
        <v>-629198.31975141459</v>
      </c>
      <c r="M138" s="260">
        <f>+L138+M137</f>
        <v>-3578816.9555896665</v>
      </c>
      <c r="N138" s="8">
        <f>+A138</f>
        <v>705</v>
      </c>
    </row>
    <row r="139" spans="1:14" x14ac:dyDescent="0.25">
      <c r="A139" s="8">
        <f>A138+1</f>
        <v>706</v>
      </c>
      <c r="B139" s="23">
        <f>+B138</f>
        <v>2026</v>
      </c>
      <c r="C139" s="71" t="s">
        <v>472</v>
      </c>
      <c r="D139" s="288">
        <f>+'9-PlantAdditions'!D22</f>
        <v>88269990.370008141</v>
      </c>
      <c r="E139" s="48">
        <f>+D139*'12-DepRates'!$N$35/12*6</f>
        <v>1441329.9203199255</v>
      </c>
      <c r="F139" s="48">
        <f>+D139*$F$129</f>
        <v>4413499.5185004072</v>
      </c>
      <c r="G139" s="48"/>
      <c r="H139" s="48">
        <f>+(E139-F139)*$H$129</f>
        <v>-831720.05167643318</v>
      </c>
      <c r="I139" s="24">
        <f>-'1-BaseTRR'!$E$115/12</f>
        <v>0</v>
      </c>
      <c r="J139" s="24">
        <f>+H139+I139</f>
        <v>-831720.05167643318</v>
      </c>
      <c r="K139" s="418">
        <f>+H118</f>
        <v>0.42191780821917807</v>
      </c>
      <c r="L139" s="48">
        <f>+J139*K139</f>
        <v>-350917.50125526224</v>
      </c>
      <c r="M139" s="260">
        <f>+L139+M138</f>
        <v>-3929734.4568449287</v>
      </c>
      <c r="N139" s="8">
        <f>+A139</f>
        <v>706</v>
      </c>
    </row>
    <row r="140" spans="1:14" x14ac:dyDescent="0.25">
      <c r="A140" s="8">
        <f>A139+1</f>
        <v>707</v>
      </c>
      <c r="B140" s="23">
        <f>+B139</f>
        <v>2026</v>
      </c>
      <c r="C140" s="71" t="s">
        <v>471</v>
      </c>
      <c r="D140" s="288">
        <f>+'9-PlantAdditions'!D23</f>
        <v>75095661.18434763</v>
      </c>
      <c r="E140" s="48">
        <f>+D140*'12-DepRates'!$N$35/12*5</f>
        <v>1021842.4073827344</v>
      </c>
      <c r="F140" s="48">
        <f>+D140*$F$129</f>
        <v>3754783.0592173818</v>
      </c>
      <c r="G140" s="48"/>
      <c r="H140" s="48">
        <f>+(E140-F140)*$H$129</f>
        <v>-764775.1802468003</v>
      </c>
      <c r="I140" s="24">
        <f>-'1-BaseTRR'!$E$115/12</f>
        <v>0</v>
      </c>
      <c r="J140" s="24">
        <f>+H140+I140</f>
        <v>-764775.1802468003</v>
      </c>
      <c r="K140" s="418">
        <f>+H119</f>
        <v>0.33698630136986302</v>
      </c>
      <c r="L140" s="48">
        <f>+J140*K140</f>
        <v>-257718.75937083954</v>
      </c>
      <c r="M140" s="260">
        <f>+L140+M139</f>
        <v>-4187453.2162157684</v>
      </c>
      <c r="N140" s="8">
        <f>+A140</f>
        <v>707</v>
      </c>
    </row>
    <row r="141" spans="1:14" x14ac:dyDescent="0.25">
      <c r="A141" s="8">
        <f>A140+1</f>
        <v>708</v>
      </c>
      <c r="B141" s="23">
        <f>+B140</f>
        <v>2026</v>
      </c>
      <c r="C141" s="71" t="s">
        <v>470</v>
      </c>
      <c r="D141" s="288">
        <f>+'9-PlantAdditions'!D24</f>
        <v>113150558.72607712</v>
      </c>
      <c r="E141" s="48">
        <f>+D141*'12-DepRates'!$N$35/12*4</f>
        <v>1231730.7019005835</v>
      </c>
      <c r="F141" s="48">
        <f>+D141*$F$129</f>
        <v>5657527.9363038568</v>
      </c>
      <c r="G141" s="48"/>
      <c r="H141" s="48">
        <f>+(E141-F141)*$H$129</f>
        <v>-1238497.3948864741</v>
      </c>
      <c r="I141" s="24">
        <f>-'1-BaseTRR'!$E$115/12</f>
        <v>0</v>
      </c>
      <c r="J141" s="24">
        <f>+H141+I141</f>
        <v>-1238497.3948864741</v>
      </c>
      <c r="K141" s="418">
        <f>+H120</f>
        <v>0.25479452054794521</v>
      </c>
      <c r="L141" s="48">
        <f>+J141*K141</f>
        <v>-315562.34992997837</v>
      </c>
      <c r="M141" s="260">
        <f>+L141+M140</f>
        <v>-4503015.566145747</v>
      </c>
      <c r="N141" s="8">
        <f>+A141</f>
        <v>708</v>
      </c>
    </row>
    <row r="142" spans="1:14" x14ac:dyDescent="0.25">
      <c r="A142" s="8">
        <f>A141+1</f>
        <v>709</v>
      </c>
      <c r="B142" s="23">
        <f>+B141</f>
        <v>2026</v>
      </c>
      <c r="C142" s="71" t="s">
        <v>469</v>
      </c>
      <c r="D142" s="288">
        <f>+'9-PlantAdditions'!D25</f>
        <v>123384846.41907731</v>
      </c>
      <c r="E142" s="48">
        <f>+D142*'12-DepRates'!$N$35/12*3</f>
        <v>1007354.0855302948</v>
      </c>
      <c r="F142" s="48">
        <f>+D142*$F$129</f>
        <v>6169242.3209538655</v>
      </c>
      <c r="G142" s="48"/>
      <c r="H142" s="48">
        <f>+(E142-F142)*$H$129</f>
        <v>-1444482.1562479902</v>
      </c>
      <c r="I142" s="24">
        <f>-'1-BaseTRR'!$E$115/12</f>
        <v>0</v>
      </c>
      <c r="J142" s="24">
        <f>+H142+I142</f>
        <v>-1444482.1562479902</v>
      </c>
      <c r="K142" s="418">
        <f>+H121</f>
        <v>0.16986301369863013</v>
      </c>
      <c r="L142" s="48">
        <f>+J142*K142</f>
        <v>-245364.09229417917</v>
      </c>
      <c r="M142" s="260">
        <f>+L142+M141</f>
        <v>-4748379.6584399259</v>
      </c>
      <c r="N142" s="8">
        <f>+A142</f>
        <v>709</v>
      </c>
    </row>
    <row r="143" spans="1:14" x14ac:dyDescent="0.25">
      <c r="A143" s="8">
        <f>A142+1</f>
        <v>710</v>
      </c>
      <c r="B143" s="23">
        <f>+B142</f>
        <v>2026</v>
      </c>
      <c r="C143" s="71" t="s">
        <v>468</v>
      </c>
      <c r="D143" s="288">
        <f>+'9-PlantAdditions'!D26</f>
        <v>52559024.270846695</v>
      </c>
      <c r="E143" s="48">
        <f>+D143*'12-DepRates'!$N$35/12*2</f>
        <v>286072.66541680758</v>
      </c>
      <c r="F143" s="48">
        <f>+D143*$F$129</f>
        <v>2627951.2135423347</v>
      </c>
      <c r="G143" s="48"/>
      <c r="H143" s="48">
        <f>+(E143-F143)*$H$129</f>
        <v>-655341.92539325496</v>
      </c>
      <c r="I143" s="24">
        <f>-'1-BaseTRR'!$E$115/12</f>
        <v>0</v>
      </c>
      <c r="J143" s="24">
        <f>+H143+I143</f>
        <v>-655341.92539325496</v>
      </c>
      <c r="K143" s="418">
        <f>+H122</f>
        <v>8.7671232876712329E-2</v>
      </c>
      <c r="L143" s="48">
        <f>+J143*K143</f>
        <v>-57454.634555025092</v>
      </c>
      <c r="M143" s="260">
        <f>+L143+M142</f>
        <v>-4805834.2929949509</v>
      </c>
      <c r="N143" s="8">
        <f>+A143</f>
        <v>710</v>
      </c>
    </row>
    <row r="144" spans="1:14" x14ac:dyDescent="0.25">
      <c r="A144" s="8">
        <f>A143+1</f>
        <v>711</v>
      </c>
      <c r="B144" s="23">
        <f>+B143</f>
        <v>2026</v>
      </c>
      <c r="C144" s="71" t="s">
        <v>467</v>
      </c>
      <c r="D144" s="410">
        <f>+'9-PlantAdditions'!D27</f>
        <v>132984042.44474281</v>
      </c>
      <c r="E144" s="409">
        <f>+D144*'12-DepRates'!$N$35/12*1</f>
        <v>361908.34978239029</v>
      </c>
      <c r="F144" s="409">
        <f>+D144*$F$129</f>
        <v>6649202.1222371412</v>
      </c>
      <c r="G144" s="409"/>
      <c r="H144" s="409">
        <f>+(E144-F144)*$H$129</f>
        <v>-1759411.1401086475</v>
      </c>
      <c r="I144" s="263">
        <f>-'1-BaseTRR'!$E$115/12</f>
        <v>0</v>
      </c>
      <c r="J144" s="263">
        <f>+H144+I144</f>
        <v>-1759411.1401086475</v>
      </c>
      <c r="K144" s="418">
        <f>+H123</f>
        <v>2.7397260273972603E-3</v>
      </c>
      <c r="L144" s="48">
        <f>+J144*K144</f>
        <v>-4820.3044934483496</v>
      </c>
      <c r="M144" s="260">
        <f>+L144+M143</f>
        <v>-4810654.5974883996</v>
      </c>
      <c r="N144" s="8">
        <f>+A144</f>
        <v>711</v>
      </c>
    </row>
    <row r="145" spans="1:16" x14ac:dyDescent="0.25">
      <c r="A145" s="8">
        <f>A144+1</f>
        <v>712</v>
      </c>
      <c r="C145" s="71" t="s">
        <v>1280</v>
      </c>
      <c r="D145" s="417">
        <f>SUM(D133:D144)</f>
        <v>1356948496.675405</v>
      </c>
      <c r="E145" s="347">
        <f>SUM(E133:E144)</f>
        <v>24902108.142416012</v>
      </c>
      <c r="F145" s="347">
        <f>SUM(F133:F144)</f>
        <v>67847424.83377026</v>
      </c>
      <c r="G145" s="347"/>
      <c r="H145" s="347">
        <f>SUM(H133:H144)</f>
        <v>-12017645.641641803</v>
      </c>
      <c r="I145" s="94">
        <f>SUM(I133:I144)</f>
        <v>0</v>
      </c>
      <c r="J145" s="94">
        <f>SUM(J133:J144)</f>
        <v>-12017645.641641803</v>
      </c>
      <c r="K145" s="416"/>
      <c r="N145" s="8">
        <f>+A145</f>
        <v>712</v>
      </c>
    </row>
    <row r="146" spans="1:16" x14ac:dyDescent="0.25">
      <c r="A146" s="8"/>
      <c r="C146" s="71"/>
      <c r="D146" s="288"/>
      <c r="E146" s="260"/>
      <c r="F146" s="260"/>
      <c r="G146" s="260"/>
      <c r="H146" s="260"/>
      <c r="J146" s="24"/>
      <c r="K146" s="416"/>
      <c r="N146" s="30"/>
    </row>
    <row r="147" spans="1:16" x14ac:dyDescent="0.25">
      <c r="A147" s="8">
        <f>A145+1</f>
        <v>713</v>
      </c>
      <c r="C147" s="71" t="s">
        <v>509</v>
      </c>
      <c r="D147" s="288"/>
      <c r="H147" s="260">
        <f>+H145</f>
        <v>-12017645.641641803</v>
      </c>
      <c r="I147" s="30"/>
      <c r="J147" s="260">
        <f>+J145</f>
        <v>-12017645.641641803</v>
      </c>
      <c r="K147" s="415">
        <f>+H111</f>
        <v>1</v>
      </c>
      <c r="L147" s="48">
        <f>+J147*K147</f>
        <v>-12017645.641641803</v>
      </c>
      <c r="M147" s="260">
        <f>+L147+M146</f>
        <v>-12017645.641641803</v>
      </c>
      <c r="N147" s="8">
        <f>+A147</f>
        <v>713</v>
      </c>
    </row>
    <row r="148" spans="1:16" ht="30" x14ac:dyDescent="0.25">
      <c r="A148" s="8"/>
      <c r="C148" s="71"/>
      <c r="D148" s="297" t="s">
        <v>973</v>
      </c>
      <c r="E148" s="110" t="s">
        <v>1300</v>
      </c>
      <c r="F148" s="110" t="s">
        <v>1299</v>
      </c>
      <c r="G148" s="110" t="s">
        <v>1298</v>
      </c>
      <c r="H148" s="33" t="s">
        <v>1297</v>
      </c>
      <c r="I148" s="110" t="s">
        <v>1296</v>
      </c>
      <c r="J148" s="414" t="s">
        <v>1295</v>
      </c>
      <c r="K148" s="413" t="s">
        <v>1294</v>
      </c>
      <c r="L148" s="402" t="s">
        <v>1293</v>
      </c>
      <c r="M148" s="110" t="s">
        <v>1292</v>
      </c>
      <c r="N148" s="8"/>
    </row>
    <row r="149" spans="1:16" ht="102.75" customHeight="1" x14ac:dyDescent="0.25">
      <c r="A149" s="33" t="s">
        <v>106</v>
      </c>
      <c r="B149" s="33"/>
      <c r="C149" s="44" t="s">
        <v>1291</v>
      </c>
      <c r="D149" s="412" t="s">
        <v>1290</v>
      </c>
      <c r="E149" s="412" t="s">
        <v>1289</v>
      </c>
      <c r="F149" s="412" t="s">
        <v>1288</v>
      </c>
      <c r="G149" s="412" t="s">
        <v>1287</v>
      </c>
      <c r="H149" s="412" t="s">
        <v>1286</v>
      </c>
      <c r="I149" s="23" t="s">
        <v>1285</v>
      </c>
      <c r="J149" s="23" t="s">
        <v>1284</v>
      </c>
      <c r="K149" s="412" t="s">
        <v>1283</v>
      </c>
      <c r="L149" s="23" t="s">
        <v>1282</v>
      </c>
      <c r="M149" s="411" t="s">
        <v>1281</v>
      </c>
      <c r="N149" s="30"/>
    </row>
    <row r="150" spans="1:16" x14ac:dyDescent="0.25">
      <c r="A150" s="8">
        <f>A147+1</f>
        <v>714</v>
      </c>
      <c r="B150" s="23">
        <f>'1-BaseTRR'!$G$2</f>
        <v>2027</v>
      </c>
      <c r="C150" s="71" t="s">
        <v>478</v>
      </c>
      <c r="D150" s="288">
        <f>+'9-PlantAdditions'!D28</f>
        <v>140789397.69193333</v>
      </c>
      <c r="E150" s="48">
        <f>+(($D$145/12)*'12-DepRates'!$N$35)+((D150*'12-DepRates'!$N$35)/12*12)</f>
        <v>8290658.5927867293</v>
      </c>
      <c r="F150" s="48">
        <f>+D150*$F$129</f>
        <v>7039469.8845966673</v>
      </c>
      <c r="G150" s="48">
        <f>+$D$145*$G$129/12</f>
        <v>10742508.932013623</v>
      </c>
      <c r="H150" s="48">
        <f>+(E150-F150-G150)*$H$129</f>
        <v>-2656013.08615389</v>
      </c>
      <c r="I150" s="24">
        <f>-'1-BaseTRR'!$E$115/12</f>
        <v>0</v>
      </c>
      <c r="J150" s="24">
        <f>+H150+I150</f>
        <v>-2656013.08615389</v>
      </c>
      <c r="K150" s="50">
        <f>+K133</f>
        <v>0.9178082191780822</v>
      </c>
      <c r="L150" s="48">
        <f>+J150*K150</f>
        <v>-2437710.6407165839</v>
      </c>
      <c r="M150" s="260">
        <f>+L150+M147</f>
        <v>-14455356.282358387</v>
      </c>
      <c r="N150" s="8">
        <f>+A150</f>
        <v>714</v>
      </c>
      <c r="P150" s="23"/>
    </row>
    <row r="151" spans="1:16" x14ac:dyDescent="0.25">
      <c r="A151" s="8">
        <f>A150+1</f>
        <v>715</v>
      </c>
      <c r="B151" s="23">
        <f>'1-BaseTRR'!$G$2</f>
        <v>2027</v>
      </c>
      <c r="C151" s="71" t="s">
        <v>477</v>
      </c>
      <c r="D151" s="288">
        <f>+'9-PlantAdditions'!D29</f>
        <v>103556583.83412759</v>
      </c>
      <c r="E151" s="48">
        <f>+(($D$145/12)*'12-DepRates'!$N$35)+((D151*'12-DepRates'!$N$35)/12*11)</f>
        <v>6792912.0710589606</v>
      </c>
      <c r="F151" s="48">
        <f>+D151*$F$129</f>
        <v>5177829.1917063799</v>
      </c>
      <c r="G151" s="48">
        <f>+$D$145*$G$129/12</f>
        <v>10742508.932013623</v>
      </c>
      <c r="H151" s="48">
        <f>+(E151-F151-G151)*$H$129</f>
        <v>-2554182.3968724553</v>
      </c>
      <c r="I151" s="24">
        <f>-'1-BaseTRR'!$E$115/12</f>
        <v>0</v>
      </c>
      <c r="J151" s="24">
        <f>+H151+I151</f>
        <v>-2554182.3968724553</v>
      </c>
      <c r="K151" s="50">
        <f>+K134</f>
        <v>0.84109589041095889</v>
      </c>
      <c r="L151" s="48">
        <f>+J151*K151</f>
        <v>-2148312.317369435</v>
      </c>
      <c r="M151" s="260">
        <f>+L151+M150</f>
        <v>-16603668.599727822</v>
      </c>
      <c r="N151" s="8">
        <f>+A151</f>
        <v>715</v>
      </c>
      <c r="P151" s="23"/>
    </row>
    <row r="152" spans="1:16" x14ac:dyDescent="0.25">
      <c r="A152" s="8">
        <f>A151+1</f>
        <v>716</v>
      </c>
      <c r="B152" s="23">
        <f>'1-BaseTRR'!$G$2</f>
        <v>2027</v>
      </c>
      <c r="C152" s="71" t="s">
        <v>476</v>
      </c>
      <c r="D152" s="288">
        <f>+'9-PlantAdditions'!D30</f>
        <v>164902442.23168951</v>
      </c>
      <c r="E152" s="48">
        <f>+(($D$145/12)*'12-DepRates'!$N$35)+((D152*'12-DepRates'!$N$35)/12*10)</f>
        <v>8180580.7569362605</v>
      </c>
      <c r="F152" s="48">
        <f>+D152*$F$129</f>
        <v>8245122.1115844762</v>
      </c>
      <c r="G152" s="48">
        <f>+$D$145*$G$129/12</f>
        <v>10742508.932013623</v>
      </c>
      <c r="H152" s="48">
        <f>+(E152-F152-G152)*$H$129</f>
        <v>-3024201.7240183023</v>
      </c>
      <c r="I152" s="24">
        <f>-'1-BaseTRR'!$E$115/12</f>
        <v>0</v>
      </c>
      <c r="J152" s="24">
        <f>+H152+I152</f>
        <v>-3024201.7240183023</v>
      </c>
      <c r="K152" s="50">
        <f>+K135</f>
        <v>0.75616438356164384</v>
      </c>
      <c r="L152" s="48">
        <f>+J152*K152</f>
        <v>-2286793.63240836</v>
      </c>
      <c r="M152" s="260">
        <f>+L152+M151</f>
        <v>-18890462.232136182</v>
      </c>
      <c r="N152" s="8">
        <f>+A152</f>
        <v>716</v>
      </c>
    </row>
    <row r="153" spans="1:16" x14ac:dyDescent="0.25">
      <c r="A153" s="8">
        <f>A152+1</f>
        <v>717</v>
      </c>
      <c r="B153" s="23">
        <f>'1-BaseTRR'!$G$2</f>
        <v>2027</v>
      </c>
      <c r="C153" s="71" t="s">
        <v>475</v>
      </c>
      <c r="D153" s="288">
        <f>+'9-PlantAdditions'!D31</f>
        <v>167294250.42184058</v>
      </c>
      <c r="E153" s="48">
        <f>+(($D$145/12)*'12-DepRates'!$N$35)+((D153*'12-DepRates'!$N$35)/12*9)</f>
        <v>7790390.8394589424</v>
      </c>
      <c r="F153" s="48">
        <f>+D153*$F$129</f>
        <v>8364712.5210920293</v>
      </c>
      <c r="G153" s="48">
        <f>+$D$145*$G$129/12</f>
        <v>10742508.932013623</v>
      </c>
      <c r="H153" s="48">
        <f>+(E153-F153-G153)*$H$129</f>
        <v>-3166856.6116004405</v>
      </c>
      <c r="I153" s="24">
        <f>-'1-BaseTRR'!$E$115/12</f>
        <v>0</v>
      </c>
      <c r="J153" s="24">
        <f>+H153+I153</f>
        <v>-3166856.6116004405</v>
      </c>
      <c r="K153" s="50">
        <f>+K136</f>
        <v>0.67397260273972603</v>
      </c>
      <c r="L153" s="48">
        <f>+J153*K153</f>
        <v>-2134374.5930238585</v>
      </c>
      <c r="M153" s="260">
        <f>+L153+M152</f>
        <v>-21024836.825160041</v>
      </c>
      <c r="N153" s="8">
        <f>+A153</f>
        <v>717</v>
      </c>
    </row>
    <row r="154" spans="1:16" x14ac:dyDescent="0.25">
      <c r="A154" s="8">
        <f>A153+1</f>
        <v>718</v>
      </c>
      <c r="B154" s="23">
        <f>'1-BaseTRR'!$G$2</f>
        <v>2027</v>
      </c>
      <c r="C154" s="71" t="s">
        <v>474</v>
      </c>
      <c r="D154" s="288">
        <f>+'9-PlantAdditions'!D32</f>
        <v>128521410.14476296</v>
      </c>
      <c r="E154" s="48">
        <f>+(($D$145/12)*'12-DepRates'!$N$35)+((D154*'12-DepRates'!$N$35)/12*8)</f>
        <v>6490964.9831688553</v>
      </c>
      <c r="F154" s="48">
        <f>+D154*$F$129</f>
        <v>6426070.5072381487</v>
      </c>
      <c r="G154" s="48">
        <f>+$D$145*$G$129/12</f>
        <v>10742508.932013623</v>
      </c>
      <c r="H154" s="48">
        <f>+(E154-F154-G154)*$H$129</f>
        <v>-2987980.9189324193</v>
      </c>
      <c r="I154" s="24">
        <f>-'1-BaseTRR'!$E$115/12</f>
        <v>0</v>
      </c>
      <c r="J154" s="24">
        <f>+H154+I154</f>
        <v>-2987980.9189324193</v>
      </c>
      <c r="K154" s="50">
        <f>+K137</f>
        <v>0.58904109589041098</v>
      </c>
      <c r="L154" s="48">
        <f>+J154*K154</f>
        <v>-1760043.5549875896</v>
      </c>
      <c r="M154" s="260">
        <f>+L154+M153</f>
        <v>-22784880.380147632</v>
      </c>
      <c r="N154" s="8">
        <f>+A154</f>
        <v>718</v>
      </c>
    </row>
    <row r="155" spans="1:16" x14ac:dyDescent="0.25">
      <c r="A155" s="8">
        <f>A154+1</f>
        <v>719</v>
      </c>
      <c r="B155" s="23">
        <f>'1-BaseTRR'!$G$2</f>
        <v>2027</v>
      </c>
      <c r="C155" s="71" t="s">
        <v>763</v>
      </c>
      <c r="D155" s="288">
        <f>+'9-PlantAdditions'!D33</f>
        <v>108442330.33429155</v>
      </c>
      <c r="E155" s="48">
        <f>+(($D$145/12)*'12-DepRates'!$N$35)+((D155*'12-DepRates'!$N$35)/12*7)</f>
        <v>5758693.0793939605</v>
      </c>
      <c r="F155" s="48">
        <f>+D155*$F$129</f>
        <v>5422116.5167145776</v>
      </c>
      <c r="G155" s="48">
        <f>+$D$145*$G$129/12</f>
        <v>10742508.932013623</v>
      </c>
      <c r="H155" s="48">
        <f>+(E155-F155-G155)*$H$129</f>
        <v>-2911954.4905050159</v>
      </c>
      <c r="I155" s="24">
        <f>-'1-BaseTRR'!$E$115/12</f>
        <v>0</v>
      </c>
      <c r="J155" s="24">
        <f>+H155+I155</f>
        <v>-2911954.4905050159</v>
      </c>
      <c r="K155" s="50">
        <f>+K138</f>
        <v>0.50684931506849318</v>
      </c>
      <c r="L155" s="48">
        <f>+J155*K155</f>
        <v>-1475922.1390230902</v>
      </c>
      <c r="M155" s="260">
        <f>+L155+M154</f>
        <v>-24260802.519170724</v>
      </c>
      <c r="N155" s="8">
        <f>+A155</f>
        <v>719</v>
      </c>
    </row>
    <row r="156" spans="1:16" x14ac:dyDescent="0.25">
      <c r="A156" s="8">
        <f>A155+1</f>
        <v>720</v>
      </c>
      <c r="B156" s="23">
        <f>'1-BaseTRR'!$G$2</f>
        <v>2027</v>
      </c>
      <c r="C156" s="71" t="s">
        <v>472</v>
      </c>
      <c r="D156" s="288">
        <f>+'9-PlantAdditions'!D34</f>
        <v>71008866.722165629</v>
      </c>
      <c r="E156" s="48">
        <f>+(($D$145/12)*'12-DepRates'!$N$35)+((D156*'12-DepRates'!$N$35)/12*6)</f>
        <v>4852335.5882465178</v>
      </c>
      <c r="F156" s="48">
        <f>+D156*$F$129</f>
        <v>3550443.3361082817</v>
      </c>
      <c r="G156" s="48">
        <f>+$D$145*$G$129/12</f>
        <v>10742508.932013623</v>
      </c>
      <c r="H156" s="48">
        <f>+(E156-F156-G156)*$H$129</f>
        <v>-2641824.4092296087</v>
      </c>
      <c r="I156" s="24">
        <f>-'1-BaseTRR'!$E$115/12</f>
        <v>0</v>
      </c>
      <c r="J156" s="24">
        <f>+H156+I156</f>
        <v>-2641824.4092296087</v>
      </c>
      <c r="K156" s="50">
        <f>+K139</f>
        <v>0.42191780821917807</v>
      </c>
      <c r="L156" s="48">
        <f>+J156*K156</f>
        <v>-1114632.7644420816</v>
      </c>
      <c r="M156" s="260">
        <f>+L156+M155</f>
        <v>-25375435.283612806</v>
      </c>
      <c r="N156" s="8">
        <f>+A156</f>
        <v>720</v>
      </c>
    </row>
    <row r="157" spans="1:16" x14ac:dyDescent="0.25">
      <c r="A157" s="8">
        <f>A156+1</f>
        <v>721</v>
      </c>
      <c r="B157" s="23">
        <f>'1-BaseTRR'!$G$2</f>
        <v>2027</v>
      </c>
      <c r="C157" s="71" t="s">
        <v>471</v>
      </c>
      <c r="D157" s="288">
        <f>+'9-PlantAdditions'!D35</f>
        <v>57962586.763334848</v>
      </c>
      <c r="E157" s="48">
        <f>+(($D$145/12)*'12-DepRates'!$N$35)+((D157*'12-DepRates'!$N$35)/12*5)</f>
        <v>4481565.6137262899</v>
      </c>
      <c r="F157" s="48">
        <f>+D157*$F$129</f>
        <v>2898129.3381667426</v>
      </c>
      <c r="G157" s="48">
        <f>+$D$145*$G$129/12</f>
        <v>10742508.932013623</v>
      </c>
      <c r="H157" s="48">
        <f>+(E157-F157-G157)*$H$129</f>
        <v>-2563038.2558914823</v>
      </c>
      <c r="I157" s="24">
        <f>-'1-BaseTRR'!$E$115/12</f>
        <v>0</v>
      </c>
      <c r="J157" s="24">
        <f>+H157+I157</f>
        <v>-2563038.2558914823</v>
      </c>
      <c r="K157" s="50">
        <f>+K140</f>
        <v>0.33698630136986302</v>
      </c>
      <c r="L157" s="48">
        <f>+J157*K157</f>
        <v>-863708.78212233516</v>
      </c>
      <c r="M157" s="260">
        <f>+L157+M156</f>
        <v>-26239144.065735143</v>
      </c>
      <c r="N157" s="8">
        <f>+A157</f>
        <v>721</v>
      </c>
    </row>
    <row r="158" spans="1:16" x14ac:dyDescent="0.25">
      <c r="A158" s="8">
        <f>A157+1</f>
        <v>722</v>
      </c>
      <c r="B158" s="23">
        <f>'1-BaseTRR'!$G$2</f>
        <v>2027</v>
      </c>
      <c r="C158" s="71" t="s">
        <v>470</v>
      </c>
      <c r="D158" s="288">
        <f>+'9-PlantAdditions'!D36</f>
        <v>67935953.176021531</v>
      </c>
      <c r="E158" s="48">
        <f>+(($D$145/12)*'12-DepRates'!$N$35)+((D158*'12-DepRates'!$N$35)/12*4)</f>
        <v>4432391.5498036044</v>
      </c>
      <c r="F158" s="48">
        <f>+D158*$F$129</f>
        <v>3396797.6588010769</v>
      </c>
      <c r="G158" s="48">
        <f>+$D$145*$G$129/12</f>
        <v>10742508.932013623</v>
      </c>
      <c r="H158" s="48">
        <f>+(E158-F158-G158)*$H$129</f>
        <v>-2716344.2774163806</v>
      </c>
      <c r="I158" s="24">
        <f>-'1-BaseTRR'!$E$115/12</f>
        <v>0</v>
      </c>
      <c r="J158" s="24">
        <f>+H158+I158</f>
        <v>-2716344.2774163806</v>
      </c>
      <c r="K158" s="50">
        <f>+K141</f>
        <v>0.25479452054794521</v>
      </c>
      <c r="L158" s="48">
        <f>+J158*K158</f>
        <v>-692109.63780746143</v>
      </c>
      <c r="M158" s="260">
        <f>+L158+M157</f>
        <v>-26931253.703542605</v>
      </c>
      <c r="N158" s="8">
        <f>+A158</f>
        <v>722</v>
      </c>
    </row>
    <row r="159" spans="1:16" x14ac:dyDescent="0.25">
      <c r="A159" s="8">
        <f>A158+1</f>
        <v>723</v>
      </c>
      <c r="B159" s="23">
        <f>'1-BaseTRR'!$G$2</f>
        <v>2027</v>
      </c>
      <c r="C159" s="71" t="s">
        <v>469</v>
      </c>
      <c r="D159" s="288">
        <f>+'9-PlantAdditions'!D37</f>
        <v>76667408.872873634</v>
      </c>
      <c r="E159" s="48">
        <f>+(($D$145/12)*'12-DepRates'!$N$35)+((D159*'12-DepRates'!$N$35)/12*3)</f>
        <v>4318794.2470011469</v>
      </c>
      <c r="F159" s="48">
        <f>+D159*$F$129</f>
        <v>3833370.4436436817</v>
      </c>
      <c r="G159" s="48">
        <f>+$D$145*$G$129/12</f>
        <v>10742508.932013623</v>
      </c>
      <c r="H159" s="48">
        <f>+(E159-F159-G159)*$H$129</f>
        <v>-2870301.6740626246</v>
      </c>
      <c r="I159" s="24">
        <f>-'1-BaseTRR'!$E$115/12</f>
        <v>0</v>
      </c>
      <c r="J159" s="24">
        <f>+H159+I159</f>
        <v>-2870301.6740626246</v>
      </c>
      <c r="K159" s="50">
        <f>+K142</f>
        <v>0.16986301369863013</v>
      </c>
      <c r="L159" s="48">
        <f>+J159*K159</f>
        <v>-487558.09258050058</v>
      </c>
      <c r="M159" s="260">
        <f>+L159+M158</f>
        <v>-27418811.796123106</v>
      </c>
      <c r="N159" s="8">
        <f>+A159</f>
        <v>723</v>
      </c>
    </row>
    <row r="160" spans="1:16" x14ac:dyDescent="0.25">
      <c r="A160" s="8">
        <f>A159+1</f>
        <v>724</v>
      </c>
      <c r="B160" s="23">
        <f>'1-BaseTRR'!$G$2</f>
        <v>2027</v>
      </c>
      <c r="C160" s="71" t="s">
        <v>468</v>
      </c>
      <c r="D160" s="288">
        <f>+'9-PlantAdditions'!D38</f>
        <v>125904164.64747858</v>
      </c>
      <c r="E160" s="48">
        <f>+(($D$145/12)*'12-DepRates'!$N$35)+((D160*'12-DepRates'!$N$35)/12*2)</f>
        <v>4378138.2892613858</v>
      </c>
      <c r="F160" s="48">
        <f>+D160*$F$129</f>
        <v>6295208.2323739296</v>
      </c>
      <c r="G160" s="48">
        <f>+$D$145*$G$129/12</f>
        <v>10742508.932013623</v>
      </c>
      <c r="H160" s="48">
        <f>+(E160-F160-G160)*$H$129</f>
        <v>-3542605.914099806</v>
      </c>
      <c r="I160" s="24">
        <f>-'1-BaseTRR'!$E$115/12</f>
        <v>0</v>
      </c>
      <c r="J160" s="24">
        <f>+H160+I160</f>
        <v>-3542605.914099806</v>
      </c>
      <c r="K160" s="50">
        <f>+K143</f>
        <v>8.7671232876712329E-2</v>
      </c>
      <c r="L160" s="48">
        <f>+J160*K160</f>
        <v>-310584.62808546243</v>
      </c>
      <c r="M160" s="260">
        <f>+L160+M159</f>
        <v>-27729396.42420857</v>
      </c>
      <c r="N160" s="8">
        <f>+A160</f>
        <v>724</v>
      </c>
    </row>
    <row r="161" spans="1:14" x14ac:dyDescent="0.25">
      <c r="A161" s="8">
        <f>A160+1</f>
        <v>725</v>
      </c>
      <c r="B161" s="23">
        <f>'1-BaseTRR'!$G$2</f>
        <v>2027</v>
      </c>
      <c r="C161" s="71" t="s">
        <v>467</v>
      </c>
      <c r="D161" s="410">
        <f>+'9-PlantAdditions'!D39</f>
        <v>464839649.30742598</v>
      </c>
      <c r="E161" s="409">
        <f>+(($D$145/12)*'12-DepRates'!$N$35)+((D161*'12-DepRates'!$N$35)/12*1)</f>
        <v>4957890.656991614</v>
      </c>
      <c r="F161" s="409">
        <f>+D161*$F$129</f>
        <v>23241982.4653713</v>
      </c>
      <c r="G161" s="409">
        <f>+$D$145*$G$129/12</f>
        <v>10742508.932013623</v>
      </c>
      <c r="H161" s="409">
        <f>+(E161-F161-G161)*$H$129</f>
        <v>-8122687.8447887022</v>
      </c>
      <c r="I161" s="263">
        <f>-'1-BaseTRR'!$E$115/12</f>
        <v>0</v>
      </c>
      <c r="J161" s="263">
        <f>+H161+I161</f>
        <v>-8122687.8447887022</v>
      </c>
      <c r="K161" s="50">
        <f>+K144</f>
        <v>2.7397260273972603E-3</v>
      </c>
      <c r="L161" s="48">
        <f>+J161*K161</f>
        <v>-22253.939300790964</v>
      </c>
      <c r="M161" s="260">
        <f>+L161+M160</f>
        <v>-27751650.363509361</v>
      </c>
      <c r="N161" s="8">
        <f>+A161</f>
        <v>725</v>
      </c>
    </row>
    <row r="162" spans="1:14" x14ac:dyDescent="0.25">
      <c r="A162" s="8">
        <f>A161+1</f>
        <v>726</v>
      </c>
      <c r="C162" s="71" t="s">
        <v>1280</v>
      </c>
      <c r="D162" s="341">
        <f>SUM(D150:D161)</f>
        <v>1677825044.1479459</v>
      </c>
      <c r="E162" s="347">
        <f>SUM(E150:E161)</f>
        <v>70725316.267834276</v>
      </c>
      <c r="F162" s="347">
        <f>SUM(F150:F161)</f>
        <v>83891252.207397297</v>
      </c>
      <c r="G162" s="347">
        <f>SUM(G150:G161)</f>
        <v>128910107.18416351</v>
      </c>
      <c r="H162" s="347">
        <f>SUM(H150:H161)</f>
        <v>-39757991.603571132</v>
      </c>
      <c r="I162" s="94">
        <f>SUM(I150:I161)</f>
        <v>0</v>
      </c>
      <c r="J162" s="94">
        <f>SUM(J150:J161)</f>
        <v>-39757991.603571132</v>
      </c>
      <c r="K162" s="260"/>
      <c r="N162" s="8">
        <f>+A162</f>
        <v>726</v>
      </c>
    </row>
    <row r="163" spans="1:14" x14ac:dyDescent="0.25">
      <c r="E163" s="48"/>
      <c r="N163" s="30"/>
    </row>
    <row r="164" spans="1:14" x14ac:dyDescent="0.25">
      <c r="A164" s="8">
        <f>A162+1</f>
        <v>727</v>
      </c>
      <c r="C164" s="408" t="s">
        <v>1279</v>
      </c>
      <c r="D164" s="341">
        <f>+D145+D162</f>
        <v>3034773540.8233509</v>
      </c>
      <c r="E164" s="341">
        <f>+E145+E162</f>
        <v>95627424.410250291</v>
      </c>
      <c r="F164" s="341">
        <f>+F145+F162</f>
        <v>151738677.04116756</v>
      </c>
      <c r="G164" s="341">
        <f>+G145+G162</f>
        <v>128910107.18416351</v>
      </c>
      <c r="H164" s="52">
        <f>+H145+H162</f>
        <v>-51775637.245212935</v>
      </c>
      <c r="M164" s="260">
        <f>+M161</f>
        <v>-27751650.363509361</v>
      </c>
      <c r="N164" s="8">
        <f>+A164</f>
        <v>727</v>
      </c>
    </row>
    <row r="165" spans="1:14" ht="30" x14ac:dyDescent="0.25">
      <c r="A165" s="8">
        <f>A164+1</f>
        <v>728</v>
      </c>
      <c r="C165" s="71" t="s">
        <v>1278</v>
      </c>
      <c r="D165" s="102"/>
      <c r="G165" s="48"/>
      <c r="H165" s="48"/>
      <c r="M165" s="407">
        <f>((M164*'1-BaseTRR'!E70)*(1+'1-BaseTRR'!E101/(1-'1-BaseTRR'!E101)))+(M164*'1-BaseTRR'!E65)</f>
        <v>-2655988.7367140297</v>
      </c>
      <c r="N165" s="8">
        <f>+A165</f>
        <v>728</v>
      </c>
    </row>
    <row r="166" spans="1:14" x14ac:dyDescent="0.25">
      <c r="A166" s="8"/>
      <c r="M166" s="76" t="s">
        <v>157</v>
      </c>
      <c r="N166" s="8"/>
    </row>
    <row r="167" spans="1:14" x14ac:dyDescent="0.25">
      <c r="N167" s="8"/>
    </row>
    <row r="168" spans="1:14" x14ac:dyDescent="0.25">
      <c r="A168" s="33" t="s">
        <v>106</v>
      </c>
      <c r="B168" s="33" t="s">
        <v>510</v>
      </c>
      <c r="C168" s="33" t="s">
        <v>1277</v>
      </c>
      <c r="N168" s="33" t="str">
        <f>+A168</f>
        <v>Line</v>
      </c>
    </row>
    <row r="169" spans="1:14" x14ac:dyDescent="0.25">
      <c r="A169" s="8">
        <f>A165+1</f>
        <v>729</v>
      </c>
      <c r="B169" s="23">
        <v>1</v>
      </c>
      <c r="C169" s="50">
        <v>0.05</v>
      </c>
      <c r="N169" s="8">
        <f>+A169</f>
        <v>729</v>
      </c>
    </row>
    <row r="170" spans="1:14" x14ac:dyDescent="0.25">
      <c r="A170" s="8">
        <f>+A169+1</f>
        <v>730</v>
      </c>
      <c r="B170" s="23">
        <f>+B169+1</f>
        <v>2</v>
      </c>
      <c r="C170" s="50">
        <v>9.5000000000000001E-2</v>
      </c>
      <c r="E170" s="37"/>
      <c r="F170" s="260"/>
      <c r="N170" s="8">
        <f>+A170</f>
        <v>730</v>
      </c>
    </row>
    <row r="171" spans="1:14" x14ac:dyDescent="0.25">
      <c r="A171" s="8">
        <f>+A170+1</f>
        <v>731</v>
      </c>
      <c r="B171" s="23">
        <f>+B170+1</f>
        <v>3</v>
      </c>
      <c r="C171" s="50">
        <v>8.5500000000000007E-2</v>
      </c>
      <c r="E171" s="37"/>
      <c r="F171" s="260"/>
      <c r="N171" s="8">
        <f>+A171</f>
        <v>731</v>
      </c>
    </row>
    <row r="172" spans="1:14" x14ac:dyDescent="0.25">
      <c r="A172" s="8">
        <f>+A171+1</f>
        <v>732</v>
      </c>
      <c r="B172" s="23">
        <f>+B171+1</f>
        <v>4</v>
      </c>
      <c r="C172" s="50">
        <v>7.6999999999999999E-2</v>
      </c>
      <c r="E172" s="37"/>
      <c r="F172" s="260"/>
      <c r="N172" s="8">
        <f>+A172</f>
        <v>732</v>
      </c>
    </row>
    <row r="173" spans="1:14" x14ac:dyDescent="0.25">
      <c r="A173" s="8">
        <f>+A172+1</f>
        <v>733</v>
      </c>
      <c r="B173" s="23">
        <f>+B172+1</f>
        <v>5</v>
      </c>
      <c r="C173" s="50">
        <v>6.93E-2</v>
      </c>
      <c r="E173" s="37"/>
      <c r="F173" s="260"/>
      <c r="N173" s="8">
        <f>+A173</f>
        <v>733</v>
      </c>
    </row>
    <row r="174" spans="1:14" x14ac:dyDescent="0.25">
      <c r="A174" s="8">
        <f>+A173+1</f>
        <v>734</v>
      </c>
      <c r="B174" s="23">
        <f>+B173+1</f>
        <v>6</v>
      </c>
      <c r="C174" s="50">
        <v>6.2300000000000001E-2</v>
      </c>
      <c r="E174" s="37"/>
      <c r="F174" s="260"/>
      <c r="N174" s="8">
        <f>+A174</f>
        <v>734</v>
      </c>
    </row>
    <row r="175" spans="1:14" x14ac:dyDescent="0.25">
      <c r="A175" s="8">
        <f>+A174+1</f>
        <v>735</v>
      </c>
      <c r="B175" s="23">
        <f>+B174+1</f>
        <v>7</v>
      </c>
      <c r="C175" s="50">
        <v>5.8999999999999997E-2</v>
      </c>
      <c r="E175" s="37"/>
      <c r="F175" s="260"/>
      <c r="N175" s="8">
        <f>+A175</f>
        <v>735</v>
      </c>
    </row>
    <row r="176" spans="1:14" x14ac:dyDescent="0.25">
      <c r="A176" s="8">
        <f>+A175+1</f>
        <v>736</v>
      </c>
      <c r="B176" s="23">
        <f>+B175+1</f>
        <v>8</v>
      </c>
      <c r="C176" s="50">
        <v>5.8999999999999997E-2</v>
      </c>
      <c r="E176" s="37"/>
      <c r="F176" s="260"/>
      <c r="N176" s="8">
        <f>+A176</f>
        <v>736</v>
      </c>
    </row>
    <row r="177" spans="1:14" x14ac:dyDescent="0.25">
      <c r="A177" s="8">
        <f>+A176+1</f>
        <v>737</v>
      </c>
      <c r="B177" s="23">
        <f>+B176+1</f>
        <v>9</v>
      </c>
      <c r="C177" s="50">
        <v>5.91E-2</v>
      </c>
      <c r="E177" s="37"/>
      <c r="F177" s="260"/>
      <c r="N177" s="8">
        <f>+A177</f>
        <v>737</v>
      </c>
    </row>
    <row r="178" spans="1:14" x14ac:dyDescent="0.25">
      <c r="A178" s="8">
        <f>+A177+1</f>
        <v>738</v>
      </c>
      <c r="B178" s="23">
        <f>+B177+1</f>
        <v>10</v>
      </c>
      <c r="C178" s="50">
        <v>5.8999999999999997E-2</v>
      </c>
      <c r="E178" s="37"/>
      <c r="F178" s="260"/>
      <c r="N178" s="8">
        <f>+A178</f>
        <v>738</v>
      </c>
    </row>
    <row r="179" spans="1:14" x14ac:dyDescent="0.25">
      <c r="A179" s="8">
        <f>+A178+1</f>
        <v>739</v>
      </c>
      <c r="B179" s="23">
        <f>+B178+1</f>
        <v>11</v>
      </c>
      <c r="C179" s="50">
        <v>5.91E-2</v>
      </c>
      <c r="E179" s="37"/>
      <c r="F179" s="260"/>
      <c r="N179" s="8">
        <f>+A179</f>
        <v>739</v>
      </c>
    </row>
    <row r="180" spans="1:14" x14ac:dyDescent="0.25">
      <c r="A180" s="8">
        <f>+A179+1</f>
        <v>740</v>
      </c>
      <c r="B180" s="23">
        <f>+B179+1</f>
        <v>12</v>
      </c>
      <c r="C180" s="50">
        <v>5.8999999999999997E-2</v>
      </c>
      <c r="E180" s="37"/>
      <c r="F180" s="260"/>
      <c r="N180" s="8">
        <f>+A180</f>
        <v>740</v>
      </c>
    </row>
    <row r="181" spans="1:14" x14ac:dyDescent="0.25">
      <c r="A181" s="8">
        <f>+A180+1</f>
        <v>741</v>
      </c>
      <c r="B181" s="23">
        <f>+B180+1</f>
        <v>13</v>
      </c>
      <c r="C181" s="50">
        <v>5.91E-2</v>
      </c>
      <c r="E181" s="37"/>
      <c r="F181" s="260"/>
      <c r="N181" s="8">
        <f>+A181</f>
        <v>741</v>
      </c>
    </row>
    <row r="182" spans="1:14" x14ac:dyDescent="0.25">
      <c r="A182" s="8">
        <f>+A181+1</f>
        <v>742</v>
      </c>
      <c r="B182" s="23">
        <f>+B181+1</f>
        <v>14</v>
      </c>
      <c r="C182" s="50">
        <v>5.8999999999999997E-2</v>
      </c>
      <c r="E182" s="37"/>
      <c r="N182" s="8">
        <f>+A182</f>
        <v>742</v>
      </c>
    </row>
    <row r="183" spans="1:14" x14ac:dyDescent="0.25">
      <c r="A183" s="8">
        <f>+A182+1</f>
        <v>743</v>
      </c>
      <c r="B183" s="23">
        <f>+B182+1</f>
        <v>15</v>
      </c>
      <c r="C183" s="50">
        <v>5.91E-2</v>
      </c>
      <c r="E183" s="260"/>
      <c r="N183" s="8">
        <f>+A183</f>
        <v>743</v>
      </c>
    </row>
    <row r="184" spans="1:14" x14ac:dyDescent="0.25">
      <c r="A184" s="8">
        <f>+A183+1</f>
        <v>744</v>
      </c>
      <c r="B184" s="23">
        <f>+B183+1</f>
        <v>16</v>
      </c>
      <c r="C184" s="50">
        <v>2.9499999999999998E-2</v>
      </c>
      <c r="N184" s="8">
        <f>+A184</f>
        <v>744</v>
      </c>
    </row>
    <row r="185" spans="1:14" x14ac:dyDescent="0.25">
      <c r="A185" s="23"/>
      <c r="K185" s="8"/>
    </row>
    <row r="186" spans="1:14" x14ac:dyDescent="0.25">
      <c r="A186" s="23"/>
      <c r="B186" s="6" t="s">
        <v>145</v>
      </c>
      <c r="K186" s="8"/>
    </row>
    <row r="187" spans="1:14" x14ac:dyDescent="0.25">
      <c r="A187" s="23"/>
      <c r="B187" s="6" t="s">
        <v>1276</v>
      </c>
      <c r="K187" s="8"/>
    </row>
    <row r="188" spans="1:14" x14ac:dyDescent="0.25">
      <c r="A188" s="23"/>
      <c r="B188" s="6" t="s">
        <v>1275</v>
      </c>
      <c r="K188" s="8"/>
    </row>
    <row r="189" spans="1:14" x14ac:dyDescent="0.25">
      <c r="B189" s="6" t="s">
        <v>1274</v>
      </c>
    </row>
    <row r="190" spans="1:14" x14ac:dyDescent="0.25">
      <c r="B190" s="89" t="s">
        <v>83</v>
      </c>
      <c r="C190" s="89"/>
      <c r="D190" s="89"/>
      <c r="E190" s="89"/>
    </row>
  </sheetData>
  <protectedRanges>
    <protectedRange password="F1C4" sqref="D14:D15 D17 D22:D26 F19 D19:E21 D27:F29 B8:C32 E15:E18 D53:D54 D74:D75 D91:D92 J55:J58 J94:J95 J33:J42 J77:J80 J60 D32:F32 D30:D31 F30:F31" name="AAReport1_23_1_1_2"/>
    <protectedRange password="F1C4" sqref="J59" name="AAReport1_23_1_1_2_3"/>
    <protectedRange password="F1C4" sqref="D18" name="AAReport1_23_1_1_2_2_1"/>
    <protectedRange password="F1C4" sqref="F34:F35" name="AAReport1_23_1_1_2_1_1"/>
    <protectedRange password="F1C4" sqref="E30:E31" name="AAReport1_23_1_1_2_1"/>
    <protectedRange password="F1C4" sqref="E53:E54" name="AAReport1_23_1_1_2_2"/>
    <protectedRange password="F1C4" sqref="E74:E75" name="AAReport1_23_1_1_2_4"/>
    <protectedRange password="F1C4" sqref="E91:E92" name="AAReport1_23_1_1_2_5"/>
  </protectedRanges>
  <conditionalFormatting sqref="B81 D81 D97">
    <cfRule type="expression" dxfId="3" priority="4" stopIfTrue="1">
      <formula>Formulas</formula>
    </cfRule>
  </conditionalFormatting>
  <conditionalFormatting sqref="B97">
    <cfRule type="expression" dxfId="2" priority="3" stopIfTrue="1">
      <formula>Formulas</formula>
    </cfRule>
  </conditionalFormatting>
  <conditionalFormatting sqref="C77:C81">
    <cfRule type="expression" dxfId="1" priority="2" stopIfTrue="1">
      <formula>#REF!&lt;&gt;""</formula>
    </cfRule>
  </conditionalFormatting>
  <conditionalFormatting sqref="C94:C97">
    <cfRule type="expression" dxfId="0" priority="1" stopIfTrue="1">
      <formula>#REF!&lt;&gt;""</formula>
    </cfRule>
  </conditionalFormatting>
  <printOptions horizontalCentered="1"/>
  <pageMargins left="1" right="1" top="1" bottom="1" header="0.5" footer="0.5"/>
  <pageSetup scale="32" fitToHeight="0" orientation="landscape" r:id="rId1"/>
  <headerFooter>
    <oddHeader>&amp;R&amp;F</oddHeader>
  </headerFooter>
  <rowBreaks count="2" manualBreakCount="2">
    <brk id="70" max="13" man="1"/>
    <brk id="125" max="13" man="1"/>
  </rowBreaks>
  <customProperties>
    <customPr name="_pios_id" r:id="rId2"/>
  </customPropertie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F27455-49C7-42B6-AD53-8E84E902E295}">
  <sheetPr>
    <pageSetUpPr fitToPage="1"/>
  </sheetPr>
  <dimension ref="A1:G22"/>
  <sheetViews>
    <sheetView view="pageBreakPreview" zoomScale="60" zoomScaleNormal="80" workbookViewId="0">
      <selection activeCell="Q36" sqref="Q36"/>
    </sheetView>
  </sheetViews>
  <sheetFormatPr defaultColWidth="9.140625" defaultRowHeight="15" x14ac:dyDescent="0.25"/>
  <cols>
    <col min="1" max="1" width="6" style="6" customWidth="1"/>
    <col min="2" max="2" width="67.7109375" style="6" customWidth="1"/>
    <col min="3" max="3" width="20.85546875" style="6" customWidth="1"/>
    <col min="4" max="4" width="56.85546875" style="38" bestFit="1" customWidth="1"/>
    <col min="5" max="5" width="22.5703125" style="6" bestFit="1" customWidth="1"/>
    <col min="6" max="6" width="8.140625" style="6" customWidth="1"/>
    <col min="7" max="7" width="4.5703125" style="6" bestFit="1" customWidth="1"/>
    <col min="8" max="16384" width="9.140625" style="6"/>
  </cols>
  <sheetData>
    <row r="1" spans="1:7" x14ac:dyDescent="0.25">
      <c r="B1" s="30" t="s">
        <v>1455</v>
      </c>
      <c r="F1" s="76"/>
    </row>
    <row r="2" spans="1:7" x14ac:dyDescent="0.25">
      <c r="B2" s="30" t="s">
        <v>43</v>
      </c>
      <c r="E2" s="76"/>
      <c r="F2" s="76" t="str">
        <f>CONCATENATE("Prior Year: ",'1-BaseTRR'!$G$3)</f>
        <v>Prior Year: 2025</v>
      </c>
    </row>
    <row r="3" spans="1:7" x14ac:dyDescent="0.25">
      <c r="B3" s="77" t="s">
        <v>367</v>
      </c>
      <c r="E3" s="76"/>
    </row>
    <row r="4" spans="1:7" x14ac:dyDescent="0.25">
      <c r="B4" s="30"/>
      <c r="G4" s="490"/>
    </row>
    <row r="5" spans="1:7" x14ac:dyDescent="0.25">
      <c r="B5" s="83" t="s">
        <v>1454</v>
      </c>
      <c r="C5" s="35"/>
      <c r="D5" s="75"/>
      <c r="E5" s="35"/>
      <c r="F5" s="35"/>
      <c r="G5" s="490"/>
    </row>
    <row r="6" spans="1:7" x14ac:dyDescent="0.25">
      <c r="A6" s="33" t="s">
        <v>106</v>
      </c>
      <c r="B6" s="33" t="s">
        <v>79</v>
      </c>
      <c r="C6" s="33" t="s">
        <v>509</v>
      </c>
      <c r="D6" s="33" t="s">
        <v>154</v>
      </c>
      <c r="E6" s="33" t="s">
        <v>153</v>
      </c>
      <c r="F6" s="33" t="str">
        <f>A6</f>
        <v>Line</v>
      </c>
    </row>
    <row r="7" spans="1:7" x14ac:dyDescent="0.25">
      <c r="A7" s="8">
        <v>100</v>
      </c>
      <c r="B7" s="6" t="s">
        <v>1453</v>
      </c>
      <c r="C7" s="178">
        <v>261362347.4216719</v>
      </c>
      <c r="D7" s="38" t="s">
        <v>1452</v>
      </c>
      <c r="F7" s="8">
        <f>A7</f>
        <v>100</v>
      </c>
    </row>
    <row r="8" spans="1:7" x14ac:dyDescent="0.25">
      <c r="A8" s="8">
        <f>A7+1</f>
        <v>101</v>
      </c>
      <c r="B8" s="6" t="s">
        <v>1451</v>
      </c>
      <c r="C8" s="24">
        <f>C9-C7</f>
        <v>239726639.5783281</v>
      </c>
      <c r="D8" s="38" t="str">
        <f>CONCATENATE("Line ",A9," - ","Line ",A7)</f>
        <v>Line 102 - Line 100</v>
      </c>
      <c r="F8" s="8">
        <f>A8</f>
        <v>101</v>
      </c>
    </row>
    <row r="9" spans="1:7" x14ac:dyDescent="0.25">
      <c r="A9" s="8">
        <f>A8+1</f>
        <v>102</v>
      </c>
      <c r="B9" s="6" t="s">
        <v>1445</v>
      </c>
      <c r="C9" s="178">
        <v>501088987</v>
      </c>
      <c r="D9" s="487" t="s">
        <v>1450</v>
      </c>
      <c r="F9" s="8">
        <f>A9</f>
        <v>102</v>
      </c>
    </row>
    <row r="10" spans="1:7" x14ac:dyDescent="0.25">
      <c r="C10" s="102"/>
      <c r="D10" s="487"/>
      <c r="E10" s="486"/>
    </row>
    <row r="11" spans="1:7" x14ac:dyDescent="0.25">
      <c r="B11" s="83" t="s">
        <v>1449</v>
      </c>
      <c r="C11" s="108"/>
      <c r="D11" s="489"/>
      <c r="E11" s="488"/>
    </row>
    <row r="12" spans="1:7" x14ac:dyDescent="0.25">
      <c r="A12" s="33" t="s">
        <v>106</v>
      </c>
      <c r="B12" s="33" t="s">
        <v>79</v>
      </c>
      <c r="C12" s="104" t="s">
        <v>509</v>
      </c>
      <c r="D12" s="33" t="s">
        <v>154</v>
      </c>
      <c r="E12" s="33" t="s">
        <v>153</v>
      </c>
      <c r="F12" s="33" t="str">
        <f>A12</f>
        <v>Line</v>
      </c>
    </row>
    <row r="13" spans="1:7" x14ac:dyDescent="0.25">
      <c r="A13" s="8">
        <f>A9+1</f>
        <v>103</v>
      </c>
      <c r="B13" s="6" t="s">
        <v>1448</v>
      </c>
      <c r="C13" s="178">
        <v>289669496.61000007</v>
      </c>
      <c r="D13" s="38" t="s">
        <v>1447</v>
      </c>
      <c r="F13" s="8">
        <f>A13</f>
        <v>103</v>
      </c>
    </row>
    <row r="14" spans="1:7" x14ac:dyDescent="0.25">
      <c r="A14" s="8">
        <f>A13+1</f>
        <v>104</v>
      </c>
      <c r="B14" s="6" t="s">
        <v>1446</v>
      </c>
      <c r="C14" s="24">
        <f>C15-C13</f>
        <v>336940411.38999993</v>
      </c>
      <c r="D14" s="38" t="str">
        <f>CONCATENATE("Line ",A15," - ","Line ",A13)</f>
        <v>Line 105 - Line 103</v>
      </c>
      <c r="F14" s="8">
        <f>A14</f>
        <v>104</v>
      </c>
    </row>
    <row r="15" spans="1:7" x14ac:dyDescent="0.25">
      <c r="A15" s="8">
        <f>A14+1</f>
        <v>105</v>
      </c>
      <c r="B15" s="6" t="s">
        <v>1445</v>
      </c>
      <c r="C15" s="178">
        <v>626609908</v>
      </c>
      <c r="D15" s="487" t="s">
        <v>1444</v>
      </c>
      <c r="F15" s="8">
        <f>A15</f>
        <v>105</v>
      </c>
    </row>
    <row r="16" spans="1:7" x14ac:dyDescent="0.25">
      <c r="A16" s="8"/>
      <c r="C16" s="24"/>
      <c r="D16" s="487"/>
      <c r="E16" s="486"/>
      <c r="F16" s="8"/>
    </row>
    <row r="17" spans="1:7" x14ac:dyDescent="0.25">
      <c r="A17" s="8">
        <f>A15+1</f>
        <v>106</v>
      </c>
      <c r="B17" s="6" t="s">
        <v>1443</v>
      </c>
      <c r="C17" s="178">
        <v>5015398.8748418232</v>
      </c>
      <c r="D17" s="38" t="s">
        <v>1442</v>
      </c>
      <c r="F17" s="8">
        <f>A17</f>
        <v>106</v>
      </c>
    </row>
    <row r="18" spans="1:7" x14ac:dyDescent="0.25">
      <c r="A18" s="8">
        <f>A17+1</f>
        <v>107</v>
      </c>
      <c r="B18" s="6" t="s">
        <v>1441</v>
      </c>
      <c r="C18" s="24">
        <f>C19-C17</f>
        <v>372219104.12515819</v>
      </c>
      <c r="D18" s="38" t="str">
        <f>CONCATENATE("Line ",A19," - ","Line ",A17)</f>
        <v>Line 108 - Line 106</v>
      </c>
      <c r="F18" s="8">
        <f>A18</f>
        <v>107</v>
      </c>
    </row>
    <row r="19" spans="1:7" x14ac:dyDescent="0.25">
      <c r="A19" s="8">
        <f>A18+1</f>
        <v>108</v>
      </c>
      <c r="B19" s="6" t="s">
        <v>1440</v>
      </c>
      <c r="C19" s="178">
        <v>377234503</v>
      </c>
      <c r="D19" s="38" t="s">
        <v>1439</v>
      </c>
      <c r="F19" s="8">
        <f>A19</f>
        <v>108</v>
      </c>
    </row>
    <row r="20" spans="1:7" x14ac:dyDescent="0.25">
      <c r="A20" s="8"/>
      <c r="C20" s="24"/>
      <c r="F20" s="8"/>
    </row>
    <row r="21" spans="1:7" x14ac:dyDescent="0.25">
      <c r="A21" s="8">
        <f>A19+1</f>
        <v>109</v>
      </c>
      <c r="B21" s="76" t="s">
        <v>1438</v>
      </c>
      <c r="C21" s="94">
        <f>AVERAGE(C7,C13)</f>
        <v>275515922.015836</v>
      </c>
      <c r="D21" s="38" t="str">
        <f>"Average of Lines "&amp;A7&amp;" and "&amp;A13&amp;""</f>
        <v>Average of Lines 100 and 103</v>
      </c>
      <c r="F21" s="8">
        <f>A21</f>
        <v>109</v>
      </c>
    </row>
    <row r="22" spans="1:7" x14ac:dyDescent="0.25">
      <c r="A22" s="8"/>
      <c r="C22" s="76"/>
      <c r="D22" s="485"/>
      <c r="E22" s="38"/>
      <c r="G22" s="8"/>
    </row>
  </sheetData>
  <protectedRanges>
    <protectedRange password="F1C4" sqref="D8 D14 D18" name="AAReport1_23_1_1_2_3"/>
  </protectedRanges>
  <printOptions horizontalCentered="1"/>
  <pageMargins left="1" right="1" top="1" bottom="1" header="0.5" footer="0.5"/>
  <pageSetup scale="61" fitToHeight="0" orientation="landscape" r:id="rId1"/>
  <headerFooter>
    <oddHeader>&amp;R&amp;F</oddHeader>
  </headerFooter>
  <customProperties>
    <customPr name="_pios_id" r:id="rId2"/>
  </customPropertie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031E9B-0E75-4B37-8314-DC09B82B89C1}">
  <sheetPr>
    <pageSetUpPr fitToPage="1"/>
  </sheetPr>
  <dimension ref="A1:G186"/>
  <sheetViews>
    <sheetView view="pageBreakPreview" topLeftCell="A145" zoomScale="85" zoomScaleNormal="80" zoomScaleSheetLayoutView="85" workbookViewId="0">
      <selection activeCell="Q36" sqref="Q36"/>
    </sheetView>
  </sheetViews>
  <sheetFormatPr defaultColWidth="9.140625" defaultRowHeight="15" x14ac:dyDescent="0.25"/>
  <cols>
    <col min="1" max="1" width="6.85546875" style="6" bestFit="1" customWidth="1"/>
    <col min="2" max="2" width="47.140625" style="6" customWidth="1"/>
    <col min="3" max="3" width="10.5703125" style="6" customWidth="1"/>
    <col min="4" max="4" width="19" style="6" customWidth="1"/>
    <col min="5" max="5" width="40.5703125" style="6" bestFit="1" customWidth="1"/>
    <col min="6" max="6" width="33.140625" style="6" customWidth="1"/>
    <col min="7" max="7" width="7" style="6" bestFit="1" customWidth="1"/>
    <col min="8" max="16384" width="9.140625" style="6"/>
  </cols>
  <sheetData>
    <row r="1" spans="1:7" x14ac:dyDescent="0.25">
      <c r="B1" s="30" t="s">
        <v>1529</v>
      </c>
      <c r="F1" s="76"/>
    </row>
    <row r="2" spans="1:7" x14ac:dyDescent="0.25">
      <c r="B2" s="30" t="s">
        <v>41</v>
      </c>
      <c r="F2" s="76" t="str">
        <f>CONCATENATE("Prior Year: ",'1-BaseTRR'!$G$3)</f>
        <v>Prior Year: 2025</v>
      </c>
    </row>
    <row r="3" spans="1:7" x14ac:dyDescent="0.25">
      <c r="B3" s="77" t="s">
        <v>367</v>
      </c>
    </row>
    <row r="4" spans="1:7" x14ac:dyDescent="0.25">
      <c r="B4" s="30"/>
      <c r="F4" s="76"/>
    </row>
    <row r="5" spans="1:7" x14ac:dyDescent="0.25">
      <c r="B5" s="30"/>
      <c r="D5" s="8" t="s">
        <v>155</v>
      </c>
      <c r="E5" s="8" t="s">
        <v>154</v>
      </c>
      <c r="F5" s="33" t="s">
        <v>153</v>
      </c>
    </row>
    <row r="6" spans="1:7" x14ac:dyDescent="0.25">
      <c r="A6" s="33" t="s">
        <v>106</v>
      </c>
      <c r="B6" s="83" t="s">
        <v>1528</v>
      </c>
      <c r="C6" s="35"/>
      <c r="D6" s="35"/>
      <c r="E6" s="35"/>
      <c r="F6" s="35"/>
      <c r="G6" s="33" t="str">
        <f>A6</f>
        <v>Line</v>
      </c>
    </row>
    <row r="7" spans="1:7" x14ac:dyDescent="0.25">
      <c r="A7" s="8">
        <v>100</v>
      </c>
      <c r="B7" s="38" t="s">
        <v>1527</v>
      </c>
      <c r="D7" s="90">
        <f>D33+D55+D77+D99+D121+D143+D165</f>
        <v>-118333322.74000001</v>
      </c>
      <c r="E7" s="32" t="s">
        <v>1526</v>
      </c>
      <c r="F7" s="89"/>
      <c r="G7" s="8">
        <f>A7</f>
        <v>100</v>
      </c>
    </row>
    <row r="8" spans="1:7" x14ac:dyDescent="0.25">
      <c r="A8" s="8">
        <f>A7+1</f>
        <v>101</v>
      </c>
      <c r="B8" s="38" t="s">
        <v>1525</v>
      </c>
      <c r="D8" s="90">
        <f>D29+D52+D74+D96+D118+D140+D162</f>
        <v>-105906878.30999999</v>
      </c>
      <c r="E8" s="32" t="s">
        <v>1524</v>
      </c>
      <c r="F8" s="89"/>
      <c r="G8" s="8">
        <f>A8</f>
        <v>101</v>
      </c>
    </row>
    <row r="9" spans="1:7" x14ac:dyDescent="0.25">
      <c r="B9" s="30"/>
    </row>
    <row r="10" spans="1:7" x14ac:dyDescent="0.25">
      <c r="B10" s="83" t="s">
        <v>1523</v>
      </c>
      <c r="C10" s="35"/>
      <c r="D10" s="35"/>
      <c r="E10" s="35"/>
      <c r="F10" s="35"/>
    </row>
    <row r="11" spans="1:7" x14ac:dyDescent="0.25">
      <c r="D11" s="33"/>
      <c r="E11" s="33"/>
      <c r="F11" s="23"/>
    </row>
    <row r="12" spans="1:7" ht="54" customHeight="1" x14ac:dyDescent="0.25">
      <c r="A12" s="33" t="s">
        <v>106</v>
      </c>
      <c r="B12" s="33" t="s">
        <v>483</v>
      </c>
      <c r="C12" s="33" t="s">
        <v>510</v>
      </c>
      <c r="D12" s="110" t="s">
        <v>1466</v>
      </c>
      <c r="E12" s="33" t="s">
        <v>154</v>
      </c>
      <c r="F12" s="33" t="s">
        <v>153</v>
      </c>
      <c r="G12" s="33" t="str">
        <f>A12</f>
        <v>Line</v>
      </c>
    </row>
    <row r="13" spans="1:7" ht="18" customHeight="1" x14ac:dyDescent="0.25">
      <c r="A13" s="8">
        <v>200</v>
      </c>
      <c r="B13" s="6" t="s">
        <v>467</v>
      </c>
      <c r="C13" s="23">
        <f>'1-BaseTRR'!G3-1</f>
        <v>2024</v>
      </c>
      <c r="D13" s="90">
        <v>-366418181.99000001</v>
      </c>
      <c r="E13" s="32"/>
      <c r="F13" s="38" t="s">
        <v>99</v>
      </c>
      <c r="G13" s="8">
        <f>A13</f>
        <v>200</v>
      </c>
    </row>
    <row r="14" spans="1:7" ht="18" customHeight="1" x14ac:dyDescent="0.25">
      <c r="A14" s="8">
        <f>A13+1</f>
        <v>201</v>
      </c>
      <c r="B14" s="6" t="s">
        <v>478</v>
      </c>
      <c r="C14" s="23">
        <f>'1-BaseTRR'!$G$3</f>
        <v>2025</v>
      </c>
      <c r="D14" s="90">
        <v>-409984915.25999999</v>
      </c>
      <c r="E14" s="32"/>
      <c r="F14" s="38" t="s">
        <v>99</v>
      </c>
      <c r="G14" s="8">
        <f>A14</f>
        <v>201</v>
      </c>
    </row>
    <row r="15" spans="1:7" ht="18" customHeight="1" x14ac:dyDescent="0.25">
      <c r="A15" s="8">
        <f>A14+1</f>
        <v>202</v>
      </c>
      <c r="B15" s="6" t="s">
        <v>477</v>
      </c>
      <c r="C15" s="23">
        <f>'1-BaseTRR'!$G$3</f>
        <v>2025</v>
      </c>
      <c r="D15" s="90">
        <v>-417824551.68000001</v>
      </c>
      <c r="E15" s="32"/>
      <c r="F15" s="38" t="s">
        <v>99</v>
      </c>
      <c r="G15" s="8">
        <f>A15</f>
        <v>202</v>
      </c>
    </row>
    <row r="16" spans="1:7" ht="18" customHeight="1" x14ac:dyDescent="0.25">
      <c r="A16" s="8">
        <f>A15+1</f>
        <v>203</v>
      </c>
      <c r="B16" s="6" t="s">
        <v>476</v>
      </c>
      <c r="C16" s="23">
        <f>'1-BaseTRR'!$G$3</f>
        <v>2025</v>
      </c>
      <c r="D16" s="90">
        <v>-429376178.86000001</v>
      </c>
      <c r="E16" s="32"/>
      <c r="F16" s="38" t="s">
        <v>99</v>
      </c>
      <c r="G16" s="8">
        <f>A16</f>
        <v>203</v>
      </c>
    </row>
    <row r="17" spans="1:7" ht="18" customHeight="1" x14ac:dyDescent="0.25">
      <c r="A17" s="8">
        <f>A16+1</f>
        <v>204</v>
      </c>
      <c r="B17" s="6" t="s">
        <v>475</v>
      </c>
      <c r="C17" s="23">
        <f>'1-BaseTRR'!$G$3</f>
        <v>2025</v>
      </c>
      <c r="D17" s="90">
        <v>-428057158.69</v>
      </c>
      <c r="E17" s="32"/>
      <c r="F17" s="38" t="s">
        <v>99</v>
      </c>
      <c r="G17" s="8">
        <f>A17</f>
        <v>204</v>
      </c>
    </row>
    <row r="18" spans="1:7" ht="18" customHeight="1" x14ac:dyDescent="0.25">
      <c r="A18" s="8">
        <f>A17+1</f>
        <v>205</v>
      </c>
      <c r="B18" s="6" t="s">
        <v>474</v>
      </c>
      <c r="C18" s="23">
        <f>'1-BaseTRR'!$G$3</f>
        <v>2025</v>
      </c>
      <c r="D18" s="90">
        <v>-428258901.31999999</v>
      </c>
      <c r="E18" s="32"/>
      <c r="F18" s="38" t="s">
        <v>99</v>
      </c>
      <c r="G18" s="8">
        <f>A18</f>
        <v>205</v>
      </c>
    </row>
    <row r="19" spans="1:7" ht="18" customHeight="1" x14ac:dyDescent="0.25">
      <c r="A19" s="8">
        <f>A18+1</f>
        <v>206</v>
      </c>
      <c r="B19" s="6" t="s">
        <v>763</v>
      </c>
      <c r="C19" s="23">
        <f>'1-BaseTRR'!$G$3</f>
        <v>2025</v>
      </c>
      <c r="D19" s="90">
        <v>-421711607.94</v>
      </c>
      <c r="E19" s="32"/>
      <c r="F19" s="38" t="s">
        <v>99</v>
      </c>
      <c r="G19" s="8">
        <f>A19</f>
        <v>206</v>
      </c>
    </row>
    <row r="20" spans="1:7" ht="18" customHeight="1" x14ac:dyDescent="0.25">
      <c r="A20" s="8">
        <f>A19+1</f>
        <v>207</v>
      </c>
      <c r="B20" s="6" t="s">
        <v>472</v>
      </c>
      <c r="C20" s="23">
        <f>'1-BaseTRR'!$G$3</f>
        <v>2025</v>
      </c>
      <c r="D20" s="90">
        <v>-415488063.97000003</v>
      </c>
      <c r="E20" s="32"/>
      <c r="F20" s="38" t="s">
        <v>99</v>
      </c>
      <c r="G20" s="8">
        <f>A20</f>
        <v>207</v>
      </c>
    </row>
    <row r="21" spans="1:7" ht="18" customHeight="1" x14ac:dyDescent="0.25">
      <c r="A21" s="8">
        <f>A20+1</f>
        <v>208</v>
      </c>
      <c r="B21" s="6" t="s">
        <v>471</v>
      </c>
      <c r="C21" s="23">
        <f>'1-BaseTRR'!$G$3</f>
        <v>2025</v>
      </c>
      <c r="D21" s="90">
        <v>-406062244.11000001</v>
      </c>
      <c r="E21" s="32"/>
      <c r="F21" s="38" t="s">
        <v>99</v>
      </c>
      <c r="G21" s="8">
        <f>A21</f>
        <v>208</v>
      </c>
    </row>
    <row r="22" spans="1:7" ht="18" customHeight="1" x14ac:dyDescent="0.25">
      <c r="A22" s="8">
        <f>A21+1</f>
        <v>209</v>
      </c>
      <c r="B22" s="6" t="s">
        <v>470</v>
      </c>
      <c r="C22" s="23">
        <f>'1-BaseTRR'!$G$3</f>
        <v>2025</v>
      </c>
      <c r="D22" s="90">
        <v>-409047836.11000001</v>
      </c>
      <c r="E22" s="32"/>
      <c r="F22" s="38" t="s">
        <v>99</v>
      </c>
      <c r="G22" s="8">
        <f>A22</f>
        <v>209</v>
      </c>
    </row>
    <row r="23" spans="1:7" ht="18" customHeight="1" x14ac:dyDescent="0.25">
      <c r="A23" s="8">
        <f>A22+1</f>
        <v>210</v>
      </c>
      <c r="B23" s="6" t="s">
        <v>469</v>
      </c>
      <c r="C23" s="23">
        <f>'1-BaseTRR'!$G$3</f>
        <v>2025</v>
      </c>
      <c r="D23" s="90">
        <v>-406182709.74000001</v>
      </c>
      <c r="E23" s="32"/>
      <c r="F23" s="38" t="s">
        <v>99</v>
      </c>
      <c r="G23" s="8">
        <f>A23</f>
        <v>210</v>
      </c>
    </row>
    <row r="24" spans="1:7" ht="18" customHeight="1" x14ac:dyDescent="0.25">
      <c r="A24" s="8">
        <f>A23+1</f>
        <v>211</v>
      </c>
      <c r="B24" s="6" t="s">
        <v>468</v>
      </c>
      <c r="C24" s="23">
        <f>'1-BaseTRR'!$G$3</f>
        <v>2025</v>
      </c>
      <c r="D24" s="90">
        <v>-407772399.38999999</v>
      </c>
      <c r="E24" s="32"/>
      <c r="F24" s="38" t="s">
        <v>99</v>
      </c>
      <c r="G24" s="8">
        <f>A24</f>
        <v>211</v>
      </c>
    </row>
    <row r="25" spans="1:7" ht="18" customHeight="1" x14ac:dyDescent="0.25">
      <c r="A25" s="8">
        <f>A24+1</f>
        <v>212</v>
      </c>
      <c r="B25" s="6" t="s">
        <v>467</v>
      </c>
      <c r="C25" s="23">
        <f>'1-BaseTRR'!$G$3</f>
        <v>2025</v>
      </c>
      <c r="D25" s="90">
        <v>-393076186.75999999</v>
      </c>
      <c r="E25" s="32"/>
      <c r="F25" s="38" t="s">
        <v>99</v>
      </c>
      <c r="G25" s="8">
        <f>A25</f>
        <v>212</v>
      </c>
    </row>
    <row r="26" spans="1:7" ht="18" customHeight="1" x14ac:dyDescent="0.25">
      <c r="A26" s="8">
        <f>A25+1</f>
        <v>213</v>
      </c>
      <c r="B26" s="6" t="s">
        <v>1522</v>
      </c>
      <c r="D26" s="318">
        <v>0</v>
      </c>
      <c r="E26" s="31"/>
      <c r="F26" s="38" t="s">
        <v>183</v>
      </c>
      <c r="G26" s="8">
        <f>A26</f>
        <v>213</v>
      </c>
    </row>
    <row r="27" spans="1:7" ht="18" customHeight="1" x14ac:dyDescent="0.25">
      <c r="A27" s="8">
        <f>A26+1</f>
        <v>214</v>
      </c>
      <c r="B27" s="6" t="s">
        <v>1521</v>
      </c>
      <c r="D27" s="32">
        <f>D26+D25</f>
        <v>-393076186.75999999</v>
      </c>
      <c r="E27" s="32" t="s">
        <v>1520</v>
      </c>
      <c r="G27" s="8">
        <f>A27</f>
        <v>214</v>
      </c>
    </row>
    <row r="28" spans="1:7" ht="18" customHeight="1" x14ac:dyDescent="0.25">
      <c r="A28" s="8">
        <f>A27+1</f>
        <v>215</v>
      </c>
      <c r="B28" s="6" t="s">
        <v>221</v>
      </c>
      <c r="D28" s="66">
        <f>'24-Allocators'!$C$25</f>
        <v>9.874046921587705E-2</v>
      </c>
      <c r="E28" s="38" t="str">
        <f>CONCATENATE("24-Allocators, Line ",'24-Allocators'!A25)</f>
        <v>24-Allocators, Line 113</v>
      </c>
      <c r="G28" s="8">
        <f>A28</f>
        <v>215</v>
      </c>
    </row>
    <row r="29" spans="1:7" ht="18" customHeight="1" x14ac:dyDescent="0.25">
      <c r="A29" s="8">
        <f>A28+1</f>
        <v>216</v>
      </c>
      <c r="B29" s="30" t="s">
        <v>1519</v>
      </c>
      <c r="C29" s="30"/>
      <c r="D29" s="29">
        <f>ROUND(D27*D28,2)</f>
        <v>-38812527.119999997</v>
      </c>
      <c r="E29" s="38" t="str">
        <f>"Line "&amp;A27&amp;" * Line "&amp;A28&amp;""</f>
        <v>Line 214 * Line 215</v>
      </c>
      <c r="G29" s="8">
        <f>A29</f>
        <v>216</v>
      </c>
    </row>
    <row r="30" spans="1:7" ht="18" customHeight="1" x14ac:dyDescent="0.25">
      <c r="A30" s="8"/>
      <c r="B30" s="30"/>
      <c r="C30" s="30"/>
      <c r="D30" s="29"/>
      <c r="E30" s="29"/>
      <c r="F30" s="38"/>
      <c r="G30" s="8"/>
    </row>
    <row r="31" spans="1:7" ht="18" customHeight="1" x14ac:dyDescent="0.25">
      <c r="A31" s="8">
        <f>A29+1</f>
        <v>217</v>
      </c>
      <c r="B31" s="6" t="s">
        <v>1518</v>
      </c>
      <c r="D31" s="32">
        <f>AVERAGE(D13:D25)</f>
        <v>-410712379.67846161</v>
      </c>
      <c r="E31" s="32" t="s">
        <v>1517</v>
      </c>
      <c r="G31" s="8">
        <f>A31</f>
        <v>217</v>
      </c>
    </row>
    <row r="32" spans="1:7" ht="18" customHeight="1" x14ac:dyDescent="0.25">
      <c r="A32" s="8">
        <f>A31+1</f>
        <v>218</v>
      </c>
      <c r="B32" s="6" t="s">
        <v>1516</v>
      </c>
      <c r="D32" s="31">
        <f>D31+D26</f>
        <v>-410712379.67846161</v>
      </c>
      <c r="E32" s="32" t="s">
        <v>1515</v>
      </c>
      <c r="G32" s="8">
        <f>A32</f>
        <v>218</v>
      </c>
    </row>
    <row r="33" spans="1:7" ht="18" customHeight="1" x14ac:dyDescent="0.25">
      <c r="A33" s="8">
        <f>A32+1</f>
        <v>219</v>
      </c>
      <c r="B33" s="30" t="s">
        <v>1514</v>
      </c>
      <c r="D33" s="94">
        <f>ROUND(D32*D28,2)</f>
        <v>-40553933.079999998</v>
      </c>
      <c r="E33" s="38" t="str">
        <f>"Line "&amp;A28&amp;" * Line "&amp;A32&amp;""</f>
        <v>Line 215 * Line 218</v>
      </c>
      <c r="G33" s="8">
        <f>A33</f>
        <v>219</v>
      </c>
    </row>
    <row r="34" spans="1:7" ht="18" customHeight="1" x14ac:dyDescent="0.25">
      <c r="A34" s="8"/>
      <c r="D34" s="76"/>
      <c r="E34" s="94"/>
      <c r="F34" s="23"/>
      <c r="G34" s="8"/>
    </row>
    <row r="35" spans="1:7" ht="18" customHeight="1" x14ac:dyDescent="0.25">
      <c r="B35" s="83" t="s">
        <v>1513</v>
      </c>
      <c r="C35" s="35"/>
      <c r="D35" s="35"/>
      <c r="E35" s="35"/>
      <c r="F35" s="35"/>
    </row>
    <row r="36" spans="1:7" ht="18" customHeight="1" x14ac:dyDescent="0.25">
      <c r="B36" s="30"/>
      <c r="D36" s="8"/>
      <c r="E36" s="8"/>
      <c r="F36" s="23"/>
    </row>
    <row r="37" spans="1:7" ht="51.75" customHeight="1" x14ac:dyDescent="0.25">
      <c r="A37" s="33" t="s">
        <v>106</v>
      </c>
      <c r="B37" s="33" t="s">
        <v>483</v>
      </c>
      <c r="C37" s="33" t="s">
        <v>510</v>
      </c>
      <c r="D37" s="110" t="s">
        <v>1466</v>
      </c>
      <c r="E37" s="33" t="s">
        <v>154</v>
      </c>
      <c r="F37" s="33" t="s">
        <v>153</v>
      </c>
      <c r="G37" s="8"/>
    </row>
    <row r="38" spans="1:7" ht="18" customHeight="1" x14ac:dyDescent="0.25">
      <c r="A38" s="8">
        <v>300</v>
      </c>
      <c r="B38" s="6" t="s">
        <v>467</v>
      </c>
      <c r="C38" s="23">
        <f>'1-BaseTRR'!G3-1</f>
        <v>2024</v>
      </c>
      <c r="D38" s="90">
        <v>-627888547.76095641</v>
      </c>
      <c r="E38" s="38" t="s">
        <v>1512</v>
      </c>
      <c r="G38" s="8">
        <f>A38</f>
        <v>300</v>
      </c>
    </row>
    <row r="39" spans="1:7" ht="18" customHeight="1" x14ac:dyDescent="0.25">
      <c r="A39" s="8">
        <f>A38+1</f>
        <v>301</v>
      </c>
      <c r="B39" s="6" t="s">
        <v>478</v>
      </c>
      <c r="C39" s="23">
        <f>'1-BaseTRR'!$G$3</f>
        <v>2025</v>
      </c>
      <c r="D39" s="90">
        <v>-584259642.88902843</v>
      </c>
      <c r="E39" s="38" t="s">
        <v>1511</v>
      </c>
      <c r="G39" s="8">
        <f>A39</f>
        <v>301</v>
      </c>
    </row>
    <row r="40" spans="1:7" ht="18" customHeight="1" x14ac:dyDescent="0.25">
      <c r="A40" s="8">
        <f>A39+1</f>
        <v>302</v>
      </c>
      <c r="B40" s="6" t="s">
        <v>477</v>
      </c>
      <c r="C40" s="23">
        <f>'1-BaseTRR'!$G$3</f>
        <v>2025</v>
      </c>
      <c r="D40" s="90">
        <v>-526191046.56126869</v>
      </c>
      <c r="E40" s="38" t="s">
        <v>1510</v>
      </c>
      <c r="G40" s="8">
        <f>A40</f>
        <v>302</v>
      </c>
    </row>
    <row r="41" spans="1:7" ht="18" customHeight="1" x14ac:dyDescent="0.25">
      <c r="A41" s="8">
        <f>A40+1</f>
        <v>303</v>
      </c>
      <c r="B41" s="6" t="s">
        <v>476</v>
      </c>
      <c r="C41" s="23">
        <f>'1-BaseTRR'!$G$3</f>
        <v>2025</v>
      </c>
      <c r="D41" s="90">
        <v>-507494822.70113498</v>
      </c>
      <c r="E41" s="38" t="s">
        <v>1509</v>
      </c>
      <c r="G41" s="8">
        <f>A41</f>
        <v>303</v>
      </c>
    </row>
    <row r="42" spans="1:7" ht="18" customHeight="1" x14ac:dyDescent="0.25">
      <c r="A42" s="8">
        <f>A41+1</f>
        <v>304</v>
      </c>
      <c r="B42" s="6" t="s">
        <v>475</v>
      </c>
      <c r="C42" s="23">
        <f>'1-BaseTRR'!$G$3</f>
        <v>2025</v>
      </c>
      <c r="D42" s="90">
        <v>-470704425.97787672</v>
      </c>
      <c r="E42" s="38" t="s">
        <v>1508</v>
      </c>
      <c r="G42" s="8">
        <f>A42</f>
        <v>304</v>
      </c>
    </row>
    <row r="43" spans="1:7" ht="18" customHeight="1" x14ac:dyDescent="0.25">
      <c r="A43" s="8">
        <f>A42+1</f>
        <v>305</v>
      </c>
      <c r="B43" s="6" t="s">
        <v>474</v>
      </c>
      <c r="C43" s="23">
        <f>'1-BaseTRR'!$G$3</f>
        <v>2025</v>
      </c>
      <c r="D43" s="90">
        <v>-390731739.37329441</v>
      </c>
      <c r="E43" s="38" t="s">
        <v>1507</v>
      </c>
      <c r="G43" s="8">
        <f>A43</f>
        <v>305</v>
      </c>
    </row>
    <row r="44" spans="1:7" ht="18" customHeight="1" x14ac:dyDescent="0.25">
      <c r="A44" s="8">
        <f>A43+1</f>
        <v>306</v>
      </c>
      <c r="B44" s="6" t="s">
        <v>763</v>
      </c>
      <c r="C44" s="23">
        <f>'1-BaseTRR'!$G$3</f>
        <v>2025</v>
      </c>
      <c r="D44" s="90">
        <v>-448807633.48294824</v>
      </c>
      <c r="E44" s="38" t="s">
        <v>1506</v>
      </c>
      <c r="G44" s="8">
        <f>A44</f>
        <v>306</v>
      </c>
    </row>
    <row r="45" spans="1:7" ht="18" customHeight="1" x14ac:dyDescent="0.25">
      <c r="A45" s="8">
        <f>A44+1</f>
        <v>307</v>
      </c>
      <c r="B45" s="6" t="s">
        <v>472</v>
      </c>
      <c r="C45" s="23">
        <f>'1-BaseTRR'!$G$3</f>
        <v>2025</v>
      </c>
      <c r="D45" s="90">
        <v>-423185365.3743071</v>
      </c>
      <c r="E45" s="38" t="s">
        <v>1505</v>
      </c>
      <c r="G45" s="8">
        <f>A45</f>
        <v>307</v>
      </c>
    </row>
    <row r="46" spans="1:7" ht="18" customHeight="1" x14ac:dyDescent="0.25">
      <c r="A46" s="8">
        <f>A45+1</f>
        <v>308</v>
      </c>
      <c r="B46" s="6" t="s">
        <v>471</v>
      </c>
      <c r="C46" s="23">
        <f>'1-BaseTRR'!$G$3</f>
        <v>2025</v>
      </c>
      <c r="D46" s="90">
        <v>-352515020.22666895</v>
      </c>
      <c r="E46" s="38" t="s">
        <v>1504</v>
      </c>
      <c r="G46" s="8">
        <f>A46</f>
        <v>308</v>
      </c>
    </row>
    <row r="47" spans="1:7" ht="18" customHeight="1" x14ac:dyDescent="0.25">
      <c r="A47" s="8">
        <f>A46+1</f>
        <v>309</v>
      </c>
      <c r="B47" s="6" t="s">
        <v>470</v>
      </c>
      <c r="C47" s="23">
        <f>'1-BaseTRR'!$G$3</f>
        <v>2025</v>
      </c>
      <c r="D47" s="90">
        <v>-269403420.4382351</v>
      </c>
      <c r="E47" s="38" t="s">
        <v>1503</v>
      </c>
      <c r="G47" s="8">
        <f>A47</f>
        <v>309</v>
      </c>
    </row>
    <row r="48" spans="1:7" ht="18" customHeight="1" x14ac:dyDescent="0.25">
      <c r="A48" s="8">
        <f>A47+1</f>
        <v>310</v>
      </c>
      <c r="B48" s="6" t="s">
        <v>469</v>
      </c>
      <c r="C48" s="23">
        <f>'1-BaseTRR'!$G$3</f>
        <v>2025</v>
      </c>
      <c r="D48" s="90">
        <v>-239948333.74390551</v>
      </c>
      <c r="E48" s="38" t="s">
        <v>1502</v>
      </c>
      <c r="G48" s="8">
        <f>A48</f>
        <v>310</v>
      </c>
    </row>
    <row r="49" spans="1:7" ht="18" customHeight="1" x14ac:dyDescent="0.25">
      <c r="A49" s="8">
        <f>A48+1</f>
        <v>311</v>
      </c>
      <c r="B49" s="6" t="s">
        <v>468</v>
      </c>
      <c r="C49" s="23">
        <f>'1-BaseTRR'!$G$3</f>
        <v>2025</v>
      </c>
      <c r="D49" s="90">
        <v>-233531695.40512076</v>
      </c>
      <c r="E49" s="38" t="s">
        <v>1501</v>
      </c>
      <c r="G49" s="8">
        <f>A49</f>
        <v>311</v>
      </c>
    </row>
    <row r="50" spans="1:7" ht="18" customHeight="1" x14ac:dyDescent="0.25">
      <c r="A50" s="8">
        <f>A49+1</f>
        <v>312</v>
      </c>
      <c r="B50" s="6" t="s">
        <v>467</v>
      </c>
      <c r="C50" s="23">
        <f>'1-BaseTRR'!$G$3</f>
        <v>2025</v>
      </c>
      <c r="D50" s="90">
        <v>-280651023.88172954</v>
      </c>
      <c r="E50" s="38" t="s">
        <v>1500</v>
      </c>
      <c r="G50" s="8">
        <f>A50</f>
        <v>312</v>
      </c>
    </row>
    <row r="51" spans="1:7" ht="18" customHeight="1" x14ac:dyDescent="0.25">
      <c r="A51" s="8">
        <f>A50+1</f>
        <v>313</v>
      </c>
      <c r="B51" s="6" t="s">
        <v>1247</v>
      </c>
      <c r="D51" s="495">
        <f>'24-Allocators'!$C$57</f>
        <v>0.12760861086462347</v>
      </c>
      <c r="E51" s="38" t="str">
        <f>CONCATENATE("24-Allocators, Line ",'24-Allocators'!A57)</f>
        <v>24-Allocators, Line 135</v>
      </c>
      <c r="G51" s="8">
        <f>A51</f>
        <v>313</v>
      </c>
    </row>
    <row r="52" spans="1:7" ht="18" customHeight="1" x14ac:dyDescent="0.25">
      <c r="A52" s="8">
        <f>A51+1</f>
        <v>314</v>
      </c>
      <c r="B52" s="30" t="s">
        <v>1499</v>
      </c>
      <c r="D52" s="492">
        <f>ROUND(D51*D50,2)</f>
        <v>-35813487.299999997</v>
      </c>
      <c r="E52" s="38" t="str">
        <f>"Line "&amp;A50&amp;" * Line "&amp;A51&amp;""</f>
        <v>Line 312 * Line 313</v>
      </c>
      <c r="G52" s="8">
        <f>A52</f>
        <v>314</v>
      </c>
    </row>
    <row r="53" spans="1:7" ht="18" customHeight="1" x14ac:dyDescent="0.25">
      <c r="A53" s="8"/>
      <c r="D53" s="76"/>
      <c r="E53" s="29"/>
      <c r="F53" s="38"/>
      <c r="G53" s="8"/>
    </row>
    <row r="54" spans="1:7" ht="18" customHeight="1" x14ac:dyDescent="0.25">
      <c r="A54" s="8">
        <f>+A52+1</f>
        <v>315</v>
      </c>
      <c r="B54" s="6" t="s">
        <v>1498</v>
      </c>
      <c r="D54" s="269">
        <f>AVERAGE(D38:D50)</f>
        <v>-411947132.13972884</v>
      </c>
      <c r="E54" s="38" t="str">
        <f>CONCATENATE("Average of Lines ",A38," - ",A50)</f>
        <v>Average of Lines 300 - 312</v>
      </c>
      <c r="G54" s="8">
        <f>A54</f>
        <v>315</v>
      </c>
    </row>
    <row r="55" spans="1:7" ht="18" customHeight="1" x14ac:dyDescent="0.25">
      <c r="A55" s="8">
        <f>A54+1</f>
        <v>316</v>
      </c>
      <c r="B55" s="30" t="s">
        <v>1497</v>
      </c>
      <c r="D55" s="492">
        <f>ROUND(D54*D51,2)</f>
        <v>-52568001.280000001</v>
      </c>
      <c r="E55" s="32" t="s">
        <v>1496</v>
      </c>
      <c r="G55" s="8">
        <f>A55</f>
        <v>316</v>
      </c>
    </row>
    <row r="56" spans="1:7" ht="18" customHeight="1" x14ac:dyDescent="0.25">
      <c r="A56" s="8"/>
      <c r="D56" s="76"/>
      <c r="E56" s="29"/>
      <c r="F56" s="38"/>
      <c r="G56" s="8"/>
    </row>
    <row r="57" spans="1:7" ht="18" customHeight="1" x14ac:dyDescent="0.25">
      <c r="B57" s="83" t="s">
        <v>1495</v>
      </c>
      <c r="C57" s="35"/>
      <c r="D57" s="35"/>
      <c r="E57" s="35"/>
      <c r="F57" s="35"/>
    </row>
    <row r="58" spans="1:7" ht="18" customHeight="1" x14ac:dyDescent="0.25">
      <c r="B58" s="30"/>
      <c r="D58" s="8"/>
      <c r="E58" s="8"/>
      <c r="F58" s="23"/>
    </row>
    <row r="59" spans="1:7" ht="37.5" customHeight="1" x14ac:dyDescent="0.25">
      <c r="A59" s="33" t="s">
        <v>106</v>
      </c>
      <c r="B59" s="33" t="s">
        <v>483</v>
      </c>
      <c r="C59" s="33" t="s">
        <v>510</v>
      </c>
      <c r="D59" s="110" t="s">
        <v>1466</v>
      </c>
      <c r="E59" s="33" t="s">
        <v>154</v>
      </c>
      <c r="F59" s="33" t="s">
        <v>153</v>
      </c>
    </row>
    <row r="60" spans="1:7" ht="18" customHeight="1" x14ac:dyDescent="0.25">
      <c r="A60" s="8">
        <v>400</v>
      </c>
      <c r="B60" s="6" t="s">
        <v>467</v>
      </c>
      <c r="C60" s="23">
        <f>'1-BaseTRR'!G3-1</f>
        <v>2024</v>
      </c>
      <c r="D60" s="90">
        <v>-814218.49864600005</v>
      </c>
      <c r="E60" s="38" t="s">
        <v>1494</v>
      </c>
      <c r="G60" s="8">
        <f>A60</f>
        <v>400</v>
      </c>
    </row>
    <row r="61" spans="1:7" ht="18" customHeight="1" x14ac:dyDescent="0.25">
      <c r="A61" s="8">
        <f>A60+1</f>
        <v>401</v>
      </c>
      <c r="B61" s="6" t="s">
        <v>478</v>
      </c>
      <c r="C61" s="23">
        <f>'1-BaseTRR'!$G$3</f>
        <v>2025</v>
      </c>
      <c r="D61" s="90">
        <v>-417713.05208360002</v>
      </c>
      <c r="E61" s="38" t="s">
        <v>1493</v>
      </c>
      <c r="G61" s="8">
        <f>A61</f>
        <v>401</v>
      </c>
    </row>
    <row r="62" spans="1:7" ht="18" customHeight="1" x14ac:dyDescent="0.25">
      <c r="A62" s="8">
        <f>A61+1</f>
        <v>402</v>
      </c>
      <c r="B62" s="6" t="s">
        <v>477</v>
      </c>
      <c r="C62" s="23">
        <f>'1-BaseTRR'!$G$3</f>
        <v>2025</v>
      </c>
      <c r="D62" s="90">
        <v>217105.03244039998</v>
      </c>
      <c r="E62" s="38" t="s">
        <v>1492</v>
      </c>
      <c r="G62" s="8">
        <f>A62</f>
        <v>402</v>
      </c>
    </row>
    <row r="63" spans="1:7" ht="18" customHeight="1" x14ac:dyDescent="0.25">
      <c r="A63" s="8">
        <f>A62+1</f>
        <v>403</v>
      </c>
      <c r="B63" s="6" t="s">
        <v>476</v>
      </c>
      <c r="C63" s="23">
        <f>'1-BaseTRR'!$G$3</f>
        <v>2025</v>
      </c>
      <c r="D63" s="90">
        <v>-1192415.3742724801</v>
      </c>
      <c r="E63" s="38" t="s">
        <v>1491</v>
      </c>
      <c r="G63" s="8">
        <f>A63</f>
        <v>403</v>
      </c>
    </row>
    <row r="64" spans="1:7" ht="18" customHeight="1" x14ac:dyDescent="0.25">
      <c r="A64" s="8">
        <f>A63+1</f>
        <v>404</v>
      </c>
      <c r="B64" s="6" t="s">
        <v>475</v>
      </c>
      <c r="C64" s="23">
        <f>'1-BaseTRR'!$G$3</f>
        <v>2025</v>
      </c>
      <c r="D64" s="90">
        <v>-512148.45987247996</v>
      </c>
      <c r="E64" s="38" t="s">
        <v>1490</v>
      </c>
      <c r="G64" s="8">
        <f>A64</f>
        <v>404</v>
      </c>
    </row>
    <row r="65" spans="1:7" ht="18" customHeight="1" x14ac:dyDescent="0.25">
      <c r="A65" s="8">
        <f>A64+1</f>
        <v>405</v>
      </c>
      <c r="B65" s="6" t="s">
        <v>474</v>
      </c>
      <c r="C65" s="23">
        <f>'1-BaseTRR'!$G$3</f>
        <v>2025</v>
      </c>
      <c r="D65" s="90">
        <v>-306403.36638448003</v>
      </c>
      <c r="E65" s="38" t="s">
        <v>1489</v>
      </c>
      <c r="G65" s="8">
        <f>A65</f>
        <v>405</v>
      </c>
    </row>
    <row r="66" spans="1:7" ht="18" customHeight="1" x14ac:dyDescent="0.25">
      <c r="A66" s="8">
        <f>A65+1</f>
        <v>406</v>
      </c>
      <c r="B66" s="6" t="s">
        <v>763</v>
      </c>
      <c r="C66" s="23">
        <f>'1-BaseTRR'!$G$3</f>
        <v>2025</v>
      </c>
      <c r="D66" s="90">
        <v>-1075102.7615513601</v>
      </c>
      <c r="E66" s="38" t="s">
        <v>1488</v>
      </c>
      <c r="G66" s="8">
        <f>A66</f>
        <v>406</v>
      </c>
    </row>
    <row r="67" spans="1:7" ht="18" customHeight="1" x14ac:dyDescent="0.25">
      <c r="A67" s="8">
        <f>A66+1</f>
        <v>407</v>
      </c>
      <c r="B67" s="6" t="s">
        <v>472</v>
      </c>
      <c r="C67" s="23">
        <f>'1-BaseTRR'!$G$3</f>
        <v>2025</v>
      </c>
      <c r="D67" s="90">
        <v>-250750.47517936002</v>
      </c>
      <c r="E67" s="38" t="s">
        <v>1487</v>
      </c>
      <c r="G67" s="8">
        <f>A67</f>
        <v>407</v>
      </c>
    </row>
    <row r="68" spans="1:7" ht="18" customHeight="1" x14ac:dyDescent="0.25">
      <c r="A68" s="8">
        <f>A67+1</f>
        <v>408</v>
      </c>
      <c r="B68" s="6" t="s">
        <v>471</v>
      </c>
      <c r="C68" s="23">
        <f>'1-BaseTRR'!$G$3</f>
        <v>2025</v>
      </c>
      <c r="D68" s="90">
        <v>452383.80671264004</v>
      </c>
      <c r="E68" s="38" t="s">
        <v>1486</v>
      </c>
      <c r="G68" s="8">
        <f>A68</f>
        <v>408</v>
      </c>
    </row>
    <row r="69" spans="1:7" ht="18" customHeight="1" x14ac:dyDescent="0.25">
      <c r="A69" s="8">
        <f>A68+1</f>
        <v>409</v>
      </c>
      <c r="B69" s="6" t="s">
        <v>470</v>
      </c>
      <c r="C69" s="23">
        <f>'1-BaseTRR'!$G$3</f>
        <v>2025</v>
      </c>
      <c r="D69" s="90">
        <v>-276160.95780456002</v>
      </c>
      <c r="E69" s="38" t="s">
        <v>1485</v>
      </c>
      <c r="G69" s="8">
        <f>A69</f>
        <v>409</v>
      </c>
    </row>
    <row r="70" spans="1:7" ht="18" customHeight="1" x14ac:dyDescent="0.25">
      <c r="A70" s="8">
        <f>A69+1</f>
        <v>410</v>
      </c>
      <c r="B70" s="6" t="s">
        <v>469</v>
      </c>
      <c r="C70" s="23">
        <f>'1-BaseTRR'!$G$3</f>
        <v>2025</v>
      </c>
      <c r="D70" s="90">
        <v>299305.53082344</v>
      </c>
      <c r="E70" s="38" t="s">
        <v>1484</v>
      </c>
      <c r="G70" s="8">
        <f>A70</f>
        <v>410</v>
      </c>
    </row>
    <row r="71" spans="1:7" ht="18" customHeight="1" x14ac:dyDescent="0.25">
      <c r="A71" s="8">
        <f>A70+1</f>
        <v>411</v>
      </c>
      <c r="B71" s="6" t="s">
        <v>468</v>
      </c>
      <c r="C71" s="23">
        <f>'1-BaseTRR'!$G$3</f>
        <v>2025</v>
      </c>
      <c r="D71" s="90">
        <v>490695.59529943997</v>
      </c>
      <c r="E71" s="38" t="s">
        <v>1483</v>
      </c>
      <c r="G71" s="8">
        <f>A71</f>
        <v>411</v>
      </c>
    </row>
    <row r="72" spans="1:7" ht="18" customHeight="1" x14ac:dyDescent="0.25">
      <c r="A72" s="8">
        <f>A71+1</f>
        <v>412</v>
      </c>
      <c r="B72" s="6" t="s">
        <v>467</v>
      </c>
      <c r="C72" s="23">
        <f>'1-BaseTRR'!$G$3</f>
        <v>2025</v>
      </c>
      <c r="D72" s="90">
        <v>-104184.71435856001</v>
      </c>
      <c r="E72" s="38" t="s">
        <v>1482</v>
      </c>
      <c r="G72" s="8">
        <f>A72</f>
        <v>412</v>
      </c>
    </row>
    <row r="73" spans="1:7" ht="18" customHeight="1" x14ac:dyDescent="0.25">
      <c r="A73" s="8">
        <f>A72+1</f>
        <v>413</v>
      </c>
      <c r="B73" s="6" t="s">
        <v>221</v>
      </c>
      <c r="D73" s="495">
        <f>'24-Allocators'!$C$25</f>
        <v>9.874046921587705E-2</v>
      </c>
      <c r="E73" s="38" t="str">
        <f>CONCATENATE("24-Allocators, Line ",'24-Allocators'!A25)</f>
        <v>24-Allocators, Line 113</v>
      </c>
      <c r="G73" s="8">
        <f>A73</f>
        <v>413</v>
      </c>
    </row>
    <row r="74" spans="1:7" ht="18" customHeight="1" x14ac:dyDescent="0.25">
      <c r="A74" s="8">
        <f>A73+1</f>
        <v>414</v>
      </c>
      <c r="B74" s="30" t="s">
        <v>1481</v>
      </c>
      <c r="D74" s="492">
        <f>ROUND(D72*D73,2)</f>
        <v>-10287.25</v>
      </c>
      <c r="E74" s="38" t="str">
        <f>"Line "&amp;A72&amp;" * Line "&amp;A73&amp;""</f>
        <v>Line 412 * Line 413</v>
      </c>
      <c r="G74" s="8">
        <f>A74</f>
        <v>414</v>
      </c>
    </row>
    <row r="75" spans="1:7" ht="18" customHeight="1" x14ac:dyDescent="0.25">
      <c r="A75" s="8"/>
      <c r="D75" s="76"/>
      <c r="E75" s="29"/>
      <c r="F75" s="38"/>
      <c r="G75" s="8"/>
    </row>
    <row r="76" spans="1:7" x14ac:dyDescent="0.25">
      <c r="A76" s="8">
        <f>+A74+1</f>
        <v>415</v>
      </c>
      <c r="B76" s="6" t="s">
        <v>1480</v>
      </c>
      <c r="D76" s="269">
        <f>AVERAGE(D60:D72)</f>
        <v>-268431.36114438158</v>
      </c>
      <c r="E76" s="38" t="str">
        <f>CONCATENATE("Average of Lines ",A60," - ",A72)</f>
        <v>Average of Lines 400 - 412</v>
      </c>
      <c r="G76" s="8">
        <f>A76</f>
        <v>415</v>
      </c>
    </row>
    <row r="77" spans="1:7" x14ac:dyDescent="0.25">
      <c r="A77" s="8">
        <f>A76+1</f>
        <v>416</v>
      </c>
      <c r="B77" s="30" t="s">
        <v>1479</v>
      </c>
      <c r="D77" s="492">
        <f>ROUND(D76*D73,2)</f>
        <v>-26505.040000000001</v>
      </c>
      <c r="E77" s="32" t="s">
        <v>1478</v>
      </c>
      <c r="G77" s="8">
        <f>A77</f>
        <v>416</v>
      </c>
    </row>
    <row r="78" spans="1:7" x14ac:dyDescent="0.25">
      <c r="A78" s="8"/>
      <c r="D78" s="76"/>
      <c r="E78" s="29"/>
      <c r="F78" s="38"/>
      <c r="G78" s="8"/>
    </row>
    <row r="79" spans="1:7" x14ac:dyDescent="0.25">
      <c r="A79" s="8"/>
      <c r="B79" s="77" t="s">
        <v>1477</v>
      </c>
      <c r="C79" s="89"/>
      <c r="D79" s="89"/>
      <c r="E79" s="89"/>
      <c r="F79" s="167"/>
      <c r="G79" s="8"/>
    </row>
    <row r="80" spans="1:7" x14ac:dyDescent="0.25">
      <c r="A80" s="8"/>
      <c r="D80" s="76"/>
      <c r="E80" s="29"/>
      <c r="F80" s="38"/>
      <c r="G80" s="8"/>
    </row>
    <row r="81" spans="1:7" ht="30" x14ac:dyDescent="0.25">
      <c r="A81" s="33" t="s">
        <v>106</v>
      </c>
      <c r="B81" s="33" t="s">
        <v>483</v>
      </c>
      <c r="C81" s="33" t="s">
        <v>510</v>
      </c>
      <c r="D81" s="110" t="s">
        <v>1466</v>
      </c>
      <c r="E81" s="33" t="s">
        <v>154</v>
      </c>
      <c r="F81" s="33" t="s">
        <v>153</v>
      </c>
    </row>
    <row r="82" spans="1:7" x14ac:dyDescent="0.25">
      <c r="A82" s="8">
        <v>500</v>
      </c>
      <c r="B82" s="6" t="s">
        <v>467</v>
      </c>
      <c r="C82" s="23">
        <f>'1-BaseTRR'!G3-1</f>
        <v>2024</v>
      </c>
      <c r="D82" s="90">
        <v>-281983152.04000002</v>
      </c>
      <c r="E82" s="271" t="s">
        <v>1476</v>
      </c>
      <c r="F82" s="89"/>
      <c r="G82" s="8">
        <f>A82</f>
        <v>500</v>
      </c>
    </row>
    <row r="83" spans="1:7" x14ac:dyDescent="0.25">
      <c r="A83" s="8">
        <f>A82+1</f>
        <v>501</v>
      </c>
      <c r="B83" s="6" t="s">
        <v>478</v>
      </c>
      <c r="C83" s="23">
        <f>'1-BaseTRR'!$G$3</f>
        <v>2025</v>
      </c>
      <c r="D83" s="90">
        <v>-308694523.47999996</v>
      </c>
      <c r="E83" s="271" t="s">
        <v>1475</v>
      </c>
      <c r="F83" s="271"/>
      <c r="G83" s="8">
        <f>A83</f>
        <v>501</v>
      </c>
    </row>
    <row r="84" spans="1:7" x14ac:dyDescent="0.25">
      <c r="A84" s="8">
        <f>A83+1</f>
        <v>502</v>
      </c>
      <c r="B84" s="6" t="s">
        <v>477</v>
      </c>
      <c r="C84" s="23">
        <f>'1-BaseTRR'!$G$3</f>
        <v>2025</v>
      </c>
      <c r="D84" s="90">
        <v>-331747219.05000001</v>
      </c>
      <c r="E84" s="271" t="s">
        <v>1474</v>
      </c>
      <c r="F84" s="271"/>
      <c r="G84" s="8">
        <f>A84</f>
        <v>502</v>
      </c>
    </row>
    <row r="85" spans="1:7" x14ac:dyDescent="0.25">
      <c r="A85" s="8">
        <f>A84+1</f>
        <v>503</v>
      </c>
      <c r="B85" s="6" t="s">
        <v>476</v>
      </c>
      <c r="C85" s="23">
        <f>'1-BaseTRR'!$G$3</f>
        <v>2025</v>
      </c>
      <c r="D85" s="90">
        <v>-272608367.47000003</v>
      </c>
      <c r="E85" s="271"/>
      <c r="F85" s="271"/>
      <c r="G85" s="8">
        <f>A85</f>
        <v>503</v>
      </c>
    </row>
    <row r="86" spans="1:7" x14ac:dyDescent="0.25">
      <c r="A86" s="8">
        <f>A85+1</f>
        <v>504</v>
      </c>
      <c r="B86" s="6" t="s">
        <v>475</v>
      </c>
      <c r="C86" s="23">
        <f>'1-BaseTRR'!$G$3</f>
        <v>2025</v>
      </c>
      <c r="D86" s="90">
        <v>-98845464.349999994</v>
      </c>
      <c r="E86" s="271"/>
      <c r="F86" s="271"/>
      <c r="G86" s="8">
        <f>A86</f>
        <v>504</v>
      </c>
    </row>
    <row r="87" spans="1:7" x14ac:dyDescent="0.25">
      <c r="A87" s="8">
        <f>A86+1</f>
        <v>505</v>
      </c>
      <c r="B87" s="6" t="s">
        <v>474</v>
      </c>
      <c r="C87" s="23">
        <f>'1-BaseTRR'!$G$3</f>
        <v>2025</v>
      </c>
      <c r="D87" s="90">
        <v>-118635667.73</v>
      </c>
      <c r="E87" s="271"/>
      <c r="F87" s="271"/>
      <c r="G87" s="8">
        <f>A87</f>
        <v>505</v>
      </c>
    </row>
    <row r="88" spans="1:7" x14ac:dyDescent="0.25">
      <c r="A88" s="8">
        <f>A87+1</f>
        <v>506</v>
      </c>
      <c r="B88" s="6" t="s">
        <v>763</v>
      </c>
      <c r="C88" s="23">
        <f>'1-BaseTRR'!$G$3</f>
        <v>2025</v>
      </c>
      <c r="D88" s="90">
        <v>-142349108.29999998</v>
      </c>
      <c r="E88" s="271"/>
      <c r="F88" s="271"/>
      <c r="G88" s="8">
        <f>A88</f>
        <v>506</v>
      </c>
    </row>
    <row r="89" spans="1:7" x14ac:dyDescent="0.25">
      <c r="A89" s="8">
        <f>A88+1</f>
        <v>507</v>
      </c>
      <c r="B89" s="6" t="s">
        <v>472</v>
      </c>
      <c r="C89" s="23">
        <f>'1-BaseTRR'!$G$3</f>
        <v>2025</v>
      </c>
      <c r="D89" s="90">
        <v>-165255954.81</v>
      </c>
      <c r="E89" s="271"/>
      <c r="F89" s="271"/>
      <c r="G89" s="8">
        <f>A89</f>
        <v>507</v>
      </c>
    </row>
    <row r="90" spans="1:7" x14ac:dyDescent="0.25">
      <c r="A90" s="8">
        <f>A89+1</f>
        <v>508</v>
      </c>
      <c r="B90" s="6" t="s">
        <v>471</v>
      </c>
      <c r="C90" s="23">
        <f>'1-BaseTRR'!$G$3</f>
        <v>2025</v>
      </c>
      <c r="D90" s="90">
        <v>-189504363.39000002</v>
      </c>
      <c r="E90" s="271"/>
      <c r="F90" s="271"/>
      <c r="G90" s="8">
        <f>A90</f>
        <v>508</v>
      </c>
    </row>
    <row r="91" spans="1:7" x14ac:dyDescent="0.25">
      <c r="A91" s="8">
        <f>A90+1</f>
        <v>509</v>
      </c>
      <c r="B91" s="6" t="s">
        <v>470</v>
      </c>
      <c r="C91" s="23">
        <f>'1-BaseTRR'!$G$3</f>
        <v>2025</v>
      </c>
      <c r="D91" s="90">
        <v>-211484062.31</v>
      </c>
      <c r="E91" s="271"/>
      <c r="F91" s="271"/>
      <c r="G91" s="8">
        <f>A91</f>
        <v>509</v>
      </c>
    </row>
    <row r="92" spans="1:7" x14ac:dyDescent="0.25">
      <c r="A92" s="8">
        <f>A91+1</f>
        <v>510</v>
      </c>
      <c r="B92" s="6" t="s">
        <v>469</v>
      </c>
      <c r="C92" s="23">
        <f>'1-BaseTRR'!$G$3</f>
        <v>2025</v>
      </c>
      <c r="D92" s="90">
        <v>-229707717</v>
      </c>
      <c r="E92" s="271"/>
      <c r="F92" s="271"/>
      <c r="G92" s="8">
        <f>A92</f>
        <v>510</v>
      </c>
    </row>
    <row r="93" spans="1:7" x14ac:dyDescent="0.25">
      <c r="A93" s="8">
        <f>A92+1</f>
        <v>511</v>
      </c>
      <c r="B93" s="6" t="s">
        <v>468</v>
      </c>
      <c r="C93" s="23">
        <f>'1-BaseTRR'!$G$3</f>
        <v>2025</v>
      </c>
      <c r="D93" s="90">
        <v>-248569759.47999999</v>
      </c>
      <c r="E93" s="271"/>
      <c r="F93" s="271"/>
      <c r="G93" s="8">
        <f>A93</f>
        <v>511</v>
      </c>
    </row>
    <row r="94" spans="1:7" x14ac:dyDescent="0.25">
      <c r="A94" s="8">
        <f>A93+1</f>
        <v>512</v>
      </c>
      <c r="B94" s="6" t="s">
        <v>467</v>
      </c>
      <c r="C94" s="23">
        <f>'1-BaseTRR'!$G$3</f>
        <v>2025</v>
      </c>
      <c r="D94" s="90">
        <v>-274485804.30000001</v>
      </c>
      <c r="E94" s="271"/>
      <c r="F94" s="271"/>
      <c r="G94" s="8">
        <f>A94</f>
        <v>512</v>
      </c>
    </row>
    <row r="95" spans="1:7" x14ac:dyDescent="0.25">
      <c r="A95" s="8">
        <f>A94+1</f>
        <v>513</v>
      </c>
      <c r="B95" s="89" t="s">
        <v>481</v>
      </c>
      <c r="D95" s="493">
        <v>0.11392420353470992</v>
      </c>
      <c r="E95" s="494" t="s">
        <v>1473</v>
      </c>
      <c r="F95" s="89"/>
      <c r="G95" s="8">
        <f>A95</f>
        <v>513</v>
      </c>
    </row>
    <row r="96" spans="1:7" x14ac:dyDescent="0.25">
      <c r="A96" s="8">
        <f>A95+1</f>
        <v>514</v>
      </c>
      <c r="B96" s="30" t="s">
        <v>1464</v>
      </c>
      <c r="D96" s="492">
        <f>ROUND(D94*D95,2)</f>
        <v>-31270576.640000001</v>
      </c>
      <c r="E96" s="38" t="str">
        <f>"Line "&amp;A94&amp;" * Line "&amp;A95&amp;""</f>
        <v>Line 512 * Line 513</v>
      </c>
      <c r="F96" s="89"/>
      <c r="G96" s="8">
        <f>A96</f>
        <v>514</v>
      </c>
    </row>
    <row r="97" spans="1:7" x14ac:dyDescent="0.25">
      <c r="A97" s="8"/>
      <c r="D97" s="76"/>
      <c r="E97" s="29"/>
      <c r="F97" s="38"/>
      <c r="G97" s="8"/>
    </row>
    <row r="98" spans="1:7" x14ac:dyDescent="0.25">
      <c r="A98" s="8">
        <f>+A96+1</f>
        <v>515</v>
      </c>
      <c r="B98" s="6" t="s">
        <v>850</v>
      </c>
      <c r="D98" s="269">
        <f>AVERAGE(D82:D94)</f>
        <v>-221067012.59307691</v>
      </c>
      <c r="E98" s="38" t="str">
        <f>CONCATENATE("Average of Lines ",A82," - ",A94)</f>
        <v>Average of Lines 500 - 512</v>
      </c>
      <c r="F98" s="89"/>
      <c r="G98" s="8">
        <f>A98</f>
        <v>515</v>
      </c>
    </row>
    <row r="99" spans="1:7" x14ac:dyDescent="0.25">
      <c r="A99" s="8">
        <f>A98+1</f>
        <v>516</v>
      </c>
      <c r="B99" s="30" t="s">
        <v>1463</v>
      </c>
      <c r="D99" s="492">
        <f>ROUND(D98*D95,2)</f>
        <v>-25184883.34</v>
      </c>
      <c r="E99" s="32" t="s">
        <v>1472</v>
      </c>
      <c r="F99" s="89"/>
      <c r="G99" s="8">
        <f>A99</f>
        <v>516</v>
      </c>
    </row>
    <row r="100" spans="1:7" x14ac:dyDescent="0.25">
      <c r="A100" s="8"/>
      <c r="D100" s="76"/>
      <c r="E100" s="29"/>
      <c r="F100" s="38"/>
      <c r="G100" s="8"/>
    </row>
    <row r="101" spans="1:7" x14ac:dyDescent="0.25">
      <c r="A101" s="8"/>
      <c r="B101" s="77" t="s">
        <v>1471</v>
      </c>
      <c r="C101" s="89"/>
      <c r="D101" s="89"/>
      <c r="E101" s="89"/>
      <c r="F101" s="167"/>
      <c r="G101" s="8"/>
    </row>
    <row r="102" spans="1:7" x14ac:dyDescent="0.25">
      <c r="A102" s="8"/>
      <c r="D102" s="76"/>
      <c r="E102" s="29"/>
      <c r="F102" s="38"/>
      <c r="G102" s="8"/>
    </row>
    <row r="103" spans="1:7" ht="30" x14ac:dyDescent="0.25">
      <c r="A103" s="33" t="s">
        <v>106</v>
      </c>
      <c r="B103" s="33" t="s">
        <v>483</v>
      </c>
      <c r="C103" s="33" t="s">
        <v>510</v>
      </c>
      <c r="D103" s="110" t="s">
        <v>1466</v>
      </c>
      <c r="E103" s="33" t="s">
        <v>154</v>
      </c>
      <c r="F103" s="33" t="s">
        <v>153</v>
      </c>
    </row>
    <row r="104" spans="1:7" x14ac:dyDescent="0.25">
      <c r="A104" s="8">
        <v>600</v>
      </c>
      <c r="B104" s="6" t="s">
        <v>467</v>
      </c>
      <c r="C104" s="23">
        <f>'1-BaseTRR'!G3-1</f>
        <v>2024</v>
      </c>
      <c r="D104" s="90"/>
      <c r="E104" s="271"/>
      <c r="F104" s="89"/>
      <c r="G104" s="8">
        <f>A104</f>
        <v>600</v>
      </c>
    </row>
    <row r="105" spans="1:7" x14ac:dyDescent="0.25">
      <c r="A105" s="8">
        <f>A104+1</f>
        <v>601</v>
      </c>
      <c r="B105" s="6" t="s">
        <v>478</v>
      </c>
      <c r="C105" s="23">
        <f>'1-BaseTRR'!$G$3</f>
        <v>2025</v>
      </c>
      <c r="D105" s="90"/>
      <c r="E105" s="271"/>
      <c r="F105" s="271"/>
      <c r="G105" s="8">
        <f>A105</f>
        <v>601</v>
      </c>
    </row>
    <row r="106" spans="1:7" x14ac:dyDescent="0.25">
      <c r="A106" s="8">
        <f>A105+1</f>
        <v>602</v>
      </c>
      <c r="B106" s="6" t="s">
        <v>477</v>
      </c>
      <c r="C106" s="23">
        <f>'1-BaseTRR'!$G$3</f>
        <v>2025</v>
      </c>
      <c r="D106" s="90"/>
      <c r="E106" s="271"/>
      <c r="F106" s="271"/>
      <c r="G106" s="8">
        <f>A106</f>
        <v>602</v>
      </c>
    </row>
    <row r="107" spans="1:7" x14ac:dyDescent="0.25">
      <c r="A107" s="8">
        <f>A106+1</f>
        <v>603</v>
      </c>
      <c r="B107" s="6" t="s">
        <v>476</v>
      </c>
      <c r="C107" s="23">
        <f>'1-BaseTRR'!$G$3</f>
        <v>2025</v>
      </c>
      <c r="D107" s="90"/>
      <c r="E107" s="271"/>
      <c r="F107" s="271"/>
      <c r="G107" s="8">
        <f>A107</f>
        <v>603</v>
      </c>
    </row>
    <row r="108" spans="1:7" x14ac:dyDescent="0.25">
      <c r="A108" s="8">
        <f>A107+1</f>
        <v>604</v>
      </c>
      <c r="B108" s="6" t="s">
        <v>475</v>
      </c>
      <c r="C108" s="23">
        <f>'1-BaseTRR'!$G$3</f>
        <v>2025</v>
      </c>
      <c r="D108" s="90"/>
      <c r="E108" s="271"/>
      <c r="F108" s="271"/>
      <c r="G108" s="8">
        <f>A108</f>
        <v>604</v>
      </c>
    </row>
    <row r="109" spans="1:7" x14ac:dyDescent="0.25">
      <c r="A109" s="8">
        <f>A108+1</f>
        <v>605</v>
      </c>
      <c r="B109" s="6" t="s">
        <v>474</v>
      </c>
      <c r="C109" s="23">
        <f>'1-BaseTRR'!$G$3</f>
        <v>2025</v>
      </c>
      <c r="D109" s="90"/>
      <c r="E109" s="271"/>
      <c r="F109" s="271"/>
      <c r="G109" s="8">
        <f>A109</f>
        <v>605</v>
      </c>
    </row>
    <row r="110" spans="1:7" x14ac:dyDescent="0.25">
      <c r="A110" s="8">
        <f>A109+1</f>
        <v>606</v>
      </c>
      <c r="B110" s="6" t="s">
        <v>763</v>
      </c>
      <c r="C110" s="23">
        <f>'1-BaseTRR'!$G$3</f>
        <v>2025</v>
      </c>
      <c r="D110" s="90"/>
      <c r="E110" s="271"/>
      <c r="F110" s="271"/>
      <c r="G110" s="8">
        <f>A110</f>
        <v>606</v>
      </c>
    </row>
    <row r="111" spans="1:7" x14ac:dyDescent="0.25">
      <c r="A111" s="8">
        <f>A110+1</f>
        <v>607</v>
      </c>
      <c r="B111" s="6" t="s">
        <v>472</v>
      </c>
      <c r="C111" s="23">
        <f>'1-BaseTRR'!$G$3</f>
        <v>2025</v>
      </c>
      <c r="D111" s="90"/>
      <c r="E111" s="271"/>
      <c r="F111" s="271"/>
      <c r="G111" s="8">
        <f>A111</f>
        <v>607</v>
      </c>
    </row>
    <row r="112" spans="1:7" x14ac:dyDescent="0.25">
      <c r="A112" s="8">
        <f>A111+1</f>
        <v>608</v>
      </c>
      <c r="B112" s="6" t="s">
        <v>471</v>
      </c>
      <c r="C112" s="23">
        <f>'1-BaseTRR'!$G$3</f>
        <v>2025</v>
      </c>
      <c r="D112" s="90"/>
      <c r="E112" s="271"/>
      <c r="F112" s="271"/>
      <c r="G112" s="8">
        <f>A112</f>
        <v>608</v>
      </c>
    </row>
    <row r="113" spans="1:7" x14ac:dyDescent="0.25">
      <c r="A113" s="8">
        <f>A112+1</f>
        <v>609</v>
      </c>
      <c r="B113" s="6" t="s">
        <v>470</v>
      </c>
      <c r="C113" s="23">
        <f>'1-BaseTRR'!$G$3</f>
        <v>2025</v>
      </c>
      <c r="D113" s="90"/>
      <c r="E113" s="271"/>
      <c r="F113" s="271"/>
      <c r="G113" s="8">
        <f>A113</f>
        <v>609</v>
      </c>
    </row>
    <row r="114" spans="1:7" x14ac:dyDescent="0.25">
      <c r="A114" s="8">
        <f>A113+1</f>
        <v>610</v>
      </c>
      <c r="B114" s="6" t="s">
        <v>469</v>
      </c>
      <c r="C114" s="23">
        <f>'1-BaseTRR'!$G$3</f>
        <v>2025</v>
      </c>
      <c r="D114" s="90"/>
      <c r="E114" s="271"/>
      <c r="F114" s="271"/>
      <c r="G114" s="8">
        <f>A114</f>
        <v>610</v>
      </c>
    </row>
    <row r="115" spans="1:7" x14ac:dyDescent="0.25">
      <c r="A115" s="8">
        <f>A114+1</f>
        <v>611</v>
      </c>
      <c r="B115" s="6" t="s">
        <v>468</v>
      </c>
      <c r="C115" s="23">
        <f>'1-BaseTRR'!$G$3</f>
        <v>2025</v>
      </c>
      <c r="D115" s="90"/>
      <c r="E115" s="271"/>
      <c r="F115" s="271"/>
      <c r="G115" s="8">
        <f>A115</f>
        <v>611</v>
      </c>
    </row>
    <row r="116" spans="1:7" x14ac:dyDescent="0.25">
      <c r="A116" s="8">
        <f>A115+1</f>
        <v>612</v>
      </c>
      <c r="B116" s="6" t="s">
        <v>467</v>
      </c>
      <c r="C116" s="23">
        <f>'1-BaseTRR'!$G$3</f>
        <v>2025</v>
      </c>
      <c r="D116" s="90"/>
      <c r="E116" s="271"/>
      <c r="F116" s="271"/>
      <c r="G116" s="8">
        <f>A116</f>
        <v>612</v>
      </c>
    </row>
    <row r="117" spans="1:7" x14ac:dyDescent="0.25">
      <c r="A117" s="8">
        <f>A116+1</f>
        <v>613</v>
      </c>
      <c r="B117" s="89" t="s">
        <v>1465</v>
      </c>
      <c r="D117" s="493"/>
      <c r="E117" s="271"/>
      <c r="F117" s="89"/>
      <c r="G117" s="8">
        <f>A117</f>
        <v>613</v>
      </c>
    </row>
    <row r="118" spans="1:7" x14ac:dyDescent="0.25">
      <c r="A118" s="8">
        <f>A117+1</f>
        <v>614</v>
      </c>
      <c r="B118" s="30" t="s">
        <v>1464</v>
      </c>
      <c r="D118" s="492">
        <f>ROUND(D116*D117,2)</f>
        <v>0</v>
      </c>
      <c r="E118" s="38" t="str">
        <f>"Line "&amp;A116&amp;" * Line "&amp;A117&amp;""</f>
        <v>Line 612 * Line 613</v>
      </c>
      <c r="F118" s="89"/>
      <c r="G118" s="8">
        <f>A118</f>
        <v>614</v>
      </c>
    </row>
    <row r="119" spans="1:7" x14ac:dyDescent="0.25">
      <c r="A119" s="8"/>
      <c r="D119" s="76"/>
      <c r="E119" s="29"/>
      <c r="F119" s="38"/>
      <c r="G119" s="8"/>
    </row>
    <row r="120" spans="1:7" x14ac:dyDescent="0.25">
      <c r="A120" s="8">
        <f>+A118+1</f>
        <v>615</v>
      </c>
      <c r="B120" s="6" t="s">
        <v>850</v>
      </c>
      <c r="D120" s="269" t="e">
        <f>AVERAGE(D104:D116)</f>
        <v>#DIV/0!</v>
      </c>
      <c r="E120" s="38" t="str">
        <f>CONCATENATE("Average of Lines ",A104," - ",A116)</f>
        <v>Average of Lines 600 - 612</v>
      </c>
      <c r="F120" s="89"/>
      <c r="G120" s="8">
        <f>A120</f>
        <v>615</v>
      </c>
    </row>
    <row r="121" spans="1:7" x14ac:dyDescent="0.25">
      <c r="A121" s="8">
        <f>A120+1</f>
        <v>616</v>
      </c>
      <c r="B121" s="30" t="s">
        <v>1463</v>
      </c>
      <c r="D121" s="492">
        <f>IFERROR(ROUND(D120*D117,2),0)</f>
        <v>0</v>
      </c>
      <c r="E121" s="32" t="s">
        <v>1470</v>
      </c>
      <c r="F121" s="89"/>
      <c r="G121" s="8">
        <f>A121</f>
        <v>616</v>
      </c>
    </row>
    <row r="122" spans="1:7" x14ac:dyDescent="0.25">
      <c r="A122" s="8"/>
      <c r="D122" s="76"/>
      <c r="E122" s="29"/>
      <c r="F122" s="38"/>
      <c r="G122" s="8"/>
    </row>
    <row r="123" spans="1:7" x14ac:dyDescent="0.25">
      <c r="A123" s="8"/>
      <c r="B123" s="77" t="s">
        <v>1469</v>
      </c>
      <c r="C123" s="89"/>
      <c r="D123" s="89"/>
      <c r="E123" s="89"/>
      <c r="F123" s="167"/>
      <c r="G123" s="8"/>
    </row>
    <row r="124" spans="1:7" x14ac:dyDescent="0.25">
      <c r="A124" s="8"/>
      <c r="D124" s="76"/>
      <c r="E124" s="29"/>
      <c r="F124" s="38"/>
      <c r="G124" s="8"/>
    </row>
    <row r="125" spans="1:7" ht="30" x14ac:dyDescent="0.25">
      <c r="A125" s="33" t="s">
        <v>106</v>
      </c>
      <c r="B125" s="33" t="s">
        <v>483</v>
      </c>
      <c r="C125" s="33" t="s">
        <v>510</v>
      </c>
      <c r="D125" s="110" t="s">
        <v>1466</v>
      </c>
      <c r="E125" s="33" t="s">
        <v>154</v>
      </c>
      <c r="F125" s="33" t="s">
        <v>153</v>
      </c>
    </row>
    <row r="126" spans="1:7" x14ac:dyDescent="0.25">
      <c r="A126" s="8">
        <v>700</v>
      </c>
      <c r="B126" s="6" t="s">
        <v>467</v>
      </c>
      <c r="C126" s="23">
        <f>'1-BaseTRR'!G3-1</f>
        <v>2024</v>
      </c>
      <c r="D126" s="90"/>
      <c r="E126" s="271"/>
      <c r="F126" s="89"/>
      <c r="G126" s="8">
        <f>A126</f>
        <v>700</v>
      </c>
    </row>
    <row r="127" spans="1:7" x14ac:dyDescent="0.25">
      <c r="A127" s="8">
        <f>A126+1</f>
        <v>701</v>
      </c>
      <c r="B127" s="6" t="s">
        <v>478</v>
      </c>
      <c r="C127" s="23">
        <f>'1-BaseTRR'!$G$3</f>
        <v>2025</v>
      </c>
      <c r="D127" s="90"/>
      <c r="E127" s="271"/>
      <c r="F127" s="271"/>
      <c r="G127" s="8">
        <f>A127</f>
        <v>701</v>
      </c>
    </row>
    <row r="128" spans="1:7" x14ac:dyDescent="0.25">
      <c r="A128" s="8">
        <f>A127+1</f>
        <v>702</v>
      </c>
      <c r="B128" s="6" t="s">
        <v>477</v>
      </c>
      <c r="C128" s="23">
        <f>'1-BaseTRR'!$G$3</f>
        <v>2025</v>
      </c>
      <c r="D128" s="90"/>
      <c r="E128" s="271"/>
      <c r="F128" s="271"/>
      <c r="G128" s="8">
        <f>A128</f>
        <v>702</v>
      </c>
    </row>
    <row r="129" spans="1:7" x14ac:dyDescent="0.25">
      <c r="A129" s="8">
        <f>A128+1</f>
        <v>703</v>
      </c>
      <c r="B129" s="6" t="s">
        <v>476</v>
      </c>
      <c r="C129" s="23">
        <f>'1-BaseTRR'!$G$3</f>
        <v>2025</v>
      </c>
      <c r="D129" s="90"/>
      <c r="E129" s="271"/>
      <c r="F129" s="271"/>
      <c r="G129" s="8">
        <f>A129</f>
        <v>703</v>
      </c>
    </row>
    <row r="130" spans="1:7" x14ac:dyDescent="0.25">
      <c r="A130" s="8">
        <f>A129+1</f>
        <v>704</v>
      </c>
      <c r="B130" s="6" t="s">
        <v>475</v>
      </c>
      <c r="C130" s="23">
        <f>'1-BaseTRR'!$G$3</f>
        <v>2025</v>
      </c>
      <c r="D130" s="90"/>
      <c r="E130" s="271"/>
      <c r="F130" s="271"/>
      <c r="G130" s="8">
        <f>A130</f>
        <v>704</v>
      </c>
    </row>
    <row r="131" spans="1:7" x14ac:dyDescent="0.25">
      <c r="A131" s="8">
        <f>A130+1</f>
        <v>705</v>
      </c>
      <c r="B131" s="6" t="s">
        <v>474</v>
      </c>
      <c r="C131" s="23">
        <f>'1-BaseTRR'!$G$3</f>
        <v>2025</v>
      </c>
      <c r="D131" s="90"/>
      <c r="E131" s="271"/>
      <c r="F131" s="271"/>
      <c r="G131" s="8">
        <f>A131</f>
        <v>705</v>
      </c>
    </row>
    <row r="132" spans="1:7" x14ac:dyDescent="0.25">
      <c r="A132" s="8">
        <f>A131+1</f>
        <v>706</v>
      </c>
      <c r="B132" s="6" t="s">
        <v>763</v>
      </c>
      <c r="C132" s="23">
        <f>'1-BaseTRR'!$G$3</f>
        <v>2025</v>
      </c>
      <c r="D132" s="90"/>
      <c r="E132" s="271"/>
      <c r="F132" s="271"/>
      <c r="G132" s="8">
        <f>A132</f>
        <v>706</v>
      </c>
    </row>
    <row r="133" spans="1:7" x14ac:dyDescent="0.25">
      <c r="A133" s="8">
        <f>A132+1</f>
        <v>707</v>
      </c>
      <c r="B133" s="6" t="s">
        <v>472</v>
      </c>
      <c r="C133" s="23">
        <f>'1-BaseTRR'!$G$3</f>
        <v>2025</v>
      </c>
      <c r="D133" s="90"/>
      <c r="E133" s="271"/>
      <c r="F133" s="271"/>
      <c r="G133" s="8">
        <f>A133</f>
        <v>707</v>
      </c>
    </row>
    <row r="134" spans="1:7" x14ac:dyDescent="0.25">
      <c r="A134" s="8">
        <f>A133+1</f>
        <v>708</v>
      </c>
      <c r="B134" s="6" t="s">
        <v>471</v>
      </c>
      <c r="C134" s="23">
        <f>'1-BaseTRR'!$G$3</f>
        <v>2025</v>
      </c>
      <c r="D134" s="90"/>
      <c r="E134" s="271"/>
      <c r="F134" s="271"/>
      <c r="G134" s="8">
        <f>A134</f>
        <v>708</v>
      </c>
    </row>
    <row r="135" spans="1:7" x14ac:dyDescent="0.25">
      <c r="A135" s="8">
        <f>A134+1</f>
        <v>709</v>
      </c>
      <c r="B135" s="6" t="s">
        <v>470</v>
      </c>
      <c r="C135" s="23">
        <f>'1-BaseTRR'!$G$3</f>
        <v>2025</v>
      </c>
      <c r="D135" s="90"/>
      <c r="E135" s="271"/>
      <c r="F135" s="271"/>
      <c r="G135" s="8">
        <f>A135</f>
        <v>709</v>
      </c>
    </row>
    <row r="136" spans="1:7" x14ac:dyDescent="0.25">
      <c r="A136" s="8">
        <f>A135+1</f>
        <v>710</v>
      </c>
      <c r="B136" s="6" t="s">
        <v>469</v>
      </c>
      <c r="C136" s="23">
        <f>'1-BaseTRR'!$G$3</f>
        <v>2025</v>
      </c>
      <c r="D136" s="90"/>
      <c r="E136" s="271"/>
      <c r="F136" s="271"/>
      <c r="G136" s="8">
        <f>A136</f>
        <v>710</v>
      </c>
    </row>
    <row r="137" spans="1:7" x14ac:dyDescent="0.25">
      <c r="A137" s="8">
        <f>A136+1</f>
        <v>711</v>
      </c>
      <c r="B137" s="6" t="s">
        <v>468</v>
      </c>
      <c r="C137" s="23">
        <f>'1-BaseTRR'!$G$3</f>
        <v>2025</v>
      </c>
      <c r="D137" s="90"/>
      <c r="E137" s="271"/>
      <c r="F137" s="271"/>
      <c r="G137" s="8">
        <f>A137</f>
        <v>711</v>
      </c>
    </row>
    <row r="138" spans="1:7" x14ac:dyDescent="0.25">
      <c r="A138" s="8">
        <f>A137+1</f>
        <v>712</v>
      </c>
      <c r="B138" s="6" t="s">
        <v>467</v>
      </c>
      <c r="C138" s="23">
        <f>'1-BaseTRR'!$G$3</f>
        <v>2025</v>
      </c>
      <c r="D138" s="90"/>
      <c r="E138" s="271"/>
      <c r="F138" s="271"/>
      <c r="G138" s="8">
        <f>A138</f>
        <v>712</v>
      </c>
    </row>
    <row r="139" spans="1:7" x14ac:dyDescent="0.25">
      <c r="A139" s="8">
        <f>A138+1</f>
        <v>713</v>
      </c>
      <c r="B139" s="89" t="s">
        <v>1465</v>
      </c>
      <c r="D139" s="493"/>
      <c r="E139" s="271"/>
      <c r="F139" s="89"/>
      <c r="G139" s="8">
        <f>A139</f>
        <v>713</v>
      </c>
    </row>
    <row r="140" spans="1:7" x14ac:dyDescent="0.25">
      <c r="A140" s="8">
        <f>A139+1</f>
        <v>714</v>
      </c>
      <c r="B140" s="30" t="s">
        <v>1464</v>
      </c>
      <c r="D140" s="492">
        <f>ROUND(D138*D139,2)</f>
        <v>0</v>
      </c>
      <c r="E140" s="38" t="str">
        <f>"Line "&amp;A138&amp;" * Line "&amp;A139&amp;""</f>
        <v>Line 712 * Line 713</v>
      </c>
      <c r="F140" s="89"/>
      <c r="G140" s="8">
        <f>A140</f>
        <v>714</v>
      </c>
    </row>
    <row r="141" spans="1:7" x14ac:dyDescent="0.25">
      <c r="A141" s="8"/>
      <c r="D141" s="76"/>
      <c r="E141" s="29"/>
      <c r="F141" s="38"/>
      <c r="G141" s="8"/>
    </row>
    <row r="142" spans="1:7" x14ac:dyDescent="0.25">
      <c r="A142" s="8">
        <f>+A140+1</f>
        <v>715</v>
      </c>
      <c r="B142" s="6" t="s">
        <v>850</v>
      </c>
      <c r="D142" s="269" t="e">
        <f>AVERAGE(D126:D138)</f>
        <v>#DIV/0!</v>
      </c>
      <c r="E142" s="38" t="str">
        <f>CONCATENATE("Average of Lines ",A126," - ",A138)</f>
        <v>Average of Lines 700 - 712</v>
      </c>
      <c r="F142" s="89"/>
      <c r="G142" s="8">
        <f>A142</f>
        <v>715</v>
      </c>
    </row>
    <row r="143" spans="1:7" x14ac:dyDescent="0.25">
      <c r="A143" s="8">
        <f>A142+1</f>
        <v>716</v>
      </c>
      <c r="B143" s="30" t="s">
        <v>1463</v>
      </c>
      <c r="D143" s="492">
        <f>IFERROR(ROUND(D142*D139,2),0)</f>
        <v>0</v>
      </c>
      <c r="E143" s="32" t="s">
        <v>1468</v>
      </c>
      <c r="F143" s="89"/>
      <c r="G143" s="8">
        <f>A143</f>
        <v>716</v>
      </c>
    </row>
    <row r="144" spans="1:7" x14ac:dyDescent="0.25">
      <c r="A144" s="8"/>
      <c r="B144" s="30"/>
      <c r="D144" s="492"/>
      <c r="E144" s="32"/>
      <c r="F144" s="32"/>
      <c r="G144" s="8"/>
    </row>
    <row r="145" spans="1:7" x14ac:dyDescent="0.25">
      <c r="A145" s="8"/>
      <c r="B145" s="77" t="s">
        <v>1467</v>
      </c>
      <c r="C145" s="89"/>
      <c r="D145" s="89"/>
      <c r="E145" s="89"/>
      <c r="F145" s="167"/>
      <c r="G145" s="8"/>
    </row>
    <row r="146" spans="1:7" x14ac:dyDescent="0.25">
      <c r="A146" s="8"/>
      <c r="D146" s="76"/>
      <c r="E146" s="29"/>
      <c r="F146" s="38"/>
      <c r="G146" s="8"/>
    </row>
    <row r="147" spans="1:7" ht="30" x14ac:dyDescent="0.25">
      <c r="A147" s="33" t="s">
        <v>106</v>
      </c>
      <c r="B147" s="33" t="s">
        <v>483</v>
      </c>
      <c r="C147" s="33" t="s">
        <v>510</v>
      </c>
      <c r="D147" s="110" t="s">
        <v>1466</v>
      </c>
      <c r="E147" s="33" t="s">
        <v>154</v>
      </c>
      <c r="F147" s="33" t="s">
        <v>153</v>
      </c>
    </row>
    <row r="148" spans="1:7" x14ac:dyDescent="0.25">
      <c r="A148" s="8">
        <v>800</v>
      </c>
      <c r="B148" s="6" t="s">
        <v>467</v>
      </c>
      <c r="C148" s="23">
        <f>'1-BaseTRR'!G3-1</f>
        <v>2024</v>
      </c>
      <c r="D148" s="90"/>
      <c r="E148" s="271"/>
      <c r="F148" s="89"/>
      <c r="G148" s="8">
        <f>A148</f>
        <v>800</v>
      </c>
    </row>
    <row r="149" spans="1:7" x14ac:dyDescent="0.25">
      <c r="A149" s="8">
        <f>A148+1</f>
        <v>801</v>
      </c>
      <c r="B149" s="6" t="s">
        <v>478</v>
      </c>
      <c r="C149" s="23">
        <f>'1-BaseTRR'!$G$3</f>
        <v>2025</v>
      </c>
      <c r="D149" s="90"/>
      <c r="E149" s="271"/>
      <c r="F149" s="271"/>
      <c r="G149" s="8">
        <f>A149</f>
        <v>801</v>
      </c>
    </row>
    <row r="150" spans="1:7" x14ac:dyDescent="0.25">
      <c r="A150" s="8">
        <f>A149+1</f>
        <v>802</v>
      </c>
      <c r="B150" s="6" t="s">
        <v>477</v>
      </c>
      <c r="C150" s="23">
        <f>'1-BaseTRR'!$G$3</f>
        <v>2025</v>
      </c>
      <c r="D150" s="90"/>
      <c r="E150" s="271"/>
      <c r="F150" s="271"/>
      <c r="G150" s="8">
        <f>A150</f>
        <v>802</v>
      </c>
    </row>
    <row r="151" spans="1:7" x14ac:dyDescent="0.25">
      <c r="A151" s="8">
        <f>A150+1</f>
        <v>803</v>
      </c>
      <c r="B151" s="6" t="s">
        <v>476</v>
      </c>
      <c r="C151" s="23">
        <f>'1-BaseTRR'!$G$3</f>
        <v>2025</v>
      </c>
      <c r="D151" s="90"/>
      <c r="E151" s="271"/>
      <c r="F151" s="271"/>
      <c r="G151" s="8">
        <f>A151</f>
        <v>803</v>
      </c>
    </row>
    <row r="152" spans="1:7" x14ac:dyDescent="0.25">
      <c r="A152" s="8">
        <f>A151+1</f>
        <v>804</v>
      </c>
      <c r="B152" s="6" t="s">
        <v>475</v>
      </c>
      <c r="C152" s="23">
        <f>'1-BaseTRR'!$G$3</f>
        <v>2025</v>
      </c>
      <c r="D152" s="90"/>
      <c r="E152" s="271"/>
      <c r="F152" s="271"/>
      <c r="G152" s="8">
        <f>A152</f>
        <v>804</v>
      </c>
    </row>
    <row r="153" spans="1:7" x14ac:dyDescent="0.25">
      <c r="A153" s="8">
        <f>A152+1</f>
        <v>805</v>
      </c>
      <c r="B153" s="6" t="s">
        <v>474</v>
      </c>
      <c r="C153" s="23">
        <f>'1-BaseTRR'!$G$3</f>
        <v>2025</v>
      </c>
      <c r="D153" s="90"/>
      <c r="E153" s="271"/>
      <c r="F153" s="271"/>
      <c r="G153" s="8">
        <f>A153</f>
        <v>805</v>
      </c>
    </row>
    <row r="154" spans="1:7" x14ac:dyDescent="0.25">
      <c r="A154" s="8">
        <f>A153+1</f>
        <v>806</v>
      </c>
      <c r="B154" s="6" t="s">
        <v>763</v>
      </c>
      <c r="C154" s="23">
        <f>'1-BaseTRR'!$G$3</f>
        <v>2025</v>
      </c>
      <c r="D154" s="90"/>
      <c r="E154" s="271"/>
      <c r="F154" s="271"/>
      <c r="G154" s="8">
        <f>A154</f>
        <v>806</v>
      </c>
    </row>
    <row r="155" spans="1:7" x14ac:dyDescent="0.25">
      <c r="A155" s="8">
        <f>A154+1</f>
        <v>807</v>
      </c>
      <c r="B155" s="6" t="s">
        <v>472</v>
      </c>
      <c r="C155" s="23">
        <f>'1-BaseTRR'!$G$3</f>
        <v>2025</v>
      </c>
      <c r="D155" s="90"/>
      <c r="E155" s="271"/>
      <c r="F155" s="271"/>
      <c r="G155" s="8">
        <f>A155</f>
        <v>807</v>
      </c>
    </row>
    <row r="156" spans="1:7" x14ac:dyDescent="0.25">
      <c r="A156" s="8">
        <f>A155+1</f>
        <v>808</v>
      </c>
      <c r="B156" s="6" t="s">
        <v>471</v>
      </c>
      <c r="C156" s="23">
        <f>'1-BaseTRR'!$G$3</f>
        <v>2025</v>
      </c>
      <c r="D156" s="90"/>
      <c r="E156" s="271"/>
      <c r="F156" s="271"/>
      <c r="G156" s="8">
        <f>A156</f>
        <v>808</v>
      </c>
    </row>
    <row r="157" spans="1:7" x14ac:dyDescent="0.25">
      <c r="A157" s="8">
        <f>A156+1</f>
        <v>809</v>
      </c>
      <c r="B157" s="6" t="s">
        <v>470</v>
      </c>
      <c r="C157" s="23">
        <f>'1-BaseTRR'!$G$3</f>
        <v>2025</v>
      </c>
      <c r="D157" s="90"/>
      <c r="E157" s="271"/>
      <c r="F157" s="271"/>
      <c r="G157" s="8">
        <f>A157</f>
        <v>809</v>
      </c>
    </row>
    <row r="158" spans="1:7" x14ac:dyDescent="0.25">
      <c r="A158" s="8">
        <f>A157+1</f>
        <v>810</v>
      </c>
      <c r="B158" s="6" t="s">
        <v>469</v>
      </c>
      <c r="C158" s="23">
        <f>'1-BaseTRR'!$G$3</f>
        <v>2025</v>
      </c>
      <c r="D158" s="90"/>
      <c r="E158" s="271"/>
      <c r="F158" s="271"/>
      <c r="G158" s="8">
        <f>A158</f>
        <v>810</v>
      </c>
    </row>
    <row r="159" spans="1:7" x14ac:dyDescent="0.25">
      <c r="A159" s="8">
        <f>A158+1</f>
        <v>811</v>
      </c>
      <c r="B159" s="6" t="s">
        <v>468</v>
      </c>
      <c r="C159" s="23">
        <f>'1-BaseTRR'!$G$3</f>
        <v>2025</v>
      </c>
      <c r="D159" s="90"/>
      <c r="E159" s="271"/>
      <c r="F159" s="271"/>
      <c r="G159" s="8">
        <f>A159</f>
        <v>811</v>
      </c>
    </row>
    <row r="160" spans="1:7" x14ac:dyDescent="0.25">
      <c r="A160" s="8">
        <f>A159+1</f>
        <v>812</v>
      </c>
      <c r="B160" s="6" t="s">
        <v>467</v>
      </c>
      <c r="C160" s="23">
        <f>'1-BaseTRR'!$G$3</f>
        <v>2025</v>
      </c>
      <c r="D160" s="90"/>
      <c r="E160" s="271"/>
      <c r="F160" s="271"/>
      <c r="G160" s="8">
        <f>A160</f>
        <v>812</v>
      </c>
    </row>
    <row r="161" spans="1:7" x14ac:dyDescent="0.25">
      <c r="A161" s="8">
        <f>A160+1</f>
        <v>813</v>
      </c>
      <c r="B161" s="89" t="s">
        <v>1465</v>
      </c>
      <c r="D161" s="493"/>
      <c r="E161" s="271"/>
      <c r="F161" s="89"/>
      <c r="G161" s="8">
        <f>A161</f>
        <v>813</v>
      </c>
    </row>
    <row r="162" spans="1:7" x14ac:dyDescent="0.25">
      <c r="A162" s="8">
        <f>A161+1</f>
        <v>814</v>
      </c>
      <c r="B162" s="30" t="s">
        <v>1464</v>
      </c>
      <c r="D162" s="492">
        <f>ROUND(D160*D161,2)</f>
        <v>0</v>
      </c>
      <c r="E162" s="38" t="str">
        <f>"Line "&amp;A160&amp;" * Line "&amp;A161&amp;""</f>
        <v>Line 812 * Line 813</v>
      </c>
      <c r="F162" s="89"/>
      <c r="G162" s="8">
        <f>A162</f>
        <v>814</v>
      </c>
    </row>
    <row r="163" spans="1:7" x14ac:dyDescent="0.25">
      <c r="A163" s="8"/>
      <c r="D163" s="76"/>
      <c r="E163" s="29"/>
      <c r="F163" s="38"/>
      <c r="G163" s="8"/>
    </row>
    <row r="164" spans="1:7" x14ac:dyDescent="0.25">
      <c r="A164" s="8">
        <f>+A162+1</f>
        <v>815</v>
      </c>
      <c r="B164" s="6" t="s">
        <v>850</v>
      </c>
      <c r="D164" s="269" t="e">
        <f>AVERAGE(D148:D160)</f>
        <v>#DIV/0!</v>
      </c>
      <c r="E164" s="38" t="str">
        <f>CONCATENATE("Average of Lines ",A148," - ",A160)</f>
        <v>Average of Lines 800 - 812</v>
      </c>
      <c r="F164" s="89"/>
      <c r="G164" s="8">
        <f>A164</f>
        <v>815</v>
      </c>
    </row>
    <row r="165" spans="1:7" x14ac:dyDescent="0.25">
      <c r="A165" s="8">
        <f>A164+1</f>
        <v>816</v>
      </c>
      <c r="B165" s="30" t="s">
        <v>1463</v>
      </c>
      <c r="D165" s="492">
        <f>IFERROR(ROUND(D164*D161,2),0)</f>
        <v>0</v>
      </c>
      <c r="E165" s="32" t="s">
        <v>1462</v>
      </c>
      <c r="F165" s="89"/>
      <c r="G165" s="8">
        <f>A165</f>
        <v>816</v>
      </c>
    </row>
    <row r="166" spans="1:7" x14ac:dyDescent="0.25">
      <c r="A166" s="8"/>
      <c r="B166" s="30"/>
      <c r="D166" s="492"/>
      <c r="E166" s="32"/>
      <c r="F166" s="32"/>
      <c r="G166" s="8"/>
    </row>
    <row r="167" spans="1:7" x14ac:dyDescent="0.25">
      <c r="A167" s="8"/>
      <c r="B167" s="6" t="s">
        <v>145</v>
      </c>
      <c r="D167" s="76"/>
      <c r="E167" s="29"/>
      <c r="F167" s="38"/>
      <c r="G167" s="8"/>
    </row>
    <row r="168" spans="1:7" ht="15" customHeight="1" x14ac:dyDescent="0.25">
      <c r="B168" s="6" t="s">
        <v>1461</v>
      </c>
    </row>
    <row r="169" spans="1:7" x14ac:dyDescent="0.25">
      <c r="B169" s="6" t="s">
        <v>1460</v>
      </c>
    </row>
    <row r="170" spans="1:7" x14ac:dyDescent="0.25">
      <c r="B170" s="6" t="s">
        <v>1459</v>
      </c>
    </row>
    <row r="171" spans="1:7" x14ac:dyDescent="0.25">
      <c r="B171" s="6" t="s">
        <v>1458</v>
      </c>
    </row>
    <row r="172" spans="1:7" x14ac:dyDescent="0.25">
      <c r="B172" s="6" t="s">
        <v>1457</v>
      </c>
    </row>
    <row r="173" spans="1:7" ht="15" customHeight="1" x14ac:dyDescent="0.25">
      <c r="B173" s="6" t="s">
        <v>1456</v>
      </c>
    </row>
    <row r="174" spans="1:7" ht="15" customHeight="1" x14ac:dyDescent="0.25">
      <c r="B174" s="491" t="s">
        <v>83</v>
      </c>
      <c r="C174" s="491"/>
      <c r="D174" s="491"/>
      <c r="E174" s="491"/>
      <c r="F174" s="491"/>
    </row>
    <row r="175" spans="1:7" x14ac:dyDescent="0.25">
      <c r="B175" s="395"/>
      <c r="C175" s="395"/>
      <c r="D175" s="395"/>
      <c r="E175" s="395"/>
      <c r="F175" s="395"/>
    </row>
    <row r="176" spans="1:7" x14ac:dyDescent="0.25">
      <c r="B176" s="395"/>
      <c r="C176" s="395"/>
      <c r="D176" s="395"/>
      <c r="E176" s="395"/>
      <c r="F176" s="395"/>
    </row>
    <row r="177" spans="2:6" x14ac:dyDescent="0.25">
      <c r="B177" s="395"/>
      <c r="C177" s="395"/>
      <c r="D177" s="395"/>
      <c r="E177" s="395"/>
      <c r="F177" s="395"/>
    </row>
    <row r="179" spans="2:6" ht="15" customHeight="1" x14ac:dyDescent="0.25">
      <c r="B179" s="71"/>
      <c r="C179" s="71"/>
      <c r="D179" s="71"/>
      <c r="E179" s="71"/>
      <c r="F179" s="71"/>
    </row>
    <row r="180" spans="2:6" x14ac:dyDescent="0.25">
      <c r="B180" s="71"/>
      <c r="C180" s="71"/>
      <c r="D180" s="71"/>
      <c r="E180" s="71"/>
      <c r="F180" s="71"/>
    </row>
    <row r="181" spans="2:6" x14ac:dyDescent="0.25">
      <c r="B181" s="71"/>
      <c r="C181" s="71"/>
      <c r="D181" s="71"/>
      <c r="E181" s="71"/>
      <c r="F181" s="71"/>
    </row>
    <row r="182" spans="2:6" x14ac:dyDescent="0.25">
      <c r="B182" s="71"/>
      <c r="C182" s="71"/>
      <c r="D182" s="71"/>
      <c r="E182" s="71"/>
      <c r="F182" s="71"/>
    </row>
    <row r="184" spans="2:6" ht="15" customHeight="1" x14ac:dyDescent="0.25">
      <c r="B184" s="71"/>
      <c r="C184" s="71"/>
      <c r="D184" s="71"/>
      <c r="E184" s="71"/>
      <c r="F184" s="71"/>
    </row>
    <row r="185" spans="2:6" x14ac:dyDescent="0.25">
      <c r="B185" s="71"/>
      <c r="C185" s="71"/>
      <c r="D185" s="71"/>
      <c r="E185" s="71"/>
      <c r="F185" s="71"/>
    </row>
    <row r="186" spans="2:6" x14ac:dyDescent="0.25">
      <c r="B186" s="71"/>
      <c r="C186" s="71"/>
      <c r="D186" s="71"/>
      <c r="E186" s="71"/>
      <c r="F186" s="71"/>
    </row>
  </sheetData>
  <printOptions horizontalCentered="1"/>
  <pageMargins left="1" right="1" top="1" bottom="1" header="0.5" footer="0.5"/>
  <pageSetup scale="69" fitToHeight="0" orientation="landscape" r:id="rId1"/>
  <headerFooter>
    <oddHeader>&amp;R&amp;F</oddHeader>
  </headerFooter>
  <rowBreaks count="1" manualBreakCount="1">
    <brk id="56" max="16383" man="1"/>
  </rowBreaks>
  <customProperties>
    <customPr name="_pios_id" r:id="rId2"/>
  </customPropertie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D0D5CC-5D92-4BE0-8464-3AD841E425D4}">
  <sheetPr>
    <pageSetUpPr fitToPage="1"/>
  </sheetPr>
  <dimension ref="A1:T75"/>
  <sheetViews>
    <sheetView view="pageBreakPreview" topLeftCell="A27" zoomScale="60" zoomScaleNormal="100" workbookViewId="0">
      <selection activeCell="Q36" sqref="Q36"/>
    </sheetView>
  </sheetViews>
  <sheetFormatPr defaultColWidth="9.140625" defaultRowHeight="15" x14ac:dyDescent="0.25"/>
  <cols>
    <col min="1" max="1" width="5.5703125" style="6" customWidth="1"/>
    <col min="2" max="2" width="54.140625" style="6" customWidth="1"/>
    <col min="3" max="3" width="24.42578125" style="6" customWidth="1"/>
    <col min="4" max="4" width="19" style="6" customWidth="1"/>
    <col min="5" max="5" width="18.85546875" style="6" bestFit="1" customWidth="1"/>
    <col min="6" max="6" width="24.5703125" style="6" customWidth="1"/>
    <col min="7" max="7" width="24.85546875" style="6" customWidth="1"/>
    <col min="8" max="8" width="15.140625" style="6" bestFit="1" customWidth="1"/>
    <col min="9" max="9" width="16.5703125" style="6" customWidth="1"/>
    <col min="10" max="10" width="23" style="6" bestFit="1" customWidth="1"/>
    <col min="11" max="11" width="6.85546875" style="6" bestFit="1" customWidth="1"/>
    <col min="12" max="16384" width="9.140625" style="6"/>
  </cols>
  <sheetData>
    <row r="1" spans="1:20" x14ac:dyDescent="0.25">
      <c r="B1" s="30" t="s">
        <v>1580</v>
      </c>
    </row>
    <row r="2" spans="1:20" x14ac:dyDescent="0.25">
      <c r="B2" s="515" t="s">
        <v>39</v>
      </c>
      <c r="C2" s="500"/>
      <c r="D2" s="500"/>
      <c r="E2" s="76"/>
      <c r="G2" s="76"/>
      <c r="J2" s="76" t="str">
        <f>CONCATENATE("Prior Year: ",'1-BaseTRR'!$G$3)</f>
        <v>Prior Year: 2025</v>
      </c>
    </row>
    <row r="3" spans="1:20" x14ac:dyDescent="0.25">
      <c r="B3" s="77" t="s">
        <v>367</v>
      </c>
      <c r="C3" s="500"/>
      <c r="D3" s="500"/>
      <c r="E3" s="76"/>
      <c r="F3" s="76"/>
      <c r="G3" s="76"/>
    </row>
    <row r="4" spans="1:20" x14ac:dyDescent="0.25">
      <c r="B4" s="500"/>
      <c r="C4" s="500"/>
      <c r="D4" s="500"/>
      <c r="E4" s="500"/>
      <c r="F4" s="500"/>
      <c r="G4" s="500"/>
    </row>
    <row r="5" spans="1:20" ht="15.75" customHeight="1" x14ac:dyDescent="0.25">
      <c r="A5" s="501"/>
      <c r="B5" s="500" t="s">
        <v>1579</v>
      </c>
      <c r="C5" s="500"/>
      <c r="D5" s="500"/>
      <c r="E5" s="500"/>
      <c r="F5" s="500"/>
      <c r="G5" s="500"/>
      <c r="N5" s="520"/>
      <c r="O5" s="520"/>
      <c r="P5" s="520"/>
      <c r="Q5" s="520"/>
      <c r="R5" s="520"/>
      <c r="S5" s="520"/>
      <c r="T5" s="520"/>
    </row>
    <row r="6" spans="1:20" x14ac:dyDescent="0.25">
      <c r="A6" s="501"/>
      <c r="B6" s="500" t="s">
        <v>1578</v>
      </c>
      <c r="C6" s="500"/>
      <c r="D6" s="500"/>
      <c r="E6" s="500"/>
      <c r="F6" s="500"/>
      <c r="G6" s="500"/>
    </row>
    <row r="7" spans="1:20" x14ac:dyDescent="0.25">
      <c r="A7" s="501"/>
      <c r="B7" s="500" t="s">
        <v>1577</v>
      </c>
      <c r="C7" s="500"/>
      <c r="D7" s="500"/>
      <c r="E7" s="500"/>
      <c r="F7" s="500"/>
      <c r="G7" s="500"/>
    </row>
    <row r="8" spans="1:20" x14ac:dyDescent="0.25">
      <c r="A8" s="501"/>
      <c r="B8" s="500"/>
      <c r="C8" s="500"/>
      <c r="D8" s="500"/>
      <c r="E8" s="500"/>
      <c r="F8" s="500"/>
      <c r="G8" s="500"/>
    </row>
    <row r="9" spans="1:20" x14ac:dyDescent="0.25">
      <c r="A9" s="501"/>
      <c r="B9" s="500" t="s">
        <v>1576</v>
      </c>
      <c r="C9" s="500"/>
      <c r="D9" s="500"/>
      <c r="E9" s="500"/>
      <c r="F9" s="500"/>
      <c r="G9" s="500"/>
    </row>
    <row r="10" spans="1:20" x14ac:dyDescent="0.25">
      <c r="A10" s="501"/>
      <c r="B10" s="500" t="s">
        <v>1575</v>
      </c>
      <c r="C10" s="500"/>
      <c r="D10" s="500"/>
      <c r="E10" s="500"/>
      <c r="F10" s="500"/>
      <c r="G10" s="500"/>
    </row>
    <row r="11" spans="1:20" x14ac:dyDescent="0.25">
      <c r="A11" s="501"/>
      <c r="B11" s="500"/>
      <c r="C11" s="500"/>
      <c r="D11" s="500"/>
      <c r="E11" s="500"/>
      <c r="F11" s="500"/>
      <c r="G11" s="500"/>
    </row>
    <row r="12" spans="1:20" x14ac:dyDescent="0.25">
      <c r="A12" s="501"/>
      <c r="B12" s="500" t="s">
        <v>1574</v>
      </c>
      <c r="C12" s="500"/>
      <c r="D12" s="500"/>
      <c r="E12" s="500"/>
      <c r="F12" s="500"/>
      <c r="G12" s="500"/>
    </row>
    <row r="13" spans="1:20" x14ac:dyDescent="0.25">
      <c r="A13" s="501"/>
      <c r="B13" s="500" t="s">
        <v>1573</v>
      </c>
      <c r="C13" s="500"/>
      <c r="D13" s="500"/>
      <c r="E13" s="500"/>
      <c r="F13" s="500"/>
      <c r="G13" s="500"/>
    </row>
    <row r="14" spans="1:20" x14ac:dyDescent="0.25">
      <c r="A14" s="501"/>
      <c r="B14" s="500" t="s">
        <v>1572</v>
      </c>
      <c r="C14" s="500"/>
      <c r="D14" s="500"/>
      <c r="E14" s="500"/>
      <c r="F14" s="500"/>
      <c r="G14" s="500"/>
    </row>
    <row r="15" spans="1:20" x14ac:dyDescent="0.25">
      <c r="A15" s="501"/>
      <c r="B15" s="500"/>
      <c r="C15" s="500"/>
      <c r="D15" s="500"/>
      <c r="E15" s="500"/>
      <c r="F15" s="500"/>
      <c r="G15" s="500"/>
    </row>
    <row r="16" spans="1:20" x14ac:dyDescent="0.25">
      <c r="A16" s="501"/>
      <c r="B16" s="83" t="s">
        <v>1571</v>
      </c>
      <c r="C16" s="35"/>
      <c r="D16" s="35"/>
      <c r="E16" s="35"/>
      <c r="F16" s="35"/>
      <c r="G16" s="35"/>
    </row>
    <row r="17" spans="1:11" x14ac:dyDescent="0.25">
      <c r="A17" s="501"/>
      <c r="B17" s="515" t="s">
        <v>413</v>
      </c>
      <c r="C17" s="500"/>
      <c r="D17" s="500"/>
      <c r="E17" s="500"/>
      <c r="F17" s="500"/>
      <c r="G17" s="500"/>
    </row>
    <row r="18" spans="1:11" x14ac:dyDescent="0.25">
      <c r="A18" s="501"/>
      <c r="B18" s="500" t="s">
        <v>1570</v>
      </c>
      <c r="C18" s="500"/>
      <c r="D18" s="500"/>
      <c r="E18" s="500"/>
      <c r="F18" s="500"/>
      <c r="G18" s="500"/>
    </row>
    <row r="19" spans="1:11" x14ac:dyDescent="0.25">
      <c r="A19" s="501"/>
      <c r="B19" s="500" t="s">
        <v>1569</v>
      </c>
    </row>
    <row r="20" spans="1:11" x14ac:dyDescent="0.25">
      <c r="A20" s="501"/>
      <c r="B20" s="519" t="s">
        <v>1568</v>
      </c>
    </row>
    <row r="21" spans="1:11" x14ac:dyDescent="0.25">
      <c r="A21" s="501"/>
      <c r="B21" s="519" t="s">
        <v>1567</v>
      </c>
    </row>
    <row r="22" spans="1:11" x14ac:dyDescent="0.25">
      <c r="A22" s="501"/>
      <c r="B22" s="500" t="s">
        <v>1566</v>
      </c>
    </row>
    <row r="23" spans="1:11" x14ac:dyDescent="0.25">
      <c r="A23" s="501"/>
      <c r="B23" s="500"/>
    </row>
    <row r="24" spans="1:11" x14ac:dyDescent="0.25">
      <c r="A24" s="501"/>
      <c r="B24" s="500"/>
      <c r="C24" s="500"/>
      <c r="D24" s="500"/>
      <c r="E24" s="501" t="s">
        <v>482</v>
      </c>
      <c r="F24" s="500"/>
      <c r="G24" s="500"/>
    </row>
    <row r="25" spans="1:11" x14ac:dyDescent="0.25">
      <c r="A25" s="508" t="s">
        <v>106</v>
      </c>
      <c r="B25" s="500"/>
      <c r="C25" s="500"/>
      <c r="D25" s="500"/>
      <c r="E25" s="508" t="s">
        <v>672</v>
      </c>
      <c r="F25" s="518" t="s">
        <v>1565</v>
      </c>
      <c r="G25" s="518"/>
      <c r="K25" s="508" t="str">
        <f>A25</f>
        <v>Line</v>
      </c>
    </row>
    <row r="26" spans="1:11" x14ac:dyDescent="0.25">
      <c r="A26" s="501">
        <v>100</v>
      </c>
      <c r="B26" s="500" t="s">
        <v>1564</v>
      </c>
      <c r="C26" s="500"/>
      <c r="D26" s="500"/>
      <c r="E26" s="517">
        <f>+D35</f>
        <v>0</v>
      </c>
      <c r="F26" s="500" t="s">
        <v>1563</v>
      </c>
      <c r="G26" s="500"/>
      <c r="K26" s="501">
        <f>A26</f>
        <v>100</v>
      </c>
    </row>
    <row r="27" spans="1:11" x14ac:dyDescent="0.25">
      <c r="A27" s="501">
        <f>A26+1</f>
        <v>101</v>
      </c>
      <c r="B27" s="500" t="s">
        <v>1562</v>
      </c>
      <c r="C27" s="500"/>
      <c r="D27" s="500"/>
      <c r="E27" s="517">
        <f>AVERAGE(C35:D35)</f>
        <v>0</v>
      </c>
      <c r="F27" s="500" t="s">
        <v>1561</v>
      </c>
      <c r="G27" s="500"/>
      <c r="K27" s="501">
        <f>A27</f>
        <v>101</v>
      </c>
    </row>
    <row r="28" spans="1:11" x14ac:dyDescent="0.25">
      <c r="A28" s="501">
        <f>A27+1</f>
        <v>102</v>
      </c>
      <c r="B28" s="500" t="s">
        <v>1560</v>
      </c>
      <c r="C28" s="500"/>
      <c r="D28" s="500"/>
      <c r="E28" s="517">
        <f>+E35</f>
        <v>0</v>
      </c>
      <c r="F28" s="500" t="s">
        <v>1559</v>
      </c>
      <c r="G28" s="500"/>
      <c r="K28" s="501">
        <f>A28</f>
        <v>102</v>
      </c>
    </row>
    <row r="29" spans="1:11" x14ac:dyDescent="0.25">
      <c r="A29" s="501"/>
      <c r="B29" s="500"/>
      <c r="C29" s="500"/>
      <c r="D29" s="500"/>
      <c r="E29" s="509"/>
      <c r="F29" s="500"/>
      <c r="G29" s="500"/>
      <c r="K29" s="501"/>
    </row>
    <row r="30" spans="1:11" x14ac:dyDescent="0.25">
      <c r="A30" s="501"/>
      <c r="B30" s="500"/>
      <c r="C30" s="516" t="s">
        <v>1558</v>
      </c>
      <c r="D30" s="516" t="s">
        <v>1557</v>
      </c>
      <c r="E30" s="516" t="s">
        <v>1556</v>
      </c>
      <c r="F30" s="500"/>
      <c r="G30" s="500"/>
      <c r="K30" s="501"/>
    </row>
    <row r="31" spans="1:11" x14ac:dyDescent="0.25">
      <c r="A31" s="501"/>
      <c r="B31" s="500"/>
      <c r="C31" s="501" t="s">
        <v>482</v>
      </c>
      <c r="D31" s="501" t="s">
        <v>482</v>
      </c>
      <c r="E31" s="501" t="s">
        <v>482</v>
      </c>
      <c r="F31" s="500"/>
      <c r="G31" s="500"/>
      <c r="K31" s="501"/>
    </row>
    <row r="32" spans="1:11" x14ac:dyDescent="0.25">
      <c r="A32" s="501"/>
      <c r="B32" s="501" t="s">
        <v>1555</v>
      </c>
      <c r="C32" s="501" t="s">
        <v>1554</v>
      </c>
      <c r="D32" s="501" t="s">
        <v>932</v>
      </c>
      <c r="E32" s="30" t="s">
        <v>1553</v>
      </c>
      <c r="F32" s="515" t="s">
        <v>1552</v>
      </c>
      <c r="G32" s="515"/>
      <c r="K32" s="501"/>
    </row>
    <row r="33" spans="1:11" x14ac:dyDescent="0.25">
      <c r="A33" s="508"/>
      <c r="B33" s="501" t="s">
        <v>1551</v>
      </c>
      <c r="C33" s="501" t="s">
        <v>1550</v>
      </c>
      <c r="D33" s="501" t="s">
        <v>1550</v>
      </c>
      <c r="E33" s="501" t="s">
        <v>1549</v>
      </c>
      <c r="F33" s="515" t="s">
        <v>1548</v>
      </c>
      <c r="G33" s="515"/>
      <c r="K33" s="501"/>
    </row>
    <row r="34" spans="1:11" x14ac:dyDescent="0.25">
      <c r="A34" s="508" t="s">
        <v>106</v>
      </c>
      <c r="B34" s="508" t="s">
        <v>1547</v>
      </c>
      <c r="C34" s="508" t="s">
        <v>1547</v>
      </c>
      <c r="D34" s="508" t="s">
        <v>1547</v>
      </c>
      <c r="E34" s="508" t="s">
        <v>1546</v>
      </c>
      <c r="F34" s="514" t="s">
        <v>1545</v>
      </c>
      <c r="G34" s="508" t="s">
        <v>154</v>
      </c>
      <c r="K34" s="508" t="str">
        <f>A34</f>
        <v>Line</v>
      </c>
    </row>
    <row r="35" spans="1:11" ht="15.75" thickBot="1" x14ac:dyDescent="0.3">
      <c r="A35" s="513">
        <f>A28+1</f>
        <v>103</v>
      </c>
      <c r="B35" s="510" t="s">
        <v>1544</v>
      </c>
      <c r="C35" s="512">
        <f>SUM(C37:C39)</f>
        <v>0</v>
      </c>
      <c r="D35" s="512">
        <f>SUM(D37:D39)</f>
        <v>0</v>
      </c>
      <c r="E35" s="511">
        <f>SUM(E37:E39)</f>
        <v>0</v>
      </c>
      <c r="F35" s="510"/>
      <c r="G35" s="510"/>
      <c r="K35" s="501">
        <f>A35</f>
        <v>103</v>
      </c>
    </row>
    <row r="36" spans="1:11" ht="15.75" thickTop="1" x14ac:dyDescent="0.25">
      <c r="A36" s="501"/>
      <c r="B36" s="500"/>
      <c r="C36" s="509"/>
      <c r="D36" s="509"/>
      <c r="E36" s="509"/>
      <c r="F36" s="500"/>
      <c r="G36" s="500"/>
      <c r="K36" s="508"/>
    </row>
    <row r="37" spans="1:11" x14ac:dyDescent="0.25">
      <c r="A37" s="501">
        <f>A35+1</f>
        <v>104</v>
      </c>
      <c r="B37" s="502" t="s">
        <v>1543</v>
      </c>
      <c r="C37" s="504"/>
      <c r="D37" s="504"/>
      <c r="E37" s="507"/>
      <c r="F37" s="502"/>
      <c r="G37" s="502"/>
      <c r="K37" s="501">
        <f>A37</f>
        <v>104</v>
      </c>
    </row>
    <row r="38" spans="1:11" x14ac:dyDescent="0.25">
      <c r="A38" s="501">
        <f>A37+1</f>
        <v>105</v>
      </c>
      <c r="B38" s="502" t="s">
        <v>1542</v>
      </c>
      <c r="C38" s="504"/>
      <c r="D38" s="504"/>
      <c r="E38" s="507"/>
      <c r="F38" s="502"/>
      <c r="G38" s="502"/>
      <c r="K38" s="501">
        <f>A38</f>
        <v>105</v>
      </c>
    </row>
    <row r="39" spans="1:11" x14ac:dyDescent="0.25">
      <c r="A39" s="501">
        <f>A38+1</f>
        <v>106</v>
      </c>
      <c r="B39" s="502" t="s">
        <v>1541</v>
      </c>
      <c r="C39" s="505"/>
      <c r="D39" s="504"/>
      <c r="E39" s="503"/>
      <c r="F39" s="502"/>
      <c r="G39" s="502"/>
      <c r="K39" s="501">
        <f>A39</f>
        <v>106</v>
      </c>
    </row>
    <row r="40" spans="1:11" x14ac:dyDescent="0.25">
      <c r="A40" s="501">
        <f>A39+1</f>
        <v>107</v>
      </c>
      <c r="B40" s="506" t="s">
        <v>83</v>
      </c>
      <c r="C40" s="505"/>
      <c r="D40" s="504"/>
      <c r="E40" s="503"/>
      <c r="F40" s="502"/>
      <c r="G40" s="502"/>
      <c r="K40" s="501">
        <f>A40</f>
        <v>107</v>
      </c>
    </row>
    <row r="41" spans="1:11" x14ac:dyDescent="0.25">
      <c r="A41" s="501"/>
      <c r="B41" s="500"/>
      <c r="C41" s="500"/>
      <c r="D41" s="500"/>
      <c r="E41" s="500"/>
      <c r="F41" s="500"/>
      <c r="G41" s="500"/>
      <c r="H41" s="501"/>
    </row>
    <row r="42" spans="1:11" x14ac:dyDescent="0.25">
      <c r="A42" s="501"/>
    </row>
    <row r="43" spans="1:11" x14ac:dyDescent="0.25">
      <c r="A43" s="501"/>
      <c r="B43" s="500"/>
    </row>
    <row r="44" spans="1:11" x14ac:dyDescent="0.25">
      <c r="A44" s="8"/>
      <c r="B44" s="83" t="s">
        <v>1540</v>
      </c>
      <c r="C44" s="301"/>
      <c r="D44" s="437"/>
      <c r="E44" s="437"/>
      <c r="F44" s="436"/>
      <c r="G44" s="436"/>
      <c r="H44" s="436"/>
      <c r="I44" s="435"/>
      <c r="J44" s="35"/>
    </row>
    <row r="45" spans="1:11" x14ac:dyDescent="0.25">
      <c r="A45" s="8"/>
      <c r="B45" s="30"/>
      <c r="C45" s="284"/>
      <c r="D45" s="497"/>
      <c r="E45" s="497"/>
      <c r="F45" s="457"/>
      <c r="G45" s="457"/>
      <c r="H45" s="457"/>
      <c r="I45" s="47"/>
    </row>
    <row r="46" spans="1:11" x14ac:dyDescent="0.25">
      <c r="A46" s="33" t="s">
        <v>106</v>
      </c>
      <c r="B46" s="33" t="s">
        <v>79</v>
      </c>
      <c r="C46" s="33" t="s">
        <v>1539</v>
      </c>
      <c r="D46" s="297" t="s">
        <v>154</v>
      </c>
      <c r="E46" s="497"/>
      <c r="F46" s="457"/>
      <c r="G46" s="457"/>
      <c r="H46" s="457"/>
      <c r="I46" s="47"/>
      <c r="K46" s="33" t="s">
        <v>106</v>
      </c>
    </row>
    <row r="47" spans="1:11" ht="75" x14ac:dyDescent="0.25">
      <c r="A47" s="8">
        <v>200</v>
      </c>
      <c r="B47" s="499" t="s">
        <v>1538</v>
      </c>
      <c r="C47" s="428">
        <f>IF(B57=2017,0,('17-RegAssets-2'!AP24+'17-RegAssets-3'!AR24))</f>
        <v>-468898576.4737128</v>
      </c>
      <c r="D47" s="498" t="s">
        <v>1537</v>
      </c>
      <c r="E47" s="497"/>
      <c r="F47" s="457"/>
      <c r="G47" s="457"/>
      <c r="H47" s="457"/>
      <c r="I47" s="47"/>
      <c r="K47" s="8">
        <f>A47</f>
        <v>200</v>
      </c>
    </row>
    <row r="48" spans="1:11" ht="60" x14ac:dyDescent="0.25">
      <c r="A48" s="8">
        <f>A47+1</f>
        <v>201</v>
      </c>
      <c r="B48" s="499" t="s">
        <v>1536</v>
      </c>
      <c r="C48" s="428">
        <f>+'17-RegAssets-2'!BD24+'17-RegAssets-3'!BF24</f>
        <v>-440918537.60034561</v>
      </c>
      <c r="D48" s="498" t="s">
        <v>1535</v>
      </c>
      <c r="E48" s="497"/>
      <c r="F48" s="457"/>
      <c r="G48" s="457"/>
      <c r="H48" s="457"/>
      <c r="I48" s="47"/>
      <c r="K48" s="8">
        <f>A48</f>
        <v>201</v>
      </c>
    </row>
    <row r="49" spans="1:11" x14ac:dyDescent="0.25">
      <c r="A49" s="8">
        <f>A48+1</f>
        <v>202</v>
      </c>
      <c r="B49" s="185" t="s">
        <v>1534</v>
      </c>
      <c r="C49" s="428">
        <f>J70</f>
        <v>-455937047.05041099</v>
      </c>
      <c r="D49" s="296" t="s">
        <v>1533</v>
      </c>
      <c r="E49" s="497"/>
      <c r="F49" s="457"/>
      <c r="G49" s="457"/>
      <c r="H49" s="457"/>
      <c r="I49" s="47"/>
      <c r="K49" s="8">
        <f>A49</f>
        <v>202</v>
      </c>
    </row>
    <row r="50" spans="1:11" x14ac:dyDescent="0.25">
      <c r="A50" s="8"/>
      <c r="B50" s="30"/>
      <c r="C50" s="284"/>
      <c r="D50" s="497"/>
      <c r="E50" s="497"/>
      <c r="F50" s="457"/>
      <c r="G50" s="457"/>
      <c r="H50" s="457"/>
      <c r="I50" s="47"/>
      <c r="K50" s="8"/>
    </row>
    <row r="51" spans="1:11" x14ac:dyDescent="0.25">
      <c r="A51" s="8"/>
      <c r="C51" s="175" t="s">
        <v>492</v>
      </c>
      <c r="D51" s="175" t="s">
        <v>491</v>
      </c>
      <c r="E51" s="175" t="s">
        <v>490</v>
      </c>
      <c r="F51" s="175" t="s">
        <v>489</v>
      </c>
      <c r="G51" s="175" t="s">
        <v>519</v>
      </c>
      <c r="H51" s="175" t="s">
        <v>518</v>
      </c>
      <c r="I51" s="175" t="s">
        <v>517</v>
      </c>
      <c r="J51" s="175" t="s">
        <v>538</v>
      </c>
      <c r="K51" s="8"/>
    </row>
    <row r="52" spans="1:11" x14ac:dyDescent="0.25">
      <c r="A52" s="8"/>
      <c r="C52" s="284"/>
      <c r="D52" s="433" t="s">
        <v>1332</v>
      </c>
      <c r="E52" s="433" t="s">
        <v>1331</v>
      </c>
      <c r="F52" s="424"/>
      <c r="G52" s="424"/>
      <c r="H52" s="433" t="s">
        <v>1330</v>
      </c>
      <c r="I52" s="183" t="s">
        <v>1329</v>
      </c>
      <c r="J52" s="433" t="s">
        <v>1328</v>
      </c>
      <c r="K52" s="8"/>
    </row>
    <row r="53" spans="1:11" x14ac:dyDescent="0.25">
      <c r="A53" s="8"/>
      <c r="C53" s="284"/>
      <c r="D53" s="425"/>
      <c r="E53" s="425"/>
      <c r="F53" s="424"/>
      <c r="G53" s="424"/>
      <c r="H53" s="424"/>
      <c r="I53" s="47"/>
      <c r="K53" s="8"/>
    </row>
    <row r="54" spans="1:11" x14ac:dyDescent="0.25">
      <c r="A54" s="8"/>
      <c r="C54" s="297"/>
      <c r="D54" s="433" t="s">
        <v>1327</v>
      </c>
      <c r="E54" s="433" t="s">
        <v>1326</v>
      </c>
      <c r="F54" s="433"/>
      <c r="G54" s="433" t="s">
        <v>1325</v>
      </c>
      <c r="H54" s="433" t="s">
        <v>1307</v>
      </c>
      <c r="I54" s="8" t="s">
        <v>1323</v>
      </c>
      <c r="J54" s="8" t="s">
        <v>1322</v>
      </c>
      <c r="K54" s="8"/>
    </row>
    <row r="55" spans="1:11" x14ac:dyDescent="0.25">
      <c r="A55" s="33" t="s">
        <v>106</v>
      </c>
      <c r="B55" s="33" t="s">
        <v>510</v>
      </c>
      <c r="C55" s="297" t="s">
        <v>1321</v>
      </c>
      <c r="D55" s="432" t="s">
        <v>1320</v>
      </c>
      <c r="E55" s="432" t="s">
        <v>1319</v>
      </c>
      <c r="F55" s="432" t="s">
        <v>1318</v>
      </c>
      <c r="G55" s="432" t="s">
        <v>1317</v>
      </c>
      <c r="H55" s="432" t="s">
        <v>1304</v>
      </c>
      <c r="I55" s="33" t="s">
        <v>1316</v>
      </c>
      <c r="J55" s="33" t="s">
        <v>1315</v>
      </c>
      <c r="K55" s="33" t="str">
        <f>A55</f>
        <v>Line</v>
      </c>
    </row>
    <row r="56" spans="1:11" ht="30" x14ac:dyDescent="0.25">
      <c r="A56" s="8">
        <f>A49+1</f>
        <v>203</v>
      </c>
      <c r="C56" s="71" t="s">
        <v>1532</v>
      </c>
      <c r="D56" s="431"/>
      <c r="E56" s="276">
        <f>+C47</f>
        <v>-468898576.4737128</v>
      </c>
      <c r="F56" s="424"/>
      <c r="G56" s="71">
        <f>+G57+F57-G68</f>
        <v>365</v>
      </c>
      <c r="H56" s="429">
        <f>1</f>
        <v>1</v>
      </c>
      <c r="I56" s="157"/>
      <c r="J56" s="96">
        <f>+E56</f>
        <v>-468898576.4737128</v>
      </c>
      <c r="K56" s="8">
        <f>A56</f>
        <v>203</v>
      </c>
    </row>
    <row r="57" spans="1:11" x14ac:dyDescent="0.25">
      <c r="A57" s="8">
        <f>A56+1</f>
        <v>204</v>
      </c>
      <c r="B57" s="23">
        <f>'1-BaseTRR'!$G$3</f>
        <v>2025</v>
      </c>
      <c r="C57" s="71" t="s">
        <v>478</v>
      </c>
      <c r="D57" s="276">
        <f>(-$C$47+$C$48)/12</f>
        <v>2331669.9061139324</v>
      </c>
      <c r="E57" s="276">
        <f>E56+D57</f>
        <v>-466566906.56759888</v>
      </c>
      <c r="F57" s="71">
        <v>31</v>
      </c>
      <c r="G57" s="71">
        <f>+G58+F58</f>
        <v>335</v>
      </c>
      <c r="H57" s="429">
        <f>G57/G56</f>
        <v>0.9178082191780822</v>
      </c>
      <c r="I57" s="428">
        <f>D57*H57</f>
        <v>2140025.8042415543</v>
      </c>
      <c r="J57" s="96">
        <f>J56+I57</f>
        <v>-466758550.66947126</v>
      </c>
      <c r="K57" s="8">
        <f>A57</f>
        <v>204</v>
      </c>
    </row>
    <row r="58" spans="1:11" x14ac:dyDescent="0.25">
      <c r="A58" s="8">
        <f>A57+1</f>
        <v>205</v>
      </c>
      <c r="B58" s="23">
        <f>'1-BaseTRR'!$G$3</f>
        <v>2025</v>
      </c>
      <c r="C58" s="71" t="s">
        <v>477</v>
      </c>
      <c r="D58" s="276">
        <f>(-$C$47+$C$48)/12</f>
        <v>2331669.9061139324</v>
      </c>
      <c r="E58" s="276">
        <f>E57+D58</f>
        <v>-464235236.66148496</v>
      </c>
      <c r="F58" s="430">
        <v>28</v>
      </c>
      <c r="G58" s="71">
        <f>+G59+F59</f>
        <v>307</v>
      </c>
      <c r="H58" s="429">
        <f>G58/G56</f>
        <v>0.84109589041095889</v>
      </c>
      <c r="I58" s="428">
        <f>D58*H58</f>
        <v>1961157.9758273349</v>
      </c>
      <c r="J58" s="96">
        <f>J57+I58</f>
        <v>-464797392.69364393</v>
      </c>
      <c r="K58" s="8">
        <f>A58</f>
        <v>205</v>
      </c>
    </row>
    <row r="59" spans="1:11" x14ac:dyDescent="0.25">
      <c r="A59" s="8">
        <f>A58+1</f>
        <v>206</v>
      </c>
      <c r="B59" s="23">
        <f>'1-BaseTRR'!$G$3</f>
        <v>2025</v>
      </c>
      <c r="C59" s="71" t="s">
        <v>476</v>
      </c>
      <c r="D59" s="276">
        <f>(-$C$47+$C$48)/12</f>
        <v>2331669.9061139324</v>
      </c>
      <c r="E59" s="276">
        <f>E58+D59</f>
        <v>-461903566.75537103</v>
      </c>
      <c r="F59" s="71">
        <v>31</v>
      </c>
      <c r="G59" s="71">
        <f>+G60+F60</f>
        <v>276</v>
      </c>
      <c r="H59" s="429">
        <f>G59/G56</f>
        <v>0.75616438356164384</v>
      </c>
      <c r="I59" s="428">
        <f>D59*H59</f>
        <v>1763125.7372258776</v>
      </c>
      <c r="J59" s="96">
        <f>J58+I59</f>
        <v>-463034266.95641804</v>
      </c>
      <c r="K59" s="8">
        <f>A59</f>
        <v>206</v>
      </c>
    </row>
    <row r="60" spans="1:11" x14ac:dyDescent="0.25">
      <c r="A60" s="8">
        <f>A59+1</f>
        <v>207</v>
      </c>
      <c r="B60" s="23">
        <f>'1-BaseTRR'!$G$3</f>
        <v>2025</v>
      </c>
      <c r="C60" s="71" t="s">
        <v>475</v>
      </c>
      <c r="D60" s="276">
        <f>(-$C$47+$C$48)/12</f>
        <v>2331669.9061139324</v>
      </c>
      <c r="E60" s="276">
        <f>E59+D60</f>
        <v>-459571896.84925711</v>
      </c>
      <c r="F60" s="71">
        <v>30</v>
      </c>
      <c r="G60" s="71">
        <f>+G61+F61</f>
        <v>246</v>
      </c>
      <c r="H60" s="429">
        <f>G60/G56</f>
        <v>0.67397260273972603</v>
      </c>
      <c r="I60" s="428">
        <f>D60*H60</f>
        <v>1571481.6353534996</v>
      </c>
      <c r="J60" s="96">
        <f>J59+I60</f>
        <v>-461462785.32106453</v>
      </c>
      <c r="K60" s="8">
        <f>A60</f>
        <v>207</v>
      </c>
    </row>
    <row r="61" spans="1:11" x14ac:dyDescent="0.25">
      <c r="A61" s="8">
        <f>A60+1</f>
        <v>208</v>
      </c>
      <c r="B61" s="23">
        <f>'1-BaseTRR'!$G$3</f>
        <v>2025</v>
      </c>
      <c r="C61" s="71" t="s">
        <v>474</v>
      </c>
      <c r="D61" s="276">
        <f>(-$C$47+$C$48)/12</f>
        <v>2331669.9061139324</v>
      </c>
      <c r="E61" s="276">
        <f>E60+D61</f>
        <v>-457240226.94314319</v>
      </c>
      <c r="F61" s="71">
        <v>31</v>
      </c>
      <c r="G61" s="71">
        <f>+G62+F62</f>
        <v>215</v>
      </c>
      <c r="H61" s="429">
        <f>G61/G56</f>
        <v>0.58904109589041098</v>
      </c>
      <c r="I61" s="428">
        <f>D61*H61</f>
        <v>1373449.3967520425</v>
      </c>
      <c r="J61" s="96">
        <f>J60+I61</f>
        <v>-460089335.92431247</v>
      </c>
      <c r="K61" s="8">
        <f>A61</f>
        <v>208</v>
      </c>
    </row>
    <row r="62" spans="1:11" x14ac:dyDescent="0.25">
      <c r="A62" s="8">
        <f>A61+1</f>
        <v>209</v>
      </c>
      <c r="B62" s="23">
        <f>'1-BaseTRR'!$G$3</f>
        <v>2025</v>
      </c>
      <c r="C62" s="71" t="s">
        <v>763</v>
      </c>
      <c r="D62" s="276">
        <f>(-$C$47+$C$48)/12</f>
        <v>2331669.9061139324</v>
      </c>
      <c r="E62" s="276">
        <f>E61+D62</f>
        <v>-454908557.03702927</v>
      </c>
      <c r="F62" s="71">
        <v>30</v>
      </c>
      <c r="G62" s="71">
        <f>+G63+F63</f>
        <v>185</v>
      </c>
      <c r="H62" s="429">
        <f>G62/G56</f>
        <v>0.50684931506849318</v>
      </c>
      <c r="I62" s="428">
        <f>D62*H62</f>
        <v>1181805.2948796644</v>
      </c>
      <c r="J62" s="96">
        <f>J61+I62</f>
        <v>-458907530.6294328</v>
      </c>
      <c r="K62" s="8">
        <f>A62</f>
        <v>209</v>
      </c>
    </row>
    <row r="63" spans="1:11" x14ac:dyDescent="0.25">
      <c r="A63" s="8">
        <f>A62+1</f>
        <v>210</v>
      </c>
      <c r="B63" s="23">
        <f>'1-BaseTRR'!$G$3</f>
        <v>2025</v>
      </c>
      <c r="C63" s="71" t="s">
        <v>472</v>
      </c>
      <c r="D63" s="276">
        <f>(-$C$47+$C$48)/12</f>
        <v>2331669.9061139324</v>
      </c>
      <c r="E63" s="276">
        <f>E62+D63</f>
        <v>-452576887.13091534</v>
      </c>
      <c r="F63" s="71">
        <v>31</v>
      </c>
      <c r="G63" s="71">
        <f>+G64+F64</f>
        <v>154</v>
      </c>
      <c r="H63" s="429">
        <f>G63/G56</f>
        <v>0.42191780821917807</v>
      </c>
      <c r="I63" s="428">
        <f>D63*H63</f>
        <v>983773.05627820711</v>
      </c>
      <c r="J63" s="96">
        <f>J62+I63</f>
        <v>-457923757.57315457</v>
      </c>
      <c r="K63" s="8">
        <f>A63</f>
        <v>210</v>
      </c>
    </row>
    <row r="64" spans="1:11" x14ac:dyDescent="0.25">
      <c r="A64" s="8">
        <f>A63+1</f>
        <v>211</v>
      </c>
      <c r="B64" s="23">
        <f>'1-BaseTRR'!$G$3</f>
        <v>2025</v>
      </c>
      <c r="C64" s="71" t="s">
        <v>471</v>
      </c>
      <c r="D64" s="276">
        <f>(-$C$47+$C$48)/12</f>
        <v>2331669.9061139324</v>
      </c>
      <c r="E64" s="276">
        <f>E63+D64</f>
        <v>-450245217.22480142</v>
      </c>
      <c r="F64" s="71">
        <v>31</v>
      </c>
      <c r="G64" s="71">
        <f>+G65+F65</f>
        <v>123</v>
      </c>
      <c r="H64" s="429">
        <f>G64/G56</f>
        <v>0.33698630136986302</v>
      </c>
      <c r="I64" s="428">
        <f>D64*H64</f>
        <v>785740.81767674978</v>
      </c>
      <c r="J64" s="96">
        <f>J63+I64</f>
        <v>-457138016.75547785</v>
      </c>
      <c r="K64" s="8">
        <f>A64</f>
        <v>211</v>
      </c>
    </row>
    <row r="65" spans="1:11" x14ac:dyDescent="0.25">
      <c r="A65" s="8">
        <f>A64+1</f>
        <v>212</v>
      </c>
      <c r="B65" s="23">
        <f>'1-BaseTRR'!$G$3</f>
        <v>2025</v>
      </c>
      <c r="C65" s="71" t="s">
        <v>470</v>
      </c>
      <c r="D65" s="276">
        <f>(-$C$47+$C$48)/12</f>
        <v>2331669.9061139324</v>
      </c>
      <c r="E65" s="276">
        <f>E64+D65</f>
        <v>-447913547.3186875</v>
      </c>
      <c r="F65" s="71">
        <v>30</v>
      </c>
      <c r="G65" s="71">
        <f>+G66+F66</f>
        <v>93</v>
      </c>
      <c r="H65" s="429">
        <f>G65/G56</f>
        <v>0.25479452054794521</v>
      </c>
      <c r="I65" s="428">
        <f>D65*H65</f>
        <v>594096.71580437187</v>
      </c>
      <c r="J65" s="96">
        <f>J64+I65</f>
        <v>-456543920.03967345</v>
      </c>
      <c r="K65" s="8">
        <f>A65</f>
        <v>212</v>
      </c>
    </row>
    <row r="66" spans="1:11" x14ac:dyDescent="0.25">
      <c r="A66" s="8">
        <f>A65+1</f>
        <v>213</v>
      </c>
      <c r="B66" s="23">
        <f>'1-BaseTRR'!$G$3</f>
        <v>2025</v>
      </c>
      <c r="C66" s="71" t="s">
        <v>469</v>
      </c>
      <c r="D66" s="276">
        <f>(-$C$47+$C$48)/12</f>
        <v>2331669.9061139324</v>
      </c>
      <c r="E66" s="276">
        <f>E65+D66</f>
        <v>-445581877.41257358</v>
      </c>
      <c r="F66" s="71">
        <v>31</v>
      </c>
      <c r="G66" s="71">
        <f>+G67+F67</f>
        <v>62</v>
      </c>
      <c r="H66" s="429">
        <f>G66/G56</f>
        <v>0.16986301369863013</v>
      </c>
      <c r="I66" s="428">
        <f>D66*H66</f>
        <v>396064.47720291454</v>
      </c>
      <c r="J66" s="96">
        <f>J65+I66</f>
        <v>-456147855.56247056</v>
      </c>
      <c r="K66" s="8">
        <f>A66</f>
        <v>213</v>
      </c>
    </row>
    <row r="67" spans="1:11" x14ac:dyDescent="0.25">
      <c r="A67" s="8">
        <f>A66+1</f>
        <v>214</v>
      </c>
      <c r="B67" s="23">
        <f>'1-BaseTRR'!$G$3</f>
        <v>2025</v>
      </c>
      <c r="C67" s="71" t="s">
        <v>468</v>
      </c>
      <c r="D67" s="276">
        <f>(-$C$47+$C$48)/12</f>
        <v>2331669.9061139324</v>
      </c>
      <c r="E67" s="276">
        <f>E66+D67</f>
        <v>-443250207.50645965</v>
      </c>
      <c r="F67" s="71">
        <v>30</v>
      </c>
      <c r="G67" s="71">
        <f>+G68+F68</f>
        <v>32</v>
      </c>
      <c r="H67" s="429">
        <f>G67/G56</f>
        <v>8.7671232876712329E-2</v>
      </c>
      <c r="I67" s="428">
        <f>D67*H67</f>
        <v>204420.37533053654</v>
      </c>
      <c r="J67" s="96">
        <f>J66+I67</f>
        <v>-455943435.18714005</v>
      </c>
      <c r="K67" s="8">
        <f>A67</f>
        <v>214</v>
      </c>
    </row>
    <row r="68" spans="1:11" x14ac:dyDescent="0.25">
      <c r="A68" s="8">
        <f>A67+1</f>
        <v>215</v>
      </c>
      <c r="B68" s="23">
        <f>'1-BaseTRR'!$G$3</f>
        <v>2025</v>
      </c>
      <c r="C68" s="71" t="s">
        <v>467</v>
      </c>
      <c r="D68" s="276">
        <f>(-$C$47+$C$48)/12</f>
        <v>2331669.9061139324</v>
      </c>
      <c r="E68" s="276">
        <f>E67+D68</f>
        <v>-440918537.60034573</v>
      </c>
      <c r="F68" s="71">
        <v>31</v>
      </c>
      <c r="G68" s="430">
        <v>1</v>
      </c>
      <c r="H68" s="429">
        <f>G68/G56</f>
        <v>2.7397260273972603E-3</v>
      </c>
      <c r="I68" s="428">
        <f>D68*H68</f>
        <v>6388.1367290792668</v>
      </c>
      <c r="J68" s="496">
        <f>J67+I68</f>
        <v>-455937047.05041099</v>
      </c>
      <c r="K68" s="8">
        <f>A68</f>
        <v>215</v>
      </c>
    </row>
    <row r="69" spans="1:11" x14ac:dyDescent="0.25">
      <c r="A69" s="8">
        <f>A68+1</f>
        <v>216</v>
      </c>
      <c r="C69" s="71" t="s">
        <v>504</v>
      </c>
      <c r="D69" s="276"/>
      <c r="E69" s="276">
        <f>C48</f>
        <v>-440918537.60034561</v>
      </c>
      <c r="F69" s="424"/>
      <c r="G69" s="424"/>
      <c r="H69" s="424"/>
      <c r="I69" s="47"/>
      <c r="J69" s="426"/>
      <c r="K69" s="8">
        <f>A69</f>
        <v>216</v>
      </c>
    </row>
    <row r="70" spans="1:11" x14ac:dyDescent="0.25">
      <c r="A70" s="8">
        <f>A69+1</f>
        <v>217</v>
      </c>
      <c r="C70" s="284"/>
      <c r="D70" s="425"/>
      <c r="E70" s="425"/>
      <c r="F70" s="424"/>
      <c r="G70" s="424"/>
      <c r="H70" s="424"/>
      <c r="I70" s="423" t="s">
        <v>1313</v>
      </c>
      <c r="J70" s="422">
        <f>+J68</f>
        <v>-455937047.05041099</v>
      </c>
      <c r="K70" s="8">
        <f>A70</f>
        <v>217</v>
      </c>
    </row>
    <row r="72" spans="1:11" x14ac:dyDescent="0.25">
      <c r="B72" s="6" t="s">
        <v>145</v>
      </c>
    </row>
    <row r="73" spans="1:11" x14ac:dyDescent="0.25">
      <c r="B73" s="6" t="s">
        <v>1531</v>
      </c>
    </row>
    <row r="74" spans="1:11" x14ac:dyDescent="0.25">
      <c r="B74" s="6" t="s">
        <v>1530</v>
      </c>
    </row>
    <row r="75" spans="1:11" x14ac:dyDescent="0.25">
      <c r="B75" s="89" t="s">
        <v>83</v>
      </c>
      <c r="C75" s="89"/>
      <c r="D75" s="89"/>
      <c r="E75" s="89"/>
    </row>
  </sheetData>
  <mergeCells count="1">
    <mergeCell ref="N5:T5"/>
  </mergeCells>
  <printOptions horizontalCentered="1"/>
  <pageMargins left="1" right="1" top="1" bottom="1" header="0.5" footer="0.5"/>
  <pageSetup scale="49" fitToHeight="0" orientation="landscape" r:id="rId1"/>
  <headerFooter>
    <oddHeader>&amp;R&amp;F</oddHeader>
  </headerFooter>
  <rowBreaks count="1" manualBreakCount="1">
    <brk id="47" max="10" man="1"/>
  </rowBreaks>
  <customProperties>
    <customPr name="_pios_id" r:id="rId2"/>
  </customPropertie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B2CDA0-F82C-438B-ACEF-FE7F87E7C685}">
  <sheetPr>
    <pageSetUpPr fitToPage="1"/>
  </sheetPr>
  <dimension ref="A1:BH144"/>
  <sheetViews>
    <sheetView view="pageBreakPreview" topLeftCell="S3" zoomScale="60" zoomScaleNormal="100" workbookViewId="0">
      <selection activeCell="Q36" sqref="Q36"/>
    </sheetView>
  </sheetViews>
  <sheetFormatPr defaultColWidth="9.140625" defaultRowHeight="12.75" x14ac:dyDescent="0.2"/>
  <cols>
    <col min="1" max="1" width="6.85546875" style="521" bestFit="1" customWidth="1"/>
    <col min="2" max="2" width="41.85546875" style="521" customWidth="1"/>
    <col min="3" max="3" width="27.85546875" style="521" bestFit="1" customWidth="1"/>
    <col min="4" max="4" width="38.85546875" style="521" customWidth="1"/>
    <col min="5" max="5" width="1.85546875" style="521" customWidth="1"/>
    <col min="6" max="6" width="15.85546875" style="521" bestFit="1" customWidth="1"/>
    <col min="7" max="7" width="1.85546875" style="521" customWidth="1"/>
    <col min="8" max="8" width="14.140625" style="521" bestFit="1" customWidth="1"/>
    <col min="9" max="9" width="1.85546875" style="521" customWidth="1"/>
    <col min="10" max="10" width="19.85546875" style="521" bestFit="1" customWidth="1"/>
    <col min="11" max="11" width="1.85546875" style="521" customWidth="1"/>
    <col min="12" max="12" width="15.85546875" style="521" bestFit="1" customWidth="1"/>
    <col min="13" max="13" width="1.85546875" style="521" customWidth="1"/>
    <col min="14" max="14" width="17.42578125" style="521" bestFit="1" customWidth="1"/>
    <col min="15" max="15" width="1.85546875" style="521" customWidth="1"/>
    <col min="16" max="16" width="22.140625" style="521" customWidth="1"/>
    <col min="17" max="17" width="1.85546875" style="521" customWidth="1"/>
    <col min="18" max="18" width="14.85546875" style="521" bestFit="1" customWidth="1"/>
    <col min="19" max="19" width="1.85546875" style="521" customWidth="1"/>
    <col min="20" max="20" width="14.85546875" style="521" bestFit="1" customWidth="1"/>
    <col min="21" max="21" width="1.85546875" style="521" customWidth="1"/>
    <col min="22" max="22" width="17.85546875" style="521" bestFit="1" customWidth="1"/>
    <col min="23" max="23" width="1.85546875" style="521" customWidth="1"/>
    <col min="24" max="24" width="17.140625" style="521" customWidth="1"/>
    <col min="25" max="25" width="1.85546875" style="521" customWidth="1"/>
    <col min="26" max="26" width="24.5703125" style="521" bestFit="1" customWidth="1"/>
    <col min="27" max="27" width="1.85546875" style="521" customWidth="1"/>
    <col min="28" max="28" width="18.85546875" style="521" customWidth="1"/>
    <col min="29" max="29" width="1.85546875" style="521" customWidth="1"/>
    <col min="30" max="30" width="18.5703125" style="521" customWidth="1"/>
    <col min="31" max="31" width="1.85546875" style="521" customWidth="1"/>
    <col min="32" max="32" width="18.140625" style="521" customWidth="1"/>
    <col min="33" max="33" width="1.85546875" style="521" customWidth="1"/>
    <col min="34" max="34" width="21.85546875" style="521" bestFit="1" customWidth="1"/>
    <col min="35" max="35" width="1.85546875" style="521" customWidth="1"/>
    <col min="36" max="36" width="21.85546875" style="521" customWidth="1"/>
    <col min="37" max="37" width="1.85546875" style="521" customWidth="1"/>
    <col min="38" max="38" width="21.85546875" style="521" customWidth="1"/>
    <col min="39" max="39" width="1.85546875" style="521" customWidth="1"/>
    <col min="40" max="40" width="21.85546875" style="521" customWidth="1"/>
    <col min="41" max="41" width="1.85546875" style="521" customWidth="1"/>
    <col min="42" max="42" width="21.85546875" style="521" customWidth="1"/>
    <col min="43" max="43" width="1.85546875" style="521" customWidth="1"/>
    <col min="44" max="44" width="18.7109375" style="521" customWidth="1"/>
    <col min="45" max="45" width="1.85546875" style="521" customWidth="1"/>
    <col min="46" max="46" width="18.85546875" style="521" customWidth="1"/>
    <col min="47" max="47" width="1.85546875" style="521" customWidth="1"/>
    <col min="48" max="48" width="18.140625" style="521" customWidth="1"/>
    <col min="49" max="49" width="1.85546875" style="521" customWidth="1"/>
    <col min="50" max="50" width="21.85546875" style="521" customWidth="1"/>
    <col min="51" max="51" width="1.85546875" style="521" customWidth="1"/>
    <col min="52" max="52" width="21.85546875" style="521" customWidth="1"/>
    <col min="53" max="53" width="1.85546875" style="521" customWidth="1"/>
    <col min="54" max="54" width="21.85546875" style="521" customWidth="1"/>
    <col min="55" max="55" width="1.85546875" style="521" customWidth="1"/>
    <col min="56" max="56" width="21.85546875" style="521" customWidth="1"/>
    <col min="57" max="57" width="1.85546875" style="521" customWidth="1"/>
    <col min="58" max="58" width="16.5703125" style="521" bestFit="1" customWidth="1"/>
    <col min="59" max="59" width="22.85546875" style="521" bestFit="1" customWidth="1"/>
    <col min="60" max="60" width="7" style="521" customWidth="1"/>
    <col min="61" max="16384" width="9.140625" style="521"/>
  </cols>
  <sheetData>
    <row r="1" spans="1:60" ht="15" x14ac:dyDescent="0.25">
      <c r="B1" s="30" t="s">
        <v>1751</v>
      </c>
    </row>
    <row r="2" spans="1:60" ht="15" x14ac:dyDescent="0.25">
      <c r="B2" s="125" t="s">
        <v>1750</v>
      </c>
      <c r="C2" s="125"/>
      <c r="D2" s="125"/>
      <c r="E2" s="125"/>
      <c r="F2" s="125"/>
      <c r="G2" s="125"/>
      <c r="H2" s="125"/>
      <c r="I2" s="125"/>
      <c r="J2" s="125"/>
      <c r="K2" s="125"/>
      <c r="L2" s="125"/>
      <c r="M2" s="125"/>
      <c r="N2" s="125"/>
      <c r="O2" s="125"/>
      <c r="P2" s="125"/>
      <c r="Q2" s="125"/>
      <c r="R2" s="125"/>
      <c r="S2" s="125"/>
      <c r="T2" s="125"/>
      <c r="U2" s="125"/>
      <c r="V2" s="125"/>
      <c r="W2" s="125"/>
      <c r="X2" s="125"/>
      <c r="Y2" s="125"/>
      <c r="Z2" s="125"/>
      <c r="AA2" s="125"/>
      <c r="AB2" s="125"/>
      <c r="AC2" s="125"/>
      <c r="AD2" s="125"/>
      <c r="AE2" s="125"/>
      <c r="AF2" s="125"/>
      <c r="AG2" s="125"/>
      <c r="AH2" s="125"/>
      <c r="AI2" s="125"/>
      <c r="AJ2" s="125"/>
      <c r="AK2" s="125"/>
      <c r="AL2" s="125"/>
      <c r="AM2" s="125"/>
      <c r="AN2" s="125"/>
      <c r="AO2" s="125"/>
      <c r="AP2" s="125"/>
      <c r="AQ2" s="125"/>
      <c r="AR2" s="125"/>
      <c r="AS2" s="125"/>
      <c r="AT2" s="125"/>
      <c r="AU2" s="125"/>
      <c r="AV2" s="125"/>
      <c r="AW2" s="125"/>
      <c r="AX2" s="125"/>
      <c r="AY2" s="125"/>
      <c r="AZ2" s="125"/>
      <c r="BA2" s="125"/>
      <c r="BB2" s="125"/>
      <c r="BC2" s="125"/>
      <c r="BD2" s="125"/>
      <c r="BE2" s="125"/>
      <c r="BF2" s="125"/>
      <c r="BG2" s="76" t="str">
        <f>CONCATENATE("Prior Year: ",'1-BaseTRR'!$G$3)</f>
        <v>Prior Year: 2025</v>
      </c>
    </row>
    <row r="3" spans="1:60" ht="15" x14ac:dyDescent="0.25">
      <c r="A3" s="125"/>
      <c r="B3" s="78" t="s">
        <v>367</v>
      </c>
      <c r="C3" s="78"/>
      <c r="D3" s="125"/>
      <c r="E3" s="125"/>
      <c r="F3" s="125"/>
      <c r="G3" s="125"/>
      <c r="H3" s="125"/>
      <c r="I3" s="125"/>
      <c r="J3" s="125"/>
      <c r="K3" s="125"/>
      <c r="L3" s="125"/>
      <c r="M3" s="125"/>
      <c r="N3" s="125"/>
      <c r="O3" s="125"/>
      <c r="P3" s="125"/>
      <c r="Q3" s="125"/>
      <c r="R3" s="125"/>
      <c r="S3" s="125"/>
      <c r="T3" s="125"/>
      <c r="U3" s="125"/>
      <c r="V3" s="125"/>
      <c r="W3" s="125"/>
      <c r="X3" s="125"/>
      <c r="Y3" s="125"/>
      <c r="Z3" s="125"/>
      <c r="AA3" s="125"/>
      <c r="AB3" s="125"/>
      <c r="AC3" s="125"/>
      <c r="AD3" s="125"/>
      <c r="AE3" s="125"/>
      <c r="AF3" s="125"/>
      <c r="AG3" s="125"/>
      <c r="AH3" s="125"/>
      <c r="AI3" s="125"/>
      <c r="AJ3" s="125"/>
      <c r="AK3" s="125"/>
      <c r="AL3" s="125"/>
      <c r="AM3" s="125"/>
      <c r="AN3" s="125"/>
      <c r="AO3" s="125"/>
      <c r="AP3" s="125"/>
      <c r="AQ3" s="125"/>
      <c r="AR3" s="125"/>
      <c r="AS3" s="125"/>
      <c r="AT3" s="125"/>
      <c r="AU3" s="125"/>
      <c r="AV3" s="125"/>
      <c r="AW3" s="125"/>
      <c r="AX3" s="125"/>
      <c r="AY3" s="125"/>
      <c r="AZ3" s="125"/>
      <c r="BA3" s="125"/>
      <c r="BB3" s="125"/>
      <c r="BC3" s="125"/>
      <c r="BD3" s="125"/>
      <c r="BE3" s="125"/>
      <c r="BF3" s="125"/>
      <c r="BG3" s="125"/>
    </row>
    <row r="4" spans="1:60" ht="15" x14ac:dyDescent="0.25">
      <c r="A4" s="124"/>
      <c r="B4" s="124"/>
      <c r="C4" s="124"/>
      <c r="D4" s="124"/>
      <c r="E4" s="124"/>
      <c r="F4" s="124"/>
      <c r="G4" s="124"/>
      <c r="H4" s="124"/>
      <c r="I4" s="124"/>
      <c r="J4" s="124"/>
      <c r="K4" s="124"/>
      <c r="L4" s="124"/>
      <c r="M4" s="124"/>
      <c r="N4" s="124"/>
      <c r="O4" s="124"/>
      <c r="P4" s="124"/>
      <c r="Q4" s="124"/>
      <c r="R4" s="124"/>
      <c r="S4" s="124"/>
      <c r="T4" s="124"/>
      <c r="U4" s="124"/>
      <c r="V4" s="124"/>
      <c r="W4" s="124"/>
      <c r="X4" s="124"/>
      <c r="Y4" s="124"/>
      <c r="Z4" s="124"/>
      <c r="AA4" s="124"/>
      <c r="AB4" s="124"/>
      <c r="AC4" s="124"/>
      <c r="AD4" s="124"/>
      <c r="AE4" s="124"/>
      <c r="AF4" s="124"/>
      <c r="AG4" s="124"/>
      <c r="AH4" s="124"/>
      <c r="AI4" s="124"/>
      <c r="AJ4" s="124"/>
      <c r="AK4" s="124"/>
      <c r="AL4" s="124"/>
      <c r="AM4" s="124"/>
      <c r="AN4" s="124"/>
      <c r="AO4" s="124"/>
      <c r="AP4" s="124"/>
      <c r="AQ4" s="124"/>
      <c r="AR4" s="124"/>
      <c r="AS4" s="124"/>
      <c r="AT4" s="124"/>
      <c r="AU4" s="124"/>
      <c r="AV4" s="124"/>
      <c r="AW4" s="124"/>
      <c r="AX4" s="124"/>
      <c r="AY4" s="124"/>
      <c r="AZ4" s="124"/>
      <c r="BA4" s="124"/>
      <c r="BB4" s="124"/>
      <c r="BC4" s="124"/>
      <c r="BD4" s="124"/>
      <c r="BE4" s="124"/>
      <c r="BF4" s="124"/>
      <c r="BG4" s="124"/>
    </row>
    <row r="5" spans="1:60" x14ac:dyDescent="0.2">
      <c r="J5" s="570" t="s">
        <v>1749</v>
      </c>
      <c r="K5" s="570"/>
      <c r="L5" s="570"/>
      <c r="M5" s="570"/>
      <c r="N5" s="570"/>
      <c r="O5" s="536"/>
      <c r="P5" s="571" t="s">
        <v>1748</v>
      </c>
      <c r="R5" s="570" t="s">
        <v>1745</v>
      </c>
      <c r="S5" s="570"/>
      <c r="T5" s="570"/>
      <c r="U5" s="570"/>
      <c r="V5" s="570"/>
      <c r="Z5" s="572" t="s">
        <v>1747</v>
      </c>
      <c r="AH5" s="571" t="s">
        <v>1746</v>
      </c>
      <c r="AI5" s="536"/>
      <c r="AJ5" s="570" t="s">
        <v>1745</v>
      </c>
      <c r="AK5" s="570"/>
      <c r="AL5" s="570"/>
      <c r="AM5" s="570"/>
      <c r="AN5" s="570"/>
      <c r="AO5" s="536"/>
      <c r="AP5" s="536"/>
      <c r="AX5" s="570" t="s">
        <v>1745</v>
      </c>
      <c r="AY5" s="570"/>
      <c r="AZ5" s="570"/>
      <c r="BA5" s="570"/>
      <c r="BB5" s="570"/>
      <c r="BC5" s="536"/>
      <c r="BD5" s="536"/>
      <c r="BF5" s="569"/>
    </row>
    <row r="6" spans="1:60" ht="15" x14ac:dyDescent="0.25">
      <c r="A6" s="540"/>
      <c r="B6" s="540"/>
      <c r="C6" s="540"/>
      <c r="D6" s="540"/>
      <c r="E6" s="540"/>
      <c r="F6" s="534"/>
      <c r="G6" s="540"/>
      <c r="H6" s="546" t="s">
        <v>1744</v>
      </c>
      <c r="I6" s="540"/>
      <c r="J6" s="546" t="s">
        <v>492</v>
      </c>
      <c r="K6" s="546"/>
      <c r="L6" s="546" t="s">
        <v>491</v>
      </c>
      <c r="M6" s="546"/>
      <c r="N6" s="546" t="s">
        <v>490</v>
      </c>
      <c r="O6" s="546"/>
      <c r="P6" s="546" t="s">
        <v>489</v>
      </c>
      <c r="Q6" s="546"/>
      <c r="R6" s="546" t="s">
        <v>519</v>
      </c>
      <c r="S6" s="546"/>
      <c r="T6" s="546" t="s">
        <v>518</v>
      </c>
      <c r="U6" s="546"/>
      <c r="V6" s="546" t="s">
        <v>517</v>
      </c>
      <c r="W6" s="546"/>
      <c r="X6" s="546" t="s">
        <v>538</v>
      </c>
      <c r="Y6" s="546"/>
      <c r="Z6" s="546" t="s">
        <v>537</v>
      </c>
      <c r="AA6" s="525"/>
      <c r="AB6" s="525" t="s">
        <v>770</v>
      </c>
      <c r="AC6" s="525"/>
      <c r="AD6" s="525" t="s">
        <v>769</v>
      </c>
      <c r="AE6" s="525"/>
      <c r="AF6" s="525" t="s">
        <v>768</v>
      </c>
      <c r="AG6" s="525"/>
      <c r="AH6" s="568" t="s">
        <v>767</v>
      </c>
      <c r="AI6" s="525"/>
      <c r="AJ6" s="525" t="s">
        <v>766</v>
      </c>
      <c r="AK6" s="525"/>
      <c r="AL6" s="525" t="s">
        <v>765</v>
      </c>
      <c r="AM6" s="525"/>
      <c r="AN6" s="525" t="s">
        <v>900</v>
      </c>
      <c r="AO6" s="525"/>
      <c r="AP6" s="525" t="s">
        <v>899</v>
      </c>
      <c r="AQ6" s="525"/>
      <c r="AR6" s="525" t="s">
        <v>898</v>
      </c>
      <c r="AS6" s="525"/>
      <c r="AT6" s="525" t="s">
        <v>897</v>
      </c>
      <c r="AU6" s="525"/>
      <c r="AV6" s="525" t="s">
        <v>896</v>
      </c>
      <c r="AW6" s="525"/>
      <c r="AX6" s="525" t="s">
        <v>895</v>
      </c>
      <c r="AY6" s="525"/>
      <c r="AZ6" s="525" t="s">
        <v>894</v>
      </c>
      <c r="BA6" s="525"/>
      <c r="BB6" s="525" t="s">
        <v>893</v>
      </c>
      <c r="BC6" s="525"/>
      <c r="BD6" s="525" t="s">
        <v>892</v>
      </c>
      <c r="BE6" s="525"/>
      <c r="BF6" s="546" t="s">
        <v>891</v>
      </c>
      <c r="BG6" s="540"/>
      <c r="BH6" s="540"/>
    </row>
    <row r="7" spans="1:60" ht="34.5" customHeight="1" x14ac:dyDescent="0.25">
      <c r="A7" s="540"/>
      <c r="B7" s="540"/>
      <c r="C7" s="540"/>
      <c r="D7" s="540"/>
      <c r="E7" s="540"/>
      <c r="F7" s="534"/>
      <c r="G7" s="540"/>
      <c r="H7" s="525"/>
      <c r="I7" s="540"/>
      <c r="J7" s="525"/>
      <c r="K7" s="525"/>
      <c r="L7" s="525"/>
      <c r="M7" s="525"/>
      <c r="N7" s="525" t="s">
        <v>1743</v>
      </c>
      <c r="O7" s="525"/>
      <c r="P7" s="525"/>
      <c r="Q7" s="525"/>
      <c r="R7" s="546"/>
      <c r="S7" s="546"/>
      <c r="T7" s="546"/>
      <c r="U7" s="546"/>
      <c r="V7" s="546"/>
      <c r="W7" s="546"/>
      <c r="X7" s="546" t="s">
        <v>1742</v>
      </c>
      <c r="Y7" s="525"/>
      <c r="Z7" s="525"/>
      <c r="AA7" s="525"/>
      <c r="AB7" s="567" t="s">
        <v>1741</v>
      </c>
      <c r="AC7" s="567"/>
      <c r="AD7" s="567"/>
      <c r="AE7" s="567"/>
      <c r="AF7" s="567"/>
      <c r="AG7" s="525"/>
      <c r="AH7" s="525"/>
      <c r="AI7" s="525"/>
      <c r="AJ7" s="525" t="s">
        <v>1740</v>
      </c>
      <c r="AK7" s="525"/>
      <c r="AL7" s="525" t="s">
        <v>1739</v>
      </c>
      <c r="AM7" s="525"/>
      <c r="AN7" s="525" t="s">
        <v>1738</v>
      </c>
      <c r="AO7" s="525"/>
      <c r="AP7" s="525" t="s">
        <v>1737</v>
      </c>
      <c r="AQ7" s="525"/>
      <c r="AR7" s="567" t="s">
        <v>1736</v>
      </c>
      <c r="AS7" s="567"/>
      <c r="AT7" s="567"/>
      <c r="AU7" s="567"/>
      <c r="AV7" s="567"/>
      <c r="AW7" s="525"/>
      <c r="AX7" s="525" t="s">
        <v>1735</v>
      </c>
      <c r="AY7" s="525"/>
      <c r="AZ7" s="525" t="s">
        <v>1734</v>
      </c>
      <c r="BA7" s="525"/>
      <c r="BB7" s="525" t="s">
        <v>1733</v>
      </c>
      <c r="BC7" s="525"/>
      <c r="BD7" s="525" t="s">
        <v>1732</v>
      </c>
      <c r="BE7" s="525"/>
      <c r="BF7" s="565" t="s">
        <v>1731</v>
      </c>
      <c r="BG7" s="540"/>
      <c r="BH7" s="540"/>
    </row>
    <row r="8" spans="1:60" ht="30" x14ac:dyDescent="0.25">
      <c r="B8" s="542"/>
      <c r="C8" s="542"/>
      <c r="D8" s="542"/>
      <c r="E8" s="542"/>
      <c r="F8" s="563" t="s">
        <v>1730</v>
      </c>
      <c r="G8" s="542"/>
      <c r="H8" s="553" t="s">
        <v>1729</v>
      </c>
      <c r="I8" s="542"/>
      <c r="J8" s="553" t="s">
        <v>1728</v>
      </c>
      <c r="K8" s="542"/>
      <c r="L8" s="553" t="s">
        <v>1727</v>
      </c>
      <c r="M8" s="542"/>
      <c r="N8" s="565" t="s">
        <v>1723</v>
      </c>
      <c r="O8" s="563"/>
      <c r="P8" s="563" t="s">
        <v>819</v>
      </c>
      <c r="Q8" s="542"/>
      <c r="R8" s="566" t="s">
        <v>1726</v>
      </c>
      <c r="S8" s="566"/>
      <c r="T8" s="566"/>
      <c r="U8" s="566"/>
      <c r="V8" s="566"/>
      <c r="W8" s="566"/>
      <c r="X8" s="566"/>
      <c r="Y8" s="553"/>
      <c r="Z8" s="553"/>
      <c r="AA8" s="553"/>
      <c r="AB8" s="553" t="s">
        <v>508</v>
      </c>
      <c r="AC8" s="553"/>
      <c r="AD8" s="553" t="s">
        <v>508</v>
      </c>
      <c r="AE8" s="553"/>
      <c r="AF8" s="553" t="s">
        <v>508</v>
      </c>
      <c r="AG8" s="553"/>
      <c r="AH8" s="553" t="s">
        <v>819</v>
      </c>
      <c r="AI8" s="553"/>
      <c r="AJ8" s="566" t="s">
        <v>1725</v>
      </c>
      <c r="AK8" s="566"/>
      <c r="AL8" s="566"/>
      <c r="AM8" s="566"/>
      <c r="AN8" s="566"/>
      <c r="AO8" s="566"/>
      <c r="AP8" s="566"/>
      <c r="AQ8" s="553"/>
      <c r="AR8" s="553" t="s">
        <v>508</v>
      </c>
      <c r="AS8" s="553"/>
      <c r="AT8" s="553" t="s">
        <v>508</v>
      </c>
      <c r="AU8" s="553"/>
      <c r="AV8" s="553" t="s">
        <v>508</v>
      </c>
      <c r="AW8" s="553"/>
      <c r="AX8" s="566" t="s">
        <v>1724</v>
      </c>
      <c r="AY8" s="566"/>
      <c r="AZ8" s="566"/>
      <c r="BA8" s="566"/>
      <c r="BB8" s="566"/>
      <c r="BC8" s="566"/>
      <c r="BD8" s="566"/>
      <c r="BE8" s="553"/>
      <c r="BF8" s="565" t="s">
        <v>1723</v>
      </c>
      <c r="BG8" s="542"/>
    </row>
    <row r="9" spans="1:60" ht="12.75" customHeight="1" x14ac:dyDescent="0.25">
      <c r="B9" s="542"/>
      <c r="C9" s="542"/>
      <c r="D9" s="542"/>
      <c r="E9" s="542"/>
      <c r="F9" s="563" t="s">
        <v>1722</v>
      </c>
      <c r="G9" s="542"/>
      <c r="H9" s="553" t="s">
        <v>1721</v>
      </c>
      <c r="I9" s="542"/>
      <c r="J9" s="553" t="s">
        <v>1720</v>
      </c>
      <c r="K9" s="542"/>
      <c r="L9" s="553" t="s">
        <v>1719</v>
      </c>
      <c r="M9" s="542"/>
      <c r="N9" s="563" t="s">
        <v>1589</v>
      </c>
      <c r="O9" s="563"/>
      <c r="P9" s="563" t="s">
        <v>1718</v>
      </c>
      <c r="Q9" s="542"/>
      <c r="R9" s="553" t="s">
        <v>1711</v>
      </c>
      <c r="S9" s="553"/>
      <c r="T9" s="553" t="s">
        <v>1711</v>
      </c>
      <c r="U9" s="553"/>
      <c r="V9" s="553" t="s">
        <v>1711</v>
      </c>
      <c r="W9" s="553"/>
      <c r="X9" s="553"/>
      <c r="Y9" s="553"/>
      <c r="Z9" s="553" t="s">
        <v>508</v>
      </c>
      <c r="AA9" s="553"/>
      <c r="AB9" s="553" t="s">
        <v>1051</v>
      </c>
      <c r="AC9" s="553"/>
      <c r="AD9" s="553" t="s">
        <v>1051</v>
      </c>
      <c r="AE9" s="553"/>
      <c r="AF9" s="553" t="s">
        <v>1051</v>
      </c>
      <c r="AG9" s="553"/>
      <c r="AH9" s="553" t="s">
        <v>1717</v>
      </c>
      <c r="AI9" s="553"/>
      <c r="AJ9" s="553" t="s">
        <v>1706</v>
      </c>
      <c r="AK9" s="553"/>
      <c r="AL9" s="553" t="s">
        <v>1706</v>
      </c>
      <c r="AM9" s="553"/>
      <c r="AN9" s="553" t="s">
        <v>1706</v>
      </c>
      <c r="AO9" s="553"/>
      <c r="AP9" s="553"/>
      <c r="AQ9" s="553"/>
      <c r="AR9" s="553" t="s">
        <v>1051</v>
      </c>
      <c r="AS9" s="553"/>
      <c r="AT9" s="553" t="s">
        <v>1051</v>
      </c>
      <c r="AU9" s="553"/>
      <c r="AV9" s="553" t="s">
        <v>1051</v>
      </c>
      <c r="AW9" s="553"/>
      <c r="AX9" s="553" t="s">
        <v>1706</v>
      </c>
      <c r="AY9" s="553"/>
      <c r="AZ9" s="553" t="s">
        <v>1706</v>
      </c>
      <c r="BA9" s="553"/>
      <c r="BB9" s="553" t="s">
        <v>1706</v>
      </c>
      <c r="BC9" s="553"/>
      <c r="BD9" s="553"/>
      <c r="BE9" s="553"/>
      <c r="BF9" s="564" t="s">
        <v>1716</v>
      </c>
      <c r="BG9" s="542"/>
    </row>
    <row r="10" spans="1:60" ht="15" x14ac:dyDescent="0.25">
      <c r="A10" s="525"/>
      <c r="B10" s="540"/>
      <c r="C10" s="540"/>
      <c r="D10" s="540"/>
      <c r="E10" s="540"/>
      <c r="F10" s="563" t="s">
        <v>1712</v>
      </c>
      <c r="G10" s="540"/>
      <c r="H10" s="553" t="s">
        <v>1715</v>
      </c>
      <c r="I10" s="540"/>
      <c r="J10" s="562" t="s">
        <v>1714</v>
      </c>
      <c r="K10" s="540"/>
      <c r="L10" s="562" t="s">
        <v>1713</v>
      </c>
      <c r="M10" s="540"/>
      <c r="N10" s="534" t="s">
        <v>509</v>
      </c>
      <c r="O10" s="534"/>
      <c r="P10" s="534" t="s">
        <v>1712</v>
      </c>
      <c r="Q10" s="540"/>
      <c r="R10" s="553" t="s">
        <v>1708</v>
      </c>
      <c r="S10" s="553"/>
      <c r="T10" s="525" t="s">
        <v>1707</v>
      </c>
      <c r="U10" s="525"/>
      <c r="V10" s="561" t="s">
        <v>1707</v>
      </c>
      <c r="W10" s="561"/>
      <c r="X10" s="561" t="s">
        <v>1711</v>
      </c>
      <c r="Y10" s="561"/>
      <c r="Z10" s="561" t="s">
        <v>1710</v>
      </c>
      <c r="AA10" s="561"/>
      <c r="AB10" s="553" t="s">
        <v>1708</v>
      </c>
      <c r="AC10" s="553"/>
      <c r="AD10" s="525" t="s">
        <v>1707</v>
      </c>
      <c r="AE10" s="525"/>
      <c r="AF10" s="561" t="s">
        <v>1707</v>
      </c>
      <c r="AG10" s="561"/>
      <c r="AH10" s="561" t="s">
        <v>1709</v>
      </c>
      <c r="AI10" s="561"/>
      <c r="AJ10" s="553" t="s">
        <v>1708</v>
      </c>
      <c r="AK10" s="553"/>
      <c r="AL10" s="525" t="s">
        <v>1707</v>
      </c>
      <c r="AM10" s="525"/>
      <c r="AN10" s="561" t="s">
        <v>1707</v>
      </c>
      <c r="AO10" s="561"/>
      <c r="AP10" s="561" t="s">
        <v>1706</v>
      </c>
      <c r="AQ10" s="561"/>
      <c r="AR10" s="553" t="s">
        <v>1708</v>
      </c>
      <c r="AS10" s="553"/>
      <c r="AT10" s="525" t="s">
        <v>1707</v>
      </c>
      <c r="AU10" s="525"/>
      <c r="AV10" s="561" t="s">
        <v>1707</v>
      </c>
      <c r="AW10" s="561"/>
      <c r="AX10" s="553" t="s">
        <v>1708</v>
      </c>
      <c r="AY10" s="553"/>
      <c r="AZ10" s="525" t="s">
        <v>1707</v>
      </c>
      <c r="BA10" s="525"/>
      <c r="BB10" s="561" t="s">
        <v>1707</v>
      </c>
      <c r="BC10" s="561"/>
      <c r="BD10" s="561" t="s">
        <v>1706</v>
      </c>
      <c r="BE10" s="561"/>
      <c r="BF10" s="560">
        <f>1/(1-(0.21+0.0884-(0.21*0.0884)))</f>
        <v>1.3885726029071155</v>
      </c>
      <c r="BG10" s="525"/>
      <c r="BH10" s="525"/>
    </row>
    <row r="11" spans="1:60" ht="15.75" thickBot="1" x14ac:dyDescent="0.3">
      <c r="A11" s="508" t="s">
        <v>106</v>
      </c>
      <c r="B11" s="559" t="s">
        <v>1355</v>
      </c>
      <c r="C11" s="559"/>
      <c r="D11" s="559"/>
      <c r="E11" s="559"/>
      <c r="F11" s="554" t="s">
        <v>1434</v>
      </c>
      <c r="G11" s="559"/>
      <c r="H11" s="555">
        <v>43100</v>
      </c>
      <c r="I11" s="559"/>
      <c r="J11" s="555">
        <v>43100</v>
      </c>
      <c r="K11" s="559"/>
      <c r="L11" s="555">
        <v>43100</v>
      </c>
      <c r="M11" s="559"/>
      <c r="N11" s="555">
        <v>43100</v>
      </c>
      <c r="O11" s="555"/>
      <c r="P11" s="555" t="s">
        <v>1705</v>
      </c>
      <c r="Q11" s="559"/>
      <c r="R11" s="558" t="s">
        <v>1702</v>
      </c>
      <c r="S11" s="558"/>
      <c r="T11" s="557" t="s">
        <v>1702</v>
      </c>
      <c r="U11" s="557"/>
      <c r="V11" s="556" t="s">
        <v>1701</v>
      </c>
      <c r="W11" s="556"/>
      <c r="X11" s="556" t="s">
        <v>1700</v>
      </c>
      <c r="Y11" s="556"/>
      <c r="Z11" s="556" t="s">
        <v>1704</v>
      </c>
      <c r="AA11" s="556"/>
      <c r="AB11" s="558" t="s">
        <v>1702</v>
      </c>
      <c r="AC11" s="558"/>
      <c r="AD11" s="557" t="s">
        <v>1702</v>
      </c>
      <c r="AE11" s="557"/>
      <c r="AF11" s="556" t="s">
        <v>1701</v>
      </c>
      <c r="AG11" s="556"/>
      <c r="AH11" s="556" t="s">
        <v>1703</v>
      </c>
      <c r="AI11" s="556"/>
      <c r="AJ11" s="558" t="s">
        <v>1702</v>
      </c>
      <c r="AK11" s="558"/>
      <c r="AL11" s="557" t="s">
        <v>1702</v>
      </c>
      <c r="AM11" s="557"/>
      <c r="AN11" s="556" t="s">
        <v>1701</v>
      </c>
      <c r="AO11" s="556"/>
      <c r="AP11" s="556" t="s">
        <v>1700</v>
      </c>
      <c r="AQ11" s="556"/>
      <c r="AR11" s="558" t="s">
        <v>1702</v>
      </c>
      <c r="AS11" s="558"/>
      <c r="AT11" s="557" t="s">
        <v>1702</v>
      </c>
      <c r="AU11" s="557"/>
      <c r="AV11" s="556" t="s">
        <v>1701</v>
      </c>
      <c r="AW11" s="556"/>
      <c r="AX11" s="558" t="s">
        <v>1702</v>
      </c>
      <c r="AY11" s="558"/>
      <c r="AZ11" s="557" t="s">
        <v>1702</v>
      </c>
      <c r="BA11" s="557"/>
      <c r="BB11" s="556" t="s">
        <v>1701</v>
      </c>
      <c r="BC11" s="556"/>
      <c r="BD11" s="556" t="s">
        <v>1700</v>
      </c>
      <c r="BE11" s="556"/>
      <c r="BF11" s="555"/>
      <c r="BG11" s="554" t="s">
        <v>671</v>
      </c>
      <c r="BH11" s="533" t="s">
        <v>106</v>
      </c>
    </row>
    <row r="12" spans="1:60" ht="15" x14ac:dyDescent="0.25">
      <c r="A12" s="525"/>
      <c r="B12" s="540"/>
      <c r="C12" s="540"/>
      <c r="D12" s="540"/>
      <c r="E12" s="540"/>
      <c r="F12" s="534"/>
      <c r="G12" s="540"/>
      <c r="H12" s="540"/>
      <c r="I12" s="540"/>
      <c r="J12" s="540"/>
      <c r="K12" s="540"/>
      <c r="L12" s="540"/>
      <c r="M12" s="540"/>
      <c r="N12" s="540"/>
      <c r="O12" s="540"/>
      <c r="P12" s="540"/>
      <c r="Q12" s="540"/>
      <c r="R12" s="553"/>
      <c r="S12" s="553"/>
      <c r="T12" s="552"/>
      <c r="U12" s="552"/>
      <c r="V12" s="551"/>
      <c r="W12" s="551"/>
      <c r="X12" s="551"/>
      <c r="Y12" s="551"/>
      <c r="Z12" s="551"/>
      <c r="AA12" s="551"/>
      <c r="AB12" s="551"/>
      <c r="AC12" s="551"/>
      <c r="AD12" s="551"/>
      <c r="AE12" s="551"/>
      <c r="AF12" s="551"/>
      <c r="AG12" s="551"/>
      <c r="AH12" s="551"/>
      <c r="AI12" s="551"/>
      <c r="AJ12" s="551"/>
      <c r="AK12" s="551"/>
      <c r="AL12" s="551"/>
      <c r="AM12" s="551"/>
      <c r="AN12" s="551"/>
      <c r="AO12" s="551"/>
      <c r="AP12" s="551"/>
      <c r="AQ12" s="551"/>
      <c r="AR12" s="551"/>
      <c r="AS12" s="551"/>
      <c r="AT12" s="551"/>
      <c r="AU12" s="551"/>
      <c r="AV12" s="551"/>
      <c r="AW12" s="551"/>
      <c r="AX12" s="551"/>
      <c r="AY12" s="551"/>
      <c r="AZ12" s="551"/>
      <c r="BA12" s="551"/>
      <c r="BB12" s="551"/>
      <c r="BC12" s="551"/>
      <c r="BD12" s="551"/>
      <c r="BE12" s="551"/>
      <c r="BG12" s="525"/>
      <c r="BH12" s="525"/>
    </row>
    <row r="13" spans="1:60" ht="15" x14ac:dyDescent="0.25">
      <c r="A13" s="525">
        <v>100</v>
      </c>
      <c r="B13" s="540" t="s">
        <v>1699</v>
      </c>
      <c r="C13" s="540"/>
      <c r="D13" s="540" t="s">
        <v>1599</v>
      </c>
      <c r="E13" s="540"/>
      <c r="F13" s="534" t="s">
        <v>1614</v>
      </c>
      <c r="G13" s="540"/>
      <c r="H13" s="527">
        <f>+H27</f>
        <v>0</v>
      </c>
      <c r="I13" s="540"/>
      <c r="J13" s="527">
        <f>+J27</f>
        <v>-1695727972</v>
      </c>
      <c r="K13" s="540"/>
      <c r="L13" s="527">
        <f>+L27</f>
        <v>-1087798598</v>
      </c>
      <c r="M13" s="540"/>
      <c r="N13" s="527">
        <f>+N27</f>
        <v>-607929374</v>
      </c>
      <c r="O13" s="540"/>
      <c r="P13" s="534" t="s">
        <v>1613</v>
      </c>
      <c r="Q13" s="540"/>
      <c r="R13" s="527">
        <f>R27</f>
        <v>-607929373</v>
      </c>
      <c r="S13" s="527"/>
      <c r="T13" s="527">
        <f>T27</f>
        <v>0</v>
      </c>
      <c r="U13" s="527"/>
      <c r="V13" s="527">
        <f>V27</f>
        <v>0</v>
      </c>
      <c r="W13" s="527"/>
      <c r="X13" s="527">
        <f>SUM(R13:V13)</f>
        <v>-607929373</v>
      </c>
      <c r="Y13" s="527"/>
      <c r="Z13" s="537" t="s">
        <v>1606</v>
      </c>
      <c r="AA13" s="527"/>
      <c r="AB13" s="527">
        <f>AB27</f>
        <v>-68369911.279598862</v>
      </c>
      <c r="AC13" s="527"/>
      <c r="AD13" s="527">
        <f>AD27</f>
        <v>0</v>
      </c>
      <c r="AE13" s="527"/>
      <c r="AF13" s="527">
        <f>AF27</f>
        <v>0</v>
      </c>
      <c r="AG13" s="527"/>
      <c r="AH13" s="534" t="s">
        <v>1611</v>
      </c>
      <c r="AI13" s="527"/>
      <c r="AJ13" s="527">
        <f>AJ27</f>
        <v>-539559461.23040116</v>
      </c>
      <c r="AK13" s="527"/>
      <c r="AL13" s="527">
        <f>AL27</f>
        <v>0</v>
      </c>
      <c r="AM13" s="527"/>
      <c r="AN13" s="527">
        <f>AN27</f>
        <v>0</v>
      </c>
      <c r="AO13" s="527"/>
      <c r="AP13" s="527">
        <f>SUM(AJ13:AN13)</f>
        <v>-539559461.23040116</v>
      </c>
      <c r="AQ13" s="527"/>
      <c r="AR13" s="527">
        <f>AR27</f>
        <v>-17061885.105381783</v>
      </c>
      <c r="AS13" s="527"/>
      <c r="AT13" s="527">
        <f>AT27</f>
        <v>0</v>
      </c>
      <c r="AU13" s="527"/>
      <c r="AV13" s="527">
        <f>AV27</f>
        <v>0</v>
      </c>
      <c r="AW13" s="527"/>
      <c r="AX13" s="527">
        <f>AX27</f>
        <v>-522497576.12501943</v>
      </c>
      <c r="AY13" s="527"/>
      <c r="AZ13" s="527">
        <f>AZ27</f>
        <v>0</v>
      </c>
      <c r="BA13" s="527"/>
      <c r="BB13" s="527">
        <f>BB27</f>
        <v>0</v>
      </c>
      <c r="BC13" s="527"/>
      <c r="BD13" s="527">
        <f>SUM(AX13:BB13)</f>
        <v>-522497576.12501943</v>
      </c>
      <c r="BE13" s="527"/>
      <c r="BF13" s="527">
        <f>+BF27</f>
        <v>-725525819</v>
      </c>
      <c r="BG13" s="525"/>
      <c r="BH13" s="525">
        <f>A13</f>
        <v>100</v>
      </c>
    </row>
    <row r="14" spans="1:60" ht="15" x14ac:dyDescent="0.25">
      <c r="A14" s="525">
        <f>+A13+1</f>
        <v>101</v>
      </c>
      <c r="B14" s="540" t="s">
        <v>955</v>
      </c>
      <c r="C14" s="540"/>
      <c r="D14" s="540" t="s">
        <v>1597</v>
      </c>
      <c r="E14" s="540"/>
      <c r="F14" s="534" t="s">
        <v>1614</v>
      </c>
      <c r="G14" s="540"/>
      <c r="H14" s="527">
        <f>+H35</f>
        <v>0</v>
      </c>
      <c r="I14" s="540"/>
      <c r="J14" s="527">
        <f>+J35</f>
        <v>0</v>
      </c>
      <c r="K14" s="540"/>
      <c r="L14" s="527">
        <f>+L35</f>
        <v>0</v>
      </c>
      <c r="M14" s="540"/>
      <c r="N14" s="527">
        <f>+N35</f>
        <v>0</v>
      </c>
      <c r="O14" s="540"/>
      <c r="P14" s="534" t="s">
        <v>1613</v>
      </c>
      <c r="Q14" s="540"/>
      <c r="R14" s="527">
        <f>R35</f>
        <v>0</v>
      </c>
      <c r="S14" s="527"/>
      <c r="T14" s="527">
        <f>T35</f>
        <v>0</v>
      </c>
      <c r="U14" s="527"/>
      <c r="V14" s="527">
        <f>V35</f>
        <v>0</v>
      </c>
      <c r="W14" s="527"/>
      <c r="X14" s="527">
        <f>SUM(R14:V14)</f>
        <v>0</v>
      </c>
      <c r="Y14" s="527"/>
      <c r="Z14" s="537" t="s">
        <v>1606</v>
      </c>
      <c r="AA14" s="527"/>
      <c r="AB14" s="527">
        <f>AB35</f>
        <v>0</v>
      </c>
      <c r="AC14" s="527"/>
      <c r="AD14" s="527">
        <f>AD35</f>
        <v>0</v>
      </c>
      <c r="AE14" s="527"/>
      <c r="AF14" s="527">
        <f>AF35</f>
        <v>0</v>
      </c>
      <c r="AG14" s="527"/>
      <c r="AH14" s="534" t="s">
        <v>1611</v>
      </c>
      <c r="AI14" s="527"/>
      <c r="AJ14" s="527">
        <f>AJ35</f>
        <v>0</v>
      </c>
      <c r="AK14" s="527"/>
      <c r="AL14" s="527">
        <f>AL35</f>
        <v>0</v>
      </c>
      <c r="AM14" s="527"/>
      <c r="AN14" s="527">
        <f>AN35</f>
        <v>0</v>
      </c>
      <c r="AO14" s="527"/>
      <c r="AP14" s="527">
        <f>SUM(AJ14:AN14)</f>
        <v>0</v>
      </c>
      <c r="AQ14" s="527"/>
      <c r="AR14" s="527">
        <f>AR35</f>
        <v>0</v>
      </c>
      <c r="AS14" s="527"/>
      <c r="AT14" s="527">
        <f>AT35</f>
        <v>0</v>
      </c>
      <c r="AU14" s="527"/>
      <c r="AV14" s="527">
        <f>AV35</f>
        <v>0</v>
      </c>
      <c r="AW14" s="527"/>
      <c r="AX14" s="527">
        <f>AX35</f>
        <v>0</v>
      </c>
      <c r="AY14" s="527"/>
      <c r="AZ14" s="527">
        <f>AZ35</f>
        <v>0</v>
      </c>
      <c r="BA14" s="527"/>
      <c r="BB14" s="527">
        <f>BB35</f>
        <v>0</v>
      </c>
      <c r="BC14" s="527"/>
      <c r="BD14" s="527">
        <f>SUM(AX14:BB14)</f>
        <v>0</v>
      </c>
      <c r="BE14" s="527"/>
      <c r="BF14" s="527">
        <f>+BF35</f>
        <v>0</v>
      </c>
      <c r="BG14" s="525"/>
      <c r="BH14" s="525">
        <f>A14</f>
        <v>101</v>
      </c>
    </row>
    <row r="15" spans="1:60" ht="15" x14ac:dyDescent="0.25">
      <c r="A15" s="525">
        <f>+A14+1</f>
        <v>102</v>
      </c>
      <c r="B15" s="540" t="s">
        <v>1698</v>
      </c>
      <c r="C15" s="540"/>
      <c r="D15" s="540" t="s">
        <v>1595</v>
      </c>
      <c r="E15" s="540"/>
      <c r="F15" s="534" t="s">
        <v>1614</v>
      </c>
      <c r="G15" s="540"/>
      <c r="H15" s="527">
        <f>+H43</f>
        <v>0</v>
      </c>
      <c r="I15" s="540"/>
      <c r="J15" s="527">
        <f>+J43</f>
        <v>-346763385</v>
      </c>
      <c r="K15" s="540"/>
      <c r="L15" s="527">
        <f>+L43</f>
        <v>-206675379</v>
      </c>
      <c r="M15" s="540"/>
      <c r="N15" s="527">
        <f>+N43</f>
        <v>-140088006</v>
      </c>
      <c r="O15" s="540"/>
      <c r="P15" s="534" t="s">
        <v>1613</v>
      </c>
      <c r="Q15" s="540"/>
      <c r="R15" s="527">
        <f>R43</f>
        <v>0</v>
      </c>
      <c r="S15" s="527"/>
      <c r="T15" s="527">
        <f>T43</f>
        <v>-140088007</v>
      </c>
      <c r="U15" s="527"/>
      <c r="V15" s="527">
        <f>V43</f>
        <v>0</v>
      </c>
      <c r="W15" s="527"/>
      <c r="X15" s="527">
        <f>SUM(R15:V15)</f>
        <v>-140088007</v>
      </c>
      <c r="Y15" s="527"/>
      <c r="Z15" s="537" t="s">
        <v>1695</v>
      </c>
      <c r="AA15" s="527"/>
      <c r="AB15" s="527">
        <f>AB43</f>
        <v>0</v>
      </c>
      <c r="AC15" s="527"/>
      <c r="AD15" s="527">
        <f>AD43</f>
        <v>-92542022.432579488</v>
      </c>
      <c r="AE15" s="527"/>
      <c r="AF15" s="527">
        <f>AF43</f>
        <v>0</v>
      </c>
      <c r="AG15" s="527"/>
      <c r="AH15" s="534" t="s">
        <v>1611</v>
      </c>
      <c r="AI15" s="527"/>
      <c r="AJ15" s="527">
        <f>AJ43</f>
        <v>0</v>
      </c>
      <c r="AK15" s="527"/>
      <c r="AL15" s="527">
        <f>AL43</f>
        <v>-47545985.567420512</v>
      </c>
      <c r="AM15" s="527"/>
      <c r="AN15" s="527">
        <f>AN43</f>
        <v>0</v>
      </c>
      <c r="AO15" s="527"/>
      <c r="AP15" s="527">
        <f>SUM(AJ15:AN15)</f>
        <v>-47545985.567420512</v>
      </c>
      <c r="AQ15" s="527"/>
      <c r="AR15" s="527">
        <f>AR43</f>
        <v>0</v>
      </c>
      <c r="AS15" s="527"/>
      <c r="AT15" s="527">
        <f>AT43</f>
        <v>-14324173.144193169</v>
      </c>
      <c r="AU15" s="527"/>
      <c r="AV15" s="527">
        <f>AV43</f>
        <v>0</v>
      </c>
      <c r="AW15" s="527"/>
      <c r="AX15" s="527">
        <f>AX43</f>
        <v>0</v>
      </c>
      <c r="AY15" s="527"/>
      <c r="AZ15" s="527">
        <f>AZ43</f>
        <v>-33221812.423227325</v>
      </c>
      <c r="BA15" s="527"/>
      <c r="BB15" s="527">
        <f>BB43</f>
        <v>0</v>
      </c>
      <c r="BC15" s="527"/>
      <c r="BD15" s="527">
        <f>SUM(AX15:BB15)</f>
        <v>-33221812.423227325</v>
      </c>
      <c r="BE15" s="527"/>
      <c r="BF15" s="527">
        <f>+BF43</f>
        <v>-46130899</v>
      </c>
      <c r="BG15" s="525"/>
      <c r="BH15" s="525">
        <f>A15</f>
        <v>102</v>
      </c>
    </row>
    <row r="16" spans="1:60" ht="15" x14ac:dyDescent="0.25">
      <c r="A16" s="525">
        <f>+A15+1</f>
        <v>103</v>
      </c>
      <c r="B16" s="540" t="s">
        <v>1697</v>
      </c>
      <c r="C16" s="540"/>
      <c r="D16" s="540" t="s">
        <v>1593</v>
      </c>
      <c r="E16" s="540"/>
      <c r="F16" s="534" t="s">
        <v>1696</v>
      </c>
      <c r="G16" s="540"/>
      <c r="H16" s="527">
        <f>+H103</f>
        <v>0</v>
      </c>
      <c r="I16" s="540"/>
      <c r="J16" s="527">
        <f>+J103</f>
        <v>9730734</v>
      </c>
      <c r="K16" s="540"/>
      <c r="L16" s="527">
        <f>+L103</f>
        <v>5840030</v>
      </c>
      <c r="M16" s="540"/>
      <c r="N16" s="527">
        <f>+N103</f>
        <v>3890704</v>
      </c>
      <c r="O16" s="540"/>
      <c r="P16" s="534" t="s">
        <v>1607</v>
      </c>
      <c r="Q16" s="540"/>
      <c r="R16" s="527">
        <f>R103</f>
        <v>0</v>
      </c>
      <c r="S16" s="527"/>
      <c r="T16" s="527">
        <f>T103</f>
        <v>0</v>
      </c>
      <c r="U16" s="527"/>
      <c r="V16" s="527">
        <f>V103</f>
        <v>3890705</v>
      </c>
      <c r="W16" s="527"/>
      <c r="X16" s="527">
        <f>SUM(R16:V16)</f>
        <v>3890705</v>
      </c>
      <c r="Y16" s="527"/>
      <c r="Z16" s="537" t="s">
        <v>1695</v>
      </c>
      <c r="AA16" s="527"/>
      <c r="AB16" s="527">
        <f>AB103</f>
        <v>0</v>
      </c>
      <c r="AC16" s="527"/>
      <c r="AD16" s="527">
        <f>AD103</f>
        <v>0</v>
      </c>
      <c r="AE16" s="527"/>
      <c r="AF16" s="527">
        <f>AF103</f>
        <v>2034826.3281375272</v>
      </c>
      <c r="AG16" s="527"/>
      <c r="AH16" s="534" t="s">
        <v>1605</v>
      </c>
      <c r="AI16" s="527"/>
      <c r="AJ16" s="527">
        <f>AJ103</f>
        <v>0</v>
      </c>
      <c r="AK16" s="527"/>
      <c r="AL16" s="527">
        <f>AL103</f>
        <v>0</v>
      </c>
      <c r="AM16" s="527"/>
      <c r="AN16" s="527">
        <f>AN103</f>
        <v>1855879.6718624725</v>
      </c>
      <c r="AO16" s="527"/>
      <c r="AP16" s="527">
        <f>SUM(AJ16:AN16)</f>
        <v>1855879.6718624725</v>
      </c>
      <c r="AQ16" s="527"/>
      <c r="AR16" s="527">
        <f>AR103</f>
        <v>0</v>
      </c>
      <c r="AS16" s="527"/>
      <c r="AT16" s="527">
        <f>AT103</f>
        <v>0</v>
      </c>
      <c r="AU16" s="527"/>
      <c r="AV16" s="527">
        <f>AV103</f>
        <v>559120.1093791778</v>
      </c>
      <c r="AW16" s="527"/>
      <c r="AX16" s="527">
        <f>AX103</f>
        <v>0</v>
      </c>
      <c r="AY16" s="527"/>
      <c r="AZ16" s="527">
        <f>AZ103</f>
        <v>0</v>
      </c>
      <c r="BA16" s="527"/>
      <c r="BB16" s="527">
        <f>BB103</f>
        <v>1296759.5624832953</v>
      </c>
      <c r="BC16" s="527"/>
      <c r="BD16" s="527">
        <f>SUM(AX16:BB16)</f>
        <v>1296759.5624832953</v>
      </c>
      <c r="BE16" s="527"/>
      <c r="BF16" s="527">
        <f>+BF103</f>
        <v>1800645</v>
      </c>
      <c r="BG16" s="525"/>
      <c r="BH16" s="525">
        <f>A16</f>
        <v>103</v>
      </c>
    </row>
    <row r="17" spans="1:60" ht="15" x14ac:dyDescent="0.25">
      <c r="A17" s="525">
        <f>+A16+1</f>
        <v>104</v>
      </c>
      <c r="B17" s="540" t="s">
        <v>1694</v>
      </c>
      <c r="C17" s="540" t="s">
        <v>1693</v>
      </c>
      <c r="D17" s="540" t="s">
        <v>1591</v>
      </c>
      <c r="E17" s="540"/>
      <c r="F17" s="534" t="s">
        <v>1608</v>
      </c>
      <c r="G17" s="540"/>
      <c r="H17" s="550">
        <f>+H117</f>
        <v>0</v>
      </c>
      <c r="I17" s="540"/>
      <c r="J17" s="550">
        <f>+J117</f>
        <v>336430551</v>
      </c>
      <c r="K17" s="540"/>
      <c r="L17" s="550">
        <f>+L117</f>
        <v>201858330</v>
      </c>
      <c r="M17" s="540"/>
      <c r="N17" s="550">
        <f>+N117</f>
        <v>134572220</v>
      </c>
      <c r="O17" s="540"/>
      <c r="P17" s="534" t="s">
        <v>1607</v>
      </c>
      <c r="Q17" s="540"/>
      <c r="R17" s="550">
        <f>R117</f>
        <v>134572220</v>
      </c>
      <c r="S17" s="550"/>
      <c r="T17" s="550">
        <f>T117</f>
        <v>0</v>
      </c>
      <c r="U17" s="550"/>
      <c r="V17" s="550">
        <f>V117</f>
        <v>0</v>
      </c>
      <c r="W17" s="550"/>
      <c r="X17" s="550">
        <f>SUM(R17:V17)</f>
        <v>134572220</v>
      </c>
      <c r="Y17" s="527"/>
      <c r="Z17" s="537" t="s">
        <v>1606</v>
      </c>
      <c r="AA17" s="527"/>
      <c r="AB17" s="550">
        <f>AB117</f>
        <v>15134473.643311655</v>
      </c>
      <c r="AC17" s="550"/>
      <c r="AD17" s="550">
        <f>AD117</f>
        <v>0</v>
      </c>
      <c r="AE17" s="550"/>
      <c r="AF17" s="550">
        <f>AF117</f>
        <v>0</v>
      </c>
      <c r="AG17" s="527"/>
      <c r="AH17" s="534" t="s">
        <v>1605</v>
      </c>
      <c r="AI17" s="527"/>
      <c r="AJ17" s="550">
        <f>AJ117</f>
        <v>119437746.75668834</v>
      </c>
      <c r="AK17" s="550"/>
      <c r="AL17" s="550">
        <f>AL117</f>
        <v>0</v>
      </c>
      <c r="AM17" s="550"/>
      <c r="AN17" s="550">
        <f>AN117</f>
        <v>0</v>
      </c>
      <c r="AO17" s="550"/>
      <c r="AP17" s="550">
        <f>SUM(AJ17:AN17)</f>
        <v>119437746.75668834</v>
      </c>
      <c r="AQ17" s="527"/>
      <c r="AR17" s="550">
        <f>AR117</f>
        <v>3776846.2320144977</v>
      </c>
      <c r="AS17" s="550"/>
      <c r="AT17" s="550">
        <f>AT117</f>
        <v>0</v>
      </c>
      <c r="AU17" s="550"/>
      <c r="AV17" s="550">
        <f>AV117</f>
        <v>0</v>
      </c>
      <c r="AW17" s="527"/>
      <c r="AX17" s="550">
        <f>AX117</f>
        <v>115660900.52467385</v>
      </c>
      <c r="AY17" s="550"/>
      <c r="AZ17" s="550">
        <f>AZ117</f>
        <v>0</v>
      </c>
      <c r="BA17" s="550"/>
      <c r="BB17" s="550">
        <f>BB117</f>
        <v>0</v>
      </c>
      <c r="BC17" s="550"/>
      <c r="BD17" s="550">
        <f>SUM(AX17:BB17)</f>
        <v>115660900.52467385</v>
      </c>
      <c r="BE17" s="527"/>
      <c r="BF17" s="550">
        <f>+BF117</f>
        <v>160603558</v>
      </c>
      <c r="BG17" s="525"/>
      <c r="BH17" s="525">
        <f>A17</f>
        <v>104</v>
      </c>
    </row>
    <row r="18" spans="1:60" ht="15" x14ac:dyDescent="0.25">
      <c r="A18" s="525">
        <f>+A17+1</f>
        <v>105</v>
      </c>
      <c r="B18" s="540" t="s">
        <v>466</v>
      </c>
      <c r="C18" s="540"/>
      <c r="D18" s="525"/>
      <c r="E18" s="525"/>
      <c r="F18" s="525"/>
      <c r="G18" s="525"/>
      <c r="H18" s="526">
        <f>SUM(H13:H17)</f>
        <v>0</v>
      </c>
      <c r="I18" s="525"/>
      <c r="J18" s="526">
        <f>SUM(J13:J17)</f>
        <v>-1696330072</v>
      </c>
      <c r="K18" s="525"/>
      <c r="L18" s="526">
        <f>SUM(L13:L17)</f>
        <v>-1086775617</v>
      </c>
      <c r="M18" s="525"/>
      <c r="N18" s="526">
        <f>SUM(N13:N17)</f>
        <v>-609554456</v>
      </c>
      <c r="O18" s="525"/>
      <c r="P18" s="525"/>
      <c r="Q18" s="525"/>
      <c r="R18" s="526">
        <f>SUM(R13:R17)</f>
        <v>-473357153</v>
      </c>
      <c r="S18" s="526"/>
      <c r="T18" s="526">
        <f>SUM(T13:T17)</f>
        <v>-140088007</v>
      </c>
      <c r="U18" s="526"/>
      <c r="V18" s="526">
        <f>SUM(V13:V17)</f>
        <v>3890705</v>
      </c>
      <c r="W18" s="526"/>
      <c r="X18" s="526">
        <f>SUM(X13:X17)</f>
        <v>-609554455</v>
      </c>
      <c r="Y18" s="526"/>
      <c r="Z18" s="526"/>
      <c r="AA18" s="526"/>
      <c r="AB18" s="526">
        <f>SUM(AB13:AB17)</f>
        <v>-53235437.636287205</v>
      </c>
      <c r="AC18" s="526"/>
      <c r="AD18" s="526">
        <f>SUM(AD13:AD17)</f>
        <v>-92542022.432579488</v>
      </c>
      <c r="AE18" s="526"/>
      <c r="AF18" s="526">
        <f>SUM(AF13:AF17)</f>
        <v>2034826.3281375272</v>
      </c>
      <c r="AG18" s="526"/>
      <c r="AH18" s="525"/>
      <c r="AI18" s="526"/>
      <c r="AJ18" s="526">
        <f>SUM(AJ13:AJ17)</f>
        <v>-420121714.4737128</v>
      </c>
      <c r="AK18" s="526"/>
      <c r="AL18" s="526">
        <f>SUM(AL13:AL17)</f>
        <v>-47545985.567420512</v>
      </c>
      <c r="AM18" s="526"/>
      <c r="AN18" s="526">
        <f>SUM(AN13:AN17)</f>
        <v>1855879.6718624725</v>
      </c>
      <c r="AO18" s="526"/>
      <c r="AP18" s="526">
        <f>SUM(AP13:AP17)</f>
        <v>-465811820.3692708</v>
      </c>
      <c r="AQ18" s="526"/>
      <c r="AR18" s="526">
        <f>SUM(AR13:AR17)</f>
        <v>-13285038.873367285</v>
      </c>
      <c r="AS18" s="526"/>
      <c r="AT18" s="526">
        <f>SUM(AT13:AT17)</f>
        <v>-14324173.144193169</v>
      </c>
      <c r="AU18" s="526"/>
      <c r="AV18" s="526">
        <f>SUM(AV13:AV17)</f>
        <v>559120.1093791778</v>
      </c>
      <c r="AW18" s="526"/>
      <c r="AX18" s="526">
        <f>SUM(AX13:AX17)</f>
        <v>-406836675.60034561</v>
      </c>
      <c r="AY18" s="526"/>
      <c r="AZ18" s="526">
        <f>SUM(AZ13:AZ17)</f>
        <v>-33221812.423227325</v>
      </c>
      <c r="BA18" s="526"/>
      <c r="BB18" s="526">
        <f>SUM(BB13:BB17)</f>
        <v>1296759.5624832953</v>
      </c>
      <c r="BC18" s="526"/>
      <c r="BD18" s="526">
        <f>SUM(BD13:BD17)</f>
        <v>-438761728.46108961</v>
      </c>
      <c r="BE18" s="526"/>
      <c r="BF18" s="526">
        <f>SUM(BF13:BF17)</f>
        <v>-609252515</v>
      </c>
      <c r="BG18" s="544"/>
      <c r="BH18" s="525">
        <f>A18</f>
        <v>105</v>
      </c>
    </row>
    <row r="19" spans="1:60" ht="15" x14ac:dyDescent="0.25">
      <c r="A19" s="525"/>
      <c r="B19" s="540"/>
      <c r="C19" s="540"/>
      <c r="D19" s="525"/>
      <c r="E19" s="525"/>
      <c r="F19" s="525"/>
      <c r="G19" s="525"/>
      <c r="H19" s="525"/>
      <c r="I19" s="525"/>
      <c r="J19" s="549"/>
      <c r="K19" s="548"/>
      <c r="L19" s="549"/>
      <c r="M19" s="548"/>
      <c r="N19" s="549"/>
      <c r="O19" s="548"/>
      <c r="P19" s="525"/>
      <c r="Q19" s="525"/>
      <c r="R19" s="540"/>
      <c r="S19" s="540"/>
      <c r="T19" s="540"/>
      <c r="U19" s="540"/>
      <c r="V19" s="540"/>
      <c r="W19" s="540"/>
      <c r="X19" s="540"/>
      <c r="Y19" s="540"/>
      <c r="Z19" s="540"/>
      <c r="AA19" s="540"/>
      <c r="AB19" s="540"/>
      <c r="AC19" s="540"/>
      <c r="AD19" s="540"/>
      <c r="AE19" s="540"/>
      <c r="AF19" s="540"/>
      <c r="AG19" s="540"/>
      <c r="AH19" s="525"/>
      <c r="AI19" s="540"/>
      <c r="AJ19" s="540"/>
      <c r="AK19" s="540"/>
      <c r="AL19" s="540"/>
      <c r="AM19" s="540"/>
      <c r="AN19" s="540"/>
      <c r="AO19" s="540"/>
      <c r="AP19" s="540"/>
      <c r="AQ19" s="540"/>
      <c r="AR19" s="540"/>
      <c r="AS19" s="540"/>
      <c r="AT19" s="540"/>
      <c r="AU19" s="540"/>
      <c r="AV19" s="540"/>
      <c r="AW19" s="540"/>
      <c r="AX19" s="540"/>
      <c r="AY19" s="540"/>
      <c r="AZ19" s="540"/>
      <c r="BA19" s="540"/>
      <c r="BB19" s="540"/>
      <c r="BC19" s="540"/>
      <c r="BD19" s="540"/>
      <c r="BE19" s="540"/>
      <c r="BF19" s="525"/>
      <c r="BG19" s="544"/>
      <c r="BH19" s="525"/>
    </row>
    <row r="20" spans="1:60" ht="15" x14ac:dyDescent="0.25">
      <c r="A20" s="525">
        <f>+A18+1</f>
        <v>106</v>
      </c>
      <c r="B20" s="532" t="s">
        <v>1604</v>
      </c>
      <c r="C20" s="532"/>
      <c r="D20" s="546"/>
      <c r="E20" s="525"/>
      <c r="F20" s="525"/>
      <c r="G20" s="525"/>
      <c r="H20" s="525"/>
      <c r="I20" s="525"/>
      <c r="J20" s="525"/>
      <c r="K20" s="525"/>
      <c r="L20" s="525"/>
      <c r="M20" s="525"/>
      <c r="N20" s="525"/>
      <c r="O20" s="525"/>
      <c r="P20" s="525"/>
      <c r="Q20" s="525"/>
      <c r="R20" s="540"/>
      <c r="S20" s="540"/>
      <c r="T20" s="540"/>
      <c r="U20" s="540"/>
      <c r="V20" s="540"/>
      <c r="W20" s="540"/>
      <c r="X20" s="540"/>
      <c r="Y20" s="540"/>
      <c r="Z20" s="540"/>
      <c r="AA20" s="540"/>
      <c r="AB20" s="540"/>
      <c r="AC20" s="540"/>
      <c r="AD20" s="540"/>
      <c r="AE20" s="540"/>
      <c r="AF20" s="540"/>
      <c r="AG20" s="540"/>
      <c r="AH20" s="525"/>
      <c r="AI20" s="540"/>
      <c r="AJ20" s="540"/>
      <c r="AK20" s="540"/>
      <c r="AL20" s="540"/>
      <c r="AM20" s="540"/>
      <c r="AN20" s="540"/>
      <c r="AO20" s="540"/>
      <c r="AP20" s="540"/>
      <c r="AQ20" s="540"/>
      <c r="AR20" s="540"/>
      <c r="AS20" s="540"/>
      <c r="AT20" s="540"/>
      <c r="AU20" s="540"/>
      <c r="AV20" s="540"/>
      <c r="AW20" s="540"/>
      <c r="AX20" s="540"/>
      <c r="AY20" s="540"/>
      <c r="AZ20" s="540"/>
      <c r="BA20" s="540"/>
      <c r="BB20" s="540"/>
      <c r="BC20" s="540"/>
      <c r="BD20" s="540"/>
      <c r="BE20" s="540"/>
      <c r="BF20" s="525"/>
      <c r="BG20" s="545"/>
      <c r="BH20" s="525">
        <f>A20</f>
        <v>106</v>
      </c>
    </row>
    <row r="21" spans="1:60" ht="15" x14ac:dyDescent="0.25">
      <c r="A21" s="525">
        <f>+A20+1</f>
        <v>107</v>
      </c>
      <c r="B21" s="530" t="s">
        <v>1692</v>
      </c>
      <c r="C21" s="540"/>
      <c r="D21" s="525"/>
      <c r="E21" s="525"/>
      <c r="F21" s="525"/>
      <c r="G21" s="525"/>
      <c r="H21" s="526">
        <f>+H126</f>
        <v>0</v>
      </c>
      <c r="I21" s="525"/>
      <c r="J21" s="526">
        <f>J125</f>
        <v>-22361974</v>
      </c>
      <c r="K21" s="526"/>
      <c r="L21" s="526">
        <f>L125</f>
        <v>-13417682</v>
      </c>
      <c r="M21" s="526"/>
      <c r="N21" s="526">
        <f>N125</f>
        <v>-8944291</v>
      </c>
      <c r="O21" s="526"/>
      <c r="P21" s="534" t="s">
        <v>1691</v>
      </c>
      <c r="Q21" s="525"/>
      <c r="R21" s="526">
        <f>R125</f>
        <v>0</v>
      </c>
      <c r="S21" s="526"/>
      <c r="T21" s="526">
        <f>T125</f>
        <v>-8944291</v>
      </c>
      <c r="U21" s="526"/>
      <c r="V21" s="526">
        <f>V125</f>
        <v>0</v>
      </c>
      <c r="W21" s="526"/>
      <c r="X21" s="526">
        <f>SUM(R21:V21)</f>
        <v>-8944291</v>
      </c>
      <c r="Y21" s="526"/>
      <c r="Z21" s="537" t="s">
        <v>1606</v>
      </c>
      <c r="AA21" s="526"/>
      <c r="AB21" s="526">
        <f>AB125</f>
        <v>0</v>
      </c>
      <c r="AC21" s="526"/>
      <c r="AD21" s="526">
        <f>AD125</f>
        <v>-5857533.8955580052</v>
      </c>
      <c r="AE21" s="526"/>
      <c r="AF21" s="526">
        <f>AF125</f>
        <v>0</v>
      </c>
      <c r="AG21" s="526"/>
      <c r="AH21" s="534" t="s">
        <v>1691</v>
      </c>
      <c r="AI21" s="526"/>
      <c r="AJ21" s="526">
        <f>AJ125</f>
        <v>0</v>
      </c>
      <c r="AK21" s="526"/>
      <c r="AL21" s="526">
        <f>AL125</f>
        <v>-3086756.1044419948</v>
      </c>
      <c r="AM21" s="526"/>
      <c r="AN21" s="526">
        <f>AN125</f>
        <v>0</v>
      </c>
      <c r="AO21" s="526"/>
      <c r="AP21" s="526">
        <f>SUM(AJ21:AN21)</f>
        <v>-3086756.1044419948</v>
      </c>
      <c r="AQ21" s="526"/>
      <c r="AR21" s="526">
        <f>AR125</f>
        <v>0</v>
      </c>
      <c r="AS21" s="526"/>
      <c r="AT21" s="526">
        <f>AT125</f>
        <v>-929946.9651860015</v>
      </c>
      <c r="AU21" s="526"/>
      <c r="AV21" s="526">
        <f>AV125</f>
        <v>0</v>
      </c>
      <c r="AW21" s="526"/>
      <c r="AX21" s="526">
        <f>AX125</f>
        <v>0</v>
      </c>
      <c r="AY21" s="526"/>
      <c r="AZ21" s="526">
        <f>AZ125</f>
        <v>-2156809.1392559931</v>
      </c>
      <c r="BA21" s="526"/>
      <c r="BB21" s="526">
        <f>BB125</f>
        <v>0</v>
      </c>
      <c r="BC21" s="526"/>
      <c r="BD21" s="526">
        <f>SUM(AX21:BB21)</f>
        <v>-2156809.1392559931</v>
      </c>
      <c r="BE21" s="526"/>
      <c r="BF21" s="526">
        <f>BF126</f>
        <v>-16360801.150848972</v>
      </c>
      <c r="BG21" s="544"/>
      <c r="BH21" s="525">
        <f>A21</f>
        <v>107</v>
      </c>
    </row>
    <row r="22" spans="1:60" ht="15" x14ac:dyDescent="0.25">
      <c r="A22" s="525">
        <f>A21+1</f>
        <v>108</v>
      </c>
      <c r="B22" s="529" t="s">
        <v>83</v>
      </c>
      <c r="C22" s="540"/>
      <c r="D22" s="525"/>
      <c r="E22" s="525"/>
      <c r="F22" s="525"/>
      <c r="G22" s="525"/>
      <c r="H22" s="526">
        <f>+H127</f>
        <v>0</v>
      </c>
      <c r="I22" s="525"/>
      <c r="J22" s="526">
        <v>0</v>
      </c>
      <c r="K22" s="526"/>
      <c r="L22" s="526">
        <v>0</v>
      </c>
      <c r="M22" s="526"/>
      <c r="N22" s="526">
        <v>0</v>
      </c>
      <c r="O22" s="526"/>
      <c r="P22" s="534" t="s">
        <v>1691</v>
      </c>
      <c r="Q22" s="525"/>
      <c r="R22" s="526">
        <f>R126</f>
        <v>0</v>
      </c>
      <c r="S22" s="526"/>
      <c r="T22" s="526">
        <v>0</v>
      </c>
      <c r="U22" s="526"/>
      <c r="V22" s="526">
        <v>0</v>
      </c>
      <c r="W22" s="526"/>
      <c r="X22" s="526">
        <f>SUM(R22:V22)</f>
        <v>0</v>
      </c>
      <c r="Y22" s="526"/>
      <c r="Z22" s="537" t="s">
        <v>1606</v>
      </c>
      <c r="AA22" s="526"/>
      <c r="AB22" s="526">
        <v>0</v>
      </c>
      <c r="AC22" s="526"/>
      <c r="AD22" s="526">
        <v>0</v>
      </c>
      <c r="AE22" s="526"/>
      <c r="AF22" s="526">
        <v>0</v>
      </c>
      <c r="AG22" s="526"/>
      <c r="AH22" s="534" t="s">
        <v>1691</v>
      </c>
      <c r="AI22" s="526"/>
      <c r="AJ22" s="526">
        <v>0</v>
      </c>
      <c r="AK22" s="526"/>
      <c r="AL22" s="526">
        <v>0</v>
      </c>
      <c r="AM22" s="526"/>
      <c r="AN22" s="526">
        <f>AN126</f>
        <v>0</v>
      </c>
      <c r="AO22" s="526"/>
      <c r="AP22" s="526">
        <f>SUM(AJ22:AN22)</f>
        <v>0</v>
      </c>
      <c r="AQ22" s="526"/>
      <c r="AR22" s="526">
        <v>0</v>
      </c>
      <c r="AS22" s="526"/>
      <c r="AT22" s="526">
        <v>0</v>
      </c>
      <c r="AU22" s="526"/>
      <c r="AV22" s="526">
        <v>0</v>
      </c>
      <c r="AW22" s="526"/>
      <c r="AX22" s="526">
        <v>0</v>
      </c>
      <c r="AY22" s="526"/>
      <c r="AZ22" s="526">
        <v>0</v>
      </c>
      <c r="BA22" s="526"/>
      <c r="BB22" s="526">
        <v>0</v>
      </c>
      <c r="BC22" s="526"/>
      <c r="BD22" s="526">
        <f>SUM(AX22:BB22)</f>
        <v>0</v>
      </c>
      <c r="BE22" s="526"/>
      <c r="BF22" s="526">
        <f>BF127</f>
        <v>1800105.2538033002</v>
      </c>
      <c r="BG22" s="545"/>
      <c r="BH22" s="525">
        <f>A22</f>
        <v>108</v>
      </c>
    </row>
    <row r="23" spans="1:60" ht="15" x14ac:dyDescent="0.25">
      <c r="A23" s="525">
        <f>A22+1</f>
        <v>109</v>
      </c>
      <c r="B23" s="529" t="s">
        <v>83</v>
      </c>
      <c r="C23" s="540"/>
      <c r="D23" s="525"/>
      <c r="E23" s="525"/>
      <c r="F23" s="525"/>
      <c r="G23" s="525"/>
      <c r="H23" s="531">
        <f>+H128</f>
        <v>0</v>
      </c>
      <c r="I23" s="525"/>
      <c r="J23" s="531">
        <v>0</v>
      </c>
      <c r="K23" s="531"/>
      <c r="L23" s="531">
        <v>0</v>
      </c>
      <c r="M23" s="531"/>
      <c r="N23" s="531">
        <v>0</v>
      </c>
      <c r="O23" s="531"/>
      <c r="P23" s="534" t="s">
        <v>1691</v>
      </c>
      <c r="Q23" s="525"/>
      <c r="R23" s="531">
        <f>R127</f>
        <v>0</v>
      </c>
      <c r="S23" s="531"/>
      <c r="T23" s="531">
        <v>0</v>
      </c>
      <c r="U23" s="531"/>
      <c r="V23" s="531">
        <v>0</v>
      </c>
      <c r="W23" s="531"/>
      <c r="X23" s="531">
        <f>SUM(R23:V23)</f>
        <v>0</v>
      </c>
      <c r="Y23" s="526"/>
      <c r="Z23" s="537" t="s">
        <v>1606</v>
      </c>
      <c r="AA23" s="526"/>
      <c r="AB23" s="531">
        <v>0</v>
      </c>
      <c r="AC23" s="531"/>
      <c r="AD23" s="531">
        <v>0</v>
      </c>
      <c r="AE23" s="531"/>
      <c r="AF23" s="531">
        <v>0</v>
      </c>
      <c r="AG23" s="526"/>
      <c r="AH23" s="534" t="s">
        <v>1691</v>
      </c>
      <c r="AI23" s="526"/>
      <c r="AJ23" s="531">
        <v>0</v>
      </c>
      <c r="AK23" s="531"/>
      <c r="AL23" s="531">
        <v>0</v>
      </c>
      <c r="AM23" s="531"/>
      <c r="AN23" s="531">
        <f>AN127</f>
        <v>0</v>
      </c>
      <c r="AO23" s="531"/>
      <c r="AP23" s="531">
        <f>SUM(AJ23:AN23)</f>
        <v>0</v>
      </c>
      <c r="AQ23" s="526"/>
      <c r="AR23" s="531">
        <v>0</v>
      </c>
      <c r="AS23" s="531"/>
      <c r="AT23" s="531">
        <v>0</v>
      </c>
      <c r="AU23" s="531"/>
      <c r="AV23" s="531">
        <v>0</v>
      </c>
      <c r="AW23" s="526"/>
      <c r="AX23" s="531">
        <v>0</v>
      </c>
      <c r="AY23" s="531"/>
      <c r="AZ23" s="531">
        <v>0</v>
      </c>
      <c r="BA23" s="531"/>
      <c r="BB23" s="531">
        <v>0</v>
      </c>
      <c r="BC23" s="531"/>
      <c r="BD23" s="531">
        <f>SUM(AX23:BB23)</f>
        <v>0</v>
      </c>
      <c r="BE23" s="526"/>
      <c r="BF23" s="531">
        <f>BF128</f>
        <v>2140898.4620169848</v>
      </c>
      <c r="BG23" s="545"/>
      <c r="BH23" s="525">
        <f>A23</f>
        <v>109</v>
      </c>
    </row>
    <row r="24" spans="1:60" ht="15" x14ac:dyDescent="0.25">
      <c r="A24" s="525">
        <f>A23+1</f>
        <v>110</v>
      </c>
      <c r="B24" s="540" t="s">
        <v>1690</v>
      </c>
      <c r="C24" s="540"/>
      <c r="D24" s="525"/>
      <c r="E24" s="525"/>
      <c r="F24" s="525"/>
      <c r="G24" s="525"/>
      <c r="H24" s="526">
        <f>SUM(H18:H23)</f>
        <v>0</v>
      </c>
      <c r="I24" s="525"/>
      <c r="J24" s="526">
        <f>SUM(J18:J23)</f>
        <v>-1718692046</v>
      </c>
      <c r="K24" s="526"/>
      <c r="L24" s="526">
        <f>SUM(L18:L23)</f>
        <v>-1100193299</v>
      </c>
      <c r="M24" s="526"/>
      <c r="N24" s="526">
        <f>SUM(N18:N23)</f>
        <v>-618498747</v>
      </c>
      <c r="O24" s="526"/>
      <c r="P24" s="526"/>
      <c r="Q24" s="525"/>
      <c r="R24" s="526">
        <f>SUM(R18:R23)</f>
        <v>-473357153</v>
      </c>
      <c r="S24" s="526"/>
      <c r="T24" s="526">
        <f>SUM(T18:T23)</f>
        <v>-149032298</v>
      </c>
      <c r="U24" s="526"/>
      <c r="V24" s="526">
        <f>SUM(V18:V23)</f>
        <v>3890705</v>
      </c>
      <c r="W24" s="526"/>
      <c r="X24" s="526">
        <f>SUM(X18:X23)</f>
        <v>-618498746</v>
      </c>
      <c r="Y24" s="526"/>
      <c r="Z24" s="526"/>
      <c r="AA24" s="526"/>
      <c r="AB24" s="526">
        <f>SUM(AB18:AB23)</f>
        <v>-53235437.636287205</v>
      </c>
      <c r="AC24" s="526"/>
      <c r="AD24" s="526">
        <f>SUM(AD18:AD23)</f>
        <v>-98399556.328137487</v>
      </c>
      <c r="AE24" s="526"/>
      <c r="AF24" s="526">
        <f>SUM(AF18:AF23)</f>
        <v>2034826.3281375272</v>
      </c>
      <c r="AG24" s="526"/>
      <c r="AH24" s="526"/>
      <c r="AI24" s="526"/>
      <c r="AJ24" s="526">
        <f>SUM(AJ18:AJ23)</f>
        <v>-420121714.4737128</v>
      </c>
      <c r="AK24" s="526"/>
      <c r="AL24" s="526">
        <f>SUM(AL18:AL23)</f>
        <v>-50632741.671862505</v>
      </c>
      <c r="AM24" s="526"/>
      <c r="AN24" s="526">
        <f>SUM(AN18:AN23)</f>
        <v>1855879.6718624725</v>
      </c>
      <c r="AO24" s="526"/>
      <c r="AP24" s="526">
        <f>SUM(AP18:AP23)</f>
        <v>-468898576.4737128</v>
      </c>
      <c r="AQ24" s="526"/>
      <c r="AR24" s="526">
        <f>SUM(AR18:AR23)</f>
        <v>-13285038.873367285</v>
      </c>
      <c r="AS24" s="526"/>
      <c r="AT24" s="526">
        <f>SUM(AT18:AT23)</f>
        <v>-15254120.10937917</v>
      </c>
      <c r="AU24" s="526"/>
      <c r="AV24" s="526">
        <f>SUM(AV18:AV23)</f>
        <v>559120.1093791778</v>
      </c>
      <c r="AW24" s="526"/>
      <c r="AX24" s="526">
        <f>SUM(AX18:AX23)</f>
        <v>-406836675.60034561</v>
      </c>
      <c r="AY24" s="526"/>
      <c r="AZ24" s="526">
        <f>SUM(AZ18:AZ23)</f>
        <v>-35378621.562483318</v>
      </c>
      <c r="BA24" s="526"/>
      <c r="BB24" s="526">
        <f>SUM(BB18:BB23)</f>
        <v>1296759.5624832953</v>
      </c>
      <c r="BC24" s="526"/>
      <c r="BD24" s="526">
        <f>SUM(BD18:BD23)</f>
        <v>-440918537.60034561</v>
      </c>
      <c r="BE24" s="526"/>
      <c r="BF24" s="526">
        <f>SUM(BF18:BF23)</f>
        <v>-621672312.43502879</v>
      </c>
      <c r="BG24" s="545"/>
      <c r="BH24" s="525">
        <f>A24</f>
        <v>110</v>
      </c>
    </row>
    <row r="25" spans="1:60" ht="15" x14ac:dyDescent="0.25">
      <c r="A25" s="525"/>
      <c r="B25" s="540"/>
      <c r="C25" s="540"/>
      <c r="D25" s="525"/>
      <c r="E25" s="525"/>
      <c r="F25" s="525"/>
      <c r="G25" s="525"/>
      <c r="H25" s="525"/>
      <c r="I25" s="525"/>
      <c r="J25" s="525"/>
      <c r="K25" s="525"/>
      <c r="L25" s="525"/>
      <c r="M25" s="525"/>
      <c r="N25" s="525"/>
      <c r="O25" s="525"/>
      <c r="P25" s="525"/>
      <c r="Q25" s="525"/>
      <c r="R25" s="526"/>
      <c r="S25" s="526"/>
      <c r="T25" s="526"/>
      <c r="U25" s="526"/>
      <c r="V25" s="526"/>
      <c r="W25" s="526"/>
      <c r="X25" s="526"/>
      <c r="Y25" s="526"/>
      <c r="Z25" s="526"/>
      <c r="AA25" s="526"/>
      <c r="AB25" s="526"/>
      <c r="AC25" s="526"/>
      <c r="AD25" s="526"/>
      <c r="AE25" s="526"/>
      <c r="AF25" s="526"/>
      <c r="AG25" s="526"/>
      <c r="AH25" s="526"/>
      <c r="AI25" s="526"/>
      <c r="AJ25" s="526"/>
      <c r="AK25" s="526"/>
      <c r="AL25" s="526"/>
      <c r="AM25" s="526"/>
      <c r="AN25" s="526"/>
      <c r="AO25" s="526"/>
      <c r="AP25" s="526"/>
      <c r="AQ25" s="526"/>
      <c r="AR25" s="526"/>
      <c r="AS25" s="526"/>
      <c r="AT25" s="526"/>
      <c r="AU25" s="526"/>
      <c r="AV25" s="526"/>
      <c r="AW25" s="526"/>
      <c r="AX25" s="526"/>
      <c r="AY25" s="526"/>
      <c r="AZ25" s="526"/>
      <c r="BA25" s="526"/>
      <c r="BB25" s="526"/>
      <c r="BC25" s="526"/>
      <c r="BD25" s="526"/>
      <c r="BE25" s="526"/>
      <c r="BF25" s="525"/>
      <c r="BG25" s="545"/>
      <c r="BH25" s="525"/>
    </row>
    <row r="26" spans="1:60" ht="15" x14ac:dyDescent="0.25">
      <c r="A26" s="508" t="s">
        <v>106</v>
      </c>
      <c r="B26" s="532" t="s">
        <v>1689</v>
      </c>
      <c r="C26" s="547"/>
      <c r="D26" s="546" t="s">
        <v>99</v>
      </c>
      <c r="E26" s="525"/>
      <c r="F26" s="525"/>
      <c r="G26" s="525"/>
      <c r="H26" s="525"/>
      <c r="I26" s="525"/>
      <c r="J26" s="525"/>
      <c r="K26" s="525"/>
      <c r="L26" s="525"/>
      <c r="M26" s="525"/>
      <c r="N26" s="525"/>
      <c r="O26" s="525"/>
      <c r="P26" s="525"/>
      <c r="Q26" s="525"/>
      <c r="R26" s="526"/>
      <c r="S26" s="526"/>
      <c r="T26" s="526"/>
      <c r="U26" s="526"/>
      <c r="V26" s="540"/>
      <c r="W26" s="540"/>
      <c r="X26" s="540"/>
      <c r="Y26" s="540"/>
      <c r="Z26" s="540"/>
      <c r="AA26" s="540"/>
      <c r="AB26" s="540"/>
      <c r="AC26" s="540"/>
      <c r="AD26" s="540"/>
      <c r="AE26" s="540"/>
      <c r="AF26" s="540"/>
      <c r="AG26" s="540"/>
      <c r="AH26" s="540"/>
      <c r="AI26" s="540"/>
      <c r="AJ26" s="526"/>
      <c r="AK26" s="526"/>
      <c r="AL26" s="526"/>
      <c r="AM26" s="526"/>
      <c r="AN26" s="540"/>
      <c r="AO26" s="540"/>
      <c r="AP26" s="540"/>
      <c r="AQ26" s="540"/>
      <c r="AR26" s="540"/>
      <c r="AS26" s="540"/>
      <c r="AT26" s="526"/>
      <c r="AU26" s="540"/>
      <c r="AV26" s="540"/>
      <c r="AW26" s="540"/>
      <c r="AX26" s="526"/>
      <c r="AY26" s="526"/>
      <c r="AZ26" s="526"/>
      <c r="BA26" s="526"/>
      <c r="BB26" s="540"/>
      <c r="BC26" s="540"/>
      <c r="BD26" s="540"/>
      <c r="BE26" s="540"/>
      <c r="BF26" s="525"/>
      <c r="BG26" s="545"/>
      <c r="BH26" s="533" t="s">
        <v>106</v>
      </c>
    </row>
    <row r="27" spans="1:60" ht="15" x14ac:dyDescent="0.25">
      <c r="A27" s="525">
        <v>200</v>
      </c>
      <c r="B27" s="540" t="s">
        <v>1688</v>
      </c>
      <c r="C27" s="540"/>
      <c r="D27" s="525"/>
      <c r="E27" s="525"/>
      <c r="F27" s="525"/>
      <c r="G27" s="525"/>
      <c r="H27" s="531">
        <f>ROUND(SUM(H28:H32),0)</f>
        <v>0</v>
      </c>
      <c r="I27" s="525"/>
      <c r="J27" s="531">
        <f>ROUND(SUM(J28:J32),0)</f>
        <v>-1695727972</v>
      </c>
      <c r="K27" s="526"/>
      <c r="L27" s="531">
        <f>ROUND(SUM(L28:L32),0)</f>
        <v>-1087798598</v>
      </c>
      <c r="M27" s="526"/>
      <c r="N27" s="531">
        <f>ROUND(SUM(N28:N32),0)-1</f>
        <v>-607929374</v>
      </c>
      <c r="O27" s="525"/>
      <c r="P27" s="525"/>
      <c r="Q27" s="525"/>
      <c r="R27" s="531">
        <f>ROUND(SUM(R28:R32),0)</f>
        <v>-607929373</v>
      </c>
      <c r="S27" s="526"/>
      <c r="T27" s="531">
        <f>ROUND(SUM(T28:T32),0)</f>
        <v>0</v>
      </c>
      <c r="U27" s="526"/>
      <c r="V27" s="531">
        <f>ROUND(SUM(V28:V32),0)</f>
        <v>0</v>
      </c>
      <c r="W27" s="526"/>
      <c r="X27" s="531">
        <f>ROUND(SUM(X28:X32),0)</f>
        <v>-607929373</v>
      </c>
      <c r="Y27" s="526"/>
      <c r="Z27" s="526"/>
      <c r="AA27" s="526"/>
      <c r="AB27" s="531">
        <f>SUM(AB28:AB32)+0.49</f>
        <v>-68369911.279598862</v>
      </c>
      <c r="AC27" s="526"/>
      <c r="AD27" s="531">
        <f>SUM(AD28:AD32)</f>
        <v>0</v>
      </c>
      <c r="AE27" s="526"/>
      <c r="AF27" s="531">
        <f>SUM(AF28:AF32)</f>
        <v>0</v>
      </c>
      <c r="AG27" s="526"/>
      <c r="AH27" s="526"/>
      <c r="AI27" s="526"/>
      <c r="AJ27" s="531">
        <f>SUM(AJ28:AJ32)</f>
        <v>-539559461.23040116</v>
      </c>
      <c r="AK27" s="526"/>
      <c r="AL27" s="531">
        <f>SUM(AL28:AL32)</f>
        <v>0</v>
      </c>
      <c r="AM27" s="526"/>
      <c r="AN27" s="531">
        <f>SUM(AN28:AN32)</f>
        <v>0</v>
      </c>
      <c r="AO27" s="526"/>
      <c r="AP27" s="531">
        <f>SUM(AP28:AP32)</f>
        <v>-539559461.23040116</v>
      </c>
      <c r="AQ27" s="526"/>
      <c r="AR27" s="531">
        <f>SUM(AR28:AR32)</f>
        <v>-17061885.105381783</v>
      </c>
      <c r="AS27" s="526"/>
      <c r="AT27" s="531">
        <f>SUM(AT28:AT32)</f>
        <v>0</v>
      </c>
      <c r="AU27" s="526"/>
      <c r="AV27" s="531">
        <f>SUM(AV28:AV32)</f>
        <v>0</v>
      </c>
      <c r="AW27" s="526"/>
      <c r="AX27" s="531">
        <f>SUM(AX28:AX32)</f>
        <v>-522497576.12501943</v>
      </c>
      <c r="AY27" s="526"/>
      <c r="AZ27" s="531">
        <f>SUM(AZ28:AZ32)</f>
        <v>0</v>
      </c>
      <c r="BA27" s="526"/>
      <c r="BB27" s="531">
        <f>SUM(BB28:BB32)</f>
        <v>0</v>
      </c>
      <c r="BC27" s="526"/>
      <c r="BD27" s="531">
        <f>SUM(BD28:BD32)</f>
        <v>-522497576.12501943</v>
      </c>
      <c r="BE27" s="526"/>
      <c r="BF27" s="531">
        <f>ROUND(SUM(BF28:BF32),0)</f>
        <v>-725525819</v>
      </c>
      <c r="BG27" s="544"/>
      <c r="BH27" s="525">
        <f>A27</f>
        <v>200</v>
      </c>
    </row>
    <row r="28" spans="1:60" ht="15" x14ac:dyDescent="0.25">
      <c r="A28" s="525">
        <f>A27+1</f>
        <v>201</v>
      </c>
      <c r="B28" s="530" t="s">
        <v>1687</v>
      </c>
      <c r="C28" s="540"/>
      <c r="D28" s="540" t="s">
        <v>1684</v>
      </c>
      <c r="E28" s="525"/>
      <c r="F28" s="534" t="s">
        <v>1614</v>
      </c>
      <c r="G28" s="525"/>
      <c r="H28" s="528"/>
      <c r="I28" s="525"/>
      <c r="J28" s="528">
        <v>-177951619</v>
      </c>
      <c r="K28" s="526"/>
      <c r="L28" s="528">
        <v>-177951618</v>
      </c>
      <c r="M28" s="526"/>
      <c r="N28" s="528">
        <v>-1</v>
      </c>
      <c r="O28" s="525"/>
      <c r="P28" s="534" t="s">
        <v>1613</v>
      </c>
      <c r="Q28" s="525"/>
      <c r="R28" s="526">
        <f>N28</f>
        <v>-1</v>
      </c>
      <c r="S28" s="526"/>
      <c r="T28" s="526">
        <v>0</v>
      </c>
      <c r="U28" s="526"/>
      <c r="V28" s="526">
        <v>0</v>
      </c>
      <c r="W28" s="526"/>
      <c r="X28" s="526">
        <f>SUM(R28:V28)</f>
        <v>-1</v>
      </c>
      <c r="Y28" s="526"/>
      <c r="Z28" s="537" t="s">
        <v>1606</v>
      </c>
      <c r="AA28" s="526"/>
      <c r="AB28" s="528">
        <v>0</v>
      </c>
      <c r="AC28" s="526"/>
      <c r="AD28" s="526">
        <v>0</v>
      </c>
      <c r="AE28" s="526"/>
      <c r="AF28" s="526">
        <v>0</v>
      </c>
      <c r="AG28" s="526"/>
      <c r="AH28" s="537" t="s">
        <v>1611</v>
      </c>
      <c r="AI28" s="526"/>
      <c r="AJ28" s="527">
        <f>+R28-AB28</f>
        <v>-1</v>
      </c>
      <c r="AK28" s="526"/>
      <c r="AL28" s="527">
        <f>+T28-AD28</f>
        <v>0</v>
      </c>
      <c r="AM28" s="526"/>
      <c r="AN28" s="527">
        <f>+V28-AF28</f>
        <v>0</v>
      </c>
      <c r="AO28" s="526"/>
      <c r="AP28" s="526">
        <f>SUM(AJ28:AN28)</f>
        <v>-1</v>
      </c>
      <c r="AQ28" s="526"/>
      <c r="AR28" s="528">
        <v>0</v>
      </c>
      <c r="AS28" s="526"/>
      <c r="AT28" s="526">
        <v>0</v>
      </c>
      <c r="AU28" s="526"/>
      <c r="AV28" s="526">
        <v>0</v>
      </c>
      <c r="AW28" s="526"/>
      <c r="AX28" s="527">
        <f>+AJ28-AR28</f>
        <v>-1</v>
      </c>
      <c r="AY28" s="526"/>
      <c r="AZ28" s="527">
        <f>+AL28-AT28</f>
        <v>0</v>
      </c>
      <c r="BA28" s="526"/>
      <c r="BB28" s="527">
        <f>+AN28-AV28</f>
        <v>0</v>
      </c>
      <c r="BC28" s="526"/>
      <c r="BD28" s="526">
        <f>SUM(AX28:BB28)</f>
        <v>-1</v>
      </c>
      <c r="BE28" s="526"/>
      <c r="BF28" s="526">
        <f>+BD28*$BF$10</f>
        <v>-1.3885726029071155</v>
      </c>
      <c r="BG28" s="544"/>
      <c r="BH28" s="525">
        <f>A28</f>
        <v>201</v>
      </c>
    </row>
    <row r="29" spans="1:60" ht="15" x14ac:dyDescent="0.25">
      <c r="A29" s="525">
        <f>A28+1</f>
        <v>202</v>
      </c>
      <c r="B29" s="530" t="s">
        <v>1686</v>
      </c>
      <c r="C29" s="540"/>
      <c r="D29" s="540" t="s">
        <v>1684</v>
      </c>
      <c r="E29" s="525"/>
      <c r="F29" s="534" t="s">
        <v>1614</v>
      </c>
      <c r="G29" s="525"/>
      <c r="H29" s="528"/>
      <c r="I29" s="525"/>
      <c r="J29" s="528">
        <v>-1580569734</v>
      </c>
      <c r="K29" s="526"/>
      <c r="L29" s="528">
        <v>-947208768</v>
      </c>
      <c r="M29" s="526"/>
      <c r="N29" s="528">
        <v>-633360965</v>
      </c>
      <c r="O29" s="525"/>
      <c r="P29" s="534" t="s">
        <v>1613</v>
      </c>
      <c r="Q29" s="525"/>
      <c r="R29" s="526">
        <f>N29</f>
        <v>-633360965</v>
      </c>
      <c r="S29" s="526"/>
      <c r="T29" s="526">
        <v>0</v>
      </c>
      <c r="U29" s="526"/>
      <c r="V29" s="526">
        <v>0</v>
      </c>
      <c r="W29" s="526"/>
      <c r="X29" s="526">
        <f>SUM(R29:V29)</f>
        <v>-633360965</v>
      </c>
      <c r="Y29" s="526"/>
      <c r="Z29" s="537" t="s">
        <v>1606</v>
      </c>
      <c r="AA29" s="526"/>
      <c r="AB29" s="528">
        <v>-71230039.674423754</v>
      </c>
      <c r="AC29" s="526"/>
      <c r="AD29" s="526">
        <v>0</v>
      </c>
      <c r="AE29" s="526"/>
      <c r="AF29" s="526">
        <v>0</v>
      </c>
      <c r="AG29" s="526"/>
      <c r="AH29" s="537" t="s">
        <v>1611</v>
      </c>
      <c r="AI29" s="526"/>
      <c r="AJ29" s="527">
        <f>+R29-AB29</f>
        <v>-562130925.32557631</v>
      </c>
      <c r="AK29" s="526"/>
      <c r="AL29" s="527">
        <f>+T29-AD29</f>
        <v>0</v>
      </c>
      <c r="AM29" s="526"/>
      <c r="AN29" s="527">
        <f>+V29-AF29</f>
        <v>0</v>
      </c>
      <c r="AO29" s="526"/>
      <c r="AP29" s="526">
        <f>SUM(AJ29:AN29)</f>
        <v>-562130925.32557631</v>
      </c>
      <c r="AQ29" s="526"/>
      <c r="AR29" s="528">
        <v>-17775637.287237275</v>
      </c>
      <c r="AS29" s="526"/>
      <c r="AT29" s="526">
        <v>0</v>
      </c>
      <c r="AU29" s="526"/>
      <c r="AV29" s="526">
        <v>0</v>
      </c>
      <c r="AW29" s="526"/>
      <c r="AX29" s="527">
        <f>+AJ29-AR29</f>
        <v>-544355288.03833902</v>
      </c>
      <c r="AY29" s="526"/>
      <c r="AZ29" s="527">
        <f>+AL29-AT29</f>
        <v>0</v>
      </c>
      <c r="BA29" s="526"/>
      <c r="BB29" s="527">
        <f>+AN29-AV29</f>
        <v>0</v>
      </c>
      <c r="BC29" s="526"/>
      <c r="BD29" s="526">
        <f>SUM(AX29:BB29)</f>
        <v>-544355288.03833902</v>
      </c>
      <c r="BE29" s="526"/>
      <c r="BF29" s="526">
        <f>+BD29*$BF$10</f>
        <v>-755876839.21764898</v>
      </c>
      <c r="BG29" s="544"/>
      <c r="BH29" s="525">
        <f>A29</f>
        <v>202</v>
      </c>
    </row>
    <row r="30" spans="1:60" ht="15" x14ac:dyDescent="0.25">
      <c r="A30" s="525">
        <f>A29+1</f>
        <v>203</v>
      </c>
      <c r="B30" s="530" t="s">
        <v>1685</v>
      </c>
      <c r="C30" s="540"/>
      <c r="D30" s="540" t="s">
        <v>1684</v>
      </c>
      <c r="E30" s="525"/>
      <c r="F30" s="534" t="s">
        <v>1614</v>
      </c>
      <c r="G30" s="525"/>
      <c r="H30" s="528"/>
      <c r="I30" s="525"/>
      <c r="J30" s="528">
        <v>62793381</v>
      </c>
      <c r="K30" s="526"/>
      <c r="L30" s="528">
        <v>37361788</v>
      </c>
      <c r="M30" s="526"/>
      <c r="N30" s="528">
        <v>25431593</v>
      </c>
      <c r="O30" s="525"/>
      <c r="P30" s="534" t="s">
        <v>1613</v>
      </c>
      <c r="Q30" s="525"/>
      <c r="R30" s="526">
        <f>N30</f>
        <v>25431593</v>
      </c>
      <c r="S30" s="526"/>
      <c r="T30" s="526">
        <v>0</v>
      </c>
      <c r="U30" s="526"/>
      <c r="V30" s="526">
        <v>0</v>
      </c>
      <c r="W30" s="526"/>
      <c r="X30" s="526">
        <f>SUM(R30:V30)</f>
        <v>25431593</v>
      </c>
      <c r="Y30" s="526"/>
      <c r="Z30" s="537" t="s">
        <v>1606</v>
      </c>
      <c r="AA30" s="526"/>
      <c r="AB30" s="528">
        <v>2860127.9048248995</v>
      </c>
      <c r="AC30" s="526"/>
      <c r="AD30" s="526">
        <v>0</v>
      </c>
      <c r="AE30" s="526"/>
      <c r="AF30" s="526">
        <v>0</v>
      </c>
      <c r="AG30" s="526"/>
      <c r="AH30" s="537" t="s">
        <v>1611</v>
      </c>
      <c r="AI30" s="526"/>
      <c r="AJ30" s="527">
        <f>+R30-AB30</f>
        <v>22571465.095175102</v>
      </c>
      <c r="AK30" s="526"/>
      <c r="AL30" s="527">
        <f>+T30-AD30</f>
        <v>0</v>
      </c>
      <c r="AM30" s="526"/>
      <c r="AN30" s="527">
        <f>+V30-AF30</f>
        <v>0</v>
      </c>
      <c r="AO30" s="526"/>
      <c r="AP30" s="526">
        <f>SUM(AJ30:AN30)</f>
        <v>22571465.095175102</v>
      </c>
      <c r="AQ30" s="526"/>
      <c r="AR30" s="528">
        <v>713752.18185549334</v>
      </c>
      <c r="AS30" s="526"/>
      <c r="AT30" s="526">
        <v>0</v>
      </c>
      <c r="AU30" s="526"/>
      <c r="AV30" s="526">
        <v>0</v>
      </c>
      <c r="AW30" s="526"/>
      <c r="AX30" s="527">
        <f>+AJ30-AR30</f>
        <v>21857712.91331961</v>
      </c>
      <c r="AY30" s="526"/>
      <c r="AZ30" s="527">
        <f>+AL30-AT30</f>
        <v>0</v>
      </c>
      <c r="BA30" s="526"/>
      <c r="BB30" s="527">
        <f>+AN30-AV30</f>
        <v>0</v>
      </c>
      <c r="BC30" s="526"/>
      <c r="BD30" s="526">
        <f>SUM(AX30:BB30)</f>
        <v>21857712.91331961</v>
      </c>
      <c r="BE30" s="526"/>
      <c r="BF30" s="526">
        <f>+BD30*$BF$10</f>
        <v>30351021.313644681</v>
      </c>
      <c r="BG30" s="544"/>
      <c r="BH30" s="525">
        <f>A30</f>
        <v>203</v>
      </c>
    </row>
    <row r="31" spans="1:60" ht="15" x14ac:dyDescent="0.25">
      <c r="A31" s="525">
        <f>A30+1</f>
        <v>204</v>
      </c>
      <c r="B31" s="529" t="s">
        <v>83</v>
      </c>
      <c r="C31" s="540"/>
      <c r="D31" s="525"/>
      <c r="E31" s="525"/>
      <c r="F31" s="525"/>
      <c r="G31" s="525"/>
      <c r="H31" s="528"/>
      <c r="I31" s="525"/>
      <c r="J31" s="528"/>
      <c r="K31" s="526"/>
      <c r="L31" s="528"/>
      <c r="M31" s="526"/>
      <c r="N31" s="528"/>
      <c r="O31" s="525"/>
      <c r="P31" s="525"/>
      <c r="Q31" s="525"/>
      <c r="R31" s="526">
        <v>0</v>
      </c>
      <c r="S31" s="526"/>
      <c r="T31" s="526">
        <v>0</v>
      </c>
      <c r="U31" s="526"/>
      <c r="V31" s="526">
        <v>0</v>
      </c>
      <c r="W31" s="526"/>
      <c r="X31" s="526">
        <f>SUM(R31:V31)</f>
        <v>0</v>
      </c>
      <c r="Y31" s="526"/>
      <c r="Z31" s="526"/>
      <c r="AA31" s="526"/>
      <c r="AB31" s="528"/>
      <c r="AC31" s="526"/>
      <c r="AD31" s="526">
        <v>0</v>
      </c>
      <c r="AE31" s="526"/>
      <c r="AF31" s="526">
        <v>0</v>
      </c>
      <c r="AG31" s="526"/>
      <c r="AH31" s="526"/>
      <c r="AI31" s="526"/>
      <c r="AJ31" s="527">
        <f>+R31-AB31</f>
        <v>0</v>
      </c>
      <c r="AK31" s="526"/>
      <c r="AL31" s="527">
        <f>+T31-AD31</f>
        <v>0</v>
      </c>
      <c r="AM31" s="526"/>
      <c r="AN31" s="527">
        <f>+V31-AF31</f>
        <v>0</v>
      </c>
      <c r="AO31" s="526"/>
      <c r="AP31" s="526">
        <f>SUM(AJ31:AN31)</f>
        <v>0</v>
      </c>
      <c r="AQ31" s="526"/>
      <c r="AR31" s="528"/>
      <c r="AS31" s="526"/>
      <c r="AT31" s="526">
        <v>0</v>
      </c>
      <c r="AU31" s="526"/>
      <c r="AV31" s="526">
        <v>0</v>
      </c>
      <c r="AW31" s="526"/>
      <c r="AX31" s="527">
        <f>+AJ31-AR31</f>
        <v>0</v>
      </c>
      <c r="AY31" s="526"/>
      <c r="AZ31" s="527">
        <f>+AL31-AT31</f>
        <v>0</v>
      </c>
      <c r="BA31" s="526"/>
      <c r="BB31" s="527">
        <f>+AN31-AV31</f>
        <v>0</v>
      </c>
      <c r="BC31" s="526"/>
      <c r="BD31" s="526">
        <f>SUM(AX31:BB31)</f>
        <v>0</v>
      </c>
      <c r="BE31" s="526"/>
      <c r="BF31" s="526">
        <f>+BD31*$BF$10</f>
        <v>0</v>
      </c>
      <c r="BG31" s="544"/>
      <c r="BH31" s="525">
        <f>A31</f>
        <v>204</v>
      </c>
    </row>
    <row r="32" spans="1:60" ht="15" x14ac:dyDescent="0.25">
      <c r="A32" s="525">
        <f>+A31+1</f>
        <v>205</v>
      </c>
      <c r="B32" s="529" t="s">
        <v>83</v>
      </c>
      <c r="C32" s="543"/>
      <c r="D32" s="540"/>
      <c r="E32" s="540"/>
      <c r="F32" s="534"/>
      <c r="G32" s="540"/>
      <c r="H32" s="528"/>
      <c r="I32" s="540"/>
      <c r="J32" s="528"/>
      <c r="K32" s="526"/>
      <c r="L32" s="528"/>
      <c r="M32" s="526"/>
      <c r="N32" s="528"/>
      <c r="O32" s="540"/>
      <c r="P32" s="540"/>
      <c r="Q32" s="540"/>
      <c r="R32" s="526">
        <v>0</v>
      </c>
      <c r="S32" s="526"/>
      <c r="T32" s="526">
        <v>0</v>
      </c>
      <c r="U32" s="526"/>
      <c r="V32" s="526">
        <v>0</v>
      </c>
      <c r="W32" s="526"/>
      <c r="X32" s="526">
        <f>SUM(R32:V32)</f>
        <v>0</v>
      </c>
      <c r="Y32" s="526"/>
      <c r="Z32" s="526"/>
      <c r="AA32" s="526"/>
      <c r="AB32" s="528"/>
      <c r="AC32" s="526"/>
      <c r="AD32" s="526">
        <v>0</v>
      </c>
      <c r="AE32" s="526"/>
      <c r="AF32" s="526">
        <v>0</v>
      </c>
      <c r="AG32" s="526"/>
      <c r="AH32" s="526"/>
      <c r="AI32" s="526"/>
      <c r="AJ32" s="527">
        <f>+R32-AB32</f>
        <v>0</v>
      </c>
      <c r="AK32" s="526"/>
      <c r="AL32" s="527">
        <f>+T32-AD32</f>
        <v>0</v>
      </c>
      <c r="AM32" s="526"/>
      <c r="AN32" s="527">
        <f>+V32-AF32</f>
        <v>0</v>
      </c>
      <c r="AO32" s="526"/>
      <c r="AP32" s="526">
        <f>SUM(AJ32:AN32)</f>
        <v>0</v>
      </c>
      <c r="AQ32" s="542"/>
      <c r="AR32" s="528"/>
      <c r="AS32" s="526"/>
      <c r="AT32" s="526">
        <v>0</v>
      </c>
      <c r="AU32" s="526"/>
      <c r="AV32" s="526">
        <v>0</v>
      </c>
      <c r="AW32" s="526"/>
      <c r="AX32" s="527">
        <f>+AJ32-AR32</f>
        <v>0</v>
      </c>
      <c r="AY32" s="526"/>
      <c r="AZ32" s="527">
        <f>+AL32-AT32</f>
        <v>0</v>
      </c>
      <c r="BA32" s="526"/>
      <c r="BB32" s="527">
        <f>+AN32-AV32</f>
        <v>0</v>
      </c>
      <c r="BC32" s="526"/>
      <c r="BD32" s="526">
        <f>SUM(AX32:BB32)</f>
        <v>0</v>
      </c>
      <c r="BE32" s="542"/>
      <c r="BF32" s="526">
        <f>+BD32*$BF$10</f>
        <v>0</v>
      </c>
      <c r="BG32" s="540"/>
      <c r="BH32" s="525">
        <f>A32</f>
        <v>205</v>
      </c>
    </row>
    <row r="33" spans="1:60" ht="15" x14ac:dyDescent="0.25">
      <c r="A33" s="525"/>
      <c r="B33" s="534"/>
      <c r="C33" s="543"/>
      <c r="D33" s="540"/>
      <c r="E33" s="540"/>
      <c r="F33" s="534"/>
      <c r="G33" s="540"/>
      <c r="H33" s="526"/>
      <c r="I33" s="540"/>
      <c r="J33" s="526"/>
      <c r="K33" s="526"/>
      <c r="L33" s="526"/>
      <c r="M33" s="526"/>
      <c r="N33" s="526"/>
      <c r="O33" s="540"/>
      <c r="P33" s="540"/>
      <c r="Q33" s="540"/>
      <c r="R33" s="526"/>
      <c r="S33" s="526"/>
      <c r="T33" s="526"/>
      <c r="U33" s="526"/>
      <c r="V33" s="526"/>
      <c r="W33" s="526"/>
      <c r="X33" s="526"/>
      <c r="Y33" s="526"/>
      <c r="Z33" s="526"/>
      <c r="AA33" s="526"/>
      <c r="AB33" s="526"/>
      <c r="AC33" s="526"/>
      <c r="AD33" s="526"/>
      <c r="AE33" s="526"/>
      <c r="AF33" s="526"/>
      <c r="AG33" s="526"/>
      <c r="AH33" s="526"/>
      <c r="AI33" s="526"/>
      <c r="AJ33" s="526"/>
      <c r="AK33" s="526"/>
      <c r="AL33" s="526"/>
      <c r="AM33" s="526"/>
      <c r="AN33" s="526"/>
      <c r="AO33" s="526"/>
      <c r="AP33" s="526"/>
      <c r="AQ33" s="542"/>
      <c r="AR33" s="526"/>
      <c r="AS33" s="526"/>
      <c r="AT33" s="526"/>
      <c r="AU33" s="526"/>
      <c r="AV33" s="526"/>
      <c r="AW33" s="526"/>
      <c r="AX33" s="526"/>
      <c r="AY33" s="526"/>
      <c r="AZ33" s="526"/>
      <c r="BA33" s="526"/>
      <c r="BB33" s="526"/>
      <c r="BC33" s="526"/>
      <c r="BD33" s="526"/>
      <c r="BE33" s="542"/>
      <c r="BF33" s="526"/>
      <c r="BG33" s="540"/>
      <c r="BH33" s="525"/>
    </row>
    <row r="34" spans="1:60" ht="15" x14ac:dyDescent="0.25">
      <c r="A34" s="508" t="s">
        <v>106</v>
      </c>
      <c r="B34" s="536"/>
      <c r="F34" s="536"/>
      <c r="BH34" s="533" t="s">
        <v>106</v>
      </c>
    </row>
    <row r="35" spans="1:60" ht="15" x14ac:dyDescent="0.25">
      <c r="A35" s="525">
        <v>300</v>
      </c>
      <c r="B35" s="540" t="s">
        <v>1683</v>
      </c>
      <c r="F35" s="536"/>
      <c r="H35" s="531">
        <f>SUM(H36:H40)</f>
        <v>0</v>
      </c>
      <c r="J35" s="531">
        <f>SUM(J36:J40)</f>
        <v>0</v>
      </c>
      <c r="K35" s="526"/>
      <c r="L35" s="531">
        <f>SUM(L36:L40)</f>
        <v>0</v>
      </c>
      <c r="M35" s="526"/>
      <c r="N35" s="531">
        <f>SUM(N36:N40)</f>
        <v>0</v>
      </c>
      <c r="O35" s="525"/>
      <c r="P35" s="525"/>
      <c r="Q35" s="525"/>
      <c r="R35" s="531">
        <f>SUM(R36:R40)</f>
        <v>0</v>
      </c>
      <c r="S35" s="526"/>
      <c r="T35" s="531">
        <f>SUM(T36:T40)</f>
        <v>0</v>
      </c>
      <c r="U35" s="526"/>
      <c r="V35" s="531">
        <f>SUM(V36:V40)</f>
        <v>0</v>
      </c>
      <c r="W35" s="526"/>
      <c r="X35" s="531">
        <f>SUM(X36:X40)</f>
        <v>0</v>
      </c>
      <c r="Y35" s="526"/>
      <c r="Z35" s="526"/>
      <c r="AA35" s="526"/>
      <c r="AB35" s="531">
        <f>SUM(AB36:AB40)</f>
        <v>0</v>
      </c>
      <c r="AC35" s="526"/>
      <c r="AD35" s="531">
        <f>SUM(AD36:AD40)</f>
        <v>0</v>
      </c>
      <c r="AE35" s="526"/>
      <c r="AF35" s="531">
        <f>SUM(AF36:AF40)</f>
        <v>0</v>
      </c>
      <c r="AG35" s="526"/>
      <c r="AH35" s="526"/>
      <c r="AI35" s="526"/>
      <c r="AJ35" s="531">
        <f>SUM(AJ36:AJ40)</f>
        <v>0</v>
      </c>
      <c r="AK35" s="526"/>
      <c r="AL35" s="531">
        <f>SUM(AL36:AL40)</f>
        <v>0</v>
      </c>
      <c r="AM35" s="526"/>
      <c r="AN35" s="531">
        <f>SUM(AN36:AN40)</f>
        <v>0</v>
      </c>
      <c r="AO35" s="526"/>
      <c r="AP35" s="531">
        <f>SUM(AP36:AP40)</f>
        <v>0</v>
      </c>
      <c r="AR35" s="531">
        <f>SUM(AR36:AR40)</f>
        <v>0</v>
      </c>
      <c r="AS35" s="526"/>
      <c r="AT35" s="531">
        <f>SUM(AT36:AT40)</f>
        <v>0</v>
      </c>
      <c r="AU35" s="526"/>
      <c r="AV35" s="531">
        <f>SUM(AV36:AV40)</f>
        <v>0</v>
      </c>
      <c r="AW35" s="526"/>
      <c r="AX35" s="531">
        <f>SUM(AX36:AX40)</f>
        <v>0</v>
      </c>
      <c r="AY35" s="526"/>
      <c r="AZ35" s="531">
        <f>SUM(AZ36:AZ40)</f>
        <v>0</v>
      </c>
      <c r="BA35" s="526"/>
      <c r="BB35" s="531">
        <f>SUM(BB36:BB40)</f>
        <v>0</v>
      </c>
      <c r="BC35" s="526"/>
      <c r="BD35" s="531">
        <f>SUM(BD36:BD40)</f>
        <v>0</v>
      </c>
      <c r="BF35" s="531">
        <f>SUM(BF36:BF40)</f>
        <v>0</v>
      </c>
      <c r="BH35" s="525">
        <f>A35</f>
        <v>300</v>
      </c>
    </row>
    <row r="36" spans="1:60" ht="15" x14ac:dyDescent="0.25">
      <c r="A36" s="525">
        <f>A35+1</f>
        <v>301</v>
      </c>
      <c r="B36" s="539" t="s">
        <v>1682</v>
      </c>
      <c r="D36" s="521" t="s">
        <v>1681</v>
      </c>
      <c r="F36" s="536" t="s">
        <v>1614</v>
      </c>
      <c r="H36" s="528"/>
      <c r="J36" s="528">
        <v>0</v>
      </c>
      <c r="K36" s="526"/>
      <c r="L36" s="528">
        <v>0</v>
      </c>
      <c r="M36" s="526"/>
      <c r="N36" s="528">
        <v>0</v>
      </c>
      <c r="P36" s="534" t="s">
        <v>1613</v>
      </c>
      <c r="R36" s="526">
        <f>N36</f>
        <v>0</v>
      </c>
      <c r="S36" s="526"/>
      <c r="T36" s="526">
        <v>0</v>
      </c>
      <c r="U36" s="526"/>
      <c r="V36" s="526">
        <v>0</v>
      </c>
      <c r="W36" s="526"/>
      <c r="X36" s="526">
        <f>SUM(R36:V36)</f>
        <v>0</v>
      </c>
      <c r="Y36" s="526"/>
      <c r="Z36" s="526"/>
      <c r="AA36" s="526"/>
      <c r="AB36" s="528"/>
      <c r="AC36" s="526"/>
      <c r="AD36" s="528"/>
      <c r="AE36" s="526"/>
      <c r="AF36" s="526">
        <v>0</v>
      </c>
      <c r="AG36" s="526"/>
      <c r="AH36" s="526"/>
      <c r="AI36" s="526"/>
      <c r="AJ36" s="527">
        <f>+R36-AB36</f>
        <v>0</v>
      </c>
      <c r="AK36" s="526"/>
      <c r="AL36" s="527">
        <f>+T36-AD36</f>
        <v>0</v>
      </c>
      <c r="AM36" s="526"/>
      <c r="AN36" s="527">
        <f>+V36-AF36</f>
        <v>0</v>
      </c>
      <c r="AO36" s="526"/>
      <c r="AP36" s="526">
        <f>SUM(AJ36:AN36)</f>
        <v>0</v>
      </c>
      <c r="AR36" s="528"/>
      <c r="AS36" s="526"/>
      <c r="AT36" s="528"/>
      <c r="AU36" s="526"/>
      <c r="AV36" s="526">
        <v>0</v>
      </c>
      <c r="AW36" s="526"/>
      <c r="AX36" s="527">
        <f>+AJ36-AR36</f>
        <v>0</v>
      </c>
      <c r="AY36" s="526"/>
      <c r="AZ36" s="527">
        <f>+AL36-AT36</f>
        <v>0</v>
      </c>
      <c r="BA36" s="526"/>
      <c r="BB36" s="527">
        <f>+AN36-AV36</f>
        <v>0</v>
      </c>
      <c r="BC36" s="526"/>
      <c r="BD36" s="526">
        <f>SUM(AX36:BB36)</f>
        <v>0</v>
      </c>
      <c r="BF36" s="526">
        <f>+BD36*$BF$10</f>
        <v>0</v>
      </c>
      <c r="BH36" s="525">
        <f>A36</f>
        <v>301</v>
      </c>
    </row>
    <row r="37" spans="1:60" ht="15" x14ac:dyDescent="0.25">
      <c r="A37" s="525">
        <f>A36+1</f>
        <v>302</v>
      </c>
      <c r="B37" s="539" t="s">
        <v>1682</v>
      </c>
      <c r="D37" s="521" t="s">
        <v>1681</v>
      </c>
      <c r="F37" s="536" t="s">
        <v>1614</v>
      </c>
      <c r="H37" s="528"/>
      <c r="J37" s="528">
        <v>0</v>
      </c>
      <c r="K37" s="526"/>
      <c r="L37" s="528">
        <v>0</v>
      </c>
      <c r="M37" s="526"/>
      <c r="N37" s="528">
        <v>0</v>
      </c>
      <c r="P37" s="534" t="s">
        <v>1613</v>
      </c>
      <c r="R37" s="526">
        <f>N37</f>
        <v>0</v>
      </c>
      <c r="S37" s="526"/>
      <c r="T37" s="526">
        <v>0</v>
      </c>
      <c r="U37" s="526"/>
      <c r="V37" s="526">
        <v>0</v>
      </c>
      <c r="W37" s="526"/>
      <c r="X37" s="526">
        <f>SUM(R37:V37)</f>
        <v>0</v>
      </c>
      <c r="Y37" s="526"/>
      <c r="Z37" s="526"/>
      <c r="AA37" s="526"/>
      <c r="AB37" s="528"/>
      <c r="AC37" s="526"/>
      <c r="AD37" s="528"/>
      <c r="AE37" s="526"/>
      <c r="AF37" s="526">
        <v>0</v>
      </c>
      <c r="AG37" s="526"/>
      <c r="AH37" s="526"/>
      <c r="AI37" s="526"/>
      <c r="AJ37" s="527">
        <f>+R37-AB37</f>
        <v>0</v>
      </c>
      <c r="AK37" s="526"/>
      <c r="AL37" s="527">
        <f>+T37-AD37</f>
        <v>0</v>
      </c>
      <c r="AM37" s="526"/>
      <c r="AN37" s="527">
        <f>+V37-AF37</f>
        <v>0</v>
      </c>
      <c r="AO37" s="526"/>
      <c r="AP37" s="526">
        <f>SUM(AJ37:AN37)</f>
        <v>0</v>
      </c>
      <c r="AR37" s="528"/>
      <c r="AS37" s="526"/>
      <c r="AT37" s="528"/>
      <c r="AU37" s="526"/>
      <c r="AV37" s="526">
        <v>0</v>
      </c>
      <c r="AW37" s="526"/>
      <c r="AX37" s="527">
        <f>+AJ37-AR37</f>
        <v>0</v>
      </c>
      <c r="AY37" s="526"/>
      <c r="AZ37" s="527">
        <f>+AL37-AT37</f>
        <v>0</v>
      </c>
      <c r="BA37" s="526"/>
      <c r="BB37" s="527">
        <f>+AN37-AV37</f>
        <v>0</v>
      </c>
      <c r="BC37" s="526"/>
      <c r="BD37" s="526">
        <f>SUM(AX37:BB37)</f>
        <v>0</v>
      </c>
      <c r="BF37" s="526">
        <f>+BD37*$BF$10</f>
        <v>0</v>
      </c>
      <c r="BH37" s="525">
        <f>A37</f>
        <v>302</v>
      </c>
    </row>
    <row r="38" spans="1:60" ht="15" x14ac:dyDescent="0.25">
      <c r="A38" s="525">
        <f>A37+1</f>
        <v>303</v>
      </c>
      <c r="B38" s="539" t="s">
        <v>1682</v>
      </c>
      <c r="D38" s="521" t="s">
        <v>1681</v>
      </c>
      <c r="F38" s="536" t="s">
        <v>1614</v>
      </c>
      <c r="H38" s="528"/>
      <c r="J38" s="528">
        <v>0</v>
      </c>
      <c r="K38" s="526"/>
      <c r="L38" s="528">
        <v>0</v>
      </c>
      <c r="M38" s="526"/>
      <c r="N38" s="528">
        <v>0</v>
      </c>
      <c r="P38" s="534" t="s">
        <v>1613</v>
      </c>
      <c r="R38" s="526">
        <f>N38</f>
        <v>0</v>
      </c>
      <c r="S38" s="526"/>
      <c r="T38" s="526">
        <v>0</v>
      </c>
      <c r="U38" s="526"/>
      <c r="V38" s="526">
        <v>0</v>
      </c>
      <c r="W38" s="526"/>
      <c r="X38" s="526">
        <f>SUM(R38:V38)</f>
        <v>0</v>
      </c>
      <c r="Y38" s="526"/>
      <c r="Z38" s="526"/>
      <c r="AA38" s="526"/>
      <c r="AB38" s="528"/>
      <c r="AC38" s="526"/>
      <c r="AD38" s="528"/>
      <c r="AE38" s="526"/>
      <c r="AF38" s="526">
        <v>0</v>
      </c>
      <c r="AG38" s="526"/>
      <c r="AH38" s="526"/>
      <c r="AI38" s="526"/>
      <c r="AJ38" s="527">
        <f>+R38-AB38</f>
        <v>0</v>
      </c>
      <c r="AK38" s="526"/>
      <c r="AL38" s="527">
        <f>+T38-AD38</f>
        <v>0</v>
      </c>
      <c r="AM38" s="526"/>
      <c r="AN38" s="527">
        <f>+V38-AF38</f>
        <v>0</v>
      </c>
      <c r="AO38" s="526"/>
      <c r="AP38" s="526">
        <f>SUM(AJ38:AN38)</f>
        <v>0</v>
      </c>
      <c r="AR38" s="528"/>
      <c r="AS38" s="526"/>
      <c r="AT38" s="528"/>
      <c r="AU38" s="526"/>
      <c r="AV38" s="526">
        <v>0</v>
      </c>
      <c r="AW38" s="526"/>
      <c r="AX38" s="527">
        <f>+AJ38-AR38</f>
        <v>0</v>
      </c>
      <c r="AY38" s="526"/>
      <c r="AZ38" s="527">
        <f>+AL38-AT38</f>
        <v>0</v>
      </c>
      <c r="BA38" s="526"/>
      <c r="BB38" s="527">
        <f>+AN38-AV38</f>
        <v>0</v>
      </c>
      <c r="BC38" s="526"/>
      <c r="BD38" s="526">
        <f>SUM(AX38:BB38)</f>
        <v>0</v>
      </c>
      <c r="BF38" s="526">
        <f>+BD38*$BF$10</f>
        <v>0</v>
      </c>
      <c r="BH38" s="525">
        <f>A38</f>
        <v>303</v>
      </c>
    </row>
    <row r="39" spans="1:60" ht="15" x14ac:dyDescent="0.25">
      <c r="A39" s="525">
        <f>A38+1</f>
        <v>304</v>
      </c>
      <c r="B39" s="529" t="s">
        <v>83</v>
      </c>
      <c r="F39" s="536"/>
      <c r="H39" s="528"/>
      <c r="J39" s="528"/>
      <c r="K39" s="526"/>
      <c r="L39" s="528"/>
      <c r="M39" s="526"/>
      <c r="N39" s="528"/>
      <c r="R39" s="526">
        <f>N39</f>
        <v>0</v>
      </c>
      <c r="S39" s="526"/>
      <c r="T39" s="526">
        <v>0</v>
      </c>
      <c r="U39" s="526"/>
      <c r="V39" s="526">
        <v>0</v>
      </c>
      <c r="W39" s="526"/>
      <c r="X39" s="526">
        <f>SUM(R39:V39)</f>
        <v>0</v>
      </c>
      <c r="Y39" s="526"/>
      <c r="Z39" s="526"/>
      <c r="AA39" s="526"/>
      <c r="AB39" s="528"/>
      <c r="AC39" s="526"/>
      <c r="AD39" s="528"/>
      <c r="AE39" s="526"/>
      <c r="AF39" s="526">
        <v>0</v>
      </c>
      <c r="AG39" s="526"/>
      <c r="AH39" s="526"/>
      <c r="AI39" s="526"/>
      <c r="AJ39" s="527">
        <f>+R39-AB39</f>
        <v>0</v>
      </c>
      <c r="AK39" s="526"/>
      <c r="AL39" s="527">
        <f>+T39-AD39</f>
        <v>0</v>
      </c>
      <c r="AM39" s="526"/>
      <c r="AN39" s="527">
        <f>+V39-AF39</f>
        <v>0</v>
      </c>
      <c r="AO39" s="526"/>
      <c r="AP39" s="526">
        <f>SUM(AJ39:AN39)</f>
        <v>0</v>
      </c>
      <c r="AR39" s="528"/>
      <c r="AS39" s="526"/>
      <c r="AT39" s="528"/>
      <c r="AU39" s="526"/>
      <c r="AV39" s="526">
        <v>0</v>
      </c>
      <c r="AW39" s="526"/>
      <c r="AX39" s="527">
        <f>+AJ39-AR39</f>
        <v>0</v>
      </c>
      <c r="AY39" s="526"/>
      <c r="AZ39" s="527">
        <f>+AL39-AT39</f>
        <v>0</v>
      </c>
      <c r="BA39" s="526"/>
      <c r="BB39" s="527">
        <f>+AN39-AV39</f>
        <v>0</v>
      </c>
      <c r="BC39" s="526"/>
      <c r="BD39" s="526">
        <f>SUM(AX39:BB39)</f>
        <v>0</v>
      </c>
      <c r="BF39" s="526">
        <f>+BD39*$BF$10</f>
        <v>0</v>
      </c>
      <c r="BH39" s="525">
        <f>A39</f>
        <v>304</v>
      </c>
    </row>
    <row r="40" spans="1:60" ht="15" x14ac:dyDescent="0.25">
      <c r="A40" s="525">
        <f>+A39+1</f>
        <v>305</v>
      </c>
      <c r="B40" s="529" t="s">
        <v>83</v>
      </c>
      <c r="F40" s="536"/>
      <c r="H40" s="528"/>
      <c r="J40" s="528"/>
      <c r="K40" s="526"/>
      <c r="L40" s="528"/>
      <c r="M40" s="526"/>
      <c r="N40" s="528"/>
      <c r="R40" s="526">
        <f>N40</f>
        <v>0</v>
      </c>
      <c r="S40" s="526"/>
      <c r="T40" s="526">
        <v>0</v>
      </c>
      <c r="U40" s="526"/>
      <c r="V40" s="526">
        <v>0</v>
      </c>
      <c r="W40" s="526"/>
      <c r="X40" s="526">
        <f>SUM(R40:V40)</f>
        <v>0</v>
      </c>
      <c r="Y40" s="526"/>
      <c r="Z40" s="526"/>
      <c r="AA40" s="526"/>
      <c r="AB40" s="528"/>
      <c r="AC40" s="526"/>
      <c r="AD40" s="528"/>
      <c r="AE40" s="526"/>
      <c r="AF40" s="526">
        <v>0</v>
      </c>
      <c r="AG40" s="526"/>
      <c r="AH40" s="526"/>
      <c r="AI40" s="526"/>
      <c r="AJ40" s="527">
        <f>+R40-AB40</f>
        <v>0</v>
      </c>
      <c r="AK40" s="526"/>
      <c r="AL40" s="527">
        <f>+T40-AD40</f>
        <v>0</v>
      </c>
      <c r="AM40" s="526"/>
      <c r="AN40" s="527">
        <f>+V40-AF40</f>
        <v>0</v>
      </c>
      <c r="AO40" s="526"/>
      <c r="AP40" s="526">
        <f>SUM(AJ40:AN40)</f>
        <v>0</v>
      </c>
      <c r="AR40" s="528"/>
      <c r="AS40" s="526"/>
      <c r="AT40" s="528"/>
      <c r="AU40" s="526"/>
      <c r="AV40" s="526">
        <v>0</v>
      </c>
      <c r="AW40" s="526"/>
      <c r="AX40" s="527">
        <f>+AJ40-AR40</f>
        <v>0</v>
      </c>
      <c r="AY40" s="526"/>
      <c r="AZ40" s="527">
        <f>+AL40-AT40</f>
        <v>0</v>
      </c>
      <c r="BA40" s="526"/>
      <c r="BB40" s="527">
        <f>+AN40-AV40</f>
        <v>0</v>
      </c>
      <c r="BC40" s="526"/>
      <c r="BD40" s="526">
        <f>SUM(AX40:BB40)</f>
        <v>0</v>
      </c>
      <c r="BF40" s="526">
        <f>+BD40*$BF$10</f>
        <v>0</v>
      </c>
      <c r="BH40" s="525">
        <f>A40</f>
        <v>305</v>
      </c>
    </row>
    <row r="41" spans="1:60" ht="15" x14ac:dyDescent="0.25">
      <c r="A41" s="525"/>
      <c r="B41" s="534"/>
      <c r="F41" s="536"/>
      <c r="H41" s="526"/>
      <c r="J41" s="526"/>
      <c r="K41" s="526"/>
      <c r="L41" s="526"/>
      <c r="M41" s="526"/>
      <c r="N41" s="526"/>
      <c r="R41" s="526"/>
      <c r="S41" s="526"/>
      <c r="T41" s="526"/>
      <c r="U41" s="526"/>
      <c r="V41" s="526"/>
      <c r="W41" s="526"/>
      <c r="X41" s="526"/>
      <c r="Y41" s="526"/>
      <c r="Z41" s="526"/>
      <c r="AA41" s="526"/>
      <c r="AB41" s="526"/>
      <c r="AC41" s="526"/>
      <c r="AD41" s="526"/>
      <c r="AE41" s="526"/>
      <c r="AF41" s="526"/>
      <c r="AG41" s="526"/>
      <c r="AH41" s="526"/>
      <c r="AI41" s="526"/>
      <c r="AJ41" s="526"/>
      <c r="AK41" s="526"/>
      <c r="AL41" s="526"/>
      <c r="AM41" s="526"/>
      <c r="AN41" s="526"/>
      <c r="AO41" s="526"/>
      <c r="AP41" s="526"/>
      <c r="AR41" s="526"/>
      <c r="AS41" s="526"/>
      <c r="AT41" s="526"/>
      <c r="AU41" s="526"/>
      <c r="AV41" s="526"/>
      <c r="AW41" s="526"/>
      <c r="AX41" s="526"/>
      <c r="AY41" s="526"/>
      <c r="AZ41" s="526"/>
      <c r="BA41" s="526"/>
      <c r="BB41" s="526"/>
      <c r="BC41" s="526"/>
      <c r="BD41" s="526"/>
      <c r="BF41" s="526"/>
      <c r="BH41" s="525"/>
    </row>
    <row r="42" spans="1:60" ht="15" x14ac:dyDescent="0.25">
      <c r="A42" s="508" t="s">
        <v>106</v>
      </c>
      <c r="F42" s="536"/>
      <c r="R42" s="526"/>
      <c r="S42" s="526"/>
      <c r="T42" s="526"/>
      <c r="U42" s="526"/>
      <c r="V42" s="526"/>
      <c r="W42" s="526"/>
      <c r="X42" s="526"/>
      <c r="Y42" s="526"/>
      <c r="Z42" s="526"/>
      <c r="AA42" s="526"/>
      <c r="AC42" s="526"/>
      <c r="AE42" s="526"/>
      <c r="AG42" s="526"/>
      <c r="AH42" s="526"/>
      <c r="AI42" s="526"/>
      <c r="AJ42" s="526"/>
      <c r="AK42" s="526"/>
      <c r="AL42" s="526"/>
      <c r="AM42" s="526"/>
      <c r="AN42" s="526"/>
      <c r="AO42" s="526"/>
      <c r="AP42" s="526"/>
      <c r="AS42" s="526"/>
      <c r="AU42" s="526"/>
      <c r="AW42" s="526"/>
      <c r="AX42" s="526"/>
      <c r="AY42" s="526"/>
      <c r="AZ42" s="526"/>
      <c r="BA42" s="526"/>
      <c r="BB42" s="526"/>
      <c r="BC42" s="526"/>
      <c r="BD42" s="526"/>
      <c r="BH42" s="508" t="s">
        <v>106</v>
      </c>
    </row>
    <row r="43" spans="1:60" ht="15" x14ac:dyDescent="0.25">
      <c r="A43" s="525">
        <v>400</v>
      </c>
      <c r="B43" s="540" t="s">
        <v>1680</v>
      </c>
      <c r="F43" s="536"/>
      <c r="H43" s="531">
        <f>ROUND(SUM(H44:H100),0)</f>
        <v>0</v>
      </c>
      <c r="J43" s="531">
        <f>ROUND(SUM(J44:J100),0)-2</f>
        <v>-346763385</v>
      </c>
      <c r="K43" s="526"/>
      <c r="L43" s="531">
        <f>ROUND(SUM(L44:L100),0)+1</f>
        <v>-206675379</v>
      </c>
      <c r="M43" s="526"/>
      <c r="N43" s="531">
        <f>ROUND(SUM(N44:N100),0)+1</f>
        <v>-140088006</v>
      </c>
      <c r="O43" s="525"/>
      <c r="P43" s="525"/>
      <c r="Q43" s="525"/>
      <c r="R43" s="531">
        <f>ROUND(SUM(R44:R100),0)</f>
        <v>0</v>
      </c>
      <c r="S43" s="526"/>
      <c r="T43" s="531">
        <f>ROUND(SUM(T44:T100),0)</f>
        <v>-140088007</v>
      </c>
      <c r="U43" s="526"/>
      <c r="V43" s="531">
        <f>ROUND(SUM(V44:V100),0)</f>
        <v>0</v>
      </c>
      <c r="W43" s="526"/>
      <c r="X43" s="531">
        <f>ROUND(SUM(X44:X100),0)</f>
        <v>-140088007</v>
      </c>
      <c r="Y43" s="526"/>
      <c r="Z43" s="526"/>
      <c r="AA43" s="526"/>
      <c r="AB43" s="531">
        <f>SUM(AB44:AB100)</f>
        <v>0</v>
      </c>
      <c r="AC43" s="526"/>
      <c r="AD43" s="531">
        <f>SUM(AD44:AD100)-1</f>
        <v>-92542022.432579488</v>
      </c>
      <c r="AE43" s="526"/>
      <c r="AF43" s="531">
        <f>SUM(AF44:AF100)</f>
        <v>0</v>
      </c>
      <c r="AG43" s="526"/>
      <c r="AH43" s="526"/>
      <c r="AI43" s="526"/>
      <c r="AJ43" s="531">
        <f>SUM(AJ44:AJ100)</f>
        <v>0</v>
      </c>
      <c r="AK43" s="526"/>
      <c r="AL43" s="531">
        <f>SUM(AL44:AL100)</f>
        <v>-47545985.567420512</v>
      </c>
      <c r="AM43" s="526"/>
      <c r="AN43" s="531">
        <f>SUM(AN44:AN100)</f>
        <v>0</v>
      </c>
      <c r="AO43" s="526"/>
      <c r="AP43" s="531">
        <f>SUM(AP44:AP100)</f>
        <v>-47545985.567420512</v>
      </c>
      <c r="AR43" s="531">
        <f>SUM(AR44:AR100)</f>
        <v>0</v>
      </c>
      <c r="AS43" s="526"/>
      <c r="AT43" s="531">
        <f>SUM(AT44:AT100)</f>
        <v>-14324173.144193169</v>
      </c>
      <c r="AU43" s="526"/>
      <c r="AV43" s="531">
        <f>SUM(AV44:AV100)</f>
        <v>0</v>
      </c>
      <c r="AW43" s="526"/>
      <c r="AX43" s="531">
        <f>SUM(AX44:AX100)</f>
        <v>0</v>
      </c>
      <c r="AY43" s="526"/>
      <c r="AZ43" s="531">
        <f>SUM(AZ44:AZ100)</f>
        <v>-33221812.423227325</v>
      </c>
      <c r="BA43" s="526"/>
      <c r="BB43" s="531">
        <f>SUM(BB44:BB100)</f>
        <v>0</v>
      </c>
      <c r="BC43" s="526"/>
      <c r="BD43" s="531">
        <f>SUM(BD44:BD100)</f>
        <v>-33221812.423227325</v>
      </c>
      <c r="BF43" s="531">
        <f>ROUND(SUM(BF44:BF100),0)</f>
        <v>-46130899</v>
      </c>
      <c r="BH43" s="525">
        <f>A43</f>
        <v>400</v>
      </c>
    </row>
    <row r="44" spans="1:60" ht="15" x14ac:dyDescent="0.25">
      <c r="A44" s="525">
        <f>A43+1</f>
        <v>401</v>
      </c>
      <c r="B44" s="530" t="s">
        <v>1679</v>
      </c>
      <c r="F44" s="536" t="s">
        <v>1614</v>
      </c>
      <c r="H44" s="528"/>
      <c r="J44" s="528">
        <v>-2434619</v>
      </c>
      <c r="K44" s="526"/>
      <c r="L44" s="528">
        <v>-1460771</v>
      </c>
      <c r="M44" s="526"/>
      <c r="N44" s="528">
        <v>-973848</v>
      </c>
      <c r="P44" s="538" t="s">
        <v>1613</v>
      </c>
      <c r="R44" s="526">
        <v>0</v>
      </c>
      <c r="S44" s="526"/>
      <c r="T44" s="526">
        <f>N44</f>
        <v>-973848</v>
      </c>
      <c r="U44" s="526"/>
      <c r="V44" s="526">
        <v>0</v>
      </c>
      <c r="W44" s="526"/>
      <c r="X44" s="526">
        <f>SUM(R44:V44)</f>
        <v>-973848</v>
      </c>
      <c r="Y44" s="526"/>
      <c r="Z44" s="537" t="s">
        <v>1606</v>
      </c>
      <c r="AA44" s="526"/>
      <c r="AB44" s="526">
        <v>0</v>
      </c>
      <c r="AC44" s="526"/>
      <c r="AD44" s="528">
        <v>-643323.51481865405</v>
      </c>
      <c r="AE44" s="526"/>
      <c r="AF44" s="526">
        <v>0</v>
      </c>
      <c r="AG44" s="526"/>
      <c r="AH44" s="537" t="s">
        <v>1611</v>
      </c>
      <c r="AI44" s="526"/>
      <c r="AJ44" s="527">
        <f>+R44-AB44</f>
        <v>0</v>
      </c>
      <c r="AK44" s="526"/>
      <c r="AL44" s="527">
        <f>+T44-AD44</f>
        <v>-330524.48518134595</v>
      </c>
      <c r="AM44" s="526"/>
      <c r="AN44" s="527">
        <f>+V44-AF44</f>
        <v>0</v>
      </c>
      <c r="AO44" s="526"/>
      <c r="AP44" s="526">
        <f>SUM(AJ44:AN44)</f>
        <v>-330524.48518134595</v>
      </c>
      <c r="AR44" s="526">
        <v>0</v>
      </c>
      <c r="AS44" s="526"/>
      <c r="AT44" s="528">
        <v>-99577.17160621802</v>
      </c>
      <c r="AU44" s="526"/>
      <c r="AV44" s="526">
        <v>0</v>
      </c>
      <c r="AW44" s="526"/>
      <c r="AX44" s="527">
        <f>+AJ44-AR44</f>
        <v>0</v>
      </c>
      <c r="AY44" s="526"/>
      <c r="AZ44" s="527">
        <f>+AL44-AT44</f>
        <v>-230947.31357512792</v>
      </c>
      <c r="BA44" s="526"/>
      <c r="BB44" s="527">
        <f>+AN44-AV44</f>
        <v>0</v>
      </c>
      <c r="BC44" s="526"/>
      <c r="BD44" s="526">
        <f>SUM(AX44:BB44)</f>
        <v>-230947.31357512792</v>
      </c>
      <c r="BF44" s="526">
        <f>+BD44*$BF$10</f>
        <v>-320687.11234542116</v>
      </c>
      <c r="BH44" s="525">
        <f>A44</f>
        <v>401</v>
      </c>
    </row>
    <row r="45" spans="1:60" ht="15" x14ac:dyDescent="0.25">
      <c r="A45" s="525">
        <f>A44+1</f>
        <v>402</v>
      </c>
      <c r="B45" s="530" t="s">
        <v>1678</v>
      </c>
      <c r="F45" s="536" t="s">
        <v>1614</v>
      </c>
      <c r="H45" s="528"/>
      <c r="J45" s="528">
        <v>-448270</v>
      </c>
      <c r="K45" s="526"/>
      <c r="L45" s="528">
        <v>-268962</v>
      </c>
      <c r="M45" s="526"/>
      <c r="N45" s="528">
        <v>-179308</v>
      </c>
      <c r="P45" s="538" t="s">
        <v>1613</v>
      </c>
      <c r="R45" s="526">
        <v>0</v>
      </c>
      <c r="S45" s="526"/>
      <c r="T45" s="526">
        <f>N45</f>
        <v>-179308</v>
      </c>
      <c r="U45" s="526"/>
      <c r="V45" s="526">
        <v>0</v>
      </c>
      <c r="W45" s="526"/>
      <c r="X45" s="526">
        <f>SUM(R45:V45)</f>
        <v>-179308</v>
      </c>
      <c r="Y45" s="526"/>
      <c r="Z45" s="537" t="s">
        <v>1606</v>
      </c>
      <c r="AA45" s="526"/>
      <c r="AB45" s="526">
        <v>0</v>
      </c>
      <c r="AC45" s="526"/>
      <c r="AD45" s="528">
        <v>-118450.44334291559</v>
      </c>
      <c r="AE45" s="526"/>
      <c r="AF45" s="526">
        <v>0</v>
      </c>
      <c r="AG45" s="526"/>
      <c r="AH45" s="537" t="s">
        <v>1611</v>
      </c>
      <c r="AI45" s="526"/>
      <c r="AJ45" s="527">
        <f>+R45-AB45</f>
        <v>0</v>
      </c>
      <c r="AK45" s="526"/>
      <c r="AL45" s="527">
        <f>+T45-AD45</f>
        <v>-60857.556657084409</v>
      </c>
      <c r="AM45" s="526"/>
      <c r="AN45" s="527">
        <f>+V45-AF45</f>
        <v>0</v>
      </c>
      <c r="AO45" s="526"/>
      <c r="AP45" s="526">
        <f>SUM(AJ45:AN45)</f>
        <v>-60857.556657084409</v>
      </c>
      <c r="AR45" s="526">
        <v>0</v>
      </c>
      <c r="AS45" s="526"/>
      <c r="AT45" s="528">
        <v>-18334.481114305199</v>
      </c>
      <c r="AU45" s="526"/>
      <c r="AV45" s="526">
        <v>0</v>
      </c>
      <c r="AW45" s="526"/>
      <c r="AX45" s="527">
        <f>+AJ45-AR45</f>
        <v>0</v>
      </c>
      <c r="AY45" s="526"/>
      <c r="AZ45" s="527">
        <f>+AL45-AT45</f>
        <v>-42523.07554277921</v>
      </c>
      <c r="BA45" s="526"/>
      <c r="BB45" s="527">
        <f>+AN45-AV45</f>
        <v>0</v>
      </c>
      <c r="BC45" s="526"/>
      <c r="BD45" s="526">
        <f>SUM(AX45:BB45)</f>
        <v>-42523.07554277921</v>
      </c>
      <c r="BF45" s="526">
        <f>+BD45*$BF$10</f>
        <v>-59046.377690052832</v>
      </c>
      <c r="BH45" s="525">
        <f>A45</f>
        <v>402</v>
      </c>
    </row>
    <row r="46" spans="1:60" ht="15" x14ac:dyDescent="0.25">
      <c r="A46" s="525">
        <f>A45+1</f>
        <v>403</v>
      </c>
      <c r="B46" s="530" t="s">
        <v>1677</v>
      </c>
      <c r="F46" s="536" t="s">
        <v>1614</v>
      </c>
      <c r="H46" s="528"/>
      <c r="J46" s="528">
        <v>-54964684</v>
      </c>
      <c r="K46" s="526"/>
      <c r="L46" s="528">
        <v>-32978811</v>
      </c>
      <c r="M46" s="526"/>
      <c r="N46" s="528">
        <v>-21985874</v>
      </c>
      <c r="P46" s="538" t="s">
        <v>1613</v>
      </c>
      <c r="R46" s="526">
        <v>0</v>
      </c>
      <c r="S46" s="526"/>
      <c r="T46" s="526">
        <f>N46</f>
        <v>-21985874</v>
      </c>
      <c r="U46" s="526"/>
      <c r="V46" s="526">
        <v>0</v>
      </c>
      <c r="W46" s="526"/>
      <c r="X46" s="526">
        <f>SUM(R46:V46)</f>
        <v>-21985874</v>
      </c>
      <c r="Y46" s="526"/>
      <c r="Z46" s="537" t="s">
        <v>1606</v>
      </c>
      <c r="AA46" s="526"/>
      <c r="AB46" s="526">
        <v>0</v>
      </c>
      <c r="AC46" s="526"/>
      <c r="AD46" s="528">
        <v>-14523849.878345046</v>
      </c>
      <c r="AE46" s="526"/>
      <c r="AF46" s="526">
        <v>0</v>
      </c>
      <c r="AG46" s="526"/>
      <c r="AH46" s="537" t="s">
        <v>1611</v>
      </c>
      <c r="AI46" s="526"/>
      <c r="AJ46" s="527">
        <f>+R46-AB46</f>
        <v>0</v>
      </c>
      <c r="AK46" s="526"/>
      <c r="AL46" s="527">
        <f>+T46-AD46</f>
        <v>-7462024.1216549538</v>
      </c>
      <c r="AM46" s="526"/>
      <c r="AN46" s="527">
        <f>+V46-AF46</f>
        <v>0</v>
      </c>
      <c r="AO46" s="526"/>
      <c r="AP46" s="526">
        <f>SUM(AJ46:AN46)</f>
        <v>-7462024.1216549538</v>
      </c>
      <c r="AR46" s="526">
        <v>0</v>
      </c>
      <c r="AS46" s="526"/>
      <c r="AT46" s="528">
        <v>-2248082.9594483483</v>
      </c>
      <c r="AU46" s="526"/>
      <c r="AV46" s="526">
        <v>0</v>
      </c>
      <c r="AW46" s="526"/>
      <c r="AX46" s="527">
        <f>+AJ46-AR46</f>
        <v>0</v>
      </c>
      <c r="AY46" s="526"/>
      <c r="AZ46" s="527">
        <f>+AL46-AT46</f>
        <v>-5213941.1622066051</v>
      </c>
      <c r="BA46" s="526"/>
      <c r="BB46" s="527">
        <f>+AN46-AV46</f>
        <v>0</v>
      </c>
      <c r="BC46" s="526"/>
      <c r="BD46" s="526">
        <f>SUM(AX46:BB46)</f>
        <v>-5213941.1622066051</v>
      </c>
      <c r="BF46" s="526">
        <f>+BD46*$BF$10</f>
        <v>-7239935.8510097768</v>
      </c>
      <c r="BH46" s="525">
        <f>A46</f>
        <v>403</v>
      </c>
    </row>
    <row r="47" spans="1:60" ht="15" x14ac:dyDescent="0.25">
      <c r="A47" s="525">
        <f>A46+1</f>
        <v>404</v>
      </c>
      <c r="B47" s="530" t="s">
        <v>1676</v>
      </c>
      <c r="F47" s="536" t="s">
        <v>1614</v>
      </c>
      <c r="H47" s="528"/>
      <c r="J47" s="528">
        <v>-20602724</v>
      </c>
      <c r="K47" s="526"/>
      <c r="L47" s="528">
        <v>-12361634</v>
      </c>
      <c r="M47" s="526"/>
      <c r="N47" s="528">
        <v>-8241090</v>
      </c>
      <c r="P47" s="538" t="s">
        <v>1613</v>
      </c>
      <c r="R47" s="526">
        <v>0</v>
      </c>
      <c r="S47" s="526"/>
      <c r="T47" s="526">
        <f>N47</f>
        <v>-8241090</v>
      </c>
      <c r="U47" s="526"/>
      <c r="V47" s="526">
        <v>0</v>
      </c>
      <c r="W47" s="526"/>
      <c r="X47" s="526">
        <f>SUM(R47:V47)</f>
        <v>-8241090</v>
      </c>
      <c r="Y47" s="526"/>
      <c r="Z47" s="537" t="s">
        <v>1606</v>
      </c>
      <c r="AA47" s="526"/>
      <c r="AB47" s="526">
        <v>0</v>
      </c>
      <c r="AC47" s="526"/>
      <c r="AD47" s="528">
        <v>-5444057.1511428198</v>
      </c>
      <c r="AE47" s="526"/>
      <c r="AF47" s="526">
        <v>0</v>
      </c>
      <c r="AG47" s="526"/>
      <c r="AH47" s="537" t="s">
        <v>1611</v>
      </c>
      <c r="AI47" s="526"/>
      <c r="AJ47" s="527">
        <f>+R47-AB47</f>
        <v>0</v>
      </c>
      <c r="AK47" s="526"/>
      <c r="AL47" s="527">
        <f>+T47-AD47</f>
        <v>-2797032.8488571802</v>
      </c>
      <c r="AM47" s="526"/>
      <c r="AN47" s="527">
        <f>+V47-AF47</f>
        <v>0</v>
      </c>
      <c r="AO47" s="526"/>
      <c r="AP47" s="526">
        <f>SUM(AJ47:AN47)</f>
        <v>-2797032.8488571802</v>
      </c>
      <c r="AR47" s="526">
        <v>0</v>
      </c>
      <c r="AS47" s="526"/>
      <c r="AT47" s="528">
        <v>-842661.71704760648</v>
      </c>
      <c r="AU47" s="526"/>
      <c r="AV47" s="526">
        <v>0</v>
      </c>
      <c r="AW47" s="526"/>
      <c r="AX47" s="527">
        <f>+AJ47-AR47</f>
        <v>0</v>
      </c>
      <c r="AY47" s="526"/>
      <c r="AZ47" s="527">
        <f>+AL47-AT47</f>
        <v>-1954371.1318095736</v>
      </c>
      <c r="BA47" s="526"/>
      <c r="BB47" s="527">
        <f>+AN47-AV47</f>
        <v>0</v>
      </c>
      <c r="BC47" s="526"/>
      <c r="BD47" s="526">
        <f>SUM(AX47:BB47)</f>
        <v>-1954371.1318095736</v>
      </c>
      <c r="BF47" s="526">
        <f>+BD47*$BF$10</f>
        <v>-2713786.209543345</v>
      </c>
      <c r="BH47" s="525">
        <f>A47</f>
        <v>404</v>
      </c>
    </row>
    <row r="48" spans="1:60" ht="15" x14ac:dyDescent="0.25">
      <c r="A48" s="525">
        <f>A47+1</f>
        <v>405</v>
      </c>
      <c r="B48" s="530" t="s">
        <v>1675</v>
      </c>
      <c r="F48" s="536" t="s">
        <v>1614</v>
      </c>
      <c r="H48" s="528"/>
      <c r="J48" s="528">
        <v>-523662</v>
      </c>
      <c r="K48" s="526"/>
      <c r="L48" s="528">
        <v>-314197</v>
      </c>
      <c r="M48" s="526"/>
      <c r="N48" s="528">
        <v>-209465</v>
      </c>
      <c r="P48" s="538" t="s">
        <v>1613</v>
      </c>
      <c r="R48" s="526">
        <v>0</v>
      </c>
      <c r="S48" s="526"/>
      <c r="T48" s="526">
        <f>N48</f>
        <v>-209465</v>
      </c>
      <c r="U48" s="526"/>
      <c r="V48" s="526">
        <v>0</v>
      </c>
      <c r="W48" s="526"/>
      <c r="X48" s="526">
        <f>SUM(R48:V48)</f>
        <v>-209465</v>
      </c>
      <c r="Y48" s="526"/>
      <c r="Z48" s="537" t="s">
        <v>1606</v>
      </c>
      <c r="AA48" s="526"/>
      <c r="AB48" s="526">
        <v>0</v>
      </c>
      <c r="AC48" s="526"/>
      <c r="AD48" s="528">
        <v>-138372.08700236617</v>
      </c>
      <c r="AE48" s="526"/>
      <c r="AF48" s="526">
        <v>0</v>
      </c>
      <c r="AG48" s="526"/>
      <c r="AH48" s="537" t="s">
        <v>1611</v>
      </c>
      <c r="AI48" s="526"/>
      <c r="AJ48" s="527">
        <f>+R48-AB48</f>
        <v>0</v>
      </c>
      <c r="AK48" s="526"/>
      <c r="AL48" s="527">
        <f>+T48-AD48</f>
        <v>-71092.91299763383</v>
      </c>
      <c r="AM48" s="526"/>
      <c r="AN48" s="527">
        <f>+V48-AF48</f>
        <v>0</v>
      </c>
      <c r="AO48" s="526"/>
      <c r="AP48" s="526">
        <f>SUM(AJ48:AN48)</f>
        <v>-71092.91299763383</v>
      </c>
      <c r="AR48" s="526">
        <v>0</v>
      </c>
      <c r="AS48" s="526"/>
      <c r="AT48" s="528">
        <v>-21418.029000788734</v>
      </c>
      <c r="AU48" s="526"/>
      <c r="AV48" s="526">
        <v>0</v>
      </c>
      <c r="AW48" s="526"/>
      <c r="AX48" s="527">
        <f>+AJ48-AR48</f>
        <v>0</v>
      </c>
      <c r="AY48" s="526"/>
      <c r="AZ48" s="527">
        <f>+AL48-AT48</f>
        <v>-49674.883996845092</v>
      </c>
      <c r="BA48" s="526"/>
      <c r="BB48" s="527">
        <f>+AN48-AV48</f>
        <v>0</v>
      </c>
      <c r="BC48" s="526"/>
      <c r="BD48" s="526">
        <f>SUM(AX48:BB48)</f>
        <v>-49674.883996845092</v>
      </c>
      <c r="BF48" s="526">
        <f>+BD48*$BF$10</f>
        <v>-68977.182970608206</v>
      </c>
      <c r="BH48" s="525">
        <f>A48</f>
        <v>405</v>
      </c>
    </row>
    <row r="49" spans="1:60" ht="15" x14ac:dyDescent="0.25">
      <c r="A49" s="525">
        <f>A48+1</f>
        <v>406</v>
      </c>
      <c r="B49" s="530" t="s">
        <v>1674</v>
      </c>
      <c r="F49" s="536" t="s">
        <v>1614</v>
      </c>
      <c r="H49" s="528"/>
      <c r="J49" s="528">
        <v>200460</v>
      </c>
      <c r="K49" s="526"/>
      <c r="L49" s="528">
        <v>120276</v>
      </c>
      <c r="M49" s="526"/>
      <c r="N49" s="528">
        <v>80184</v>
      </c>
      <c r="P49" s="538" t="s">
        <v>1613</v>
      </c>
      <c r="R49" s="526">
        <v>0</v>
      </c>
      <c r="S49" s="526"/>
      <c r="T49" s="526">
        <f>N49</f>
        <v>80184</v>
      </c>
      <c r="U49" s="526"/>
      <c r="V49" s="526">
        <v>0</v>
      </c>
      <c r="W49" s="526"/>
      <c r="X49" s="526">
        <f>SUM(R49:V49)</f>
        <v>80184</v>
      </c>
      <c r="Y49" s="526"/>
      <c r="Z49" s="537" t="s">
        <v>1606</v>
      </c>
      <c r="AA49" s="526"/>
      <c r="AB49" s="526">
        <v>0</v>
      </c>
      <c r="AC49" s="526"/>
      <c r="AD49" s="528">
        <v>52969.694526917301</v>
      </c>
      <c r="AE49" s="526"/>
      <c r="AF49" s="526">
        <v>0</v>
      </c>
      <c r="AG49" s="526"/>
      <c r="AH49" s="537" t="s">
        <v>1611</v>
      </c>
      <c r="AI49" s="526"/>
      <c r="AJ49" s="527">
        <f>+R49-AB49</f>
        <v>0</v>
      </c>
      <c r="AK49" s="526"/>
      <c r="AL49" s="527">
        <f>+T49-AD49</f>
        <v>27214.305473082699</v>
      </c>
      <c r="AM49" s="526"/>
      <c r="AN49" s="527">
        <f>+V49-AF49</f>
        <v>0</v>
      </c>
      <c r="AO49" s="526"/>
      <c r="AP49" s="526">
        <f>SUM(AJ49:AN49)</f>
        <v>27214.305473082699</v>
      </c>
      <c r="AR49" s="526">
        <v>0</v>
      </c>
      <c r="AS49" s="526"/>
      <c r="AT49" s="528">
        <v>8198.8981756390986</v>
      </c>
      <c r="AU49" s="526"/>
      <c r="AV49" s="526">
        <v>0</v>
      </c>
      <c r="AW49" s="526"/>
      <c r="AX49" s="527">
        <f>+AJ49-AR49</f>
        <v>0</v>
      </c>
      <c r="AY49" s="526"/>
      <c r="AZ49" s="527">
        <f>+AL49-AT49</f>
        <v>19015.407297443599</v>
      </c>
      <c r="BA49" s="526"/>
      <c r="BB49" s="527">
        <f>+AN49-AV49</f>
        <v>0</v>
      </c>
      <c r="BC49" s="526"/>
      <c r="BD49" s="526">
        <f>SUM(AX49:BB49)</f>
        <v>19015.407297443599</v>
      </c>
      <c r="BF49" s="526">
        <f>+BD49*$BF$10</f>
        <v>26404.273606350216</v>
      </c>
      <c r="BH49" s="525">
        <f>A49</f>
        <v>406</v>
      </c>
    </row>
    <row r="50" spans="1:60" ht="15" x14ac:dyDescent="0.25">
      <c r="A50" s="525">
        <f>A49+1</f>
        <v>407</v>
      </c>
      <c r="B50" s="530" t="s">
        <v>1673</v>
      </c>
      <c r="F50" s="536" t="s">
        <v>1614</v>
      </c>
      <c r="H50" s="528"/>
      <c r="J50" s="528">
        <v>-213631</v>
      </c>
      <c r="K50" s="526"/>
      <c r="L50" s="528">
        <v>-128179</v>
      </c>
      <c r="M50" s="526"/>
      <c r="N50" s="528">
        <v>-85453</v>
      </c>
      <c r="P50" s="538" t="s">
        <v>1613</v>
      </c>
      <c r="R50" s="526">
        <v>0</v>
      </c>
      <c r="S50" s="526"/>
      <c r="T50" s="526">
        <f>N50</f>
        <v>-85453</v>
      </c>
      <c r="U50" s="526"/>
      <c r="V50" s="526">
        <v>0</v>
      </c>
      <c r="W50" s="526"/>
      <c r="X50" s="526">
        <f>SUM(R50:V50)</f>
        <v>-85453</v>
      </c>
      <c r="Y50" s="526"/>
      <c r="Z50" s="537" t="s">
        <v>1606</v>
      </c>
      <c r="AA50" s="526"/>
      <c r="AB50" s="526">
        <v>0</v>
      </c>
      <c r="AC50" s="526"/>
      <c r="AD50" s="528">
        <v>-56449.910349841797</v>
      </c>
      <c r="AE50" s="526"/>
      <c r="AF50" s="526">
        <v>0</v>
      </c>
      <c r="AG50" s="526"/>
      <c r="AH50" s="537" t="s">
        <v>1611</v>
      </c>
      <c r="AI50" s="526"/>
      <c r="AJ50" s="527">
        <f>+R50-AB50</f>
        <v>0</v>
      </c>
      <c r="AK50" s="526"/>
      <c r="AL50" s="527">
        <f>+T50-AD50</f>
        <v>-29003.089650158203</v>
      </c>
      <c r="AM50" s="526"/>
      <c r="AN50" s="527">
        <f>+V50-AF50</f>
        <v>0</v>
      </c>
      <c r="AO50" s="526"/>
      <c r="AP50" s="526">
        <f>SUM(AJ50:AN50)</f>
        <v>-29003.089650158203</v>
      </c>
      <c r="AR50" s="526">
        <v>0</v>
      </c>
      <c r="AS50" s="526"/>
      <c r="AT50" s="528">
        <v>-8737.636783280599</v>
      </c>
      <c r="AU50" s="526"/>
      <c r="AV50" s="526">
        <v>0</v>
      </c>
      <c r="AW50" s="526"/>
      <c r="AX50" s="527">
        <f>+AJ50-AR50</f>
        <v>0</v>
      </c>
      <c r="AY50" s="526"/>
      <c r="AZ50" s="527">
        <f>+AL50-AT50</f>
        <v>-20265.452866877604</v>
      </c>
      <c r="BA50" s="526"/>
      <c r="BB50" s="527">
        <f>+AN50-AV50</f>
        <v>0</v>
      </c>
      <c r="BC50" s="526"/>
      <c r="BD50" s="526">
        <f>SUM(AX50:BB50)</f>
        <v>-20265.452866877604</v>
      </c>
      <c r="BF50" s="526">
        <f>+BD50*$BF$10</f>
        <v>-28140.052636451699</v>
      </c>
      <c r="BH50" s="525">
        <f>A50</f>
        <v>407</v>
      </c>
    </row>
    <row r="51" spans="1:60" ht="15" x14ac:dyDescent="0.25">
      <c r="A51" s="525">
        <f>A50+1</f>
        <v>408</v>
      </c>
      <c r="B51" s="530" t="s">
        <v>1672</v>
      </c>
      <c r="F51" s="536" t="s">
        <v>1614</v>
      </c>
      <c r="H51" s="528"/>
      <c r="J51" s="528">
        <v>2328140</v>
      </c>
      <c r="K51" s="526"/>
      <c r="L51" s="528">
        <v>1396884</v>
      </c>
      <c r="M51" s="526"/>
      <c r="N51" s="528">
        <v>931256</v>
      </c>
      <c r="P51" s="538" t="s">
        <v>1613</v>
      </c>
      <c r="R51" s="526">
        <v>0</v>
      </c>
      <c r="S51" s="526"/>
      <c r="T51" s="526">
        <f>N51</f>
        <v>931256</v>
      </c>
      <c r="U51" s="526"/>
      <c r="V51" s="526">
        <v>0</v>
      </c>
      <c r="W51" s="526"/>
      <c r="X51" s="526">
        <f>SUM(R51:V51)</f>
        <v>931256</v>
      </c>
      <c r="Y51" s="526"/>
      <c r="Z51" s="537" t="s">
        <v>1606</v>
      </c>
      <c r="AA51" s="526"/>
      <c r="AB51" s="526">
        <v>0</v>
      </c>
      <c r="AC51" s="526"/>
      <c r="AD51" s="528">
        <v>615187.19384664425</v>
      </c>
      <c r="AE51" s="526"/>
      <c r="AF51" s="526">
        <v>0</v>
      </c>
      <c r="AG51" s="526"/>
      <c r="AH51" s="537" t="s">
        <v>1611</v>
      </c>
      <c r="AI51" s="526"/>
      <c r="AJ51" s="527">
        <f>+R51-AB51</f>
        <v>0</v>
      </c>
      <c r="AK51" s="526"/>
      <c r="AL51" s="527">
        <f>+T51-AD51</f>
        <v>316068.80615335575</v>
      </c>
      <c r="AM51" s="526"/>
      <c r="AN51" s="527">
        <f>+V51-AF51</f>
        <v>0</v>
      </c>
      <c r="AO51" s="526"/>
      <c r="AP51" s="526">
        <f>SUM(AJ51:AN51)</f>
        <v>316068.80615335575</v>
      </c>
      <c r="AR51" s="526">
        <v>0</v>
      </c>
      <c r="AS51" s="526"/>
      <c r="AT51" s="528">
        <v>95222.064615548094</v>
      </c>
      <c r="AU51" s="526"/>
      <c r="AV51" s="526">
        <v>0</v>
      </c>
      <c r="AW51" s="526"/>
      <c r="AX51" s="527">
        <f>+AJ51-AR51</f>
        <v>0</v>
      </c>
      <c r="AY51" s="526"/>
      <c r="AZ51" s="527">
        <f>+AL51-AT51</f>
        <v>220846.74153780765</v>
      </c>
      <c r="BA51" s="526"/>
      <c r="BB51" s="527">
        <f>+AN51-AV51</f>
        <v>0</v>
      </c>
      <c r="BC51" s="526"/>
      <c r="BD51" s="526">
        <f>SUM(AX51:BB51)</f>
        <v>220846.74153780765</v>
      </c>
      <c r="BF51" s="526">
        <f>+BD51*$BF$10</f>
        <v>306661.73474070855</v>
      </c>
      <c r="BH51" s="525">
        <f>A51</f>
        <v>408</v>
      </c>
    </row>
    <row r="52" spans="1:60" ht="15" x14ac:dyDescent="0.25">
      <c r="A52" s="525">
        <f>A51+1</f>
        <v>409</v>
      </c>
      <c r="B52" s="530" t="s">
        <v>1671</v>
      </c>
      <c r="F52" s="536" t="s">
        <v>1614</v>
      </c>
      <c r="H52" s="528"/>
      <c r="J52" s="528">
        <v>-215413</v>
      </c>
      <c r="K52" s="526"/>
      <c r="L52" s="528">
        <v>-129248</v>
      </c>
      <c r="M52" s="526"/>
      <c r="N52" s="528">
        <v>-86165</v>
      </c>
      <c r="P52" s="538" t="s">
        <v>1613</v>
      </c>
      <c r="R52" s="526">
        <v>0</v>
      </c>
      <c r="S52" s="526"/>
      <c r="T52" s="526">
        <f>N52</f>
        <v>-86165</v>
      </c>
      <c r="U52" s="526"/>
      <c r="V52" s="526">
        <v>0</v>
      </c>
      <c r="W52" s="526"/>
      <c r="X52" s="526">
        <f>SUM(R52:V52)</f>
        <v>-86165</v>
      </c>
      <c r="Y52" s="526"/>
      <c r="Z52" s="537" t="s">
        <v>1606</v>
      </c>
      <c r="AA52" s="526"/>
      <c r="AB52" s="526">
        <v>0</v>
      </c>
      <c r="AC52" s="526"/>
      <c r="AD52" s="528">
        <v>-56920.516073871375</v>
      </c>
      <c r="AE52" s="526"/>
      <c r="AF52" s="526">
        <v>0</v>
      </c>
      <c r="AG52" s="526"/>
      <c r="AH52" s="537" t="s">
        <v>1611</v>
      </c>
      <c r="AI52" s="526"/>
      <c r="AJ52" s="527">
        <f>+R52-AB52</f>
        <v>0</v>
      </c>
      <c r="AK52" s="526"/>
      <c r="AL52" s="527">
        <f>+T52-AD52</f>
        <v>-29244.483926128625</v>
      </c>
      <c r="AM52" s="526"/>
      <c r="AN52" s="527">
        <f>+V52-AF52</f>
        <v>0</v>
      </c>
      <c r="AO52" s="526"/>
      <c r="AP52" s="526">
        <f>SUM(AJ52:AN52)</f>
        <v>-29244.483926128625</v>
      </c>
      <c r="AR52" s="526">
        <v>0</v>
      </c>
      <c r="AS52" s="526"/>
      <c r="AT52" s="528">
        <v>-8810.5053579571213</v>
      </c>
      <c r="AU52" s="526"/>
      <c r="AV52" s="526">
        <v>0</v>
      </c>
      <c r="AW52" s="526"/>
      <c r="AX52" s="527">
        <f>+AJ52-AR52</f>
        <v>0</v>
      </c>
      <c r="AY52" s="526"/>
      <c r="AZ52" s="527">
        <f>+AL52-AT52</f>
        <v>-20433.978568171504</v>
      </c>
      <c r="BA52" s="526"/>
      <c r="BB52" s="527">
        <f>+AN52-AV52</f>
        <v>0</v>
      </c>
      <c r="BC52" s="526"/>
      <c r="BD52" s="526">
        <f>SUM(AX52:BB52)</f>
        <v>-20433.978568171504</v>
      </c>
      <c r="BF52" s="526">
        <f>+BD52*$BF$10</f>
        <v>-28374.062808154118</v>
      </c>
      <c r="BH52" s="525">
        <f>A52</f>
        <v>409</v>
      </c>
    </row>
    <row r="53" spans="1:60" ht="15" x14ac:dyDescent="0.25">
      <c r="A53" s="525">
        <f>A52+1</f>
        <v>410</v>
      </c>
      <c r="B53" s="530" t="s">
        <v>1670</v>
      </c>
      <c r="F53" s="536" t="s">
        <v>1614</v>
      </c>
      <c r="H53" s="528"/>
      <c r="J53" s="528">
        <v>-2118462</v>
      </c>
      <c r="K53" s="526"/>
      <c r="L53" s="528">
        <v>-1271077</v>
      </c>
      <c r="M53" s="526"/>
      <c r="N53" s="528">
        <v>-847385</v>
      </c>
      <c r="P53" s="538" t="s">
        <v>1613</v>
      </c>
      <c r="R53" s="526">
        <v>0</v>
      </c>
      <c r="S53" s="526"/>
      <c r="T53" s="526">
        <f>N53</f>
        <v>-847385</v>
      </c>
      <c r="U53" s="526"/>
      <c r="V53" s="526">
        <v>0</v>
      </c>
      <c r="W53" s="526"/>
      <c r="X53" s="526">
        <f>SUM(R53:V53)</f>
        <v>-847385</v>
      </c>
      <c r="Y53" s="526"/>
      <c r="Z53" s="537" t="s">
        <v>1606</v>
      </c>
      <c r="AA53" s="526"/>
      <c r="AB53" s="526">
        <v>0</v>
      </c>
      <c r="AC53" s="526"/>
      <c r="AD53" s="528">
        <v>-559781.49586953386</v>
      </c>
      <c r="AE53" s="526"/>
      <c r="AF53" s="526">
        <v>0</v>
      </c>
      <c r="AG53" s="526"/>
      <c r="AH53" s="537" t="s">
        <v>1611</v>
      </c>
      <c r="AI53" s="526"/>
      <c r="AJ53" s="527">
        <f>+R53-AB53</f>
        <v>0</v>
      </c>
      <c r="AK53" s="526"/>
      <c r="AL53" s="527">
        <f>+T53-AD53</f>
        <v>-287603.50413046614</v>
      </c>
      <c r="AM53" s="526"/>
      <c r="AN53" s="527">
        <f>+V53-AF53</f>
        <v>0</v>
      </c>
      <c r="AO53" s="526"/>
      <c r="AP53" s="526">
        <f>SUM(AJ53:AN53)</f>
        <v>-287603.50413046614</v>
      </c>
      <c r="AR53" s="526">
        <v>0</v>
      </c>
      <c r="AS53" s="526"/>
      <c r="AT53" s="528">
        <v>-86646.165289844663</v>
      </c>
      <c r="AU53" s="526"/>
      <c r="AV53" s="526">
        <v>0</v>
      </c>
      <c r="AW53" s="526"/>
      <c r="AX53" s="527">
        <f>+AJ53-AR53</f>
        <v>0</v>
      </c>
      <c r="AY53" s="526"/>
      <c r="AZ53" s="527">
        <f>+AL53-AT53</f>
        <v>-200957.33884062147</v>
      </c>
      <c r="BA53" s="526"/>
      <c r="BB53" s="527">
        <f>+AN53-AV53</f>
        <v>0</v>
      </c>
      <c r="BC53" s="526"/>
      <c r="BD53" s="526">
        <f>SUM(AX53:BB53)</f>
        <v>-200957.33884062147</v>
      </c>
      <c r="BF53" s="526">
        <f>+BD53*$BF$10</f>
        <v>-279043.85506720893</v>
      </c>
      <c r="BH53" s="525">
        <f>A53</f>
        <v>410</v>
      </c>
    </row>
    <row r="54" spans="1:60" ht="15" x14ac:dyDescent="0.25">
      <c r="A54" s="525">
        <f>A53+1</f>
        <v>411</v>
      </c>
      <c r="B54" s="530" t="s">
        <v>1669</v>
      </c>
      <c r="F54" s="536" t="s">
        <v>1614</v>
      </c>
      <c r="H54" s="528"/>
      <c r="J54" s="528">
        <v>-7026118</v>
      </c>
      <c r="K54" s="526"/>
      <c r="L54" s="528">
        <v>-4215671</v>
      </c>
      <c r="M54" s="526"/>
      <c r="N54" s="528">
        <v>-2810447</v>
      </c>
      <c r="P54" s="538" t="s">
        <v>1613</v>
      </c>
      <c r="R54" s="526">
        <v>0</v>
      </c>
      <c r="S54" s="526"/>
      <c r="T54" s="526">
        <f>N54</f>
        <v>-2810447</v>
      </c>
      <c r="U54" s="526"/>
      <c r="V54" s="526">
        <v>0</v>
      </c>
      <c r="W54" s="526"/>
      <c r="X54" s="526">
        <f>SUM(R54:V54)</f>
        <v>-2810447</v>
      </c>
      <c r="Y54" s="526"/>
      <c r="Z54" s="537" t="s">
        <v>1606</v>
      </c>
      <c r="AA54" s="526"/>
      <c r="AB54" s="526">
        <v>0</v>
      </c>
      <c r="AC54" s="526"/>
      <c r="AD54" s="528">
        <v>-1856579.0467700281</v>
      </c>
      <c r="AE54" s="526"/>
      <c r="AF54" s="526">
        <v>0</v>
      </c>
      <c r="AG54" s="526"/>
      <c r="AH54" s="537" t="s">
        <v>1611</v>
      </c>
      <c r="AI54" s="526"/>
      <c r="AJ54" s="527">
        <f>+R54-AB54</f>
        <v>0</v>
      </c>
      <c r="AK54" s="526"/>
      <c r="AL54" s="527">
        <f>+T54-AD54</f>
        <v>-953867.95322997193</v>
      </c>
      <c r="AM54" s="526"/>
      <c r="AN54" s="527">
        <f>+V54-AF54</f>
        <v>0</v>
      </c>
      <c r="AO54" s="526"/>
      <c r="AP54" s="526">
        <f>SUM(AJ54:AN54)</f>
        <v>-953867.95322997193</v>
      </c>
      <c r="AR54" s="526">
        <v>0</v>
      </c>
      <c r="AS54" s="526"/>
      <c r="AT54" s="528">
        <v>-287371.68225667602</v>
      </c>
      <c r="AU54" s="526"/>
      <c r="AV54" s="526">
        <v>0</v>
      </c>
      <c r="AW54" s="526"/>
      <c r="AX54" s="527">
        <f>+AJ54-AR54</f>
        <v>0</v>
      </c>
      <c r="AY54" s="526"/>
      <c r="AZ54" s="527">
        <f>+AL54-AT54</f>
        <v>-666496.2709732959</v>
      </c>
      <c r="BA54" s="526"/>
      <c r="BB54" s="527">
        <f>+AN54-AV54</f>
        <v>0</v>
      </c>
      <c r="BC54" s="526"/>
      <c r="BD54" s="526">
        <f>SUM(AX54:BB54)</f>
        <v>-666496.2709732959</v>
      </c>
      <c r="BF54" s="526">
        <f>+BD54*$BF$10</f>
        <v>-925478.4618132757</v>
      </c>
      <c r="BH54" s="525">
        <f>A54</f>
        <v>411</v>
      </c>
    </row>
    <row r="55" spans="1:60" ht="15" x14ac:dyDescent="0.25">
      <c r="A55" s="525">
        <f>A54+1</f>
        <v>412</v>
      </c>
      <c r="B55" s="530" t="s">
        <v>1668</v>
      </c>
      <c r="F55" s="536" t="s">
        <v>1614</v>
      </c>
      <c r="H55" s="528"/>
      <c r="J55" s="528">
        <v>-21209154</v>
      </c>
      <c r="K55" s="526"/>
      <c r="L55" s="528">
        <v>-12725492</v>
      </c>
      <c r="M55" s="526"/>
      <c r="N55" s="528">
        <v>-8483661</v>
      </c>
      <c r="P55" s="538" t="s">
        <v>1613</v>
      </c>
      <c r="R55" s="526">
        <v>0</v>
      </c>
      <c r="S55" s="526"/>
      <c r="T55" s="526">
        <f>N55</f>
        <v>-8483661</v>
      </c>
      <c r="U55" s="526"/>
      <c r="V55" s="526">
        <v>0</v>
      </c>
      <c r="W55" s="526"/>
      <c r="X55" s="526">
        <f>SUM(R55:V55)</f>
        <v>-8483661</v>
      </c>
      <c r="Y55" s="526"/>
      <c r="Z55" s="537" t="s">
        <v>1606</v>
      </c>
      <c r="AA55" s="526"/>
      <c r="AB55" s="526">
        <v>0</v>
      </c>
      <c r="AC55" s="526"/>
      <c r="AD55" s="528">
        <v>-5604299.8523037406</v>
      </c>
      <c r="AE55" s="526"/>
      <c r="AF55" s="526">
        <v>0</v>
      </c>
      <c r="AG55" s="526"/>
      <c r="AH55" s="537" t="s">
        <v>1611</v>
      </c>
      <c r="AI55" s="526"/>
      <c r="AJ55" s="527">
        <f>+R55-AB55</f>
        <v>0</v>
      </c>
      <c r="AK55" s="526"/>
      <c r="AL55" s="527">
        <f>+T55-AD55</f>
        <v>-2879361.1476962594</v>
      </c>
      <c r="AM55" s="526"/>
      <c r="AN55" s="527">
        <f>+V55-AF55</f>
        <v>0</v>
      </c>
      <c r="AO55" s="526"/>
      <c r="AP55" s="526">
        <f>SUM(AJ55:AN55)</f>
        <v>-2879361.1476962594</v>
      </c>
      <c r="AR55" s="526">
        <v>0</v>
      </c>
      <c r="AS55" s="526"/>
      <c r="AT55" s="528">
        <v>-867464.95076791372</v>
      </c>
      <c r="AU55" s="526"/>
      <c r="AV55" s="526">
        <v>0</v>
      </c>
      <c r="AW55" s="526"/>
      <c r="AX55" s="527">
        <f>+AJ55-AR55</f>
        <v>0</v>
      </c>
      <c r="AY55" s="526"/>
      <c r="AZ55" s="527">
        <f>+AL55-AT55</f>
        <v>-2011896.1969283456</v>
      </c>
      <c r="BA55" s="526"/>
      <c r="BB55" s="527">
        <f>+AN55-AV55</f>
        <v>0</v>
      </c>
      <c r="BC55" s="526"/>
      <c r="BD55" s="526">
        <f>SUM(AX55:BB55)</f>
        <v>-2011896.1969283456</v>
      </c>
      <c r="BF55" s="526">
        <f>+BD55*$BF$10</f>
        <v>-2793663.9389477195</v>
      </c>
      <c r="BH55" s="525">
        <f>A55</f>
        <v>412</v>
      </c>
    </row>
    <row r="56" spans="1:60" ht="15" x14ac:dyDescent="0.25">
      <c r="A56" s="525">
        <f>A55+1</f>
        <v>413</v>
      </c>
      <c r="B56" s="530" t="s">
        <v>1667</v>
      </c>
      <c r="F56" s="536" t="s">
        <v>1614</v>
      </c>
      <c r="H56" s="528"/>
      <c r="J56" s="528">
        <v>-836924</v>
      </c>
      <c r="K56" s="526"/>
      <c r="L56" s="528">
        <v>-662648</v>
      </c>
      <c r="M56" s="526"/>
      <c r="N56" s="528">
        <v>-174277</v>
      </c>
      <c r="P56" s="538" t="s">
        <v>1613</v>
      </c>
      <c r="R56" s="526">
        <v>0</v>
      </c>
      <c r="S56" s="526"/>
      <c r="T56" s="526">
        <f>N56</f>
        <v>-174277</v>
      </c>
      <c r="U56" s="526"/>
      <c r="V56" s="526">
        <v>0</v>
      </c>
      <c r="W56" s="526"/>
      <c r="X56" s="526">
        <f>SUM(R56:V56)</f>
        <v>-174277</v>
      </c>
      <c r="Y56" s="526"/>
      <c r="Z56" s="537" t="s">
        <v>1606</v>
      </c>
      <c r="AA56" s="526"/>
      <c r="AB56" s="526">
        <v>0</v>
      </c>
      <c r="AC56" s="526"/>
      <c r="AD56" s="528">
        <v>-115127.06482209546</v>
      </c>
      <c r="AE56" s="526"/>
      <c r="AF56" s="526">
        <v>0</v>
      </c>
      <c r="AG56" s="526"/>
      <c r="AH56" s="537" t="s">
        <v>1611</v>
      </c>
      <c r="AI56" s="526"/>
      <c r="AJ56" s="527">
        <f>+R56-AB56</f>
        <v>0</v>
      </c>
      <c r="AK56" s="526"/>
      <c r="AL56" s="527">
        <f>+T56-AD56</f>
        <v>-59149.935177904539</v>
      </c>
      <c r="AM56" s="526"/>
      <c r="AN56" s="527">
        <f>+V56-AF56</f>
        <v>0</v>
      </c>
      <c r="AO56" s="526"/>
      <c r="AP56" s="526">
        <f>SUM(AJ56:AN56)</f>
        <v>-59149.935177904539</v>
      </c>
      <c r="AR56" s="526">
        <v>0</v>
      </c>
      <c r="AS56" s="526"/>
      <c r="AT56" s="528">
        <v>-17820.021607365161</v>
      </c>
      <c r="AU56" s="526"/>
      <c r="AV56" s="526">
        <v>0</v>
      </c>
      <c r="AW56" s="526"/>
      <c r="AX56" s="527">
        <f>+AJ56-AR56</f>
        <v>0</v>
      </c>
      <c r="AY56" s="526"/>
      <c r="AZ56" s="527">
        <f>+AL56-AT56</f>
        <v>-41329.913570539378</v>
      </c>
      <c r="BA56" s="526"/>
      <c r="BB56" s="527">
        <f>+AN56-AV56</f>
        <v>0</v>
      </c>
      <c r="BC56" s="526"/>
      <c r="BD56" s="526">
        <f>SUM(AX56:BB56)</f>
        <v>-41329.913570539378</v>
      </c>
      <c r="BF56" s="526">
        <f>+BD56*$BF$10</f>
        <v>-57389.585664569982</v>
      </c>
      <c r="BH56" s="525">
        <f>A56</f>
        <v>413</v>
      </c>
    </row>
    <row r="57" spans="1:60" ht="15" x14ac:dyDescent="0.25">
      <c r="A57" s="525">
        <f>A56+1</f>
        <v>414</v>
      </c>
      <c r="B57" s="530" t="s">
        <v>1666</v>
      </c>
      <c r="F57" s="536" t="s">
        <v>1614</v>
      </c>
      <c r="H57" s="528"/>
      <c r="J57" s="528">
        <v>-218308783</v>
      </c>
      <c r="K57" s="526"/>
      <c r="L57" s="528">
        <v>-129315767</v>
      </c>
      <c r="M57" s="526"/>
      <c r="N57" s="528">
        <v>-88993016</v>
      </c>
      <c r="P57" s="538" t="s">
        <v>1613</v>
      </c>
      <c r="R57" s="526">
        <v>0</v>
      </c>
      <c r="S57" s="526"/>
      <c r="T57" s="526">
        <f>N57</f>
        <v>-88993016</v>
      </c>
      <c r="U57" s="526"/>
      <c r="V57" s="526">
        <v>0</v>
      </c>
      <c r="W57" s="526"/>
      <c r="X57" s="526">
        <f>SUM(R57:V57)</f>
        <v>-88993016</v>
      </c>
      <c r="Y57" s="526"/>
      <c r="Z57" s="537" t="s">
        <v>1606</v>
      </c>
      <c r="AA57" s="526"/>
      <c r="AB57" s="526">
        <v>0</v>
      </c>
      <c r="AC57" s="526"/>
      <c r="AD57" s="528">
        <v>-58788713.350594461</v>
      </c>
      <c r="AE57" s="526"/>
      <c r="AF57" s="526">
        <v>0</v>
      </c>
      <c r="AG57" s="526"/>
      <c r="AH57" s="537" t="s">
        <v>1611</v>
      </c>
      <c r="AI57" s="526"/>
      <c r="AJ57" s="527">
        <f>+R57-AB57</f>
        <v>0</v>
      </c>
      <c r="AK57" s="526"/>
      <c r="AL57" s="527">
        <f>+T57-AD57</f>
        <v>-30204302.649405539</v>
      </c>
      <c r="AM57" s="526"/>
      <c r="AN57" s="527">
        <f>+V57-AF57</f>
        <v>0</v>
      </c>
      <c r="AO57" s="526"/>
      <c r="AP57" s="526">
        <f>SUM(AJ57:AN57)</f>
        <v>-30204302.649405539</v>
      </c>
      <c r="AR57" s="526">
        <v>0</v>
      </c>
      <c r="AS57" s="526"/>
      <c r="AT57" s="528">
        <v>-9099646.7835314907</v>
      </c>
      <c r="AU57" s="526"/>
      <c r="AV57" s="526">
        <v>0</v>
      </c>
      <c r="AW57" s="526"/>
      <c r="AX57" s="527">
        <f>+AJ57-AR57</f>
        <v>0</v>
      </c>
      <c r="AY57" s="526"/>
      <c r="AZ57" s="527">
        <f>+AL57-AT57</f>
        <v>-21104655.865874048</v>
      </c>
      <c r="BA57" s="526"/>
      <c r="BB57" s="527">
        <f>+AN57-AV57</f>
        <v>0</v>
      </c>
      <c r="BC57" s="526"/>
      <c r="BD57" s="526">
        <f>SUM(AX57:BB57)</f>
        <v>-21104655.865874048</v>
      </c>
      <c r="BF57" s="526">
        <f>+BD57*$BF$10</f>
        <v>-29305346.92913565</v>
      </c>
      <c r="BH57" s="525">
        <f>A57</f>
        <v>414</v>
      </c>
    </row>
    <row r="58" spans="1:60" ht="15" x14ac:dyDescent="0.25">
      <c r="A58" s="525">
        <f>A57+1</f>
        <v>415</v>
      </c>
      <c r="B58" s="530" t="s">
        <v>1665</v>
      </c>
      <c r="F58" s="536" t="s">
        <v>1614</v>
      </c>
      <c r="H58" s="528"/>
      <c r="J58" s="528">
        <v>-14250105</v>
      </c>
      <c r="K58" s="526"/>
      <c r="L58" s="528">
        <v>-8550063</v>
      </c>
      <c r="M58" s="526"/>
      <c r="N58" s="528">
        <v>-5700042</v>
      </c>
      <c r="P58" s="538" t="s">
        <v>1613</v>
      </c>
      <c r="R58" s="526">
        <v>0</v>
      </c>
      <c r="S58" s="526"/>
      <c r="T58" s="526">
        <f>N58</f>
        <v>-5700042</v>
      </c>
      <c r="U58" s="526"/>
      <c r="V58" s="526">
        <v>0</v>
      </c>
      <c r="W58" s="526"/>
      <c r="X58" s="526">
        <f>SUM(R58:V58)</f>
        <v>-5700042</v>
      </c>
      <c r="Y58" s="526"/>
      <c r="Z58" s="537" t="s">
        <v>1606</v>
      </c>
      <c r="AA58" s="526"/>
      <c r="AB58" s="526">
        <v>0</v>
      </c>
      <c r="AC58" s="526"/>
      <c r="AD58" s="528">
        <v>-3765443.2717145281</v>
      </c>
      <c r="AE58" s="526"/>
      <c r="AF58" s="526">
        <v>0</v>
      </c>
      <c r="AG58" s="526"/>
      <c r="AH58" s="537" t="s">
        <v>1611</v>
      </c>
      <c r="AI58" s="526"/>
      <c r="AJ58" s="527">
        <f>+R58-AB58</f>
        <v>0</v>
      </c>
      <c r="AK58" s="526"/>
      <c r="AL58" s="527">
        <f>+T58-AD58</f>
        <v>-1934598.7282854719</v>
      </c>
      <c r="AM58" s="526"/>
      <c r="AN58" s="527">
        <f>+V58-AF58</f>
        <v>0</v>
      </c>
      <c r="AO58" s="526"/>
      <c r="AP58" s="526">
        <f>SUM(AJ58:AN58)</f>
        <v>-1934598.7282854719</v>
      </c>
      <c r="AR58" s="526">
        <v>0</v>
      </c>
      <c r="AS58" s="526"/>
      <c r="AT58" s="528">
        <v>-582836.4239048427</v>
      </c>
      <c r="AU58" s="526"/>
      <c r="AV58" s="526">
        <v>0</v>
      </c>
      <c r="AW58" s="526"/>
      <c r="AX58" s="527">
        <f>+AJ58-AR58</f>
        <v>0</v>
      </c>
      <c r="AY58" s="526"/>
      <c r="AZ58" s="527">
        <f>+AL58-AT58</f>
        <v>-1351762.3043806292</v>
      </c>
      <c r="BA58" s="526"/>
      <c r="BB58" s="527">
        <f>+AN58-AV58</f>
        <v>0</v>
      </c>
      <c r="BC58" s="526"/>
      <c r="BD58" s="526">
        <f>SUM(AX58:BB58)</f>
        <v>-1351762.3043806292</v>
      </c>
      <c r="BF58" s="526">
        <f>+BD58*$BF$10</f>
        <v>-1877020.1015055308</v>
      </c>
      <c r="BH58" s="525">
        <f>A58</f>
        <v>415</v>
      </c>
    </row>
    <row r="59" spans="1:60" ht="15" x14ac:dyDescent="0.25">
      <c r="A59" s="525">
        <f>A58+1</f>
        <v>416</v>
      </c>
      <c r="B59" s="530" t="s">
        <v>1664</v>
      </c>
      <c r="F59" s="536" t="s">
        <v>1614</v>
      </c>
      <c r="H59" s="528"/>
      <c r="J59" s="528">
        <v>-29782170</v>
      </c>
      <c r="K59" s="526"/>
      <c r="L59" s="528">
        <v>-17869302</v>
      </c>
      <c r="M59" s="526"/>
      <c r="N59" s="528">
        <v>-11912868</v>
      </c>
      <c r="P59" s="538" t="s">
        <v>1613</v>
      </c>
      <c r="R59" s="526">
        <v>0</v>
      </c>
      <c r="S59" s="526"/>
      <c r="T59" s="526">
        <f>N59</f>
        <v>-11912868</v>
      </c>
      <c r="U59" s="526"/>
      <c r="V59" s="526">
        <v>0</v>
      </c>
      <c r="W59" s="526"/>
      <c r="X59" s="526">
        <f>SUM(R59:V59)</f>
        <v>-11912868</v>
      </c>
      <c r="Y59" s="526"/>
      <c r="Z59" s="537" t="s">
        <v>1606</v>
      </c>
      <c r="AA59" s="526"/>
      <c r="AB59" s="526">
        <v>0</v>
      </c>
      <c r="AC59" s="526"/>
      <c r="AD59" s="528">
        <v>-7869630.8166078134</v>
      </c>
      <c r="AE59" s="526"/>
      <c r="AF59" s="526">
        <v>0</v>
      </c>
      <c r="AG59" s="526"/>
      <c r="AH59" s="537" t="s">
        <v>1611</v>
      </c>
      <c r="AI59" s="526"/>
      <c r="AJ59" s="527">
        <f>+R59-AB59</f>
        <v>0</v>
      </c>
      <c r="AK59" s="526"/>
      <c r="AL59" s="527">
        <f>+T59-AD59</f>
        <v>-4043237.1833921866</v>
      </c>
      <c r="AM59" s="526"/>
      <c r="AN59" s="527">
        <f>+V59-AF59</f>
        <v>0</v>
      </c>
      <c r="AO59" s="526"/>
      <c r="AP59" s="526">
        <f>SUM(AJ59:AN59)</f>
        <v>-4043237.1833921866</v>
      </c>
      <c r="AR59" s="526">
        <v>0</v>
      </c>
      <c r="AS59" s="526"/>
      <c r="AT59" s="528">
        <v>-1218105.6055359382</v>
      </c>
      <c r="AU59" s="526"/>
      <c r="AV59" s="526">
        <v>0</v>
      </c>
      <c r="AW59" s="526"/>
      <c r="AX59" s="527">
        <f>+AJ59-AR59</f>
        <v>0</v>
      </c>
      <c r="AY59" s="526"/>
      <c r="AZ59" s="527">
        <f>+AL59-AT59</f>
        <v>-2825131.5778562482</v>
      </c>
      <c r="BA59" s="526"/>
      <c r="BB59" s="527">
        <f>+AN59-AV59</f>
        <v>0</v>
      </c>
      <c r="BC59" s="526"/>
      <c r="BD59" s="526">
        <f>SUM(AX59:BB59)</f>
        <v>-2825131.5778562482</v>
      </c>
      <c r="BF59" s="526">
        <f>+BD59*$BF$10</f>
        <v>-3922900.3086189367</v>
      </c>
      <c r="BH59" s="525">
        <f>A59</f>
        <v>416</v>
      </c>
    </row>
    <row r="60" spans="1:60" ht="15" x14ac:dyDescent="0.25">
      <c r="A60" s="525">
        <f>A59+1</f>
        <v>417</v>
      </c>
      <c r="B60" s="530" t="s">
        <v>1663</v>
      </c>
      <c r="F60" s="536" t="s">
        <v>1614</v>
      </c>
      <c r="H60" s="528"/>
      <c r="J60" s="528">
        <v>-3287923</v>
      </c>
      <c r="K60" s="526"/>
      <c r="L60" s="528">
        <v>-1972754</v>
      </c>
      <c r="M60" s="526"/>
      <c r="N60" s="528">
        <v>-1315169</v>
      </c>
      <c r="P60" s="538" t="s">
        <v>1613</v>
      </c>
      <c r="R60" s="526">
        <v>0</v>
      </c>
      <c r="S60" s="526"/>
      <c r="T60" s="526">
        <f>N60</f>
        <v>-1315169</v>
      </c>
      <c r="U60" s="526"/>
      <c r="V60" s="526">
        <v>0</v>
      </c>
      <c r="W60" s="526"/>
      <c r="X60" s="526">
        <f>SUM(R60:V60)</f>
        <v>-1315169</v>
      </c>
      <c r="Y60" s="526"/>
      <c r="Z60" s="537" t="s">
        <v>1606</v>
      </c>
      <c r="AA60" s="526"/>
      <c r="AB60" s="526">
        <v>0</v>
      </c>
      <c r="AC60" s="526"/>
      <c r="AD60" s="528">
        <v>-868800.055568479</v>
      </c>
      <c r="AE60" s="526"/>
      <c r="AF60" s="526">
        <v>0</v>
      </c>
      <c r="AG60" s="526"/>
      <c r="AH60" s="537" t="s">
        <v>1611</v>
      </c>
      <c r="AI60" s="526"/>
      <c r="AJ60" s="527">
        <f>+R60-AB60</f>
        <v>0</v>
      </c>
      <c r="AK60" s="526"/>
      <c r="AL60" s="527">
        <f>+T60-AD60</f>
        <v>-446368.944431521</v>
      </c>
      <c r="AM60" s="526"/>
      <c r="AN60" s="527">
        <f>+V60-AF60</f>
        <v>0</v>
      </c>
      <c r="AO60" s="526"/>
      <c r="AP60" s="526">
        <f>SUM(AJ60:AN60)</f>
        <v>-446368.944431521</v>
      </c>
      <c r="AR60" s="526">
        <v>0</v>
      </c>
      <c r="AS60" s="526"/>
      <c r="AT60" s="528">
        <v>-134477.68518949306</v>
      </c>
      <c r="AU60" s="526"/>
      <c r="AV60" s="526">
        <v>0</v>
      </c>
      <c r="AW60" s="526"/>
      <c r="AX60" s="527">
        <f>+AJ60-AR60</f>
        <v>0</v>
      </c>
      <c r="AY60" s="526"/>
      <c r="AZ60" s="527">
        <f>+AL60-AT60</f>
        <v>-311891.25924202794</v>
      </c>
      <c r="BA60" s="526"/>
      <c r="BB60" s="527">
        <f>+AN60-AV60</f>
        <v>0</v>
      </c>
      <c r="BC60" s="526"/>
      <c r="BD60" s="526">
        <f>SUM(AX60:BB60)</f>
        <v>-311891.25924202794</v>
      </c>
      <c r="BF60" s="526">
        <f>+BD60*$BF$10</f>
        <v>-433083.65766968066</v>
      </c>
      <c r="BH60" s="525">
        <f>A60</f>
        <v>417</v>
      </c>
    </row>
    <row r="61" spans="1:60" ht="15" x14ac:dyDescent="0.25">
      <c r="A61" s="525">
        <f>A60+1</f>
        <v>418</v>
      </c>
      <c r="B61" s="530" t="s">
        <v>1662</v>
      </c>
      <c r="F61" s="536" t="s">
        <v>1614</v>
      </c>
      <c r="H61" s="528"/>
      <c r="J61" s="528">
        <v>-1300270</v>
      </c>
      <c r="K61" s="526"/>
      <c r="L61" s="528">
        <v>-780162</v>
      </c>
      <c r="M61" s="526"/>
      <c r="N61" s="528">
        <v>-520108</v>
      </c>
      <c r="P61" s="538" t="s">
        <v>1613</v>
      </c>
      <c r="R61" s="526">
        <v>0</v>
      </c>
      <c r="S61" s="526"/>
      <c r="T61" s="526">
        <f>N61</f>
        <v>-520108</v>
      </c>
      <c r="U61" s="526"/>
      <c r="V61" s="526">
        <v>0</v>
      </c>
      <c r="W61" s="526"/>
      <c r="X61" s="526">
        <f>SUM(R61:V61)</f>
        <v>-520108</v>
      </c>
      <c r="Y61" s="526"/>
      <c r="Z61" s="537" t="s">
        <v>1606</v>
      </c>
      <c r="AA61" s="526"/>
      <c r="AB61" s="526">
        <v>0</v>
      </c>
      <c r="AC61" s="526"/>
      <c r="AD61" s="528">
        <v>-343583.08631848911</v>
      </c>
      <c r="AE61" s="526"/>
      <c r="AF61" s="526">
        <v>0</v>
      </c>
      <c r="AG61" s="526"/>
      <c r="AH61" s="537" t="s">
        <v>1611</v>
      </c>
      <c r="AI61" s="526"/>
      <c r="AJ61" s="527">
        <f>+R61-AB61</f>
        <v>0</v>
      </c>
      <c r="AK61" s="526"/>
      <c r="AL61" s="527">
        <f>+T61-AD61</f>
        <v>-176524.91368151089</v>
      </c>
      <c r="AM61" s="526"/>
      <c r="AN61" s="527">
        <f>+V61-AF61</f>
        <v>0</v>
      </c>
      <c r="AO61" s="526"/>
      <c r="AP61" s="526">
        <f>SUM(AJ61:AN61)</f>
        <v>-176524.91368151089</v>
      </c>
      <c r="AR61" s="526">
        <v>0</v>
      </c>
      <c r="AS61" s="526"/>
      <c r="AT61" s="528">
        <v>-53181.69543949639</v>
      </c>
      <c r="AU61" s="526"/>
      <c r="AV61" s="526">
        <v>0</v>
      </c>
      <c r="AW61" s="526"/>
      <c r="AX61" s="527">
        <f>+AJ61-AR61</f>
        <v>0</v>
      </c>
      <c r="AY61" s="526"/>
      <c r="AZ61" s="527">
        <f>+AL61-AT61</f>
        <v>-123343.2182420145</v>
      </c>
      <c r="BA61" s="526"/>
      <c r="BB61" s="527">
        <f>+AN61-AV61</f>
        <v>0</v>
      </c>
      <c r="BC61" s="526"/>
      <c r="BD61" s="526">
        <f>SUM(AX61:BB61)</f>
        <v>-123343.2182420145</v>
      </c>
      <c r="BF61" s="526">
        <f>+BD61*$BF$10</f>
        <v>-171271.01360525447</v>
      </c>
      <c r="BH61" s="525">
        <f>A61</f>
        <v>418</v>
      </c>
    </row>
    <row r="62" spans="1:60" ht="15" x14ac:dyDescent="0.25">
      <c r="A62" s="525">
        <f>A61+1</f>
        <v>419</v>
      </c>
      <c r="B62" s="530" t="s">
        <v>1661</v>
      </c>
      <c r="F62" s="536" t="s">
        <v>1614</v>
      </c>
      <c r="H62" s="528"/>
      <c r="J62" s="528">
        <v>-9402052</v>
      </c>
      <c r="K62" s="526"/>
      <c r="L62" s="528">
        <v>-5641231</v>
      </c>
      <c r="M62" s="526"/>
      <c r="N62" s="528">
        <v>-3760821</v>
      </c>
      <c r="P62" s="538" t="s">
        <v>1613</v>
      </c>
      <c r="R62" s="526">
        <v>0</v>
      </c>
      <c r="S62" s="526"/>
      <c r="T62" s="526">
        <f>N62</f>
        <v>-3760821</v>
      </c>
      <c r="U62" s="526"/>
      <c r="V62" s="526">
        <v>0</v>
      </c>
      <c r="W62" s="526"/>
      <c r="X62" s="526">
        <f>SUM(R62:V62)</f>
        <v>-3760821</v>
      </c>
      <c r="Y62" s="526"/>
      <c r="Z62" s="537" t="s">
        <v>1606</v>
      </c>
      <c r="AA62" s="526"/>
      <c r="AB62" s="526">
        <v>0</v>
      </c>
      <c r="AC62" s="526"/>
      <c r="AD62" s="528">
        <v>-2484394.8862946751</v>
      </c>
      <c r="AE62" s="526"/>
      <c r="AF62" s="526">
        <v>0</v>
      </c>
      <c r="AG62" s="526"/>
      <c r="AH62" s="537" t="s">
        <v>1611</v>
      </c>
      <c r="AI62" s="526"/>
      <c r="AJ62" s="527">
        <f>+R62-AB62</f>
        <v>0</v>
      </c>
      <c r="AK62" s="526"/>
      <c r="AL62" s="527">
        <f>+T62-AD62</f>
        <v>-1276426.1137053249</v>
      </c>
      <c r="AM62" s="526"/>
      <c r="AN62" s="527">
        <f>+V62-AF62</f>
        <v>0</v>
      </c>
      <c r="AO62" s="526"/>
      <c r="AP62" s="526">
        <f>SUM(AJ62:AN62)</f>
        <v>-1276426.1137053249</v>
      </c>
      <c r="AR62" s="526">
        <v>0</v>
      </c>
      <c r="AS62" s="526"/>
      <c r="AT62" s="528">
        <v>-384548.62876489171</v>
      </c>
      <c r="AU62" s="526"/>
      <c r="AV62" s="526">
        <v>0</v>
      </c>
      <c r="AW62" s="526"/>
      <c r="AX62" s="527">
        <f>+AJ62-AR62</f>
        <v>0</v>
      </c>
      <c r="AY62" s="526"/>
      <c r="AZ62" s="527">
        <f>+AL62-AT62</f>
        <v>-891877.48494043318</v>
      </c>
      <c r="BA62" s="526"/>
      <c r="BB62" s="527">
        <f>+AN62-AV62</f>
        <v>0</v>
      </c>
      <c r="BC62" s="526"/>
      <c r="BD62" s="526">
        <f>SUM(AX62:BB62)</f>
        <v>-891877.48494043318</v>
      </c>
      <c r="BF62" s="526">
        <f>+BD62*$BF$10</f>
        <v>-1238436.640737989</v>
      </c>
      <c r="BH62" s="525">
        <f>A62</f>
        <v>419</v>
      </c>
    </row>
    <row r="63" spans="1:60" ht="15" x14ac:dyDescent="0.25">
      <c r="A63" s="525">
        <f>A62+1</f>
        <v>420</v>
      </c>
      <c r="B63" s="530" t="s">
        <v>1660</v>
      </c>
      <c r="F63" s="536" t="s">
        <v>1614</v>
      </c>
      <c r="H63" s="528"/>
      <c r="J63" s="528">
        <v>-940821</v>
      </c>
      <c r="K63" s="526"/>
      <c r="L63" s="528">
        <v>-564493</v>
      </c>
      <c r="M63" s="526"/>
      <c r="N63" s="528">
        <v>-376328</v>
      </c>
      <c r="P63" s="538" t="s">
        <v>1613</v>
      </c>
      <c r="R63" s="526">
        <v>0</v>
      </c>
      <c r="S63" s="526"/>
      <c r="T63" s="526">
        <f>N63</f>
        <v>-376328</v>
      </c>
      <c r="U63" s="526"/>
      <c r="V63" s="526">
        <v>0</v>
      </c>
      <c r="W63" s="526"/>
      <c r="X63" s="526">
        <f>SUM(R63:V63)</f>
        <v>-376328</v>
      </c>
      <c r="Y63" s="526"/>
      <c r="Z63" s="537" t="s">
        <v>1606</v>
      </c>
      <c r="AA63" s="526"/>
      <c r="AB63" s="526">
        <v>0</v>
      </c>
      <c r="AC63" s="526"/>
      <c r="AD63" s="528">
        <v>-248602.1244032227</v>
      </c>
      <c r="AE63" s="526"/>
      <c r="AF63" s="526">
        <v>0</v>
      </c>
      <c r="AG63" s="526"/>
      <c r="AH63" s="537" t="s">
        <v>1611</v>
      </c>
      <c r="AI63" s="526"/>
      <c r="AJ63" s="527">
        <f>+R63-AB63</f>
        <v>0</v>
      </c>
      <c r="AK63" s="526"/>
      <c r="AL63" s="527">
        <f>+T63-AD63</f>
        <v>-127725.8755967773</v>
      </c>
      <c r="AM63" s="526"/>
      <c r="AN63" s="527">
        <f>+V63-AF63</f>
        <v>0</v>
      </c>
      <c r="AO63" s="526"/>
      <c r="AP63" s="526">
        <f>SUM(AJ63:AN63)</f>
        <v>-127725.8755967773</v>
      </c>
      <c r="AR63" s="526">
        <v>0</v>
      </c>
      <c r="AS63" s="526"/>
      <c r="AT63" s="528">
        <v>-38480.041467740906</v>
      </c>
      <c r="AU63" s="526"/>
      <c r="AV63" s="526">
        <v>0</v>
      </c>
      <c r="AW63" s="526"/>
      <c r="AX63" s="527">
        <f>+AJ63-AR63</f>
        <v>0</v>
      </c>
      <c r="AY63" s="526"/>
      <c r="AZ63" s="527">
        <f>+AL63-AT63</f>
        <v>-89245.834129036404</v>
      </c>
      <c r="BA63" s="526"/>
      <c r="BB63" s="527">
        <f>+AN63-AV63</f>
        <v>0</v>
      </c>
      <c r="BC63" s="526"/>
      <c r="BD63" s="526">
        <f>SUM(AX63:BB63)</f>
        <v>-89245.834129036404</v>
      </c>
      <c r="BF63" s="526">
        <f>+BD63*$BF$10</f>
        <v>-123924.32019517277</v>
      </c>
      <c r="BH63" s="525">
        <f>A63</f>
        <v>420</v>
      </c>
    </row>
    <row r="64" spans="1:60" ht="15" x14ac:dyDescent="0.25">
      <c r="A64" s="525">
        <f>A63+1</f>
        <v>421</v>
      </c>
      <c r="B64" s="530" t="s">
        <v>1659</v>
      </c>
      <c r="F64" s="536" t="s">
        <v>1614</v>
      </c>
      <c r="H64" s="528"/>
      <c r="J64" s="528">
        <v>-97065</v>
      </c>
      <c r="K64" s="526"/>
      <c r="L64" s="528">
        <v>-58239</v>
      </c>
      <c r="M64" s="526"/>
      <c r="N64" s="528">
        <v>-38826</v>
      </c>
      <c r="P64" s="538" t="s">
        <v>1613</v>
      </c>
      <c r="R64" s="526">
        <v>0</v>
      </c>
      <c r="S64" s="526"/>
      <c r="T64" s="526">
        <f>N64</f>
        <v>-38826</v>
      </c>
      <c r="U64" s="526"/>
      <c r="V64" s="526">
        <v>0</v>
      </c>
      <c r="W64" s="526"/>
      <c r="X64" s="526">
        <f>SUM(R64:V64)</f>
        <v>-38826</v>
      </c>
      <c r="Y64" s="526"/>
      <c r="Z64" s="537" t="s">
        <v>1606</v>
      </c>
      <c r="AA64" s="526"/>
      <c r="AB64" s="526">
        <v>0</v>
      </c>
      <c r="AC64" s="526"/>
      <c r="AD64" s="528">
        <v>-25648.057847879176</v>
      </c>
      <c r="AE64" s="526"/>
      <c r="AF64" s="526">
        <v>0</v>
      </c>
      <c r="AG64" s="526"/>
      <c r="AH64" s="537" t="s">
        <v>1611</v>
      </c>
      <c r="AI64" s="526"/>
      <c r="AJ64" s="527">
        <f>+R64-AB64</f>
        <v>0</v>
      </c>
      <c r="AK64" s="526"/>
      <c r="AL64" s="527">
        <f>+T64-AD64</f>
        <v>-13177.942152120824</v>
      </c>
      <c r="AM64" s="526"/>
      <c r="AN64" s="527">
        <f>+V64-AF64</f>
        <v>0</v>
      </c>
      <c r="AO64" s="526"/>
      <c r="AP64" s="526">
        <f>SUM(AJ64:AN64)</f>
        <v>-13177.942152120824</v>
      </c>
      <c r="AR64" s="526">
        <v>0</v>
      </c>
      <c r="AS64" s="526"/>
      <c r="AT64" s="528">
        <v>-3970.0192826263924</v>
      </c>
      <c r="AU64" s="526"/>
      <c r="AV64" s="526">
        <v>0</v>
      </c>
      <c r="AW64" s="526"/>
      <c r="AX64" s="527">
        <f>+AJ64-AR64</f>
        <v>0</v>
      </c>
      <c r="AY64" s="526"/>
      <c r="AZ64" s="527">
        <f>+AL64-AT64</f>
        <v>-9207.9228694944322</v>
      </c>
      <c r="BA64" s="526"/>
      <c r="BB64" s="527">
        <f>+AN64-AV64</f>
        <v>0</v>
      </c>
      <c r="BC64" s="526"/>
      <c r="BD64" s="526">
        <f>SUM(AX64:BB64)</f>
        <v>-9207.9228694944322</v>
      </c>
      <c r="BF64" s="526">
        <f>+BD64*$BF$10</f>
        <v>-12785.869426261839</v>
      </c>
      <c r="BH64" s="525">
        <f>A64</f>
        <v>421</v>
      </c>
    </row>
    <row r="65" spans="1:60" ht="15" x14ac:dyDescent="0.25">
      <c r="A65" s="525">
        <f>A64+1</f>
        <v>422</v>
      </c>
      <c r="B65" s="530" t="s">
        <v>1658</v>
      </c>
      <c r="F65" s="536" t="s">
        <v>1614</v>
      </c>
      <c r="H65" s="528"/>
      <c r="J65" s="528">
        <v>-261</v>
      </c>
      <c r="K65" s="526"/>
      <c r="L65" s="528">
        <v>-157</v>
      </c>
      <c r="M65" s="526"/>
      <c r="N65" s="528">
        <v>-104</v>
      </c>
      <c r="P65" s="538" t="s">
        <v>1613</v>
      </c>
      <c r="R65" s="526">
        <v>0</v>
      </c>
      <c r="S65" s="526"/>
      <c r="T65" s="526">
        <f>N65</f>
        <v>-104</v>
      </c>
      <c r="U65" s="526"/>
      <c r="V65" s="526">
        <v>0</v>
      </c>
      <c r="W65" s="526"/>
      <c r="X65" s="526">
        <f>SUM(R65:V65)</f>
        <v>-104</v>
      </c>
      <c r="Y65" s="526"/>
      <c r="Z65" s="537" t="s">
        <v>1606</v>
      </c>
      <c r="AA65" s="526"/>
      <c r="AB65" s="526">
        <v>0</v>
      </c>
      <c r="AC65" s="526"/>
      <c r="AD65" s="528">
        <v>-69.042765291321189</v>
      </c>
      <c r="AE65" s="526"/>
      <c r="AF65" s="526">
        <v>0</v>
      </c>
      <c r="AG65" s="526"/>
      <c r="AH65" s="537" t="s">
        <v>1611</v>
      </c>
      <c r="AI65" s="526"/>
      <c r="AJ65" s="527">
        <f>+R65-AB65</f>
        <v>0</v>
      </c>
      <c r="AK65" s="526"/>
      <c r="AL65" s="527">
        <f>+T65-AD65</f>
        <v>-34.957234708678811</v>
      </c>
      <c r="AM65" s="526"/>
      <c r="AN65" s="527">
        <f>+V65-AF65</f>
        <v>0</v>
      </c>
      <c r="AO65" s="526"/>
      <c r="AP65" s="526">
        <f>SUM(AJ65:AN65)</f>
        <v>-34.957234708678811</v>
      </c>
      <c r="AR65" s="526">
        <v>0</v>
      </c>
      <c r="AS65" s="526"/>
      <c r="AT65" s="528">
        <v>-10.680921763773732</v>
      </c>
      <c r="AU65" s="526"/>
      <c r="AV65" s="526">
        <v>0</v>
      </c>
      <c r="AW65" s="526"/>
      <c r="AX65" s="527">
        <f>+AJ65-AR65</f>
        <v>0</v>
      </c>
      <c r="AY65" s="526"/>
      <c r="AZ65" s="527">
        <f>+AL65-AT65</f>
        <v>-24.276312944905079</v>
      </c>
      <c r="BA65" s="526"/>
      <c r="BB65" s="527">
        <f>+AN65-AV65</f>
        <v>0</v>
      </c>
      <c r="BC65" s="526"/>
      <c r="BD65" s="526">
        <f>SUM(AX65:BB65)</f>
        <v>-24.276312944905079</v>
      </c>
      <c r="BF65" s="526">
        <f>+BD65*$BF$10</f>
        <v>-33.70942305489455</v>
      </c>
      <c r="BH65" s="525">
        <f>A65</f>
        <v>422</v>
      </c>
    </row>
    <row r="66" spans="1:60" ht="15" x14ac:dyDescent="0.25">
      <c r="A66" s="525">
        <f>A65+1</f>
        <v>423</v>
      </c>
      <c r="B66" s="530" t="s">
        <v>1657</v>
      </c>
      <c r="F66" s="536" t="s">
        <v>1614</v>
      </c>
      <c r="H66" s="528"/>
      <c r="J66" s="528">
        <v>371736</v>
      </c>
      <c r="K66" s="526"/>
      <c r="L66" s="528">
        <v>223041</v>
      </c>
      <c r="M66" s="526"/>
      <c r="N66" s="528">
        <v>148694</v>
      </c>
      <c r="P66" s="538" t="s">
        <v>1613</v>
      </c>
      <c r="R66" s="526">
        <v>0</v>
      </c>
      <c r="S66" s="526"/>
      <c r="T66" s="526">
        <f>N66</f>
        <v>148694</v>
      </c>
      <c r="U66" s="526"/>
      <c r="V66" s="526">
        <v>0</v>
      </c>
      <c r="W66" s="526"/>
      <c r="X66" s="526">
        <f>SUM(R66:V66)</f>
        <v>148694</v>
      </c>
      <c r="Y66" s="526"/>
      <c r="Z66" s="537" t="s">
        <v>1606</v>
      </c>
      <c r="AA66" s="526"/>
      <c r="AB66" s="526">
        <v>0</v>
      </c>
      <c r="AC66" s="526"/>
      <c r="AD66" s="528">
        <v>98227.517186967481</v>
      </c>
      <c r="AE66" s="526"/>
      <c r="AF66" s="526">
        <v>0</v>
      </c>
      <c r="AG66" s="526"/>
      <c r="AH66" s="537" t="s">
        <v>1611</v>
      </c>
      <c r="AI66" s="526"/>
      <c r="AJ66" s="527">
        <f>+R66-AB66</f>
        <v>0</v>
      </c>
      <c r="AK66" s="526"/>
      <c r="AL66" s="527">
        <f>+T66-AD66</f>
        <v>50466.482813032519</v>
      </c>
      <c r="AM66" s="526"/>
      <c r="AN66" s="527">
        <f>+V66-AF66</f>
        <v>0</v>
      </c>
      <c r="AO66" s="526"/>
      <c r="AP66" s="526">
        <f>SUM(AJ66:AN66)</f>
        <v>50466.482813032519</v>
      </c>
      <c r="AR66" s="526">
        <v>0</v>
      </c>
      <c r="AS66" s="526"/>
      <c r="AT66" s="528">
        <v>15204.172395655829</v>
      </c>
      <c r="AU66" s="526"/>
      <c r="AV66" s="526">
        <v>0</v>
      </c>
      <c r="AW66" s="526"/>
      <c r="AX66" s="527">
        <f>+AJ66-AR66</f>
        <v>0</v>
      </c>
      <c r="AY66" s="526"/>
      <c r="AZ66" s="527">
        <f>+AL66-AT66</f>
        <v>35262.310417376691</v>
      </c>
      <c r="BA66" s="526"/>
      <c r="BB66" s="527">
        <f>+AN66-AV66</f>
        <v>0</v>
      </c>
      <c r="BC66" s="526"/>
      <c r="BD66" s="526">
        <f>SUM(AX66:BB66)</f>
        <v>35262.310417376691</v>
      </c>
      <c r="BF66" s="526">
        <f>+BD66*$BF$10</f>
        <v>48964.278160775444</v>
      </c>
      <c r="BH66" s="525">
        <f>A66</f>
        <v>423</v>
      </c>
    </row>
    <row r="67" spans="1:60" ht="15" x14ac:dyDescent="0.25">
      <c r="A67" s="525">
        <f>A66+1</f>
        <v>424</v>
      </c>
      <c r="B67" s="530" t="s">
        <v>1656</v>
      </c>
      <c r="F67" s="536" t="s">
        <v>1614</v>
      </c>
      <c r="H67" s="528"/>
      <c r="J67" s="528">
        <v>39627</v>
      </c>
      <c r="K67" s="526"/>
      <c r="L67" s="528">
        <v>23771</v>
      </c>
      <c r="M67" s="526"/>
      <c r="N67" s="528">
        <v>15856</v>
      </c>
      <c r="P67" s="538" t="s">
        <v>1613</v>
      </c>
      <c r="R67" s="526">
        <v>0</v>
      </c>
      <c r="S67" s="526"/>
      <c r="T67" s="526">
        <f>N67</f>
        <v>15856</v>
      </c>
      <c r="U67" s="526"/>
      <c r="V67" s="526">
        <v>0</v>
      </c>
      <c r="W67" s="526"/>
      <c r="X67" s="526">
        <f>SUM(R67:V67)</f>
        <v>15856</v>
      </c>
      <c r="Y67" s="526"/>
      <c r="Z67" s="537" t="s">
        <v>1606</v>
      </c>
      <c r="AA67" s="526"/>
      <c r="AB67" s="526">
        <v>0</v>
      </c>
      <c r="AC67" s="526"/>
      <c r="AD67" s="528">
        <v>10474.897485673202</v>
      </c>
      <c r="AE67" s="526"/>
      <c r="AF67" s="526">
        <v>0</v>
      </c>
      <c r="AG67" s="526"/>
      <c r="AH67" s="537" t="s">
        <v>1611</v>
      </c>
      <c r="AI67" s="526"/>
      <c r="AJ67" s="527">
        <f>+R67-AB67</f>
        <v>0</v>
      </c>
      <c r="AK67" s="526"/>
      <c r="AL67" s="527">
        <f>+T67-AD67</f>
        <v>5381.102514326798</v>
      </c>
      <c r="AM67" s="526"/>
      <c r="AN67" s="527">
        <f>+V67-AF67</f>
        <v>0</v>
      </c>
      <c r="AO67" s="526"/>
      <c r="AP67" s="526">
        <f>SUM(AJ67:AN67)</f>
        <v>5381.102514326798</v>
      </c>
      <c r="AR67" s="526">
        <v>0</v>
      </c>
      <c r="AS67" s="526"/>
      <c r="AT67" s="528">
        <v>1621.299161891068</v>
      </c>
      <c r="AU67" s="526"/>
      <c r="AV67" s="526">
        <v>0</v>
      </c>
      <c r="AW67" s="526"/>
      <c r="AX67" s="527">
        <f>+AJ67-AR67</f>
        <v>0</v>
      </c>
      <c r="AY67" s="526"/>
      <c r="AZ67" s="527">
        <f>+AL67-AT67</f>
        <v>3759.8033524357297</v>
      </c>
      <c r="BA67" s="526"/>
      <c r="BB67" s="527">
        <f>+AN67-AV67</f>
        <v>0</v>
      </c>
      <c r="BC67" s="526"/>
      <c r="BD67" s="526">
        <f>SUM(AX67:BB67)</f>
        <v>3759.8033524357297</v>
      </c>
      <c r="BF67" s="526">
        <f>+BD67*$BF$10</f>
        <v>5220.7599275105804</v>
      </c>
      <c r="BH67" s="525">
        <f>A67</f>
        <v>424</v>
      </c>
    </row>
    <row r="68" spans="1:60" ht="15" x14ac:dyDescent="0.25">
      <c r="A68" s="525">
        <f>A67+1</f>
        <v>425</v>
      </c>
      <c r="B68" s="530" t="s">
        <v>1655</v>
      </c>
      <c r="F68" s="536" t="s">
        <v>1614</v>
      </c>
      <c r="H68" s="528"/>
      <c r="J68" s="528">
        <v>4858878</v>
      </c>
      <c r="K68" s="526"/>
      <c r="L68" s="528">
        <v>2914699</v>
      </c>
      <c r="M68" s="526"/>
      <c r="N68" s="528">
        <v>1944179</v>
      </c>
      <c r="P68" s="538" t="s">
        <v>1613</v>
      </c>
      <c r="R68" s="526">
        <v>0</v>
      </c>
      <c r="S68" s="526"/>
      <c r="T68" s="526">
        <f>N68</f>
        <v>1944179</v>
      </c>
      <c r="U68" s="526"/>
      <c r="V68" s="526">
        <v>0</v>
      </c>
      <c r="W68" s="526"/>
      <c r="X68" s="526">
        <f>SUM(R68:V68)</f>
        <v>1944179</v>
      </c>
      <c r="Y68" s="526"/>
      <c r="Z68" s="537" t="s">
        <v>1606</v>
      </c>
      <c r="AA68" s="526"/>
      <c r="AB68" s="526">
        <v>0</v>
      </c>
      <c r="AC68" s="526"/>
      <c r="AD68" s="528">
        <v>1284323.2578547241</v>
      </c>
      <c r="AE68" s="526"/>
      <c r="AF68" s="526">
        <v>0</v>
      </c>
      <c r="AG68" s="526"/>
      <c r="AH68" s="537" t="s">
        <v>1611</v>
      </c>
      <c r="AI68" s="526"/>
      <c r="AJ68" s="527">
        <f>+R68-AB68</f>
        <v>0</v>
      </c>
      <c r="AK68" s="526"/>
      <c r="AL68" s="527">
        <f>+T68-AD68</f>
        <v>659855.74214527593</v>
      </c>
      <c r="AM68" s="526"/>
      <c r="AN68" s="527">
        <f>+V68-AF68</f>
        <v>0</v>
      </c>
      <c r="AO68" s="526"/>
      <c r="AP68" s="526">
        <f>SUM(AJ68:AN68)</f>
        <v>659855.74214527593</v>
      </c>
      <c r="AR68" s="526">
        <v>0</v>
      </c>
      <c r="AS68" s="526"/>
      <c r="AT68" s="528">
        <v>198794.75261824133</v>
      </c>
      <c r="AU68" s="526"/>
      <c r="AV68" s="526">
        <v>0</v>
      </c>
      <c r="AW68" s="526"/>
      <c r="AX68" s="527">
        <f>+AJ68-AR68</f>
        <v>0</v>
      </c>
      <c r="AY68" s="526"/>
      <c r="AZ68" s="527">
        <f>+AL68-AT68</f>
        <v>461060.98952703457</v>
      </c>
      <c r="BA68" s="526"/>
      <c r="BB68" s="527">
        <f>+AN68-AV68</f>
        <v>0</v>
      </c>
      <c r="BC68" s="526"/>
      <c r="BD68" s="526">
        <f>SUM(AX68:BB68)</f>
        <v>461060.98952703457</v>
      </c>
      <c r="BF68" s="526">
        <f>+BD68*$BF$10</f>
        <v>640216.65832648473</v>
      </c>
      <c r="BH68" s="525">
        <f>A68</f>
        <v>425</v>
      </c>
    </row>
    <row r="69" spans="1:60" ht="15" x14ac:dyDescent="0.25">
      <c r="A69" s="525">
        <f>A68+1</f>
        <v>426</v>
      </c>
      <c r="B69" s="530" t="s">
        <v>1654</v>
      </c>
      <c r="F69" s="536" t="s">
        <v>1614</v>
      </c>
      <c r="H69" s="528"/>
      <c r="J69" s="528">
        <v>1290771</v>
      </c>
      <c r="K69" s="526"/>
      <c r="L69" s="528">
        <v>774295</v>
      </c>
      <c r="M69" s="526"/>
      <c r="N69" s="528">
        <v>516475</v>
      </c>
      <c r="P69" s="538" t="s">
        <v>1613</v>
      </c>
      <c r="R69" s="526">
        <v>0</v>
      </c>
      <c r="S69" s="526"/>
      <c r="T69" s="526">
        <f>N69</f>
        <v>516475</v>
      </c>
      <c r="U69" s="526"/>
      <c r="V69" s="526">
        <v>0</v>
      </c>
      <c r="W69" s="526"/>
      <c r="X69" s="526">
        <f>SUM(R69:V69)</f>
        <v>516475</v>
      </c>
      <c r="Y69" s="526"/>
      <c r="Z69" s="537" t="s">
        <v>1606</v>
      </c>
      <c r="AA69" s="526"/>
      <c r="AB69" s="526">
        <v>0</v>
      </c>
      <c r="AC69" s="526"/>
      <c r="AD69" s="528">
        <v>341182.68847594608</v>
      </c>
      <c r="AE69" s="526"/>
      <c r="AF69" s="526">
        <v>0</v>
      </c>
      <c r="AG69" s="526"/>
      <c r="AH69" s="537" t="s">
        <v>1611</v>
      </c>
      <c r="AI69" s="526"/>
      <c r="AJ69" s="527">
        <f>+R69-AB69</f>
        <v>0</v>
      </c>
      <c r="AK69" s="526"/>
      <c r="AL69" s="527">
        <f>+T69-AD69</f>
        <v>175292.31152405392</v>
      </c>
      <c r="AM69" s="526"/>
      <c r="AN69" s="527">
        <f>+V69-AF69</f>
        <v>0</v>
      </c>
      <c r="AO69" s="526"/>
      <c r="AP69" s="526">
        <f>SUM(AJ69:AN69)</f>
        <v>175292.31152405392</v>
      </c>
      <c r="AR69" s="526">
        <v>0</v>
      </c>
      <c r="AS69" s="526"/>
      <c r="AT69" s="528">
        <v>52810.229491982012</v>
      </c>
      <c r="AU69" s="526"/>
      <c r="AV69" s="526">
        <v>0</v>
      </c>
      <c r="AW69" s="526"/>
      <c r="AX69" s="527">
        <f>+AJ69-AR69</f>
        <v>0</v>
      </c>
      <c r="AY69" s="526"/>
      <c r="AZ69" s="527">
        <f>+AL69-AT69</f>
        <v>122482.08203207191</v>
      </c>
      <c r="BA69" s="526"/>
      <c r="BB69" s="527">
        <f>+AN69-AV69</f>
        <v>0</v>
      </c>
      <c r="BC69" s="526"/>
      <c r="BD69" s="526">
        <f>SUM(AX69:BB69)</f>
        <v>122482.08203207191</v>
      </c>
      <c r="BF69" s="526">
        <f>+BD69*$BF$10</f>
        <v>170075.26345675692</v>
      </c>
      <c r="BH69" s="525">
        <f>A69</f>
        <v>426</v>
      </c>
    </row>
    <row r="70" spans="1:60" ht="15" x14ac:dyDescent="0.25">
      <c r="A70" s="525">
        <f>A69+1</f>
        <v>427</v>
      </c>
      <c r="B70" s="530" t="s">
        <v>1653</v>
      </c>
      <c r="F70" s="536" t="s">
        <v>1614</v>
      </c>
      <c r="H70" s="528"/>
      <c r="J70" s="528">
        <v>1949491</v>
      </c>
      <c r="K70" s="526"/>
      <c r="L70" s="528">
        <v>1169442</v>
      </c>
      <c r="M70" s="526"/>
      <c r="N70" s="528">
        <v>780049</v>
      </c>
      <c r="P70" s="538" t="s">
        <v>1613</v>
      </c>
      <c r="R70" s="526">
        <v>0</v>
      </c>
      <c r="S70" s="526"/>
      <c r="T70" s="526">
        <f>N70</f>
        <v>780049</v>
      </c>
      <c r="U70" s="526"/>
      <c r="V70" s="526">
        <v>0</v>
      </c>
      <c r="W70" s="526"/>
      <c r="X70" s="526">
        <f>SUM(R70:V70)</f>
        <v>780049</v>
      </c>
      <c r="Y70" s="526"/>
      <c r="Z70" s="537" t="s">
        <v>1606</v>
      </c>
      <c r="AA70" s="526"/>
      <c r="AB70" s="526">
        <v>0</v>
      </c>
      <c r="AC70" s="526"/>
      <c r="AD70" s="528">
        <v>515299.89255012589</v>
      </c>
      <c r="AE70" s="526"/>
      <c r="AF70" s="526">
        <v>0</v>
      </c>
      <c r="AG70" s="526"/>
      <c r="AH70" s="537" t="s">
        <v>1611</v>
      </c>
      <c r="AI70" s="526"/>
      <c r="AJ70" s="527">
        <f>+R70-AB70</f>
        <v>0</v>
      </c>
      <c r="AK70" s="526"/>
      <c r="AL70" s="527">
        <f>+T70-AD70</f>
        <v>264749.10744987411</v>
      </c>
      <c r="AM70" s="526"/>
      <c r="AN70" s="527">
        <f>+V70-AF70</f>
        <v>0</v>
      </c>
      <c r="AO70" s="526"/>
      <c r="AP70" s="526">
        <f>SUM(AJ70:AN70)</f>
        <v>264749.10744987411</v>
      </c>
      <c r="AR70" s="526">
        <v>0</v>
      </c>
      <c r="AS70" s="526"/>
      <c r="AT70" s="528">
        <v>79760.964183375312</v>
      </c>
      <c r="AU70" s="526"/>
      <c r="AV70" s="526">
        <v>0</v>
      </c>
      <c r="AW70" s="526"/>
      <c r="AX70" s="527">
        <f>+AJ70-AR70</f>
        <v>0</v>
      </c>
      <c r="AY70" s="526"/>
      <c r="AZ70" s="527">
        <f>+AL70-AT70</f>
        <v>184988.14326649881</v>
      </c>
      <c r="BA70" s="526"/>
      <c r="BB70" s="527">
        <f>+AN70-AV70</f>
        <v>0</v>
      </c>
      <c r="BC70" s="526"/>
      <c r="BD70" s="526">
        <f>SUM(AX70:BB70)</f>
        <v>184988.14326649881</v>
      </c>
      <c r="BF70" s="526">
        <f>+BD70*$BF$10</f>
        <v>256869.46760251664</v>
      </c>
      <c r="BH70" s="525">
        <f>A70</f>
        <v>427</v>
      </c>
    </row>
    <row r="71" spans="1:60" ht="15" x14ac:dyDescent="0.25">
      <c r="A71" s="525">
        <f>A70+1</f>
        <v>428</v>
      </c>
      <c r="B71" s="530" t="s">
        <v>1652</v>
      </c>
      <c r="F71" s="536" t="s">
        <v>1614</v>
      </c>
      <c r="H71" s="528"/>
      <c r="J71" s="528">
        <v>46022</v>
      </c>
      <c r="K71" s="526"/>
      <c r="L71" s="528">
        <v>27769</v>
      </c>
      <c r="M71" s="526"/>
      <c r="N71" s="528">
        <v>18253</v>
      </c>
      <c r="P71" s="538" t="s">
        <v>1613</v>
      </c>
      <c r="R71" s="526">
        <v>0</v>
      </c>
      <c r="S71" s="526"/>
      <c r="T71" s="526">
        <f>N71</f>
        <v>18253</v>
      </c>
      <c r="U71" s="526"/>
      <c r="V71" s="526">
        <v>0</v>
      </c>
      <c r="W71" s="526"/>
      <c r="X71" s="526">
        <f>SUM(R71:V71)</f>
        <v>18253</v>
      </c>
      <c r="Y71" s="526"/>
      <c r="Z71" s="537" t="s">
        <v>1606</v>
      </c>
      <c r="AA71" s="526"/>
      <c r="AB71" s="526">
        <v>0</v>
      </c>
      <c r="AC71" s="526"/>
      <c r="AD71" s="528">
        <v>12058.267570195789</v>
      </c>
      <c r="AE71" s="526"/>
      <c r="AF71" s="526">
        <v>0</v>
      </c>
      <c r="AG71" s="526"/>
      <c r="AH71" s="537" t="s">
        <v>1611</v>
      </c>
      <c r="AI71" s="526"/>
      <c r="AJ71" s="527">
        <f>+R71-AB71</f>
        <v>0</v>
      </c>
      <c r="AK71" s="526"/>
      <c r="AL71" s="527">
        <f>+T71-AD71</f>
        <v>6194.7324298042113</v>
      </c>
      <c r="AM71" s="526"/>
      <c r="AN71" s="527">
        <f>+V71-AF71</f>
        <v>0</v>
      </c>
      <c r="AO71" s="526"/>
      <c r="AP71" s="526">
        <f>SUM(AJ71:AN71)</f>
        <v>6194.7324298042113</v>
      </c>
      <c r="AR71" s="526">
        <v>0</v>
      </c>
      <c r="AS71" s="526"/>
      <c r="AT71" s="528">
        <v>1866.422523398596</v>
      </c>
      <c r="AU71" s="526"/>
      <c r="AV71" s="526">
        <v>0</v>
      </c>
      <c r="AW71" s="526"/>
      <c r="AX71" s="527">
        <f>+AJ71-AR71</f>
        <v>0</v>
      </c>
      <c r="AY71" s="526"/>
      <c r="AZ71" s="527">
        <f>+AL71-AT71</f>
        <v>4328.309906405615</v>
      </c>
      <c r="BA71" s="526"/>
      <c r="BB71" s="527">
        <f>+AN71-AV71</f>
        <v>0</v>
      </c>
      <c r="BC71" s="526"/>
      <c r="BD71" s="526">
        <f>SUM(AX71:BB71)</f>
        <v>4328.309906405615</v>
      </c>
      <c r="BF71" s="526">
        <f>+BD71*$BF$10</f>
        <v>6010.1725529262985</v>
      </c>
      <c r="BH71" s="525">
        <f>A71</f>
        <v>428</v>
      </c>
    </row>
    <row r="72" spans="1:60" ht="15" x14ac:dyDescent="0.25">
      <c r="A72" s="525">
        <f>A71+1</f>
        <v>429</v>
      </c>
      <c r="B72" s="530" t="s">
        <v>1651</v>
      </c>
      <c r="F72" s="536" t="s">
        <v>1614</v>
      </c>
      <c r="H72" s="528"/>
      <c r="J72" s="528">
        <v>10</v>
      </c>
      <c r="K72" s="526"/>
      <c r="L72" s="528">
        <v>6</v>
      </c>
      <c r="M72" s="526"/>
      <c r="N72" s="528">
        <v>4</v>
      </c>
      <c r="P72" s="538" t="s">
        <v>1613</v>
      </c>
      <c r="R72" s="526">
        <v>0</v>
      </c>
      <c r="S72" s="526"/>
      <c r="T72" s="526">
        <f>N72</f>
        <v>4</v>
      </c>
      <c r="U72" s="526"/>
      <c r="V72" s="526">
        <v>0</v>
      </c>
      <c r="W72" s="526"/>
      <c r="X72" s="526">
        <f>SUM(R72:V72)</f>
        <v>4</v>
      </c>
      <c r="Y72" s="526"/>
      <c r="Z72" s="537" t="s">
        <v>1606</v>
      </c>
      <c r="AA72" s="526"/>
      <c r="AB72" s="526">
        <v>0</v>
      </c>
      <c r="AC72" s="526"/>
      <c r="AD72" s="528">
        <v>2.2356917907273779</v>
      </c>
      <c r="AE72" s="526"/>
      <c r="AF72" s="526">
        <v>0</v>
      </c>
      <c r="AG72" s="526"/>
      <c r="AH72" s="537" t="s">
        <v>1611</v>
      </c>
      <c r="AI72" s="526"/>
      <c r="AJ72" s="527">
        <f>+R72-AB72</f>
        <v>0</v>
      </c>
      <c r="AK72" s="526"/>
      <c r="AL72" s="527">
        <f>+T72-AD72</f>
        <v>1.7643082092726221</v>
      </c>
      <c r="AM72" s="526"/>
      <c r="AN72" s="527">
        <f>+V72-AF72</f>
        <v>0</v>
      </c>
      <c r="AO72" s="526"/>
      <c r="AP72" s="526">
        <f>SUM(AJ72:AN72)</f>
        <v>1.7643082092726221</v>
      </c>
      <c r="AR72" s="526">
        <v>0</v>
      </c>
      <c r="AS72" s="526"/>
      <c r="AT72" s="528">
        <v>0.41189726357579276</v>
      </c>
      <c r="AU72" s="526"/>
      <c r="AV72" s="526">
        <v>0</v>
      </c>
      <c r="AW72" s="526"/>
      <c r="AX72" s="527">
        <f>+AJ72-AR72</f>
        <v>0</v>
      </c>
      <c r="AY72" s="526"/>
      <c r="AZ72" s="527">
        <f>+AL72-AT72</f>
        <v>1.3524109456968294</v>
      </c>
      <c r="BA72" s="526"/>
      <c r="BB72" s="527">
        <f>+AN72-AV72</f>
        <v>0</v>
      </c>
      <c r="BC72" s="526"/>
      <c r="BD72" s="526">
        <f>SUM(AX72:BB72)</f>
        <v>1.3524109456968294</v>
      </c>
      <c r="BF72" s="526">
        <f>+BD72*$BF$10</f>
        <v>1.8779207870663199</v>
      </c>
      <c r="BH72" s="525">
        <f>A72</f>
        <v>429</v>
      </c>
    </row>
    <row r="73" spans="1:60" ht="15" x14ac:dyDescent="0.25">
      <c r="A73" s="525">
        <f>A72+1</f>
        <v>430</v>
      </c>
      <c r="B73" s="530" t="s">
        <v>1650</v>
      </c>
      <c r="F73" s="536" t="s">
        <v>1614</v>
      </c>
      <c r="H73" s="528"/>
      <c r="J73" s="528">
        <v>79589</v>
      </c>
      <c r="K73" s="526"/>
      <c r="L73" s="528">
        <v>47743</v>
      </c>
      <c r="M73" s="526"/>
      <c r="N73" s="528">
        <v>31846</v>
      </c>
      <c r="P73" s="538" t="s">
        <v>1613</v>
      </c>
      <c r="R73" s="526">
        <v>0</v>
      </c>
      <c r="S73" s="526"/>
      <c r="T73" s="526">
        <f>N73</f>
        <v>31846</v>
      </c>
      <c r="U73" s="526"/>
      <c r="V73" s="526">
        <v>0</v>
      </c>
      <c r="W73" s="526"/>
      <c r="X73" s="526">
        <f>SUM(R73:V73)</f>
        <v>31846</v>
      </c>
      <c r="Y73" s="526"/>
      <c r="Z73" s="537" t="s">
        <v>1606</v>
      </c>
      <c r="AA73" s="526"/>
      <c r="AB73" s="526">
        <v>0</v>
      </c>
      <c r="AC73" s="526"/>
      <c r="AD73" s="528">
        <v>21037.834127453694</v>
      </c>
      <c r="AE73" s="526"/>
      <c r="AF73" s="526">
        <v>0</v>
      </c>
      <c r="AG73" s="526"/>
      <c r="AH73" s="537" t="s">
        <v>1611</v>
      </c>
      <c r="AI73" s="526"/>
      <c r="AJ73" s="527">
        <f>+R73-AB73</f>
        <v>0</v>
      </c>
      <c r="AK73" s="526"/>
      <c r="AL73" s="527">
        <f>+T73-AD73</f>
        <v>10808.165872546306</v>
      </c>
      <c r="AM73" s="526"/>
      <c r="AN73" s="527">
        <f>+V73-AF73</f>
        <v>0</v>
      </c>
      <c r="AO73" s="526"/>
      <c r="AP73" s="526">
        <f>SUM(AJ73:AN73)</f>
        <v>10808.165872546306</v>
      </c>
      <c r="AR73" s="526">
        <v>0</v>
      </c>
      <c r="AS73" s="526"/>
      <c r="AT73" s="528">
        <v>3256.2780424845641</v>
      </c>
      <c r="AU73" s="526"/>
      <c r="AV73" s="526">
        <v>0</v>
      </c>
      <c r="AW73" s="526"/>
      <c r="AX73" s="527">
        <f>+AJ73-AR73</f>
        <v>0</v>
      </c>
      <c r="AY73" s="526"/>
      <c r="AZ73" s="527">
        <f>+AL73-AT73</f>
        <v>7551.8878300617416</v>
      </c>
      <c r="BA73" s="526"/>
      <c r="BB73" s="527">
        <f>+AN73-AV73</f>
        <v>0</v>
      </c>
      <c r="BC73" s="526"/>
      <c r="BD73" s="526">
        <f>SUM(AX73:BB73)</f>
        <v>7551.8878300617416</v>
      </c>
      <c r="BF73" s="526">
        <f>+BD73*$BF$10</f>
        <v>10486.344541051401</v>
      </c>
      <c r="BH73" s="525">
        <f>A73</f>
        <v>430</v>
      </c>
    </row>
    <row r="74" spans="1:60" ht="15" x14ac:dyDescent="0.25">
      <c r="A74" s="525">
        <f>A73+1</f>
        <v>431</v>
      </c>
      <c r="B74" s="530" t="s">
        <v>1649</v>
      </c>
      <c r="F74" s="536" t="s">
        <v>1614</v>
      </c>
      <c r="H74" s="528"/>
      <c r="J74" s="528">
        <v>138316</v>
      </c>
      <c r="K74" s="526"/>
      <c r="L74" s="528">
        <v>82972</v>
      </c>
      <c r="M74" s="526"/>
      <c r="N74" s="528">
        <v>55344</v>
      </c>
      <c r="P74" s="538" t="s">
        <v>1613</v>
      </c>
      <c r="R74" s="526">
        <v>0</v>
      </c>
      <c r="S74" s="526"/>
      <c r="T74" s="526">
        <f>N74</f>
        <v>55344</v>
      </c>
      <c r="U74" s="526"/>
      <c r="V74" s="526">
        <v>0</v>
      </c>
      <c r="W74" s="526"/>
      <c r="X74" s="526">
        <f>SUM(R74:V74)</f>
        <v>55344</v>
      </c>
      <c r="Y74" s="526"/>
      <c r="Z74" s="537" t="s">
        <v>1606</v>
      </c>
      <c r="AA74" s="526"/>
      <c r="AB74" s="526">
        <v>0</v>
      </c>
      <c r="AC74" s="526"/>
      <c r="AD74" s="528">
        <v>36560.087075388918</v>
      </c>
      <c r="AE74" s="526"/>
      <c r="AF74" s="526">
        <v>0</v>
      </c>
      <c r="AG74" s="526"/>
      <c r="AH74" s="537" t="s">
        <v>1611</v>
      </c>
      <c r="AI74" s="526"/>
      <c r="AJ74" s="527">
        <f>+R74-AB74</f>
        <v>0</v>
      </c>
      <c r="AK74" s="526"/>
      <c r="AL74" s="527">
        <f>+T74-AD74</f>
        <v>18783.912924611082</v>
      </c>
      <c r="AM74" s="526"/>
      <c r="AN74" s="527">
        <f>+V74-AF74</f>
        <v>0</v>
      </c>
      <c r="AO74" s="526"/>
      <c r="AP74" s="526">
        <f>SUM(AJ74:AN74)</f>
        <v>18783.912924611082</v>
      </c>
      <c r="AR74" s="526">
        <v>0</v>
      </c>
      <c r="AS74" s="526"/>
      <c r="AT74" s="528">
        <v>5659.0290251296428</v>
      </c>
      <c r="AU74" s="526"/>
      <c r="AV74" s="526">
        <v>0</v>
      </c>
      <c r="AW74" s="526"/>
      <c r="AX74" s="527">
        <f>+AJ74-AR74</f>
        <v>0</v>
      </c>
      <c r="AY74" s="526"/>
      <c r="AZ74" s="527">
        <f>+AL74-AT74</f>
        <v>13124.88389948144</v>
      </c>
      <c r="BA74" s="526"/>
      <c r="BB74" s="527">
        <f>+AN74-AV74</f>
        <v>0</v>
      </c>
      <c r="BC74" s="526"/>
      <c r="BD74" s="526">
        <f>SUM(AX74:BB74)</f>
        <v>13124.88389948144</v>
      </c>
      <c r="BF74" s="526">
        <f>+BD74*$BF$10</f>
        <v>18224.854199156634</v>
      </c>
      <c r="BH74" s="525">
        <f>A74</f>
        <v>431</v>
      </c>
    </row>
    <row r="75" spans="1:60" ht="15" x14ac:dyDescent="0.25">
      <c r="A75" s="525">
        <f>A74+1</f>
        <v>432</v>
      </c>
      <c r="B75" s="530" t="s">
        <v>1648</v>
      </c>
      <c r="F75" s="536" t="s">
        <v>1614</v>
      </c>
      <c r="H75" s="528"/>
      <c r="J75" s="528">
        <v>42825</v>
      </c>
      <c r="K75" s="526"/>
      <c r="L75" s="528">
        <v>25840</v>
      </c>
      <c r="M75" s="526"/>
      <c r="N75" s="528">
        <v>16985</v>
      </c>
      <c r="P75" s="538" t="s">
        <v>1613</v>
      </c>
      <c r="R75" s="526">
        <v>0</v>
      </c>
      <c r="S75" s="526"/>
      <c r="T75" s="526">
        <f>N75</f>
        <v>16985</v>
      </c>
      <c r="U75" s="526"/>
      <c r="V75" s="526">
        <v>0</v>
      </c>
      <c r="W75" s="526"/>
      <c r="X75" s="526">
        <f>SUM(R75:V75)</f>
        <v>16985</v>
      </c>
      <c r="Y75" s="526"/>
      <c r="Z75" s="537" t="s">
        <v>1606</v>
      </c>
      <c r="AA75" s="526"/>
      <c r="AB75" s="526">
        <v>0</v>
      </c>
      <c r="AC75" s="526"/>
      <c r="AD75" s="528">
        <v>11220.187943635403</v>
      </c>
      <c r="AE75" s="526"/>
      <c r="AF75" s="526">
        <v>0</v>
      </c>
      <c r="AG75" s="526"/>
      <c r="AH75" s="537" t="s">
        <v>1611</v>
      </c>
      <c r="AI75" s="526"/>
      <c r="AJ75" s="527">
        <f>+R75-AB75</f>
        <v>0</v>
      </c>
      <c r="AK75" s="526"/>
      <c r="AL75" s="527">
        <f>+T75-AD75</f>
        <v>5764.8120563645971</v>
      </c>
      <c r="AM75" s="526"/>
      <c r="AN75" s="527">
        <f>+V75-AF75</f>
        <v>0</v>
      </c>
      <c r="AO75" s="526"/>
      <c r="AP75" s="526">
        <f>SUM(AJ75:AN75)</f>
        <v>5764.8120563645971</v>
      </c>
      <c r="AR75" s="526">
        <v>0</v>
      </c>
      <c r="AS75" s="526"/>
      <c r="AT75" s="528">
        <v>1736.7293145451345</v>
      </c>
      <c r="AU75" s="526"/>
      <c r="AV75" s="526">
        <v>0</v>
      </c>
      <c r="AW75" s="526"/>
      <c r="AX75" s="527">
        <f>+AJ75-AR75</f>
        <v>0</v>
      </c>
      <c r="AY75" s="526"/>
      <c r="AZ75" s="527">
        <f>+AL75-AT75</f>
        <v>4028.0827418194626</v>
      </c>
      <c r="BA75" s="526"/>
      <c r="BB75" s="527">
        <f>+AN75-AV75</f>
        <v>0</v>
      </c>
      <c r="BC75" s="526"/>
      <c r="BD75" s="526">
        <f>SUM(AX75:BB75)</f>
        <v>4028.0827418194626</v>
      </c>
      <c r="BF75" s="526">
        <f>+BD75*$BF$10</f>
        <v>5593.2853375334817</v>
      </c>
      <c r="BH75" s="525">
        <f>A75</f>
        <v>432</v>
      </c>
    </row>
    <row r="76" spans="1:60" ht="15" x14ac:dyDescent="0.25">
      <c r="A76" s="525">
        <f>A75+1</f>
        <v>433</v>
      </c>
      <c r="B76" s="530" t="s">
        <v>1647</v>
      </c>
      <c r="F76" s="536" t="s">
        <v>1614</v>
      </c>
      <c r="H76" s="528"/>
      <c r="J76" s="528">
        <v>-176950</v>
      </c>
      <c r="K76" s="526"/>
      <c r="L76" s="528">
        <v>-106152</v>
      </c>
      <c r="M76" s="526"/>
      <c r="N76" s="528">
        <v>-70798</v>
      </c>
      <c r="P76" s="538" t="s">
        <v>1613</v>
      </c>
      <c r="R76" s="526">
        <v>0</v>
      </c>
      <c r="S76" s="526"/>
      <c r="T76" s="526">
        <f>N76</f>
        <v>-70798</v>
      </c>
      <c r="U76" s="526"/>
      <c r="V76" s="526">
        <v>0</v>
      </c>
      <c r="W76" s="526"/>
      <c r="X76" s="526">
        <f>SUM(R76:V76)</f>
        <v>-70798</v>
      </c>
      <c r="Y76" s="526"/>
      <c r="Z76" s="537" t="s">
        <v>1606</v>
      </c>
      <c r="AA76" s="526"/>
      <c r="AB76" s="526">
        <v>0</v>
      </c>
      <c r="AC76" s="526"/>
      <c r="AD76" s="528">
        <v>-46768.425373836857</v>
      </c>
      <c r="AE76" s="526"/>
      <c r="AF76" s="526">
        <v>0</v>
      </c>
      <c r="AG76" s="526"/>
      <c r="AH76" s="537" t="s">
        <v>1611</v>
      </c>
      <c r="AI76" s="526"/>
      <c r="AJ76" s="527">
        <f>+R76-AB76</f>
        <v>0</v>
      </c>
      <c r="AK76" s="526"/>
      <c r="AL76" s="527">
        <f>+T76-AD76</f>
        <v>-24029.574626163143</v>
      </c>
      <c r="AM76" s="526"/>
      <c r="AN76" s="527">
        <f>+V76-AF76</f>
        <v>0</v>
      </c>
      <c r="AO76" s="526"/>
      <c r="AP76" s="526">
        <f>SUM(AJ76:AN76)</f>
        <v>-24029.574626163143</v>
      </c>
      <c r="AR76" s="526">
        <v>0</v>
      </c>
      <c r="AS76" s="526"/>
      <c r="AT76" s="528">
        <v>-7239.141791278953</v>
      </c>
      <c r="AU76" s="526"/>
      <c r="AV76" s="526">
        <v>0</v>
      </c>
      <c r="AW76" s="526"/>
      <c r="AX76" s="527">
        <f>+AJ76-AR76</f>
        <v>0</v>
      </c>
      <c r="AY76" s="526"/>
      <c r="AZ76" s="527">
        <f>+AL76-AT76</f>
        <v>-16790.432834884188</v>
      </c>
      <c r="BA76" s="526"/>
      <c r="BB76" s="527">
        <f>+AN76-AV76</f>
        <v>0</v>
      </c>
      <c r="BC76" s="526"/>
      <c r="BD76" s="526">
        <f>SUM(AX76:BB76)</f>
        <v>-16790.432834884188</v>
      </c>
      <c r="BF76" s="526">
        <f>+BD76*$BF$10</f>
        <v>-23314.735025472237</v>
      </c>
      <c r="BH76" s="525">
        <f>A76</f>
        <v>433</v>
      </c>
    </row>
    <row r="77" spans="1:60" ht="15" x14ac:dyDescent="0.25">
      <c r="A77" s="525">
        <f>A76+1</f>
        <v>434</v>
      </c>
      <c r="B77" s="530" t="s">
        <v>1646</v>
      </c>
      <c r="F77" s="536" t="s">
        <v>1614</v>
      </c>
      <c r="H77" s="528"/>
      <c r="J77" s="528">
        <v>19042</v>
      </c>
      <c r="K77" s="526"/>
      <c r="L77" s="528">
        <v>11423</v>
      </c>
      <c r="M77" s="526"/>
      <c r="N77" s="528">
        <v>7619</v>
      </c>
      <c r="P77" s="538" t="s">
        <v>1613</v>
      </c>
      <c r="R77" s="526">
        <v>0</v>
      </c>
      <c r="S77" s="526"/>
      <c r="T77" s="526">
        <f>N77</f>
        <v>7619</v>
      </c>
      <c r="U77" s="526"/>
      <c r="V77" s="526">
        <v>0</v>
      </c>
      <c r="W77" s="526"/>
      <c r="X77" s="526">
        <f>SUM(R77:V77)</f>
        <v>7619</v>
      </c>
      <c r="Y77" s="526"/>
      <c r="Z77" s="537" t="s">
        <v>1606</v>
      </c>
      <c r="AA77" s="526"/>
      <c r="AB77" s="526">
        <v>0</v>
      </c>
      <c r="AC77" s="526"/>
      <c r="AD77" s="528">
        <v>5033.1665105545089</v>
      </c>
      <c r="AE77" s="526"/>
      <c r="AF77" s="526">
        <v>0</v>
      </c>
      <c r="AG77" s="526"/>
      <c r="AH77" s="537" t="s">
        <v>1611</v>
      </c>
      <c r="AI77" s="526"/>
      <c r="AJ77" s="527">
        <f>+R77-AB77</f>
        <v>0</v>
      </c>
      <c r="AK77" s="526"/>
      <c r="AL77" s="527">
        <f>+T77-AD77</f>
        <v>2585.8334894454911</v>
      </c>
      <c r="AM77" s="526"/>
      <c r="AN77" s="527">
        <f>+V77-AF77</f>
        <v>0</v>
      </c>
      <c r="AO77" s="526"/>
      <c r="AP77" s="526">
        <f>SUM(AJ77:AN77)</f>
        <v>2585.8334894454911</v>
      </c>
      <c r="AR77" s="526">
        <v>0</v>
      </c>
      <c r="AS77" s="526"/>
      <c r="AT77" s="528">
        <v>779.05550351816998</v>
      </c>
      <c r="AU77" s="526"/>
      <c r="AV77" s="526">
        <v>0</v>
      </c>
      <c r="AW77" s="526"/>
      <c r="AX77" s="527">
        <f>+AJ77-AR77</f>
        <v>0</v>
      </c>
      <c r="AY77" s="526"/>
      <c r="AZ77" s="527">
        <f>+AL77-AT77</f>
        <v>1806.777985927321</v>
      </c>
      <c r="BA77" s="526"/>
      <c r="BB77" s="527">
        <f>+AN77-AV77</f>
        <v>0</v>
      </c>
      <c r="BC77" s="526"/>
      <c r="BD77" s="526">
        <f>SUM(AX77:BB77)</f>
        <v>1806.777985927321</v>
      </c>
      <c r="BF77" s="526">
        <f>+BD77*$BF$10</f>
        <v>2508.8424107943756</v>
      </c>
      <c r="BH77" s="525">
        <f>A77</f>
        <v>434</v>
      </c>
    </row>
    <row r="78" spans="1:60" ht="15" x14ac:dyDescent="0.25">
      <c r="A78" s="525">
        <f>A77+1</f>
        <v>435</v>
      </c>
      <c r="B78" s="530" t="s">
        <v>1645</v>
      </c>
      <c r="F78" s="536" t="s">
        <v>1614</v>
      </c>
      <c r="H78" s="528"/>
      <c r="J78" s="528">
        <v>186183</v>
      </c>
      <c r="K78" s="526"/>
      <c r="L78" s="528">
        <v>112339</v>
      </c>
      <c r="M78" s="526"/>
      <c r="N78" s="528">
        <v>73844</v>
      </c>
      <c r="P78" s="538" t="s">
        <v>1613</v>
      </c>
      <c r="R78" s="526">
        <v>0</v>
      </c>
      <c r="S78" s="526"/>
      <c r="T78" s="526">
        <f>N78</f>
        <v>73844</v>
      </c>
      <c r="U78" s="526"/>
      <c r="V78" s="526">
        <v>0</v>
      </c>
      <c r="W78" s="526"/>
      <c r="X78" s="526">
        <f>SUM(R78:V78)</f>
        <v>73844</v>
      </c>
      <c r="Y78" s="526"/>
      <c r="Z78" s="537" t="s">
        <v>1606</v>
      </c>
      <c r="AA78" s="526"/>
      <c r="AB78" s="526">
        <v>0</v>
      </c>
      <c r="AC78" s="526"/>
      <c r="AD78" s="528">
        <v>48780.89033223351</v>
      </c>
      <c r="AE78" s="526"/>
      <c r="AF78" s="526">
        <v>0</v>
      </c>
      <c r="AG78" s="526"/>
      <c r="AH78" s="537" t="s">
        <v>1611</v>
      </c>
      <c r="AI78" s="526"/>
      <c r="AJ78" s="527">
        <f>+R78-AB78</f>
        <v>0</v>
      </c>
      <c r="AK78" s="526"/>
      <c r="AL78" s="527">
        <f>+T78-AD78</f>
        <v>25063.10966776649</v>
      </c>
      <c r="AM78" s="526"/>
      <c r="AN78" s="527">
        <f>+V78-AF78</f>
        <v>0</v>
      </c>
      <c r="AO78" s="526"/>
      <c r="AP78" s="526">
        <f>SUM(AJ78:AN78)</f>
        <v>25063.10966776649</v>
      </c>
      <c r="AR78" s="526">
        <v>0</v>
      </c>
      <c r="AS78" s="526"/>
      <c r="AT78" s="528">
        <v>7550.6301107445061</v>
      </c>
      <c r="AU78" s="526"/>
      <c r="AV78" s="526">
        <v>0</v>
      </c>
      <c r="AW78" s="526"/>
      <c r="AX78" s="527">
        <f>+AJ78-AR78</f>
        <v>0</v>
      </c>
      <c r="AY78" s="526"/>
      <c r="AZ78" s="527">
        <f>+AL78-AT78</f>
        <v>17512.479557021983</v>
      </c>
      <c r="BA78" s="526"/>
      <c r="BB78" s="527">
        <f>+AN78-AV78</f>
        <v>0</v>
      </c>
      <c r="BC78" s="526"/>
      <c r="BD78" s="526">
        <f>SUM(AX78:BB78)</f>
        <v>17512.479557021983</v>
      </c>
      <c r="BF78" s="526">
        <f>+BD78*$BF$10</f>
        <v>24317.349321851663</v>
      </c>
      <c r="BH78" s="525">
        <f>A78</f>
        <v>435</v>
      </c>
    </row>
    <row r="79" spans="1:60" ht="15" x14ac:dyDescent="0.25">
      <c r="A79" s="525">
        <f>A78+1</f>
        <v>436</v>
      </c>
      <c r="B79" s="530" t="s">
        <v>1644</v>
      </c>
      <c r="F79" s="536" t="s">
        <v>1614</v>
      </c>
      <c r="H79" s="528"/>
      <c r="J79" s="528">
        <v>-44233</v>
      </c>
      <c r="K79" s="526"/>
      <c r="L79" s="528">
        <v>-26689</v>
      </c>
      <c r="M79" s="526"/>
      <c r="N79" s="528">
        <v>-17544</v>
      </c>
      <c r="P79" s="538" t="s">
        <v>1613</v>
      </c>
      <c r="R79" s="526">
        <v>0</v>
      </c>
      <c r="S79" s="526"/>
      <c r="T79" s="526">
        <f>N79</f>
        <v>-17544</v>
      </c>
      <c r="U79" s="526"/>
      <c r="V79" s="526">
        <v>0</v>
      </c>
      <c r="W79" s="526"/>
      <c r="X79" s="526">
        <f>SUM(R79:V79)</f>
        <v>-17544</v>
      </c>
      <c r="Y79" s="526"/>
      <c r="Z79" s="537" t="s">
        <v>1606</v>
      </c>
      <c r="AA79" s="526"/>
      <c r="AB79" s="526">
        <v>0</v>
      </c>
      <c r="AC79" s="526"/>
      <c r="AD79" s="528">
        <v>-11589.570428060068</v>
      </c>
      <c r="AE79" s="526"/>
      <c r="AF79" s="526">
        <v>0</v>
      </c>
      <c r="AG79" s="526"/>
      <c r="AH79" s="537" t="s">
        <v>1611</v>
      </c>
      <c r="AI79" s="526"/>
      <c r="AJ79" s="527">
        <f>+R79-AB79</f>
        <v>0</v>
      </c>
      <c r="AK79" s="526"/>
      <c r="AL79" s="527">
        <f>+T79-AD79</f>
        <v>-5954.4295719399324</v>
      </c>
      <c r="AM79" s="526"/>
      <c r="AN79" s="527">
        <f>+V79-AF79</f>
        <v>0</v>
      </c>
      <c r="AO79" s="526"/>
      <c r="AP79" s="526">
        <f>SUM(AJ79:AN79)</f>
        <v>-5954.4295719399324</v>
      </c>
      <c r="AR79" s="526">
        <v>0</v>
      </c>
      <c r="AS79" s="526"/>
      <c r="AT79" s="528">
        <v>-1793.8568093533568</v>
      </c>
      <c r="AU79" s="526"/>
      <c r="AV79" s="526">
        <v>0</v>
      </c>
      <c r="AW79" s="526"/>
      <c r="AX79" s="527">
        <f>+AJ79-AR79</f>
        <v>0</v>
      </c>
      <c r="AY79" s="526"/>
      <c r="AZ79" s="527">
        <f>+AL79-AT79</f>
        <v>-4160.5727625865757</v>
      </c>
      <c r="BA79" s="526"/>
      <c r="BB79" s="527">
        <f>+AN79-AV79</f>
        <v>0</v>
      </c>
      <c r="BC79" s="526"/>
      <c r="BD79" s="526">
        <f>SUM(AX79:BB79)</f>
        <v>-4160.5727625865757</v>
      </c>
      <c r="BF79" s="526">
        <f>+BD79*$BF$10</f>
        <v>-5777.2573505292894</v>
      </c>
      <c r="BH79" s="525">
        <f>A79</f>
        <v>436</v>
      </c>
    </row>
    <row r="80" spans="1:60" ht="15" x14ac:dyDescent="0.25">
      <c r="A80" s="525">
        <f>A79+1</f>
        <v>437</v>
      </c>
      <c r="B80" s="530" t="s">
        <v>1643</v>
      </c>
      <c r="F80" s="536" t="s">
        <v>1614</v>
      </c>
      <c r="H80" s="528"/>
      <c r="J80" s="528">
        <v>617495</v>
      </c>
      <c r="K80" s="526"/>
      <c r="L80" s="528">
        <v>372585</v>
      </c>
      <c r="M80" s="526"/>
      <c r="N80" s="528">
        <v>244910</v>
      </c>
      <c r="P80" s="538" t="s">
        <v>1613</v>
      </c>
      <c r="R80" s="526">
        <v>0</v>
      </c>
      <c r="S80" s="526"/>
      <c r="T80" s="526">
        <f>N80</f>
        <v>244910</v>
      </c>
      <c r="U80" s="526"/>
      <c r="V80" s="526">
        <v>0</v>
      </c>
      <c r="W80" s="526"/>
      <c r="X80" s="526">
        <f>SUM(R80:V80)</f>
        <v>244910</v>
      </c>
      <c r="Y80" s="526"/>
      <c r="Z80" s="537" t="s">
        <v>1606</v>
      </c>
      <c r="AA80" s="526"/>
      <c r="AB80" s="526">
        <v>0</v>
      </c>
      <c r="AC80" s="526"/>
      <c r="AD80" s="528">
        <v>161786.99084827266</v>
      </c>
      <c r="AE80" s="526"/>
      <c r="AF80" s="526">
        <v>0</v>
      </c>
      <c r="AG80" s="526"/>
      <c r="AH80" s="537" t="s">
        <v>1611</v>
      </c>
      <c r="AI80" s="526"/>
      <c r="AJ80" s="527">
        <f>+R80-AB80</f>
        <v>0</v>
      </c>
      <c r="AK80" s="526"/>
      <c r="AL80" s="527">
        <f>+T80-AD80</f>
        <v>83123.009151727339</v>
      </c>
      <c r="AM80" s="526"/>
      <c r="AN80" s="527">
        <f>+V80-AF80</f>
        <v>0</v>
      </c>
      <c r="AO80" s="526"/>
      <c r="AP80" s="526">
        <f>SUM(AJ80:AN80)</f>
        <v>83123.009151727339</v>
      </c>
      <c r="AR80" s="526">
        <v>0</v>
      </c>
      <c r="AS80" s="526"/>
      <c r="AT80" s="528">
        <v>25042.330282757561</v>
      </c>
      <c r="AU80" s="526"/>
      <c r="AV80" s="526">
        <v>0</v>
      </c>
      <c r="AW80" s="526"/>
      <c r="AX80" s="527">
        <f>+AJ80-AR80</f>
        <v>0</v>
      </c>
      <c r="AY80" s="526"/>
      <c r="AZ80" s="527">
        <f>+AL80-AT80</f>
        <v>58080.678868969779</v>
      </c>
      <c r="BA80" s="526"/>
      <c r="BB80" s="527">
        <f>+AN80-AV80</f>
        <v>0</v>
      </c>
      <c r="BC80" s="526"/>
      <c r="BD80" s="526">
        <f>SUM(AX80:BB80)</f>
        <v>58080.678868969779</v>
      </c>
      <c r="BF80" s="526">
        <f>+BD80*$BF$10</f>
        <v>80649.239435697673</v>
      </c>
      <c r="BH80" s="525">
        <f>A80</f>
        <v>437</v>
      </c>
    </row>
    <row r="81" spans="1:60" ht="15" x14ac:dyDescent="0.25">
      <c r="A81" s="525">
        <f>A80+1</f>
        <v>438</v>
      </c>
      <c r="B81" s="530" t="s">
        <v>1642</v>
      </c>
      <c r="F81" s="536" t="s">
        <v>1614</v>
      </c>
      <c r="H81" s="528"/>
      <c r="J81" s="528">
        <v>1864201</v>
      </c>
      <c r="K81" s="526"/>
      <c r="L81" s="528">
        <v>1124691</v>
      </c>
      <c r="M81" s="526"/>
      <c r="N81" s="528">
        <v>739510</v>
      </c>
      <c r="P81" s="538" t="s">
        <v>1613</v>
      </c>
      <c r="R81" s="526">
        <v>0</v>
      </c>
      <c r="S81" s="526"/>
      <c r="T81" s="526">
        <f>N81</f>
        <v>739510</v>
      </c>
      <c r="U81" s="526"/>
      <c r="V81" s="526">
        <v>0</v>
      </c>
      <c r="W81" s="526"/>
      <c r="X81" s="526">
        <f>SUM(R81:V81)</f>
        <v>739510</v>
      </c>
      <c r="Y81" s="526"/>
      <c r="Z81" s="537" t="s">
        <v>1606</v>
      </c>
      <c r="AA81" s="526"/>
      <c r="AB81" s="526">
        <v>0</v>
      </c>
      <c r="AC81" s="526"/>
      <c r="AD81" s="528">
        <v>488519.53053718433</v>
      </c>
      <c r="AE81" s="526"/>
      <c r="AF81" s="526">
        <v>0</v>
      </c>
      <c r="AG81" s="526"/>
      <c r="AH81" s="537" t="s">
        <v>1611</v>
      </c>
      <c r="AI81" s="526"/>
      <c r="AJ81" s="527">
        <f>+R81-AB81</f>
        <v>0</v>
      </c>
      <c r="AK81" s="526"/>
      <c r="AL81" s="527">
        <f>+T81-AD81</f>
        <v>250990.46946281567</v>
      </c>
      <c r="AM81" s="526"/>
      <c r="AN81" s="527">
        <f>+V81-AF81</f>
        <v>0</v>
      </c>
      <c r="AO81" s="526"/>
      <c r="AP81" s="526">
        <f>SUM(AJ81:AN81)</f>
        <v>250990.46946281567</v>
      </c>
      <c r="AR81" s="526">
        <v>0</v>
      </c>
      <c r="AS81" s="526"/>
      <c r="AT81" s="528">
        <v>75615.843512394786</v>
      </c>
      <c r="AU81" s="526"/>
      <c r="AV81" s="526">
        <v>0</v>
      </c>
      <c r="AW81" s="526"/>
      <c r="AX81" s="527">
        <f>+AJ81-AR81</f>
        <v>0</v>
      </c>
      <c r="AY81" s="526"/>
      <c r="AZ81" s="527">
        <f>+AL81-AT81</f>
        <v>175374.62595042089</v>
      </c>
      <c r="BA81" s="526"/>
      <c r="BB81" s="527">
        <f>+AN81-AV81</f>
        <v>0</v>
      </c>
      <c r="BC81" s="526"/>
      <c r="BD81" s="526">
        <f>SUM(AX81:BB81)</f>
        <v>175374.62595042089</v>
      </c>
      <c r="BF81" s="526">
        <f>+BD81*$BF$10</f>
        <v>243520.4008398377</v>
      </c>
      <c r="BH81" s="525">
        <f>A81</f>
        <v>438</v>
      </c>
    </row>
    <row r="82" spans="1:60" ht="15" x14ac:dyDescent="0.25">
      <c r="A82" s="525">
        <f>A81+1</f>
        <v>439</v>
      </c>
      <c r="B82" s="530" t="s">
        <v>1641</v>
      </c>
      <c r="F82" s="536" t="s">
        <v>1614</v>
      </c>
      <c r="H82" s="528"/>
      <c r="J82" s="528">
        <v>-122081</v>
      </c>
      <c r="K82" s="526"/>
      <c r="L82" s="528">
        <v>-73662</v>
      </c>
      <c r="M82" s="526"/>
      <c r="N82" s="528">
        <v>-48419</v>
      </c>
      <c r="P82" s="538" t="s">
        <v>1613</v>
      </c>
      <c r="R82" s="526">
        <v>0</v>
      </c>
      <c r="S82" s="526"/>
      <c r="T82" s="526">
        <f>N82</f>
        <v>-48419</v>
      </c>
      <c r="U82" s="526"/>
      <c r="V82" s="526">
        <v>0</v>
      </c>
      <c r="W82" s="526"/>
      <c r="X82" s="526">
        <f>SUM(R82:V82)</f>
        <v>-48419</v>
      </c>
      <c r="Y82" s="526"/>
      <c r="Z82" s="537" t="s">
        <v>1606</v>
      </c>
      <c r="AA82" s="526"/>
      <c r="AB82" s="526">
        <v>0</v>
      </c>
      <c r="AC82" s="526"/>
      <c r="AD82" s="528">
        <v>-31985.573663683157</v>
      </c>
      <c r="AE82" s="526"/>
      <c r="AF82" s="526">
        <v>0</v>
      </c>
      <c r="AG82" s="526"/>
      <c r="AH82" s="537" t="s">
        <v>1611</v>
      </c>
      <c r="AI82" s="526"/>
      <c r="AJ82" s="527">
        <f>+R82-AB82</f>
        <v>0</v>
      </c>
      <c r="AK82" s="526"/>
      <c r="AL82" s="527">
        <f>+T82-AD82</f>
        <v>-16433.426336316843</v>
      </c>
      <c r="AM82" s="526"/>
      <c r="AN82" s="527">
        <f>+V82-AF82</f>
        <v>0</v>
      </c>
      <c r="AO82" s="526"/>
      <c r="AP82" s="526">
        <f>SUM(AJ82:AN82)</f>
        <v>-16433.426336316843</v>
      </c>
      <c r="AR82" s="526">
        <v>0</v>
      </c>
      <c r="AS82" s="526"/>
      <c r="AT82" s="528">
        <v>-4950.8578878943872</v>
      </c>
      <c r="AU82" s="526"/>
      <c r="AV82" s="526">
        <v>0</v>
      </c>
      <c r="AW82" s="526"/>
      <c r="AX82" s="527">
        <f>+AJ82-AR82</f>
        <v>0</v>
      </c>
      <c r="AY82" s="526"/>
      <c r="AZ82" s="527">
        <f>+AL82-AT82</f>
        <v>-11482.568448422455</v>
      </c>
      <c r="BA82" s="526"/>
      <c r="BB82" s="527">
        <f>+AN82-AV82</f>
        <v>0</v>
      </c>
      <c r="BC82" s="526"/>
      <c r="BD82" s="526">
        <f>SUM(AX82:BB82)</f>
        <v>-11482.568448422455</v>
      </c>
      <c r="BF82" s="526">
        <f>+BD82*$BF$10</f>
        <v>-15944.379958485086</v>
      </c>
      <c r="BH82" s="525">
        <f>A82</f>
        <v>439</v>
      </c>
    </row>
    <row r="83" spans="1:60" ht="15" x14ac:dyDescent="0.25">
      <c r="A83" s="525">
        <f>A82+1</f>
        <v>440</v>
      </c>
      <c r="B83" s="530" t="s">
        <v>1640</v>
      </c>
      <c r="F83" s="536" t="s">
        <v>1614</v>
      </c>
      <c r="H83" s="528"/>
      <c r="J83" s="528">
        <v>-34476</v>
      </c>
      <c r="K83" s="526"/>
      <c r="L83" s="528">
        <v>-20681</v>
      </c>
      <c r="M83" s="526"/>
      <c r="N83" s="528">
        <v>-13795</v>
      </c>
      <c r="P83" s="538" t="s">
        <v>1613</v>
      </c>
      <c r="R83" s="526">
        <v>0</v>
      </c>
      <c r="S83" s="526"/>
      <c r="T83" s="526">
        <f>N83</f>
        <v>-13795</v>
      </c>
      <c r="U83" s="526"/>
      <c r="V83" s="526">
        <v>0</v>
      </c>
      <c r="W83" s="526"/>
      <c r="X83" s="526">
        <f>SUM(R83:V83)</f>
        <v>-13795</v>
      </c>
      <c r="Y83" s="526"/>
      <c r="Z83" s="537" t="s">
        <v>1606</v>
      </c>
      <c r="AA83" s="526"/>
      <c r="AB83" s="526">
        <v>0</v>
      </c>
      <c r="AC83" s="526"/>
      <c r="AD83" s="528">
        <v>-9112.6042855151682</v>
      </c>
      <c r="AE83" s="526"/>
      <c r="AF83" s="526">
        <v>0</v>
      </c>
      <c r="AG83" s="526"/>
      <c r="AH83" s="537" t="s">
        <v>1611</v>
      </c>
      <c r="AI83" s="526"/>
      <c r="AJ83" s="527">
        <f>+R83-AB83</f>
        <v>0</v>
      </c>
      <c r="AK83" s="526"/>
      <c r="AL83" s="527">
        <f>+T83-AD83</f>
        <v>-4682.3957144848318</v>
      </c>
      <c r="AM83" s="526"/>
      <c r="AN83" s="527">
        <f>+V83-AF83</f>
        <v>0</v>
      </c>
      <c r="AO83" s="526"/>
      <c r="AP83" s="526">
        <f>SUM(AJ83:AN83)</f>
        <v>-4682.3957144848318</v>
      </c>
      <c r="AR83" s="526">
        <v>0</v>
      </c>
      <c r="AS83" s="526"/>
      <c r="AT83" s="528">
        <v>-1410.5347618383901</v>
      </c>
      <c r="AU83" s="526"/>
      <c r="AV83" s="526">
        <v>0</v>
      </c>
      <c r="AW83" s="526"/>
      <c r="AX83" s="527">
        <f>+AJ83-AR83</f>
        <v>0</v>
      </c>
      <c r="AY83" s="526"/>
      <c r="AZ83" s="527">
        <f>+AL83-AT83</f>
        <v>-3271.8609526464415</v>
      </c>
      <c r="BA83" s="526"/>
      <c r="BB83" s="527">
        <f>+AN83-AV83</f>
        <v>0</v>
      </c>
      <c r="BC83" s="526"/>
      <c r="BD83" s="526">
        <f>SUM(AX83:BB83)</f>
        <v>-3271.8609526464415</v>
      </c>
      <c r="BF83" s="526">
        <f>+BD83*$BF$10</f>
        <v>-4543.2164793664242</v>
      </c>
      <c r="BH83" s="525">
        <f>A83</f>
        <v>440</v>
      </c>
    </row>
    <row r="84" spans="1:60" ht="15" x14ac:dyDescent="0.25">
      <c r="A84" s="525">
        <f>A83+1</f>
        <v>441</v>
      </c>
      <c r="B84" s="530" t="s">
        <v>1639</v>
      </c>
      <c r="F84" s="536" t="s">
        <v>1614</v>
      </c>
      <c r="H84" s="528"/>
      <c r="J84" s="528">
        <v>73984</v>
      </c>
      <c r="K84" s="526"/>
      <c r="L84" s="528">
        <v>58565</v>
      </c>
      <c r="M84" s="526"/>
      <c r="N84" s="528">
        <v>15419</v>
      </c>
      <c r="P84" s="538" t="s">
        <v>1613</v>
      </c>
      <c r="R84" s="526">
        <v>0</v>
      </c>
      <c r="S84" s="526"/>
      <c r="T84" s="526">
        <f>N84</f>
        <v>15419</v>
      </c>
      <c r="U84" s="526"/>
      <c r="V84" s="526">
        <v>0</v>
      </c>
      <c r="W84" s="526"/>
      <c r="X84" s="526">
        <f>SUM(R84:V84)</f>
        <v>15419</v>
      </c>
      <c r="Y84" s="526"/>
      <c r="Z84" s="537" t="s">
        <v>1606</v>
      </c>
      <c r="AA84" s="526"/>
      <c r="AB84" s="526">
        <v>0</v>
      </c>
      <c r="AC84" s="526"/>
      <c r="AD84" s="528">
        <v>10185.743191166066</v>
      </c>
      <c r="AE84" s="526"/>
      <c r="AF84" s="526">
        <v>0</v>
      </c>
      <c r="AG84" s="526"/>
      <c r="AH84" s="537" t="s">
        <v>1611</v>
      </c>
      <c r="AI84" s="526"/>
      <c r="AJ84" s="527">
        <f>+R84-AB84</f>
        <v>0</v>
      </c>
      <c r="AK84" s="526"/>
      <c r="AL84" s="527">
        <f>+T84-AD84</f>
        <v>5233.256808833934</v>
      </c>
      <c r="AM84" s="526"/>
      <c r="AN84" s="527">
        <f>+V84-AF84</f>
        <v>0</v>
      </c>
      <c r="AO84" s="526"/>
      <c r="AP84" s="526">
        <f>SUM(AJ84:AN84)</f>
        <v>5233.256808833934</v>
      </c>
      <c r="AR84" s="526">
        <v>0</v>
      </c>
      <c r="AS84" s="526"/>
      <c r="AT84" s="528">
        <v>1576.5810637220218</v>
      </c>
      <c r="AU84" s="526"/>
      <c r="AV84" s="526">
        <v>0</v>
      </c>
      <c r="AW84" s="526"/>
      <c r="AX84" s="527">
        <f>+AJ84-AR84</f>
        <v>0</v>
      </c>
      <c r="AY84" s="526"/>
      <c r="AZ84" s="527">
        <f>+AL84-AT84</f>
        <v>3656.675745111912</v>
      </c>
      <c r="BA84" s="526"/>
      <c r="BB84" s="527">
        <f>+AN84-AV84</f>
        <v>0</v>
      </c>
      <c r="BC84" s="526"/>
      <c r="BD84" s="526">
        <f>SUM(AX84:BB84)</f>
        <v>3656.675745111912</v>
      </c>
      <c r="BF84" s="526">
        <f>+BD84*$BF$10</f>
        <v>5077.5597573773639</v>
      </c>
      <c r="BH84" s="525">
        <f>A84</f>
        <v>441</v>
      </c>
    </row>
    <row r="85" spans="1:60" ht="15" x14ac:dyDescent="0.25">
      <c r="A85" s="525">
        <f>A84+1</f>
        <v>442</v>
      </c>
      <c r="B85" s="530" t="s">
        <v>1638</v>
      </c>
      <c r="F85" s="536" t="s">
        <v>1614</v>
      </c>
      <c r="H85" s="528"/>
      <c r="J85" s="528">
        <v>928</v>
      </c>
      <c r="K85" s="526"/>
      <c r="L85" s="528">
        <v>557</v>
      </c>
      <c r="M85" s="526"/>
      <c r="N85" s="528">
        <v>371</v>
      </c>
      <c r="P85" s="538" t="s">
        <v>1613</v>
      </c>
      <c r="R85" s="526">
        <v>0</v>
      </c>
      <c r="S85" s="526"/>
      <c r="T85" s="526">
        <f>N85</f>
        <v>371</v>
      </c>
      <c r="U85" s="526"/>
      <c r="V85" s="526">
        <v>0</v>
      </c>
      <c r="W85" s="526"/>
      <c r="X85" s="526">
        <f>SUM(R85:V85)</f>
        <v>371</v>
      </c>
      <c r="Y85" s="526"/>
      <c r="Z85" s="537" t="s">
        <v>1606</v>
      </c>
      <c r="AA85" s="526"/>
      <c r="AB85" s="526">
        <v>0</v>
      </c>
      <c r="AC85" s="526"/>
      <c r="AD85" s="528">
        <v>244.90294840943699</v>
      </c>
      <c r="AE85" s="526"/>
      <c r="AF85" s="526">
        <v>0</v>
      </c>
      <c r="AG85" s="526"/>
      <c r="AH85" s="537" t="s">
        <v>1611</v>
      </c>
      <c r="AI85" s="526"/>
      <c r="AJ85" s="527">
        <f>+R85-AB85</f>
        <v>0</v>
      </c>
      <c r="AK85" s="526"/>
      <c r="AL85" s="527">
        <f>+T85-AD85</f>
        <v>126.09705159056301</v>
      </c>
      <c r="AM85" s="526"/>
      <c r="AN85" s="527">
        <f>+V85-AF85</f>
        <v>0</v>
      </c>
      <c r="AO85" s="526"/>
      <c r="AP85" s="526">
        <f>SUM(AJ85:AN85)</f>
        <v>126.09705159056301</v>
      </c>
      <c r="AR85" s="526">
        <v>0</v>
      </c>
      <c r="AS85" s="526"/>
      <c r="AT85" s="528">
        <v>37.967649469812322</v>
      </c>
      <c r="AU85" s="526"/>
      <c r="AV85" s="526">
        <v>0</v>
      </c>
      <c r="AW85" s="526"/>
      <c r="AX85" s="527">
        <f>+AJ85-AR85</f>
        <v>0</v>
      </c>
      <c r="AY85" s="526"/>
      <c r="AZ85" s="527">
        <f>+AL85-AT85</f>
        <v>88.129402120750683</v>
      </c>
      <c r="BA85" s="526"/>
      <c r="BB85" s="527">
        <f>+AN85-AV85</f>
        <v>0</v>
      </c>
      <c r="BC85" s="526"/>
      <c r="BD85" s="526">
        <f>SUM(AX85:BB85)</f>
        <v>88.129402120750683</v>
      </c>
      <c r="BF85" s="526">
        <f>+BD85*$BF$10</f>
        <v>122.37407329545864</v>
      </c>
      <c r="BH85" s="525">
        <f>A85</f>
        <v>442</v>
      </c>
    </row>
    <row r="86" spans="1:60" ht="15" x14ac:dyDescent="0.25">
      <c r="A86" s="525">
        <f>A85+1</f>
        <v>443</v>
      </c>
      <c r="B86" s="530" t="s">
        <v>1637</v>
      </c>
      <c r="F86" s="536" t="s">
        <v>1614</v>
      </c>
      <c r="H86" s="528"/>
      <c r="J86" s="528">
        <v>19298496</v>
      </c>
      <c r="K86" s="526"/>
      <c r="L86" s="528">
        <v>11429051</v>
      </c>
      <c r="M86" s="526"/>
      <c r="N86" s="528">
        <v>7869445</v>
      </c>
      <c r="P86" s="538" t="s">
        <v>1613</v>
      </c>
      <c r="R86" s="526">
        <v>0</v>
      </c>
      <c r="S86" s="526"/>
      <c r="T86" s="526">
        <f>N86</f>
        <v>7869445</v>
      </c>
      <c r="U86" s="526"/>
      <c r="V86" s="526">
        <v>0</v>
      </c>
      <c r="W86" s="526"/>
      <c r="X86" s="526">
        <f>SUM(R86:V86)</f>
        <v>7869445</v>
      </c>
      <c r="Y86" s="526"/>
      <c r="Z86" s="537" t="s">
        <v>1606</v>
      </c>
      <c r="AA86" s="526"/>
      <c r="AB86" s="526">
        <v>0</v>
      </c>
      <c r="AC86" s="526"/>
      <c r="AD86" s="528">
        <v>5198548.7822872316</v>
      </c>
      <c r="AE86" s="526"/>
      <c r="AF86" s="526">
        <v>0</v>
      </c>
      <c r="AG86" s="526"/>
      <c r="AH86" s="537" t="s">
        <v>1611</v>
      </c>
      <c r="AI86" s="526"/>
      <c r="AJ86" s="527">
        <f>+R86-AB86</f>
        <v>0</v>
      </c>
      <c r="AK86" s="526"/>
      <c r="AL86" s="527">
        <f>+T86-AD86</f>
        <v>2670896.2177127684</v>
      </c>
      <c r="AM86" s="526"/>
      <c r="AN86" s="527">
        <f>+V86-AF86</f>
        <v>0</v>
      </c>
      <c r="AO86" s="526"/>
      <c r="AP86" s="526">
        <f>SUM(AJ86:AN86)</f>
        <v>2670896.2177127684</v>
      </c>
      <c r="AR86" s="526">
        <v>0</v>
      </c>
      <c r="AS86" s="526"/>
      <c r="AT86" s="528">
        <v>804660.59409574408</v>
      </c>
      <c r="AU86" s="526"/>
      <c r="AV86" s="526">
        <v>0</v>
      </c>
      <c r="AW86" s="526"/>
      <c r="AX86" s="527">
        <f>+AJ86-AR86</f>
        <v>0</v>
      </c>
      <c r="AY86" s="526"/>
      <c r="AZ86" s="527">
        <f>+AL86-AT86</f>
        <v>1866235.6236170242</v>
      </c>
      <c r="BA86" s="526"/>
      <c r="BB86" s="527">
        <f>+AN86-AV86</f>
        <v>0</v>
      </c>
      <c r="BC86" s="526"/>
      <c r="BD86" s="526">
        <f>SUM(AX86:BB86)</f>
        <v>1866235.6236170242</v>
      </c>
      <c r="BF86" s="526">
        <f>+BD86*$BF$10</f>
        <v>2591403.6575238751</v>
      </c>
      <c r="BH86" s="525">
        <f>A86</f>
        <v>443</v>
      </c>
    </row>
    <row r="87" spans="1:60" ht="15" x14ac:dyDescent="0.25">
      <c r="A87" s="525">
        <f>A86+1</f>
        <v>444</v>
      </c>
      <c r="B87" s="530" t="s">
        <v>1636</v>
      </c>
      <c r="F87" s="536" t="s">
        <v>1614</v>
      </c>
      <c r="H87" s="528"/>
      <c r="J87" s="528">
        <v>1257232</v>
      </c>
      <c r="K87" s="526"/>
      <c r="L87" s="528">
        <v>755663</v>
      </c>
      <c r="M87" s="526"/>
      <c r="N87" s="528">
        <v>501569</v>
      </c>
      <c r="P87" s="538" t="s">
        <v>1613</v>
      </c>
      <c r="R87" s="526">
        <v>0</v>
      </c>
      <c r="S87" s="526"/>
      <c r="T87" s="526">
        <f>N87</f>
        <v>501569</v>
      </c>
      <c r="U87" s="526"/>
      <c r="V87" s="526">
        <v>0</v>
      </c>
      <c r="W87" s="526"/>
      <c r="X87" s="526">
        <f>SUM(R87:V87)</f>
        <v>501569</v>
      </c>
      <c r="Y87" s="526"/>
      <c r="Z87" s="537" t="s">
        <v>1606</v>
      </c>
      <c r="AA87" s="526"/>
      <c r="AB87" s="526">
        <v>0</v>
      </c>
      <c r="AC87" s="526"/>
      <c r="AD87" s="528">
        <v>331336.21547779918</v>
      </c>
      <c r="AE87" s="526"/>
      <c r="AF87" s="526">
        <v>0</v>
      </c>
      <c r="AG87" s="526"/>
      <c r="AH87" s="537" t="s">
        <v>1611</v>
      </c>
      <c r="AI87" s="526"/>
      <c r="AJ87" s="527">
        <f>+R87-AB87</f>
        <v>0</v>
      </c>
      <c r="AK87" s="526"/>
      <c r="AL87" s="527">
        <f>+T87-AD87</f>
        <v>170232.78452220082</v>
      </c>
      <c r="AM87" s="526"/>
      <c r="AN87" s="527">
        <f>+V87-AF87</f>
        <v>0</v>
      </c>
      <c r="AO87" s="526"/>
      <c r="AP87" s="526">
        <f>SUM(AJ87:AN87)</f>
        <v>170232.78452220082</v>
      </c>
      <c r="AR87" s="526">
        <v>0</v>
      </c>
      <c r="AS87" s="526"/>
      <c r="AT87" s="528">
        <v>51286.071825933082</v>
      </c>
      <c r="AU87" s="526"/>
      <c r="AV87" s="526">
        <v>0</v>
      </c>
      <c r="AW87" s="526"/>
      <c r="AX87" s="527">
        <f>+AJ87-AR87</f>
        <v>0</v>
      </c>
      <c r="AY87" s="526"/>
      <c r="AZ87" s="527">
        <f>+AL87-AT87</f>
        <v>118946.71269626773</v>
      </c>
      <c r="BA87" s="526"/>
      <c r="BB87" s="527">
        <f>+AN87-AV87</f>
        <v>0</v>
      </c>
      <c r="BC87" s="526"/>
      <c r="BD87" s="526">
        <f>SUM(AX87:BB87)</f>
        <v>118946.71269626773</v>
      </c>
      <c r="BF87" s="526">
        <f>+BD87*$BF$10</f>
        <v>165166.14645590133</v>
      </c>
      <c r="BH87" s="525">
        <f>A87</f>
        <v>444</v>
      </c>
    </row>
    <row r="88" spans="1:60" ht="15" x14ac:dyDescent="0.25">
      <c r="A88" s="525">
        <f>A87+1</f>
        <v>445</v>
      </c>
      <c r="B88" s="530" t="s">
        <v>1635</v>
      </c>
      <c r="F88" s="536" t="s">
        <v>1614</v>
      </c>
      <c r="H88" s="528"/>
      <c r="J88" s="528">
        <v>1143942</v>
      </c>
      <c r="K88" s="526"/>
      <c r="L88" s="528">
        <v>687602</v>
      </c>
      <c r="M88" s="526"/>
      <c r="N88" s="528">
        <v>456340</v>
      </c>
      <c r="P88" s="538" t="s">
        <v>1613</v>
      </c>
      <c r="R88" s="526">
        <v>0</v>
      </c>
      <c r="S88" s="526"/>
      <c r="T88" s="526">
        <f>N88</f>
        <v>456340</v>
      </c>
      <c r="U88" s="526"/>
      <c r="V88" s="526">
        <v>0</v>
      </c>
      <c r="W88" s="526"/>
      <c r="X88" s="526">
        <f>SUM(R88:V88)</f>
        <v>456340</v>
      </c>
      <c r="Y88" s="526"/>
      <c r="Z88" s="537" t="s">
        <v>1606</v>
      </c>
      <c r="AA88" s="526"/>
      <c r="AB88" s="526">
        <v>0</v>
      </c>
      <c r="AC88" s="526"/>
      <c r="AD88" s="528">
        <v>301457.97636851214</v>
      </c>
      <c r="AE88" s="526"/>
      <c r="AF88" s="526">
        <v>0</v>
      </c>
      <c r="AG88" s="526"/>
      <c r="AH88" s="537" t="s">
        <v>1611</v>
      </c>
      <c r="AI88" s="526"/>
      <c r="AJ88" s="527">
        <f>+R88-AB88</f>
        <v>0</v>
      </c>
      <c r="AK88" s="526"/>
      <c r="AL88" s="527">
        <f>+T88-AD88</f>
        <v>154882.02363148786</v>
      </c>
      <c r="AM88" s="526"/>
      <c r="AN88" s="527">
        <f>+V88-AF88</f>
        <v>0</v>
      </c>
      <c r="AO88" s="526"/>
      <c r="AP88" s="526">
        <f>SUM(AJ88:AN88)</f>
        <v>154882.02363148786</v>
      </c>
      <c r="AR88" s="526">
        <v>0</v>
      </c>
      <c r="AS88" s="526"/>
      <c r="AT88" s="528">
        <v>46661.325456170744</v>
      </c>
      <c r="AU88" s="526"/>
      <c r="AV88" s="526">
        <v>0</v>
      </c>
      <c r="AW88" s="526"/>
      <c r="AX88" s="527">
        <f>+AJ88-AR88</f>
        <v>0</v>
      </c>
      <c r="AY88" s="526"/>
      <c r="AZ88" s="527">
        <f>+AL88-AT88</f>
        <v>108220.69817531711</v>
      </c>
      <c r="BA88" s="526"/>
      <c r="BB88" s="527">
        <f>+AN88-AV88</f>
        <v>0</v>
      </c>
      <c r="BC88" s="526"/>
      <c r="BD88" s="526">
        <f>SUM(AX88:BB88)</f>
        <v>108220.69817531711</v>
      </c>
      <c r="BF88" s="526">
        <f>+BD88*$BF$10</f>
        <v>150272.29655372541</v>
      </c>
      <c r="BH88" s="525">
        <f>A88</f>
        <v>445</v>
      </c>
    </row>
    <row r="89" spans="1:60" ht="15" x14ac:dyDescent="0.25">
      <c r="A89" s="525">
        <f>A88+1</f>
        <v>446</v>
      </c>
      <c r="B89" s="530" t="s">
        <v>1634</v>
      </c>
      <c r="F89" s="536" t="s">
        <v>1614</v>
      </c>
      <c r="H89" s="528"/>
      <c r="J89" s="528">
        <v>-474400</v>
      </c>
      <c r="K89" s="526"/>
      <c r="L89" s="528">
        <v>-284579</v>
      </c>
      <c r="M89" s="526"/>
      <c r="N89" s="528">
        <v>-189821</v>
      </c>
      <c r="P89" s="538" t="s">
        <v>1613</v>
      </c>
      <c r="R89" s="526">
        <v>0</v>
      </c>
      <c r="S89" s="526"/>
      <c r="T89" s="526">
        <f>N89</f>
        <v>-189821</v>
      </c>
      <c r="U89" s="526"/>
      <c r="V89" s="526">
        <v>0</v>
      </c>
      <c r="W89" s="526"/>
      <c r="X89" s="526">
        <f>SUM(R89:V89)</f>
        <v>-189821</v>
      </c>
      <c r="Y89" s="526"/>
      <c r="Z89" s="537" t="s">
        <v>1606</v>
      </c>
      <c r="AA89" s="526"/>
      <c r="AB89" s="526">
        <v>0</v>
      </c>
      <c r="AC89" s="526"/>
      <c r="AD89" s="528">
        <v>-125395.36697152662</v>
      </c>
      <c r="AE89" s="526"/>
      <c r="AF89" s="526">
        <v>0</v>
      </c>
      <c r="AG89" s="526"/>
      <c r="AH89" s="537" t="s">
        <v>1611</v>
      </c>
      <c r="AI89" s="526"/>
      <c r="AJ89" s="527">
        <f>+R89-AB89</f>
        <v>0</v>
      </c>
      <c r="AK89" s="526"/>
      <c r="AL89" s="527">
        <f>+T89-AD89</f>
        <v>-64425.633028473385</v>
      </c>
      <c r="AM89" s="526"/>
      <c r="AN89" s="527">
        <f>+V89-AF89</f>
        <v>0</v>
      </c>
      <c r="AO89" s="526"/>
      <c r="AP89" s="526">
        <f>SUM(AJ89:AN89)</f>
        <v>-64425.633028473385</v>
      </c>
      <c r="AR89" s="526">
        <v>0</v>
      </c>
      <c r="AS89" s="526"/>
      <c r="AT89" s="528">
        <v>-19409.455657175549</v>
      </c>
      <c r="AU89" s="526"/>
      <c r="AV89" s="526">
        <v>0</v>
      </c>
      <c r="AW89" s="526"/>
      <c r="AX89" s="527">
        <f>+AJ89-AR89</f>
        <v>0</v>
      </c>
      <c r="AY89" s="526"/>
      <c r="AZ89" s="527">
        <f>+AL89-AT89</f>
        <v>-45016.177371297832</v>
      </c>
      <c r="BA89" s="526"/>
      <c r="BB89" s="527">
        <f>+AN89-AV89</f>
        <v>0</v>
      </c>
      <c r="BC89" s="526"/>
      <c r="BD89" s="526">
        <f>SUM(AX89:BB89)</f>
        <v>-45016.177371297832</v>
      </c>
      <c r="BF89" s="526">
        <f>+BD89*$BF$10</f>
        <v>-62508.230585391422</v>
      </c>
      <c r="BH89" s="525">
        <f>A89</f>
        <v>446</v>
      </c>
    </row>
    <row r="90" spans="1:60" ht="15" x14ac:dyDescent="0.25">
      <c r="A90" s="525">
        <f>A89+1</f>
        <v>447</v>
      </c>
      <c r="B90" s="530" t="s">
        <v>1633</v>
      </c>
      <c r="F90" s="536" t="s">
        <v>1614</v>
      </c>
      <c r="H90" s="528"/>
      <c r="J90" s="528">
        <v>4916763</v>
      </c>
      <c r="K90" s="526"/>
      <c r="L90" s="528">
        <v>2949422</v>
      </c>
      <c r="M90" s="526"/>
      <c r="N90" s="528">
        <v>1967341</v>
      </c>
      <c r="P90" s="538" t="s">
        <v>1613</v>
      </c>
      <c r="R90" s="526">
        <v>0</v>
      </c>
      <c r="S90" s="526"/>
      <c r="T90" s="526">
        <f>N90</f>
        <v>1967341</v>
      </c>
      <c r="U90" s="526"/>
      <c r="V90" s="526">
        <v>0</v>
      </c>
      <c r="W90" s="526"/>
      <c r="X90" s="526">
        <f>SUM(R90:V90)</f>
        <v>1967341</v>
      </c>
      <c r="Y90" s="526"/>
      <c r="Z90" s="537" t="s">
        <v>1606</v>
      </c>
      <c r="AA90" s="526"/>
      <c r="AB90" s="526">
        <v>0</v>
      </c>
      <c r="AC90" s="526"/>
      <c r="AD90" s="528">
        <v>1299624.0795863024</v>
      </c>
      <c r="AE90" s="526"/>
      <c r="AF90" s="526">
        <v>0</v>
      </c>
      <c r="AG90" s="526"/>
      <c r="AH90" s="537" t="s">
        <v>1611</v>
      </c>
      <c r="AI90" s="526"/>
      <c r="AJ90" s="527">
        <f>+R90-AB90</f>
        <v>0</v>
      </c>
      <c r="AK90" s="526"/>
      <c r="AL90" s="527">
        <f>+T90-AD90</f>
        <v>667716.9204136976</v>
      </c>
      <c r="AM90" s="526"/>
      <c r="AN90" s="527">
        <f>+V90-AF90</f>
        <v>0</v>
      </c>
      <c r="AO90" s="526"/>
      <c r="AP90" s="526">
        <f>SUM(AJ90:AN90)</f>
        <v>667716.9204136976</v>
      </c>
      <c r="AR90" s="526">
        <v>0</v>
      </c>
      <c r="AS90" s="526"/>
      <c r="AT90" s="528">
        <v>201163.02652876748</v>
      </c>
      <c r="AU90" s="526"/>
      <c r="AV90" s="526">
        <v>0</v>
      </c>
      <c r="AW90" s="526"/>
      <c r="AX90" s="527">
        <f>+AJ90-AR90</f>
        <v>0</v>
      </c>
      <c r="AY90" s="526"/>
      <c r="AZ90" s="527">
        <f>+AL90-AT90</f>
        <v>466553.89388493012</v>
      </c>
      <c r="BA90" s="526"/>
      <c r="BB90" s="527">
        <f>+AN90-AV90</f>
        <v>0</v>
      </c>
      <c r="BC90" s="526"/>
      <c r="BD90" s="526">
        <f>SUM(AX90:BB90)</f>
        <v>466553.89388493012</v>
      </c>
      <c r="BF90" s="526">
        <f>+BD90*$BF$10</f>
        <v>647843.95482824754</v>
      </c>
      <c r="BH90" s="525">
        <f>A90</f>
        <v>447</v>
      </c>
    </row>
    <row r="91" spans="1:60" ht="15" x14ac:dyDescent="0.25">
      <c r="A91" s="525">
        <f>A90+1</f>
        <v>448</v>
      </c>
      <c r="B91" s="530" t="s">
        <v>1632</v>
      </c>
      <c r="F91" s="536" t="s">
        <v>1614</v>
      </c>
      <c r="H91" s="528"/>
      <c r="J91" s="528">
        <v>290428</v>
      </c>
      <c r="K91" s="526"/>
      <c r="L91" s="528">
        <v>174354</v>
      </c>
      <c r="M91" s="526"/>
      <c r="N91" s="528">
        <v>116074</v>
      </c>
      <c r="P91" s="538" t="s">
        <v>1613</v>
      </c>
      <c r="R91" s="526">
        <v>0</v>
      </c>
      <c r="S91" s="526"/>
      <c r="T91" s="526">
        <f>N91</f>
        <v>116074</v>
      </c>
      <c r="U91" s="526"/>
      <c r="V91" s="526">
        <v>0</v>
      </c>
      <c r="W91" s="526"/>
      <c r="X91" s="526">
        <f>SUM(R91:V91)</f>
        <v>116074</v>
      </c>
      <c r="Y91" s="526"/>
      <c r="Z91" s="537" t="s">
        <v>1606</v>
      </c>
      <c r="AA91" s="526"/>
      <c r="AB91" s="526">
        <v>0</v>
      </c>
      <c r="AC91" s="526"/>
      <c r="AD91" s="528">
        <v>76678.206614933602</v>
      </c>
      <c r="AE91" s="526"/>
      <c r="AF91" s="526">
        <v>0</v>
      </c>
      <c r="AG91" s="526"/>
      <c r="AH91" s="537" t="s">
        <v>1611</v>
      </c>
      <c r="AI91" s="526"/>
      <c r="AJ91" s="527">
        <f>+R91-AB91</f>
        <v>0</v>
      </c>
      <c r="AK91" s="526"/>
      <c r="AL91" s="527">
        <f>+T91-AD91</f>
        <v>39395.793385066398</v>
      </c>
      <c r="AM91" s="526"/>
      <c r="AN91" s="527">
        <f>+V91-AF91</f>
        <v>0</v>
      </c>
      <c r="AO91" s="526"/>
      <c r="AP91" s="526">
        <f>SUM(AJ91:AN91)</f>
        <v>39395.793385066398</v>
      </c>
      <c r="AR91" s="526">
        <v>0</v>
      </c>
      <c r="AS91" s="526"/>
      <c r="AT91" s="528">
        <v>11868.735538311201</v>
      </c>
      <c r="AU91" s="526"/>
      <c r="AV91" s="526">
        <v>0</v>
      </c>
      <c r="AW91" s="526"/>
      <c r="AX91" s="527">
        <f>+AJ91-AR91</f>
        <v>0</v>
      </c>
      <c r="AY91" s="526"/>
      <c r="AZ91" s="527">
        <f>+AL91-AT91</f>
        <v>27527.057846755197</v>
      </c>
      <c r="BA91" s="526"/>
      <c r="BB91" s="527">
        <f>+AN91-AV91</f>
        <v>0</v>
      </c>
      <c r="BC91" s="526"/>
      <c r="BD91" s="526">
        <f>SUM(AX91:BB91)</f>
        <v>27527.057846755197</v>
      </c>
      <c r="BF91" s="526">
        <f>+BD91*$BF$10</f>
        <v>38223.318364643601</v>
      </c>
      <c r="BH91" s="525">
        <f>A91</f>
        <v>448</v>
      </c>
    </row>
    <row r="92" spans="1:60" ht="15" x14ac:dyDescent="0.25">
      <c r="A92" s="525">
        <f>A91+1</f>
        <v>449</v>
      </c>
      <c r="B92" s="530" t="s">
        <v>1631</v>
      </c>
      <c r="F92" s="536" t="s">
        <v>1614</v>
      </c>
      <c r="H92" s="528"/>
      <c r="J92" s="528">
        <v>114944</v>
      </c>
      <c r="K92" s="526"/>
      <c r="L92" s="528">
        <v>68951</v>
      </c>
      <c r="M92" s="526"/>
      <c r="N92" s="528">
        <v>45992</v>
      </c>
      <c r="P92" s="538" t="s">
        <v>1613</v>
      </c>
      <c r="R92" s="526">
        <v>0</v>
      </c>
      <c r="S92" s="526"/>
      <c r="T92" s="526">
        <f>N92</f>
        <v>45992</v>
      </c>
      <c r="U92" s="526"/>
      <c r="V92" s="526">
        <v>0</v>
      </c>
      <c r="W92" s="526"/>
      <c r="X92" s="526">
        <f>SUM(R92:V92)</f>
        <v>45992</v>
      </c>
      <c r="Y92" s="526"/>
      <c r="Z92" s="537" t="s">
        <v>1606</v>
      </c>
      <c r="AA92" s="526"/>
      <c r="AB92" s="526">
        <v>0</v>
      </c>
      <c r="AC92" s="526"/>
      <c r="AD92" s="528">
        <v>30382.362586615123</v>
      </c>
      <c r="AE92" s="526"/>
      <c r="AF92" s="526">
        <v>0</v>
      </c>
      <c r="AG92" s="526"/>
      <c r="AH92" s="537" t="s">
        <v>1611</v>
      </c>
      <c r="AI92" s="526"/>
      <c r="AJ92" s="527">
        <f>+R92-AB92</f>
        <v>0</v>
      </c>
      <c r="AK92" s="526"/>
      <c r="AL92" s="527">
        <f>+T92-AD92</f>
        <v>15609.637413384877</v>
      </c>
      <c r="AM92" s="526"/>
      <c r="AN92" s="527">
        <f>+V92-AF92</f>
        <v>0</v>
      </c>
      <c r="AO92" s="526"/>
      <c r="AP92" s="526">
        <f>SUM(AJ92:AN92)</f>
        <v>15609.637413384877</v>
      </c>
      <c r="AR92" s="526">
        <v>0</v>
      </c>
      <c r="AS92" s="526"/>
      <c r="AT92" s="528">
        <v>4702.7875288717078</v>
      </c>
      <c r="AU92" s="526"/>
      <c r="AV92" s="526">
        <v>0</v>
      </c>
      <c r="AW92" s="526"/>
      <c r="AX92" s="527">
        <f>+AJ92-AR92</f>
        <v>0</v>
      </c>
      <c r="AY92" s="526"/>
      <c r="AZ92" s="527">
        <f>+AL92-AT92</f>
        <v>10906.849884513169</v>
      </c>
      <c r="BA92" s="526"/>
      <c r="BB92" s="527">
        <f>+AN92-AV92</f>
        <v>0</v>
      </c>
      <c r="BC92" s="526"/>
      <c r="BD92" s="526">
        <f>SUM(AX92:BB92)</f>
        <v>10906.849884513169</v>
      </c>
      <c r="BF92" s="526">
        <f>+BD92*$BF$10</f>
        <v>15144.952933655622</v>
      </c>
      <c r="BH92" s="525">
        <f>A92</f>
        <v>449</v>
      </c>
    </row>
    <row r="93" spans="1:60" ht="15" x14ac:dyDescent="0.25">
      <c r="A93" s="525">
        <f>A92+1</f>
        <v>450</v>
      </c>
      <c r="B93" s="530" t="s">
        <v>1630</v>
      </c>
      <c r="F93" s="536" t="s">
        <v>1614</v>
      </c>
      <c r="H93" s="528"/>
      <c r="J93" s="528">
        <v>831141</v>
      </c>
      <c r="K93" s="526"/>
      <c r="L93" s="528">
        <v>498577</v>
      </c>
      <c r="M93" s="526"/>
      <c r="N93" s="528">
        <v>332564</v>
      </c>
      <c r="P93" s="538" t="s">
        <v>1613</v>
      </c>
      <c r="R93" s="526">
        <v>0</v>
      </c>
      <c r="S93" s="526"/>
      <c r="T93" s="526">
        <f>N93</f>
        <v>332564</v>
      </c>
      <c r="U93" s="526"/>
      <c r="V93" s="526">
        <v>0</v>
      </c>
      <c r="W93" s="526"/>
      <c r="X93" s="526">
        <f>SUM(R93:V93)</f>
        <v>332564</v>
      </c>
      <c r="Y93" s="526"/>
      <c r="Z93" s="537" t="s">
        <v>1606</v>
      </c>
      <c r="AA93" s="526"/>
      <c r="AB93" s="526">
        <v>0</v>
      </c>
      <c r="AC93" s="526"/>
      <c r="AD93" s="528">
        <v>219691.23502346754</v>
      </c>
      <c r="AE93" s="526"/>
      <c r="AF93" s="526">
        <v>0</v>
      </c>
      <c r="AG93" s="526"/>
      <c r="AH93" s="537" t="s">
        <v>1611</v>
      </c>
      <c r="AI93" s="526"/>
      <c r="AJ93" s="527">
        <f>+R93-AB93</f>
        <v>0</v>
      </c>
      <c r="AK93" s="526"/>
      <c r="AL93" s="527">
        <f>+T93-AD93</f>
        <v>112872.76497653246</v>
      </c>
      <c r="AM93" s="526"/>
      <c r="AN93" s="527">
        <f>+V93-AF93</f>
        <v>0</v>
      </c>
      <c r="AO93" s="526"/>
      <c r="AP93" s="526">
        <f>SUM(AJ93:AN93)</f>
        <v>112872.76497653246</v>
      </c>
      <c r="AR93" s="526">
        <v>0</v>
      </c>
      <c r="AS93" s="526"/>
      <c r="AT93" s="528">
        <v>34005.078341155859</v>
      </c>
      <c r="AU93" s="526"/>
      <c r="AV93" s="526">
        <v>0</v>
      </c>
      <c r="AW93" s="526"/>
      <c r="AX93" s="527">
        <f>+AJ93-AR93</f>
        <v>0</v>
      </c>
      <c r="AY93" s="526"/>
      <c r="AZ93" s="527">
        <f>+AL93-AT93</f>
        <v>78867.686635376594</v>
      </c>
      <c r="BA93" s="526"/>
      <c r="BB93" s="527">
        <f>+AN93-AV93</f>
        <v>0</v>
      </c>
      <c r="BC93" s="526"/>
      <c r="BD93" s="526">
        <f>SUM(AX93:BB93)</f>
        <v>78867.686635376594</v>
      </c>
      <c r="BF93" s="526">
        <f>+BD93*$BF$10</f>
        <v>109513.50891654761</v>
      </c>
      <c r="BH93" s="525">
        <f>A93</f>
        <v>450</v>
      </c>
    </row>
    <row r="94" spans="1:60" ht="15" x14ac:dyDescent="0.25">
      <c r="A94" s="525">
        <f>A93+1</f>
        <v>451</v>
      </c>
      <c r="B94" s="530" t="s">
        <v>1629</v>
      </c>
      <c r="F94" s="536" t="s">
        <v>1614</v>
      </c>
      <c r="H94" s="528"/>
      <c r="J94" s="528">
        <v>8456</v>
      </c>
      <c r="K94" s="526"/>
      <c r="L94" s="528">
        <v>5073</v>
      </c>
      <c r="M94" s="526"/>
      <c r="N94" s="528">
        <v>3384</v>
      </c>
      <c r="P94" s="538" t="s">
        <v>1613</v>
      </c>
      <c r="R94" s="526">
        <v>0</v>
      </c>
      <c r="S94" s="526"/>
      <c r="T94" s="526">
        <f>N94</f>
        <v>3384</v>
      </c>
      <c r="U94" s="526"/>
      <c r="V94" s="526">
        <v>0</v>
      </c>
      <c r="W94" s="526"/>
      <c r="X94" s="526">
        <f>SUM(R94:V94)</f>
        <v>3384</v>
      </c>
      <c r="Y94" s="526"/>
      <c r="Z94" s="537" t="s">
        <v>1606</v>
      </c>
      <c r="AA94" s="526"/>
      <c r="AB94" s="526">
        <v>0</v>
      </c>
      <c r="AC94" s="526"/>
      <c r="AD94" s="528">
        <v>2234.9494001446706</v>
      </c>
      <c r="AE94" s="526"/>
      <c r="AF94" s="526">
        <v>0</v>
      </c>
      <c r="AG94" s="526"/>
      <c r="AH94" s="537" t="s">
        <v>1611</v>
      </c>
      <c r="AI94" s="526"/>
      <c r="AJ94" s="527">
        <f>+R94-AB94</f>
        <v>0</v>
      </c>
      <c r="AK94" s="526"/>
      <c r="AL94" s="527">
        <f>+T94-AD94</f>
        <v>1149.0505998553294</v>
      </c>
      <c r="AM94" s="526"/>
      <c r="AN94" s="527">
        <f>+V94-AF94</f>
        <v>0</v>
      </c>
      <c r="AO94" s="526"/>
      <c r="AP94" s="526">
        <f>SUM(AJ94:AN94)</f>
        <v>1149.0505998553294</v>
      </c>
      <c r="AR94" s="526">
        <v>0</v>
      </c>
      <c r="AS94" s="526"/>
      <c r="AT94" s="528">
        <v>345.98313338155702</v>
      </c>
      <c r="AU94" s="526"/>
      <c r="AV94" s="526">
        <v>0</v>
      </c>
      <c r="AW94" s="526"/>
      <c r="AX94" s="527">
        <f>+AJ94-AR94</f>
        <v>0</v>
      </c>
      <c r="AY94" s="526"/>
      <c r="AZ94" s="527">
        <f>+AL94-AT94</f>
        <v>803.06746647377236</v>
      </c>
      <c r="BA94" s="526"/>
      <c r="BB94" s="527">
        <f>+AN94-AV94</f>
        <v>0</v>
      </c>
      <c r="BC94" s="526"/>
      <c r="BD94" s="526">
        <f>SUM(AX94:BB94)</f>
        <v>803.06746647377236</v>
      </c>
      <c r="BF94" s="526">
        <f>+BD94*$BF$10</f>
        <v>1115.1174822315088</v>
      </c>
      <c r="BH94" s="525">
        <f>A94</f>
        <v>451</v>
      </c>
    </row>
    <row r="95" spans="1:60" ht="15" x14ac:dyDescent="0.25">
      <c r="A95" s="525">
        <f>A94+1</f>
        <v>452</v>
      </c>
      <c r="B95" s="530" t="s">
        <v>1628</v>
      </c>
      <c r="F95" s="536" t="s">
        <v>1614</v>
      </c>
      <c r="H95" s="528"/>
      <c r="J95" s="528">
        <v>-245</v>
      </c>
      <c r="K95" s="526"/>
      <c r="L95" s="528">
        <v>-147</v>
      </c>
      <c r="M95" s="526"/>
      <c r="N95" s="528">
        <v>-98</v>
      </c>
      <c r="P95" s="538" t="s">
        <v>1613</v>
      </c>
      <c r="R95" s="526">
        <v>0</v>
      </c>
      <c r="S95" s="526"/>
      <c r="T95" s="526">
        <f>N95</f>
        <v>-98</v>
      </c>
      <c r="U95" s="526"/>
      <c r="V95" s="526">
        <v>0</v>
      </c>
      <c r="W95" s="526"/>
      <c r="X95" s="526">
        <f>SUM(R95:V95)</f>
        <v>-98</v>
      </c>
      <c r="Y95" s="526"/>
      <c r="Z95" s="537" t="s">
        <v>1606</v>
      </c>
      <c r="AA95" s="526"/>
      <c r="AB95" s="526">
        <v>0</v>
      </c>
      <c r="AC95" s="526"/>
      <c r="AD95" s="528">
        <v>-65.043495809187135</v>
      </c>
      <c r="AE95" s="526"/>
      <c r="AF95" s="526">
        <v>0</v>
      </c>
      <c r="AG95" s="526"/>
      <c r="AH95" s="537" t="s">
        <v>1611</v>
      </c>
      <c r="AI95" s="526"/>
      <c r="AJ95" s="527">
        <f>+R95-AB95</f>
        <v>0</v>
      </c>
      <c r="AK95" s="526"/>
      <c r="AL95" s="527">
        <f>+T95-AD95</f>
        <v>-32.956504190812865</v>
      </c>
      <c r="AM95" s="526"/>
      <c r="AN95" s="527">
        <f>+V95-AF95</f>
        <v>0</v>
      </c>
      <c r="AO95" s="526"/>
      <c r="AP95" s="526">
        <f>SUM(AJ95:AN95)</f>
        <v>-32.956504190812865</v>
      </c>
      <c r="AR95" s="526">
        <v>0</v>
      </c>
      <c r="AS95" s="526"/>
      <c r="AT95" s="528">
        <v>-10.014498603062377</v>
      </c>
      <c r="AU95" s="526"/>
      <c r="AV95" s="526">
        <v>0</v>
      </c>
      <c r="AW95" s="526"/>
      <c r="AX95" s="527">
        <f>+AJ95-AR95</f>
        <v>0</v>
      </c>
      <c r="AY95" s="526"/>
      <c r="AZ95" s="527">
        <f>+AL95-AT95</f>
        <v>-22.942005587750486</v>
      </c>
      <c r="BA95" s="526"/>
      <c r="BB95" s="527">
        <f>+AN95-AV95</f>
        <v>0</v>
      </c>
      <c r="BC95" s="526"/>
      <c r="BD95" s="526">
        <f>SUM(AX95:BB95)</f>
        <v>-22.942005587750486</v>
      </c>
      <c r="BF95" s="526">
        <f>+BD95*$BF$10</f>
        <v>-31.856640414892279</v>
      </c>
      <c r="BH95" s="525">
        <f>A95</f>
        <v>452</v>
      </c>
    </row>
    <row r="96" spans="1:60" ht="15" x14ac:dyDescent="0.25">
      <c r="A96" s="525">
        <f>A95+1</f>
        <v>453</v>
      </c>
      <c r="B96" s="530" t="s">
        <v>1627</v>
      </c>
      <c r="F96" s="536" t="s">
        <v>1614</v>
      </c>
      <c r="H96" s="528"/>
      <c r="J96" s="528">
        <v>82965</v>
      </c>
      <c r="K96" s="526"/>
      <c r="L96" s="528">
        <v>49768</v>
      </c>
      <c r="M96" s="526"/>
      <c r="N96" s="528">
        <v>33197</v>
      </c>
      <c r="P96" s="538" t="s">
        <v>1613</v>
      </c>
      <c r="R96" s="526">
        <v>0</v>
      </c>
      <c r="S96" s="526"/>
      <c r="T96" s="526">
        <f>N96</f>
        <v>33197</v>
      </c>
      <c r="U96" s="526"/>
      <c r="V96" s="526">
        <v>0</v>
      </c>
      <c r="W96" s="526"/>
      <c r="X96" s="526">
        <f>SUM(R96:V96)</f>
        <v>33197</v>
      </c>
      <c r="Y96" s="526"/>
      <c r="Z96" s="537" t="s">
        <v>1606</v>
      </c>
      <c r="AA96" s="526"/>
      <c r="AB96" s="526">
        <v>0</v>
      </c>
      <c r="AC96" s="526"/>
      <c r="AD96" s="528">
        <v>21929.168158170211</v>
      </c>
      <c r="AE96" s="526"/>
      <c r="AF96" s="526">
        <v>0</v>
      </c>
      <c r="AG96" s="526"/>
      <c r="AH96" s="537" t="s">
        <v>1611</v>
      </c>
      <c r="AI96" s="526"/>
      <c r="AJ96" s="527">
        <f>+R96-AB96</f>
        <v>0</v>
      </c>
      <c r="AK96" s="526"/>
      <c r="AL96" s="527">
        <f>+T96-AD96</f>
        <v>11267.831841829789</v>
      </c>
      <c r="AM96" s="526"/>
      <c r="AN96" s="527">
        <f>+V96-AF96</f>
        <v>0</v>
      </c>
      <c r="AO96" s="526"/>
      <c r="AP96" s="526">
        <f>SUM(AJ96:AN96)</f>
        <v>11267.831841829789</v>
      </c>
      <c r="AR96" s="526">
        <v>0</v>
      </c>
      <c r="AS96" s="526"/>
      <c r="AT96" s="528">
        <v>3394.3893860567364</v>
      </c>
      <c r="AU96" s="526"/>
      <c r="AV96" s="526">
        <v>0</v>
      </c>
      <c r="AW96" s="526"/>
      <c r="AX96" s="527">
        <f>+AJ96-AR96</f>
        <v>0</v>
      </c>
      <c r="AY96" s="526"/>
      <c r="AZ96" s="527">
        <f>+AL96-AT96</f>
        <v>7873.4424557730526</v>
      </c>
      <c r="BA96" s="526"/>
      <c r="BB96" s="527">
        <f>+AN96-AV96</f>
        <v>0</v>
      </c>
      <c r="BC96" s="526"/>
      <c r="BD96" s="526">
        <f>SUM(AX96:BB96)</f>
        <v>7873.4424557730526</v>
      </c>
      <c r="BF96" s="526">
        <f>+BD96*$BF$10</f>
        <v>10932.846484652178</v>
      </c>
      <c r="BH96" s="525">
        <f>A96</f>
        <v>453</v>
      </c>
    </row>
    <row r="97" spans="1:60" ht="15" x14ac:dyDescent="0.25">
      <c r="A97" s="525">
        <f>A96+1</f>
        <v>454</v>
      </c>
      <c r="B97" s="530" t="s">
        <v>1626</v>
      </c>
      <c r="F97" s="536" t="s">
        <v>1614</v>
      </c>
      <c r="H97" s="528"/>
      <c r="J97" s="528">
        <v>-3</v>
      </c>
      <c r="K97" s="526"/>
      <c r="L97" s="528">
        <v>-2</v>
      </c>
      <c r="M97" s="526"/>
      <c r="N97" s="528">
        <v>-1</v>
      </c>
      <c r="P97" s="538" t="s">
        <v>1613</v>
      </c>
      <c r="R97" s="526">
        <v>0</v>
      </c>
      <c r="S97" s="526"/>
      <c r="T97" s="526">
        <f>N97</f>
        <v>-1</v>
      </c>
      <c r="U97" s="526"/>
      <c r="V97" s="526">
        <v>0</v>
      </c>
      <c r="W97" s="526"/>
      <c r="X97" s="526">
        <f>SUM(R97:V97)</f>
        <v>-1</v>
      </c>
      <c r="Y97" s="526"/>
      <c r="Z97" s="537" t="s">
        <v>1606</v>
      </c>
      <c r="AA97" s="526"/>
      <c r="AB97" s="526">
        <v>0</v>
      </c>
      <c r="AC97" s="526"/>
      <c r="AD97" s="528">
        <v>-0.30443276712531003</v>
      </c>
      <c r="AE97" s="526"/>
      <c r="AF97" s="526">
        <v>0</v>
      </c>
      <c r="AG97" s="526"/>
      <c r="AH97" s="537" t="s">
        <v>1611</v>
      </c>
      <c r="AI97" s="526"/>
      <c r="AJ97" s="527">
        <f>+R97-AB97</f>
        <v>0</v>
      </c>
      <c r="AK97" s="526"/>
      <c r="AL97" s="527">
        <f>+T97-AD97</f>
        <v>-0.69556723287469002</v>
      </c>
      <c r="AM97" s="526"/>
      <c r="AN97" s="527">
        <f>+V97-AF97</f>
        <v>0</v>
      </c>
      <c r="AO97" s="526"/>
      <c r="AP97" s="526">
        <f>SUM(AJ97:AN97)</f>
        <v>-0.69556723287469002</v>
      </c>
      <c r="AR97" s="526">
        <v>0</v>
      </c>
      <c r="AS97" s="526"/>
      <c r="AT97" s="528">
        <v>-0.10147758904177004</v>
      </c>
      <c r="AU97" s="526"/>
      <c r="AV97" s="526">
        <v>0</v>
      </c>
      <c r="AW97" s="526"/>
      <c r="AX97" s="527">
        <f>+AJ97-AR97</f>
        <v>0</v>
      </c>
      <c r="AY97" s="526"/>
      <c r="AZ97" s="527">
        <f>+AL97-AT97</f>
        <v>-0.59408964383291996</v>
      </c>
      <c r="BA97" s="526"/>
      <c r="BB97" s="527">
        <f>+AN97-AV97</f>
        <v>0</v>
      </c>
      <c r="BC97" s="526"/>
      <c r="BD97" s="526">
        <f>SUM(AX97:BB97)</f>
        <v>-0.59408964383291996</v>
      </c>
      <c r="BF97" s="526">
        <f>+BD97*$BF$10</f>
        <v>-0.82493660309723882</v>
      </c>
      <c r="BH97" s="525">
        <f>A97</f>
        <v>454</v>
      </c>
    </row>
    <row r="98" spans="1:60" ht="15" x14ac:dyDescent="0.25">
      <c r="A98" s="525">
        <f>A97+1</f>
        <v>455</v>
      </c>
      <c r="B98" s="530" t="s">
        <v>1625</v>
      </c>
      <c r="F98" s="536" t="s">
        <v>1614</v>
      </c>
      <c r="H98" s="528"/>
      <c r="J98" s="528">
        <v>51</v>
      </c>
      <c r="K98" s="526"/>
      <c r="L98" s="528">
        <v>31</v>
      </c>
      <c r="M98" s="526"/>
      <c r="N98" s="528">
        <v>20</v>
      </c>
      <c r="P98" s="538" t="s">
        <v>1613</v>
      </c>
      <c r="R98" s="526">
        <v>0</v>
      </c>
      <c r="S98" s="526"/>
      <c r="T98" s="526">
        <f>N98</f>
        <v>20</v>
      </c>
      <c r="U98" s="526"/>
      <c r="V98" s="526">
        <v>0</v>
      </c>
      <c r="W98" s="526"/>
      <c r="X98" s="526">
        <f>SUM(R98:V98)</f>
        <v>20</v>
      </c>
      <c r="Y98" s="526"/>
      <c r="Z98" s="537" t="s">
        <v>1606</v>
      </c>
      <c r="AA98" s="526"/>
      <c r="AB98" s="526">
        <v>0</v>
      </c>
      <c r="AC98" s="526"/>
      <c r="AD98" s="528">
        <v>13.154820991626631</v>
      </c>
      <c r="AE98" s="526"/>
      <c r="AF98" s="526">
        <v>0</v>
      </c>
      <c r="AG98" s="526"/>
      <c r="AH98" s="537" t="s">
        <v>1611</v>
      </c>
      <c r="AI98" s="526"/>
      <c r="AJ98" s="527">
        <f>+R98-AB98</f>
        <v>0</v>
      </c>
      <c r="AK98" s="526"/>
      <c r="AL98" s="527">
        <f>+T98-AD98</f>
        <v>6.8451790083733695</v>
      </c>
      <c r="AM98" s="526"/>
      <c r="AN98" s="527">
        <f>+V98-AF98</f>
        <v>0</v>
      </c>
      <c r="AO98" s="526"/>
      <c r="AP98" s="526">
        <f>SUM(AJ98:AN98)</f>
        <v>6.8451790083733695</v>
      </c>
      <c r="AR98" s="526">
        <v>0</v>
      </c>
      <c r="AS98" s="526"/>
      <c r="AT98" s="528">
        <v>2.0516069972088764</v>
      </c>
      <c r="AU98" s="526"/>
      <c r="AV98" s="526">
        <v>0</v>
      </c>
      <c r="AW98" s="526"/>
      <c r="AX98" s="527">
        <f>+AJ98-AR98</f>
        <v>0</v>
      </c>
      <c r="AY98" s="526"/>
      <c r="AZ98" s="527">
        <f>+AL98-AT98</f>
        <v>4.7935720111644926</v>
      </c>
      <c r="BA98" s="526"/>
      <c r="BB98" s="527">
        <f>+AN98-AV98</f>
        <v>0</v>
      </c>
      <c r="BC98" s="526"/>
      <c r="BD98" s="526">
        <f>SUM(AX98:BB98)</f>
        <v>4.7935720111644926</v>
      </c>
      <c r="BF98" s="526">
        <f>+BD98*$BF$10</f>
        <v>6.656222764765376</v>
      </c>
      <c r="BH98" s="525">
        <f>A98</f>
        <v>455</v>
      </c>
    </row>
    <row r="99" spans="1:60" ht="15" x14ac:dyDescent="0.25">
      <c r="A99" s="525">
        <f>A98+1</f>
        <v>456</v>
      </c>
      <c r="B99" s="529" t="s">
        <v>83</v>
      </c>
      <c r="F99" s="536"/>
      <c r="H99" s="528"/>
      <c r="J99" s="528"/>
      <c r="K99" s="526"/>
      <c r="L99" s="528"/>
      <c r="M99" s="526"/>
      <c r="N99" s="528"/>
      <c r="P99" s="541"/>
      <c r="R99" s="526">
        <v>0</v>
      </c>
      <c r="S99" s="526"/>
      <c r="T99" s="526">
        <f>N99</f>
        <v>0</v>
      </c>
      <c r="U99" s="526"/>
      <c r="V99" s="526">
        <v>0</v>
      </c>
      <c r="W99" s="526"/>
      <c r="X99" s="526">
        <f>SUM(R99:V99)</f>
        <v>0</v>
      </c>
      <c r="Y99" s="526"/>
      <c r="Z99" s="537"/>
      <c r="AA99" s="526"/>
      <c r="AB99" s="526">
        <v>0</v>
      </c>
      <c r="AC99" s="526"/>
      <c r="AD99" s="528">
        <v>0</v>
      </c>
      <c r="AE99" s="526"/>
      <c r="AF99" s="526">
        <v>0</v>
      </c>
      <c r="AG99" s="526"/>
      <c r="AH99" s="526"/>
      <c r="AI99" s="526"/>
      <c r="AJ99" s="527">
        <f>+R99-AB99</f>
        <v>0</v>
      </c>
      <c r="AK99" s="526"/>
      <c r="AL99" s="527">
        <f>+T99-AD99</f>
        <v>0</v>
      </c>
      <c r="AM99" s="526"/>
      <c r="AN99" s="527">
        <f>+V99-AF99</f>
        <v>0</v>
      </c>
      <c r="AO99" s="526"/>
      <c r="AP99" s="526">
        <f>SUM(AJ99:AN99)</f>
        <v>0</v>
      </c>
      <c r="AR99" s="526">
        <v>0</v>
      </c>
      <c r="AS99" s="526"/>
      <c r="AT99" s="528"/>
      <c r="AU99" s="526"/>
      <c r="AV99" s="526">
        <v>0</v>
      </c>
      <c r="AW99" s="526"/>
      <c r="AX99" s="527">
        <f>+AJ99-AR99</f>
        <v>0</v>
      </c>
      <c r="AY99" s="526"/>
      <c r="AZ99" s="527">
        <f>+AL99-AT99</f>
        <v>0</v>
      </c>
      <c r="BA99" s="526"/>
      <c r="BB99" s="527">
        <f>+AN99-AV99</f>
        <v>0</v>
      </c>
      <c r="BC99" s="526"/>
      <c r="BD99" s="526">
        <f>SUM(AX99:BB99)</f>
        <v>0</v>
      </c>
      <c r="BF99" s="526">
        <f>+BD99*$BF$10</f>
        <v>0</v>
      </c>
      <c r="BH99" s="525">
        <f>A99</f>
        <v>456</v>
      </c>
    </row>
    <row r="100" spans="1:60" ht="15" x14ac:dyDescent="0.25">
      <c r="A100" s="525">
        <f>A99+1</f>
        <v>457</v>
      </c>
      <c r="B100" s="529" t="s">
        <v>83</v>
      </c>
      <c r="F100" s="536"/>
      <c r="H100" s="528"/>
      <c r="J100" s="528"/>
      <c r="K100" s="526"/>
      <c r="L100" s="528"/>
      <c r="M100" s="526"/>
      <c r="N100" s="528"/>
      <c r="P100" s="541"/>
      <c r="R100" s="526">
        <v>0</v>
      </c>
      <c r="S100" s="526"/>
      <c r="T100" s="526">
        <f>N100</f>
        <v>0</v>
      </c>
      <c r="U100" s="526"/>
      <c r="V100" s="526">
        <v>0</v>
      </c>
      <c r="W100" s="526"/>
      <c r="X100" s="526">
        <f>SUM(R100:V100)</f>
        <v>0</v>
      </c>
      <c r="Y100" s="526"/>
      <c r="Z100" s="537"/>
      <c r="AA100" s="526"/>
      <c r="AB100" s="526">
        <v>0</v>
      </c>
      <c r="AC100" s="526"/>
      <c r="AD100" s="528">
        <v>0</v>
      </c>
      <c r="AE100" s="526"/>
      <c r="AF100" s="526">
        <v>0</v>
      </c>
      <c r="AG100" s="526"/>
      <c r="AH100" s="526"/>
      <c r="AI100" s="526"/>
      <c r="AJ100" s="527">
        <f>+R100-AB100</f>
        <v>0</v>
      </c>
      <c r="AK100" s="526"/>
      <c r="AL100" s="527">
        <f>+T100-AD100</f>
        <v>0</v>
      </c>
      <c r="AM100" s="526"/>
      <c r="AN100" s="527">
        <f>+V100-AF100</f>
        <v>0</v>
      </c>
      <c r="AO100" s="526"/>
      <c r="AP100" s="526">
        <f>SUM(AJ100:AN100)</f>
        <v>0</v>
      </c>
      <c r="AR100" s="526">
        <v>0</v>
      </c>
      <c r="AS100" s="526"/>
      <c r="AT100" s="528"/>
      <c r="AU100" s="526"/>
      <c r="AV100" s="526">
        <v>0</v>
      </c>
      <c r="AW100" s="526"/>
      <c r="AX100" s="527">
        <f>+AJ100-AR100</f>
        <v>0</v>
      </c>
      <c r="AY100" s="526"/>
      <c r="AZ100" s="527">
        <f>+AL100-AT100</f>
        <v>0</v>
      </c>
      <c r="BA100" s="526"/>
      <c r="BB100" s="527">
        <f>+AN100-AV100</f>
        <v>0</v>
      </c>
      <c r="BC100" s="526"/>
      <c r="BD100" s="526">
        <f>SUM(AX100:BB100)</f>
        <v>0</v>
      </c>
      <c r="BF100" s="526">
        <f>+BD100*$BF$10</f>
        <v>0</v>
      </c>
      <c r="BH100" s="525">
        <f>A100</f>
        <v>457</v>
      </c>
    </row>
    <row r="101" spans="1:60" ht="15" x14ac:dyDescent="0.25">
      <c r="A101" s="525"/>
      <c r="B101" s="534"/>
      <c r="F101" s="536"/>
      <c r="H101" s="526"/>
      <c r="J101" s="526"/>
      <c r="K101" s="526"/>
      <c r="L101" s="526"/>
      <c r="M101" s="526"/>
      <c r="N101" s="526"/>
      <c r="P101" s="541"/>
      <c r="R101" s="526"/>
      <c r="S101" s="526"/>
      <c r="T101" s="526"/>
      <c r="U101" s="526"/>
      <c r="V101" s="526"/>
      <c r="W101" s="526"/>
      <c r="X101" s="526"/>
      <c r="Y101" s="526"/>
      <c r="Z101" s="537"/>
      <c r="AA101" s="526"/>
      <c r="AB101" s="526"/>
      <c r="AC101" s="526"/>
      <c r="AD101" s="526"/>
      <c r="AE101" s="526"/>
      <c r="AF101" s="526"/>
      <c r="AG101" s="526"/>
      <c r="AH101" s="526"/>
      <c r="AI101" s="526"/>
      <c r="AJ101" s="526"/>
      <c r="AK101" s="526"/>
      <c r="AL101" s="526"/>
      <c r="AM101" s="526"/>
      <c r="AN101" s="526"/>
      <c r="AO101" s="526"/>
      <c r="AP101" s="526"/>
      <c r="AR101" s="526"/>
      <c r="AS101" s="526"/>
      <c r="AT101" s="526"/>
      <c r="AU101" s="526"/>
      <c r="AV101" s="526"/>
      <c r="AW101" s="526"/>
      <c r="AX101" s="526"/>
      <c r="AY101" s="526"/>
      <c r="AZ101" s="526"/>
      <c r="BA101" s="526"/>
      <c r="BB101" s="526"/>
      <c r="BC101" s="526"/>
      <c r="BD101" s="526"/>
      <c r="BF101" s="526"/>
      <c r="BH101" s="525"/>
    </row>
    <row r="102" spans="1:60" ht="15" x14ac:dyDescent="0.25">
      <c r="A102" s="508" t="s">
        <v>106</v>
      </c>
      <c r="F102" s="536"/>
      <c r="P102" s="541"/>
      <c r="X102" s="526"/>
      <c r="Z102" s="536"/>
      <c r="BH102" s="533" t="s">
        <v>106</v>
      </c>
    </row>
    <row r="103" spans="1:60" ht="15" x14ac:dyDescent="0.25">
      <c r="A103" s="525">
        <v>500</v>
      </c>
      <c r="B103" s="540" t="s">
        <v>1624</v>
      </c>
      <c r="F103" s="536"/>
      <c r="H103" s="531">
        <f>ROUND(SUM(H104:H114),0)</f>
        <v>0</v>
      </c>
      <c r="J103" s="531">
        <f>ROUND(SUM(J104:J114),0)</f>
        <v>9730734</v>
      </c>
      <c r="K103" s="526"/>
      <c r="L103" s="531">
        <f>ROUND(SUM(L104:L114),0)+1</f>
        <v>5840030</v>
      </c>
      <c r="M103" s="526"/>
      <c r="N103" s="531">
        <f>ROUND(SUM(N104:N114),0)-1</f>
        <v>3890704</v>
      </c>
      <c r="O103" s="525"/>
      <c r="P103" s="541"/>
      <c r="Q103" s="525"/>
      <c r="R103" s="531">
        <f>ROUND(SUM(R104:R114),0)</f>
        <v>0</v>
      </c>
      <c r="S103" s="526"/>
      <c r="T103" s="531">
        <f>ROUND(SUM(T104:T114),0)</f>
        <v>0</v>
      </c>
      <c r="U103" s="526"/>
      <c r="V103" s="531">
        <f>ROUND(SUM(V104:V114),0)</f>
        <v>3890705</v>
      </c>
      <c r="W103" s="526"/>
      <c r="X103" s="531">
        <f>ROUND(SUM(X104:X114),0)</f>
        <v>3890705</v>
      </c>
      <c r="Y103" s="526"/>
      <c r="Z103" s="537"/>
      <c r="AA103" s="526"/>
      <c r="AB103" s="531">
        <f>SUM(AB104:AB114)</f>
        <v>0</v>
      </c>
      <c r="AC103" s="526"/>
      <c r="AD103" s="531">
        <f>SUM(AD104:AD114)</f>
        <v>0</v>
      </c>
      <c r="AE103" s="526"/>
      <c r="AF103" s="531">
        <f>SUM(AF104:AF114)+1</f>
        <v>2034826.3281375272</v>
      </c>
      <c r="AG103" s="526"/>
      <c r="AH103" s="526"/>
      <c r="AI103" s="526"/>
      <c r="AJ103" s="531">
        <f>SUM(AJ104:AJ114)</f>
        <v>0</v>
      </c>
      <c r="AK103" s="526"/>
      <c r="AL103" s="531">
        <f>SUM(AL104:AL114)</f>
        <v>0</v>
      </c>
      <c r="AM103" s="526"/>
      <c r="AN103" s="531">
        <f>SUM(AN104:AN114)</f>
        <v>1855879.6718624725</v>
      </c>
      <c r="AO103" s="526"/>
      <c r="AP103" s="531">
        <f>SUM(AP104:AP114)</f>
        <v>1855879.6718624725</v>
      </c>
      <c r="AR103" s="531">
        <f>SUM(AR104:AR114)</f>
        <v>0</v>
      </c>
      <c r="AS103" s="526"/>
      <c r="AT103" s="531">
        <f>SUM(AT104:AT114)</f>
        <v>0</v>
      </c>
      <c r="AU103" s="526"/>
      <c r="AV103" s="531">
        <f>SUM(AV104:AV114)</f>
        <v>559120.1093791778</v>
      </c>
      <c r="AW103" s="526"/>
      <c r="AX103" s="531">
        <f>SUM(AX104:AX114)</f>
        <v>0</v>
      </c>
      <c r="AY103" s="526"/>
      <c r="AZ103" s="531">
        <f>SUM(AZ104:AZ114)</f>
        <v>0</v>
      </c>
      <c r="BA103" s="526"/>
      <c r="BB103" s="531">
        <f>SUM(BB104:BB114)</f>
        <v>1296759.5624832953</v>
      </c>
      <c r="BC103" s="526"/>
      <c r="BD103" s="531">
        <f>SUM(BD104:BD114)</f>
        <v>1296759.5624832953</v>
      </c>
      <c r="BF103" s="531">
        <f>ROUND(SUM(BF104:BF114),0)</f>
        <v>1800645</v>
      </c>
      <c r="BH103" s="525">
        <f>A103</f>
        <v>500</v>
      </c>
    </row>
    <row r="104" spans="1:60" ht="15" x14ac:dyDescent="0.25">
      <c r="A104" s="525">
        <f>A103+1</f>
        <v>501</v>
      </c>
      <c r="B104" s="539" t="s">
        <v>1623</v>
      </c>
      <c r="F104" s="534" t="s">
        <v>1608</v>
      </c>
      <c r="H104" s="528"/>
      <c r="J104" s="528">
        <v>5449228</v>
      </c>
      <c r="K104" s="526"/>
      <c r="L104" s="528">
        <v>3269537</v>
      </c>
      <c r="M104" s="526"/>
      <c r="N104" s="528">
        <v>2179691</v>
      </c>
      <c r="P104" s="538" t="s">
        <v>1607</v>
      </c>
      <c r="R104" s="526">
        <v>0</v>
      </c>
      <c r="S104" s="526"/>
      <c r="T104" s="526">
        <v>0</v>
      </c>
      <c r="U104" s="526"/>
      <c r="V104" s="526">
        <f>+N104</f>
        <v>2179691</v>
      </c>
      <c r="W104" s="526"/>
      <c r="X104" s="526">
        <f>SUM(R104:V104)</f>
        <v>2179691</v>
      </c>
      <c r="Y104" s="526"/>
      <c r="Z104" s="537" t="s">
        <v>1612</v>
      </c>
      <c r="AA104" s="526"/>
      <c r="AB104" s="526">
        <v>0</v>
      </c>
      <c r="AC104" s="526"/>
      <c r="AD104" s="526">
        <v>0</v>
      </c>
      <c r="AE104" s="526"/>
      <c r="AF104" s="528">
        <v>7225976.6471188199</v>
      </c>
      <c r="AG104" s="526"/>
      <c r="AH104" s="537" t="s">
        <v>1605</v>
      </c>
      <c r="AI104" s="526"/>
      <c r="AJ104" s="527">
        <f>+R104-AB104</f>
        <v>0</v>
      </c>
      <c r="AK104" s="526"/>
      <c r="AL104" s="527">
        <f>+T104-AD104</f>
        <v>0</v>
      </c>
      <c r="AM104" s="526"/>
      <c r="AN104" s="527">
        <f>+V104-AF104</f>
        <v>-5046285.6471188199</v>
      </c>
      <c r="AO104" s="526"/>
      <c r="AP104" s="526">
        <f>SUM(AJ104:AN104)</f>
        <v>-5046285.6471188199</v>
      </c>
      <c r="AR104" s="526">
        <v>0</v>
      </c>
      <c r="AS104" s="526"/>
      <c r="AT104" s="526">
        <v>0</v>
      </c>
      <c r="AU104" s="526"/>
      <c r="AV104" s="528">
        <v>81150.389220770798</v>
      </c>
      <c r="AW104" s="526"/>
      <c r="AX104" s="527">
        <f>+AJ104-AR104</f>
        <v>0</v>
      </c>
      <c r="AY104" s="526"/>
      <c r="AZ104" s="527">
        <f>+AL104-AT104</f>
        <v>0</v>
      </c>
      <c r="BA104" s="526"/>
      <c r="BB104" s="527">
        <f>+AN104-AV104</f>
        <v>-5127436.0363395903</v>
      </c>
      <c r="BC104" s="526"/>
      <c r="BD104" s="526">
        <f>SUM(AX104:BB104)</f>
        <v>-5127436.0363395903</v>
      </c>
      <c r="BF104" s="526">
        <f>+BD104*$BF$10</f>
        <v>-7119817.2032198077</v>
      </c>
      <c r="BH104" s="525">
        <f>A104</f>
        <v>501</v>
      </c>
    </row>
    <row r="105" spans="1:60" ht="15" x14ac:dyDescent="0.25">
      <c r="A105" s="525">
        <f>A104+1</f>
        <v>502</v>
      </c>
      <c r="B105" s="539" t="s">
        <v>1397</v>
      </c>
      <c r="F105" s="534" t="s">
        <v>1608</v>
      </c>
      <c r="H105" s="528"/>
      <c r="J105" s="528">
        <v>26635870</v>
      </c>
      <c r="K105" s="526"/>
      <c r="L105" s="528">
        <v>15981522</v>
      </c>
      <c r="M105" s="526"/>
      <c r="N105" s="528">
        <v>10654348</v>
      </c>
      <c r="P105" s="538" t="s">
        <v>1607</v>
      </c>
      <c r="R105" s="526">
        <v>0</v>
      </c>
      <c r="S105" s="526"/>
      <c r="T105" s="526">
        <v>0</v>
      </c>
      <c r="U105" s="526"/>
      <c r="V105" s="526">
        <f>+N105</f>
        <v>10654348</v>
      </c>
      <c r="W105" s="526"/>
      <c r="X105" s="526">
        <f>SUM(R105:V105)</f>
        <v>10654348</v>
      </c>
      <c r="Y105" s="526"/>
      <c r="Z105" s="537" t="s">
        <v>1612</v>
      </c>
      <c r="AA105" s="526"/>
      <c r="AB105" s="526">
        <v>0</v>
      </c>
      <c r="AC105" s="526"/>
      <c r="AD105" s="526">
        <v>0</v>
      </c>
      <c r="AE105" s="526"/>
      <c r="AF105" s="528">
        <v>-5334625.7714413609</v>
      </c>
      <c r="AG105" s="526"/>
      <c r="AH105" s="537" t="s">
        <v>1605</v>
      </c>
      <c r="AI105" s="526"/>
      <c r="AJ105" s="527">
        <f>+R105-AB105</f>
        <v>0</v>
      </c>
      <c r="AK105" s="526"/>
      <c r="AL105" s="527">
        <f>+T105-AD105</f>
        <v>0</v>
      </c>
      <c r="AM105" s="526"/>
      <c r="AN105" s="527">
        <f>+V105-AF105</f>
        <v>15988973.771441361</v>
      </c>
      <c r="AO105" s="526"/>
      <c r="AP105" s="526">
        <f>SUM(AJ105:AN105)</f>
        <v>15988973.771441361</v>
      </c>
      <c r="AR105" s="526">
        <v>0</v>
      </c>
      <c r="AS105" s="526"/>
      <c r="AT105" s="526">
        <v>0</v>
      </c>
      <c r="AU105" s="526"/>
      <c r="AV105" s="528">
        <v>1853032.88237294</v>
      </c>
      <c r="AW105" s="526"/>
      <c r="AX105" s="527">
        <f>+AJ105-AR105</f>
        <v>0</v>
      </c>
      <c r="AY105" s="526"/>
      <c r="AZ105" s="527">
        <f>+AL105-AT105</f>
        <v>0</v>
      </c>
      <c r="BA105" s="526"/>
      <c r="BB105" s="527">
        <f>+AN105-AV105</f>
        <v>14135940.889068421</v>
      </c>
      <c r="BC105" s="526"/>
      <c r="BD105" s="526">
        <f>SUM(AX105:BB105)</f>
        <v>14135940.889068421</v>
      </c>
      <c r="BF105" s="526">
        <f>+BD105*$BF$10</f>
        <v>19628780.234874863</v>
      </c>
      <c r="BH105" s="525">
        <f>A105</f>
        <v>502</v>
      </c>
    </row>
    <row r="106" spans="1:60" ht="15" x14ac:dyDescent="0.25">
      <c r="A106" s="525" t="s">
        <v>1622</v>
      </c>
      <c r="B106" s="539" t="s">
        <v>1621</v>
      </c>
      <c r="F106" s="534" t="s">
        <v>1608</v>
      </c>
      <c r="H106" s="528"/>
      <c r="J106" s="528">
        <v>-26601023</v>
      </c>
      <c r="K106" s="526"/>
      <c r="L106" s="528">
        <v>-15960614</v>
      </c>
      <c r="M106" s="526"/>
      <c r="N106" s="528">
        <v>-10640409</v>
      </c>
      <c r="P106" s="538" t="s">
        <v>1607</v>
      </c>
      <c r="R106" s="526">
        <v>0</v>
      </c>
      <c r="S106" s="526"/>
      <c r="T106" s="526">
        <v>0</v>
      </c>
      <c r="U106" s="526"/>
      <c r="V106" s="526">
        <f>+N106</f>
        <v>-10640409</v>
      </c>
      <c r="W106" s="526"/>
      <c r="X106" s="526">
        <f>SUM(R106:V106)</f>
        <v>-10640409</v>
      </c>
      <c r="Y106" s="526"/>
      <c r="Z106" s="537" t="s">
        <v>1612</v>
      </c>
      <c r="AA106" s="526"/>
      <c r="AB106" s="526">
        <v>0</v>
      </c>
      <c r="AC106" s="526"/>
      <c r="AD106" s="526">
        <v>0</v>
      </c>
      <c r="AE106" s="526"/>
      <c r="AF106" s="528">
        <v>-1383270.8323376873</v>
      </c>
      <c r="AG106" s="526"/>
      <c r="AH106" s="537" t="s">
        <v>1605</v>
      </c>
      <c r="AI106" s="526"/>
      <c r="AJ106" s="527">
        <f>+R106-AB106</f>
        <v>0</v>
      </c>
      <c r="AK106" s="526"/>
      <c r="AL106" s="527">
        <f>+T106-AD106</f>
        <v>0</v>
      </c>
      <c r="AM106" s="526"/>
      <c r="AN106" s="527">
        <f>+V106-AF106</f>
        <v>-9257138.1676623132</v>
      </c>
      <c r="AO106" s="526"/>
      <c r="AP106" s="526">
        <f>SUM(AJ106:AN106)</f>
        <v>-9257138.1676623132</v>
      </c>
      <c r="AR106" s="526">
        <v>0</v>
      </c>
      <c r="AS106" s="526"/>
      <c r="AT106" s="526">
        <v>0</v>
      </c>
      <c r="AU106" s="526"/>
      <c r="AV106" s="528">
        <v>-1426378.2571471201</v>
      </c>
      <c r="AW106" s="526"/>
      <c r="AX106" s="527">
        <f>+AJ106-AR106</f>
        <v>0</v>
      </c>
      <c r="AY106" s="526"/>
      <c r="AZ106" s="527">
        <f>+AL106-AT106</f>
        <v>0</v>
      </c>
      <c r="BA106" s="526"/>
      <c r="BB106" s="527">
        <f>+AN106-AV106</f>
        <v>-7830759.9105151929</v>
      </c>
      <c r="BC106" s="526"/>
      <c r="BD106" s="526">
        <f>SUM(AX106:BB106)</f>
        <v>-7830759.9105151929</v>
      </c>
      <c r="BF106" s="526">
        <f>+BD106*$BF$10</f>
        <v>-10873578.671684772</v>
      </c>
      <c r="BH106" s="525" t="str">
        <f>A106</f>
        <v>502a</v>
      </c>
    </row>
    <row r="107" spans="1:60" ht="15" x14ac:dyDescent="0.25">
      <c r="A107" s="525">
        <f>A105+1</f>
        <v>503</v>
      </c>
      <c r="B107" s="530" t="s">
        <v>1620</v>
      </c>
      <c r="F107" s="534" t="s">
        <v>1614</v>
      </c>
      <c r="H107" s="528"/>
      <c r="J107" s="528">
        <v>-47739683</v>
      </c>
      <c r="K107" s="526"/>
      <c r="L107" s="528">
        <v>-28643810</v>
      </c>
      <c r="M107" s="526"/>
      <c r="N107" s="528">
        <v>-19095873</v>
      </c>
      <c r="P107" s="538" t="s">
        <v>1613</v>
      </c>
      <c r="R107" s="526">
        <v>0</v>
      </c>
      <c r="S107" s="526"/>
      <c r="T107" s="526">
        <v>0</v>
      </c>
      <c r="U107" s="526"/>
      <c r="V107" s="526">
        <f>N107</f>
        <v>-19095873</v>
      </c>
      <c r="W107" s="526"/>
      <c r="X107" s="526">
        <f>SUM(R107:V107)</f>
        <v>-19095873</v>
      </c>
      <c r="Y107" s="526"/>
      <c r="Z107" s="537" t="s">
        <v>1612</v>
      </c>
      <c r="AA107" s="526"/>
      <c r="AB107" s="526">
        <v>0</v>
      </c>
      <c r="AC107" s="526"/>
      <c r="AD107" s="526">
        <v>0</v>
      </c>
      <c r="AE107" s="526"/>
      <c r="AF107" s="528">
        <v>-17179287.931592945</v>
      </c>
      <c r="AG107" s="526"/>
      <c r="AH107" s="537" t="s">
        <v>1611</v>
      </c>
      <c r="AI107" s="526"/>
      <c r="AJ107" s="527">
        <f>+R107-AB107</f>
        <v>0</v>
      </c>
      <c r="AK107" s="526"/>
      <c r="AL107" s="527">
        <f>+T107-AD107</f>
        <v>0</v>
      </c>
      <c r="AM107" s="526"/>
      <c r="AN107" s="527">
        <f>+V107-AF107</f>
        <v>-1916585.068407055</v>
      </c>
      <c r="AO107" s="526"/>
      <c r="AP107" s="526">
        <f>SUM(AJ107:AN107)</f>
        <v>-1916585.068407055</v>
      </c>
      <c r="AR107" s="526">
        <v>0</v>
      </c>
      <c r="AS107" s="526"/>
      <c r="AT107" s="526">
        <v>0</v>
      </c>
      <c r="AU107" s="526"/>
      <c r="AV107" s="528">
        <v>-577409.31053097954</v>
      </c>
      <c r="AW107" s="526"/>
      <c r="AX107" s="527">
        <f>+AJ107-AR107</f>
        <v>0</v>
      </c>
      <c r="AY107" s="526"/>
      <c r="AZ107" s="527">
        <f>+AL107-AT107</f>
        <v>0</v>
      </c>
      <c r="BA107" s="526"/>
      <c r="BB107" s="527">
        <f>+AN107-AV107</f>
        <v>-1339175.7578760753</v>
      </c>
      <c r="BC107" s="526"/>
      <c r="BD107" s="526">
        <f>SUM(AX107:BB107)</f>
        <v>-1339175.7578760753</v>
      </c>
      <c r="BF107" s="526">
        <f>+BD107*$BF$10</f>
        <v>-1859542.7678640911</v>
      </c>
      <c r="BH107" s="525">
        <f>A107</f>
        <v>503</v>
      </c>
    </row>
    <row r="108" spans="1:60" ht="15" x14ac:dyDescent="0.25">
      <c r="A108" s="525">
        <f>A107+1</f>
        <v>504</v>
      </c>
      <c r="B108" s="530" t="s">
        <v>1619</v>
      </c>
      <c r="F108" s="536" t="s">
        <v>1614</v>
      </c>
      <c r="H108" s="528"/>
      <c r="J108" s="528">
        <v>-103800</v>
      </c>
      <c r="K108" s="526"/>
      <c r="L108" s="528">
        <v>-62280</v>
      </c>
      <c r="M108" s="526"/>
      <c r="N108" s="528">
        <v>-41520</v>
      </c>
      <c r="P108" s="538" t="s">
        <v>1613</v>
      </c>
      <c r="R108" s="526">
        <v>0</v>
      </c>
      <c r="S108" s="526"/>
      <c r="T108" s="526">
        <v>0</v>
      </c>
      <c r="U108" s="526"/>
      <c r="V108" s="526">
        <f>N108</f>
        <v>-41520</v>
      </c>
      <c r="W108" s="526"/>
      <c r="X108" s="526">
        <f>SUM(R108:V108)</f>
        <v>-41520</v>
      </c>
      <c r="Y108" s="526"/>
      <c r="Z108" s="537" t="s">
        <v>1612</v>
      </c>
      <c r="AA108" s="526"/>
      <c r="AB108" s="526">
        <v>0</v>
      </c>
      <c r="AC108" s="526"/>
      <c r="AD108" s="526">
        <v>0</v>
      </c>
      <c r="AE108" s="526"/>
      <c r="AF108" s="528">
        <v>-37352.36286898121</v>
      </c>
      <c r="AG108" s="526"/>
      <c r="AH108" s="537" t="s">
        <v>1611</v>
      </c>
      <c r="AI108" s="526"/>
      <c r="AJ108" s="527">
        <f>+R108-AB108</f>
        <v>0</v>
      </c>
      <c r="AK108" s="526"/>
      <c r="AL108" s="527">
        <f>+T108-AD108</f>
        <v>0</v>
      </c>
      <c r="AM108" s="526"/>
      <c r="AN108" s="527">
        <f>+V108-AF108</f>
        <v>-4167.6371310187897</v>
      </c>
      <c r="AO108" s="526"/>
      <c r="AP108" s="526">
        <f>SUM(AJ108:AN108)</f>
        <v>-4167.6371310187897</v>
      </c>
      <c r="AR108" s="526">
        <v>0</v>
      </c>
      <c r="AS108" s="526"/>
      <c r="AT108" s="526">
        <v>0</v>
      </c>
      <c r="AU108" s="526"/>
      <c r="AV108" s="528">
        <v>-1255.4542896604028</v>
      </c>
      <c r="AW108" s="526"/>
      <c r="AX108" s="527">
        <f>+AJ108-AR108</f>
        <v>0</v>
      </c>
      <c r="AY108" s="526"/>
      <c r="AZ108" s="527">
        <f>+AL108-AT108</f>
        <v>0</v>
      </c>
      <c r="BA108" s="526"/>
      <c r="BB108" s="527">
        <f>+AN108-AV108</f>
        <v>-2912.1828413583871</v>
      </c>
      <c r="BC108" s="526"/>
      <c r="BD108" s="526">
        <f>SUM(AX108:BB108)</f>
        <v>-2912.1828413583871</v>
      </c>
      <c r="BF108" s="526">
        <f>+BD108*$BF$10</f>
        <v>-4043.777308166455</v>
      </c>
      <c r="BH108" s="525">
        <f>A108</f>
        <v>504</v>
      </c>
    </row>
    <row r="109" spans="1:60" ht="15" x14ac:dyDescent="0.25">
      <c r="A109" s="525">
        <f>+A108+1</f>
        <v>505</v>
      </c>
      <c r="B109" s="530" t="s">
        <v>1618</v>
      </c>
      <c r="F109" s="536" t="s">
        <v>1614</v>
      </c>
      <c r="H109" s="528"/>
      <c r="J109" s="528">
        <v>53593753</v>
      </c>
      <c r="K109" s="526"/>
      <c r="L109" s="528">
        <v>32156252</v>
      </c>
      <c r="M109" s="526"/>
      <c r="N109" s="528">
        <v>21437501</v>
      </c>
      <c r="P109" s="538" t="s">
        <v>1613</v>
      </c>
      <c r="R109" s="526">
        <v>0</v>
      </c>
      <c r="S109" s="526"/>
      <c r="T109" s="526">
        <v>0</v>
      </c>
      <c r="U109" s="526"/>
      <c r="V109" s="526">
        <f>N109</f>
        <v>21437501</v>
      </c>
      <c r="W109" s="526"/>
      <c r="X109" s="526">
        <f>SUM(R109:V109)</f>
        <v>21437501</v>
      </c>
      <c r="Y109" s="526"/>
      <c r="Z109" s="537" t="s">
        <v>1612</v>
      </c>
      <c r="AA109" s="526"/>
      <c r="AB109" s="526">
        <v>0</v>
      </c>
      <c r="AC109" s="526"/>
      <c r="AD109" s="526">
        <v>0</v>
      </c>
      <c r="AE109" s="526"/>
      <c r="AF109" s="528">
        <v>19285895.036329493</v>
      </c>
      <c r="AG109" s="526"/>
      <c r="AH109" s="537" t="s">
        <v>1611</v>
      </c>
      <c r="AI109" s="526"/>
      <c r="AJ109" s="527">
        <f>+R109-AB109</f>
        <v>0</v>
      </c>
      <c r="AK109" s="526"/>
      <c r="AL109" s="527">
        <f>+T109-AD109</f>
        <v>0</v>
      </c>
      <c r="AM109" s="526"/>
      <c r="AN109" s="527">
        <f>+V109-AF109</f>
        <v>2151605.9636705071</v>
      </c>
      <c r="AO109" s="526"/>
      <c r="AP109" s="526">
        <f>SUM(AJ109:AN109)</f>
        <v>2151605.9636705071</v>
      </c>
      <c r="AR109" s="526">
        <v>0</v>
      </c>
      <c r="AS109" s="526"/>
      <c r="AT109" s="526">
        <v>0</v>
      </c>
      <c r="AU109" s="526"/>
      <c r="AV109" s="528">
        <v>648214.01210983074</v>
      </c>
      <c r="AW109" s="526"/>
      <c r="AX109" s="527">
        <f>+AJ109-AR109</f>
        <v>0</v>
      </c>
      <c r="AY109" s="526"/>
      <c r="AZ109" s="527">
        <f>+AL109-AT109</f>
        <v>0</v>
      </c>
      <c r="BA109" s="526"/>
      <c r="BB109" s="527">
        <f>+AN109-AV109</f>
        <v>1503391.9515606763</v>
      </c>
      <c r="BC109" s="526"/>
      <c r="BD109" s="526">
        <f>SUM(AX109:BB109)</f>
        <v>1503391.9515606763</v>
      </c>
      <c r="BF109" s="526">
        <f>+BD109*$BF$10</f>
        <v>2087568.8753682163</v>
      </c>
      <c r="BH109" s="525">
        <f>A109</f>
        <v>505</v>
      </c>
    </row>
    <row r="110" spans="1:60" ht="15" x14ac:dyDescent="0.25">
      <c r="A110" s="525">
        <f>+A109+1</f>
        <v>506</v>
      </c>
      <c r="B110" s="530" t="s">
        <v>1617</v>
      </c>
      <c r="F110" s="536" t="s">
        <v>1614</v>
      </c>
      <c r="H110" s="528"/>
      <c r="J110" s="528">
        <v>4213331</v>
      </c>
      <c r="K110" s="526"/>
      <c r="L110" s="528">
        <v>2531567</v>
      </c>
      <c r="M110" s="526"/>
      <c r="N110" s="528">
        <v>1681764</v>
      </c>
      <c r="P110" s="538" t="s">
        <v>1613</v>
      </c>
      <c r="R110" s="526">
        <v>0</v>
      </c>
      <c r="S110" s="526"/>
      <c r="T110" s="526">
        <v>0</v>
      </c>
      <c r="U110" s="526"/>
      <c r="V110" s="526">
        <f>N110</f>
        <v>1681764</v>
      </c>
      <c r="W110" s="526"/>
      <c r="X110" s="526">
        <f>SUM(R110:V110)</f>
        <v>1681764</v>
      </c>
      <c r="Y110" s="526"/>
      <c r="Z110" s="537" t="s">
        <v>1612</v>
      </c>
      <c r="AA110" s="526"/>
      <c r="AB110" s="526">
        <v>0</v>
      </c>
      <c r="AC110" s="526"/>
      <c r="AD110" s="526">
        <v>0</v>
      </c>
      <c r="AE110" s="526"/>
      <c r="AF110" s="528">
        <v>1512971.4608455971</v>
      </c>
      <c r="AG110" s="526"/>
      <c r="AH110" s="537" t="s">
        <v>1611</v>
      </c>
      <c r="AI110" s="526"/>
      <c r="AJ110" s="527">
        <f>+R110-AB110</f>
        <v>0</v>
      </c>
      <c r="AK110" s="526"/>
      <c r="AL110" s="527">
        <f>+T110-AD110</f>
        <v>0</v>
      </c>
      <c r="AM110" s="526"/>
      <c r="AN110" s="527">
        <f>+V110-AF110</f>
        <v>168792.53915440291</v>
      </c>
      <c r="AO110" s="526"/>
      <c r="AP110" s="526">
        <f>SUM(AJ110:AN110)</f>
        <v>168792.53915440291</v>
      </c>
      <c r="AR110" s="526">
        <v>0</v>
      </c>
      <c r="AS110" s="526"/>
      <c r="AT110" s="526">
        <v>0</v>
      </c>
      <c r="AU110" s="526"/>
      <c r="AV110" s="528">
        <v>50852.153615198884</v>
      </c>
      <c r="AW110" s="526"/>
      <c r="AX110" s="527">
        <f>+AJ110-AR110</f>
        <v>0</v>
      </c>
      <c r="AY110" s="526"/>
      <c r="AZ110" s="527">
        <f>+AL110-AT110</f>
        <v>0</v>
      </c>
      <c r="BA110" s="526"/>
      <c r="BB110" s="527">
        <f>+AN110-AV110</f>
        <v>117940.38553920403</v>
      </c>
      <c r="BC110" s="526"/>
      <c r="BD110" s="526">
        <f>SUM(AX110:BB110)</f>
        <v>117940.38553920403</v>
      </c>
      <c r="BF110" s="526">
        <f>+BD110*$BF$10</f>
        <v>163768.78813604126</v>
      </c>
      <c r="BH110" s="525">
        <f>A110</f>
        <v>506</v>
      </c>
    </row>
    <row r="111" spans="1:60" ht="15" x14ac:dyDescent="0.25">
      <c r="A111" s="525">
        <f>+A110+1</f>
        <v>507</v>
      </c>
      <c r="B111" s="530" t="s">
        <v>1616</v>
      </c>
      <c r="F111" s="536" t="s">
        <v>1614</v>
      </c>
      <c r="H111" s="528"/>
      <c r="J111" s="528">
        <v>9123</v>
      </c>
      <c r="K111" s="526"/>
      <c r="L111" s="528">
        <v>5504</v>
      </c>
      <c r="M111" s="526"/>
      <c r="N111" s="528">
        <v>3619</v>
      </c>
      <c r="P111" s="538" t="s">
        <v>1613</v>
      </c>
      <c r="R111" s="526">
        <v>0</v>
      </c>
      <c r="S111" s="526"/>
      <c r="T111" s="526">
        <v>0</v>
      </c>
      <c r="U111" s="526"/>
      <c r="V111" s="526">
        <f>N111</f>
        <v>3619</v>
      </c>
      <c r="W111" s="526"/>
      <c r="X111" s="526">
        <f>SUM(R111:V111)</f>
        <v>3619</v>
      </c>
      <c r="Y111" s="526"/>
      <c r="Z111" s="537" t="s">
        <v>1612</v>
      </c>
      <c r="AA111" s="526"/>
      <c r="AB111" s="526">
        <v>0</v>
      </c>
      <c r="AC111" s="526"/>
      <c r="AD111" s="526">
        <v>0</v>
      </c>
      <c r="AE111" s="526"/>
      <c r="AF111" s="528">
        <v>3255.2549822596352</v>
      </c>
      <c r="AG111" s="526"/>
      <c r="AH111" s="537" t="s">
        <v>1611</v>
      </c>
      <c r="AI111" s="526"/>
      <c r="AJ111" s="527">
        <f>+R111-AB111</f>
        <v>0</v>
      </c>
      <c r="AK111" s="526"/>
      <c r="AL111" s="527">
        <f>+T111-AD111</f>
        <v>0</v>
      </c>
      <c r="AM111" s="526"/>
      <c r="AN111" s="527">
        <f>+V111-AF111</f>
        <v>363.7450177403648</v>
      </c>
      <c r="AO111" s="526"/>
      <c r="AP111" s="526">
        <f>SUM(AJ111:AN111)</f>
        <v>363.7450177403648</v>
      </c>
      <c r="AR111" s="526">
        <v>0</v>
      </c>
      <c r="AS111" s="526"/>
      <c r="AT111" s="526">
        <v>0</v>
      </c>
      <c r="AU111" s="526"/>
      <c r="AV111" s="528">
        <v>109.4183274198781</v>
      </c>
      <c r="AW111" s="526"/>
      <c r="AX111" s="527">
        <f>+AJ111-AR111</f>
        <v>0</v>
      </c>
      <c r="AY111" s="526"/>
      <c r="AZ111" s="527">
        <f>+AL111-AT111</f>
        <v>0</v>
      </c>
      <c r="BA111" s="526"/>
      <c r="BB111" s="527">
        <f>+AN111-AV111</f>
        <v>254.3266903204867</v>
      </c>
      <c r="BC111" s="526"/>
      <c r="BD111" s="526">
        <f>SUM(AX111:BB111)</f>
        <v>254.3266903204867</v>
      </c>
      <c r="BF111" s="526">
        <f>+BD111*$BF$10</f>
        <v>353.15107436707012</v>
      </c>
      <c r="BH111" s="525">
        <f>A111</f>
        <v>507</v>
      </c>
    </row>
    <row r="112" spans="1:60" ht="15" x14ac:dyDescent="0.25">
      <c r="A112" s="525">
        <f>+A111+1</f>
        <v>508</v>
      </c>
      <c r="B112" s="530" t="s">
        <v>1615</v>
      </c>
      <c r="F112" s="536" t="s">
        <v>1614</v>
      </c>
      <c r="H112" s="528"/>
      <c r="J112" s="528">
        <v>-5726065</v>
      </c>
      <c r="K112" s="526"/>
      <c r="L112" s="528">
        <v>-3437649</v>
      </c>
      <c r="M112" s="526"/>
      <c r="N112" s="528">
        <v>-2288416</v>
      </c>
      <c r="P112" s="538" t="s">
        <v>1613</v>
      </c>
      <c r="R112" s="526">
        <v>0</v>
      </c>
      <c r="S112" s="526"/>
      <c r="T112" s="526">
        <v>0</v>
      </c>
      <c r="U112" s="526"/>
      <c r="V112" s="526">
        <f>N112</f>
        <v>-2288416</v>
      </c>
      <c r="W112" s="526"/>
      <c r="X112" s="526">
        <f>SUM(R112:V112)</f>
        <v>-2288416</v>
      </c>
      <c r="Y112" s="526"/>
      <c r="Z112" s="537" t="s">
        <v>1612</v>
      </c>
      <c r="AA112" s="526"/>
      <c r="AB112" s="526">
        <v>0</v>
      </c>
      <c r="AC112" s="526"/>
      <c r="AD112" s="526">
        <v>0</v>
      </c>
      <c r="AE112" s="526"/>
      <c r="AF112" s="528">
        <v>-2058736.1728976681</v>
      </c>
      <c r="AG112" s="526"/>
      <c r="AH112" s="537" t="s">
        <v>1611</v>
      </c>
      <c r="AI112" s="526"/>
      <c r="AJ112" s="527">
        <f>+R112-AB112</f>
        <v>0</v>
      </c>
      <c r="AK112" s="526"/>
      <c r="AL112" s="527">
        <f>+T112-AD112</f>
        <v>0</v>
      </c>
      <c r="AM112" s="526"/>
      <c r="AN112" s="527">
        <f>+V112-AF112</f>
        <v>-229679.82710233191</v>
      </c>
      <c r="AO112" s="526"/>
      <c r="AP112" s="526">
        <f>SUM(AJ112:AN112)</f>
        <v>-229679.82710233191</v>
      </c>
      <c r="AR112" s="526">
        <v>0</v>
      </c>
      <c r="AS112" s="526"/>
      <c r="AT112" s="526">
        <v>0</v>
      </c>
      <c r="AU112" s="526"/>
      <c r="AV112" s="528">
        <v>-69195.724299222595</v>
      </c>
      <c r="AW112" s="526"/>
      <c r="AX112" s="527">
        <f>+AJ112-AR112</f>
        <v>0</v>
      </c>
      <c r="AY112" s="526"/>
      <c r="AZ112" s="527">
        <f>+AL112-AT112</f>
        <v>0</v>
      </c>
      <c r="BA112" s="526"/>
      <c r="BB112" s="527">
        <f>+AN112-AV112</f>
        <v>-160484.10280310933</v>
      </c>
      <c r="BC112" s="526"/>
      <c r="BD112" s="526">
        <f>SUM(AX112:BB112)</f>
        <v>-160484.10280310933</v>
      </c>
      <c r="BF112" s="526">
        <f>+BD112*$BF$10</f>
        <v>-222843.82835452663</v>
      </c>
      <c r="BH112" s="525">
        <f>A112</f>
        <v>508</v>
      </c>
    </row>
    <row r="113" spans="1:60" ht="15" x14ac:dyDescent="0.25">
      <c r="A113" s="525">
        <f>+A112+1</f>
        <v>509</v>
      </c>
      <c r="B113" s="529" t="s">
        <v>83</v>
      </c>
      <c r="F113" s="536"/>
      <c r="H113" s="528"/>
      <c r="J113" s="528"/>
      <c r="K113" s="526"/>
      <c r="L113" s="528"/>
      <c r="M113" s="526"/>
      <c r="N113" s="528"/>
      <c r="R113" s="526">
        <v>0</v>
      </c>
      <c r="S113" s="526"/>
      <c r="T113" s="526">
        <v>0</v>
      </c>
      <c r="U113" s="526"/>
      <c r="V113" s="526">
        <f>N113</f>
        <v>0</v>
      </c>
      <c r="W113" s="526"/>
      <c r="X113" s="526">
        <f>SUM(R113:V113)</f>
        <v>0</v>
      </c>
      <c r="Y113" s="526"/>
      <c r="Z113" s="526"/>
      <c r="AA113" s="526"/>
      <c r="AB113" s="526">
        <v>0</v>
      </c>
      <c r="AC113" s="526"/>
      <c r="AD113" s="526">
        <v>0</v>
      </c>
      <c r="AE113" s="526"/>
      <c r="AF113" s="528"/>
      <c r="AG113" s="526"/>
      <c r="AH113" s="526"/>
      <c r="AI113" s="526"/>
      <c r="AJ113" s="527">
        <f>+R113-AB113</f>
        <v>0</v>
      </c>
      <c r="AK113" s="526"/>
      <c r="AL113" s="527">
        <f>+T113-AD113</f>
        <v>0</v>
      </c>
      <c r="AM113" s="526"/>
      <c r="AN113" s="527">
        <f>+V113-AF113</f>
        <v>0</v>
      </c>
      <c r="AO113" s="526"/>
      <c r="AP113" s="526">
        <f>SUM(AJ113:AN113)</f>
        <v>0</v>
      </c>
      <c r="AR113" s="526">
        <v>0</v>
      </c>
      <c r="AS113" s="526"/>
      <c r="AT113" s="526">
        <v>0</v>
      </c>
      <c r="AU113" s="526"/>
      <c r="AV113" s="528"/>
      <c r="AW113" s="526"/>
      <c r="AX113" s="527">
        <f>+AJ113-AR113</f>
        <v>0</v>
      </c>
      <c r="AY113" s="526"/>
      <c r="AZ113" s="527">
        <f>+AL113-AT113</f>
        <v>0</v>
      </c>
      <c r="BA113" s="526"/>
      <c r="BB113" s="527">
        <f>+AN113-AV113</f>
        <v>0</v>
      </c>
      <c r="BC113" s="526"/>
      <c r="BD113" s="526">
        <f>SUM(AX113:BB113)</f>
        <v>0</v>
      </c>
      <c r="BF113" s="526"/>
      <c r="BH113" s="525">
        <f>A113</f>
        <v>509</v>
      </c>
    </row>
    <row r="114" spans="1:60" ht="15" x14ac:dyDescent="0.25">
      <c r="A114" s="525">
        <f>+A113+1</f>
        <v>510</v>
      </c>
      <c r="B114" s="529" t="s">
        <v>83</v>
      </c>
      <c r="F114" s="536"/>
      <c r="H114" s="528"/>
      <c r="J114" s="528"/>
      <c r="K114" s="526"/>
      <c r="L114" s="528"/>
      <c r="M114" s="526"/>
      <c r="N114" s="528"/>
      <c r="R114" s="526">
        <v>0</v>
      </c>
      <c r="S114" s="526"/>
      <c r="T114" s="526">
        <v>0</v>
      </c>
      <c r="U114" s="526"/>
      <c r="V114" s="526">
        <f>N114</f>
        <v>0</v>
      </c>
      <c r="W114" s="526"/>
      <c r="X114" s="526">
        <f>SUM(R114:V114)</f>
        <v>0</v>
      </c>
      <c r="Y114" s="526"/>
      <c r="Z114" s="526"/>
      <c r="AA114" s="526"/>
      <c r="AB114" s="526">
        <v>0</v>
      </c>
      <c r="AC114" s="526"/>
      <c r="AD114" s="526">
        <v>0</v>
      </c>
      <c r="AE114" s="526"/>
      <c r="AF114" s="528"/>
      <c r="AG114" s="526"/>
      <c r="AH114" s="526"/>
      <c r="AI114" s="526"/>
      <c r="AJ114" s="527">
        <f>+R114-AB114</f>
        <v>0</v>
      </c>
      <c r="AK114" s="526"/>
      <c r="AL114" s="527">
        <f>+T114-AD114</f>
        <v>0</v>
      </c>
      <c r="AM114" s="526"/>
      <c r="AN114" s="527">
        <f>+V114-AF114</f>
        <v>0</v>
      </c>
      <c r="AO114" s="526"/>
      <c r="AP114" s="526">
        <f>SUM(AJ114:AN114)</f>
        <v>0</v>
      </c>
      <c r="AR114" s="526">
        <v>0</v>
      </c>
      <c r="AS114" s="526"/>
      <c r="AT114" s="526">
        <v>0</v>
      </c>
      <c r="AU114" s="526"/>
      <c r="AV114" s="528"/>
      <c r="AW114" s="526"/>
      <c r="AX114" s="527">
        <f>+AJ114-AR114</f>
        <v>0</v>
      </c>
      <c r="AY114" s="526"/>
      <c r="AZ114" s="527">
        <f>+AL114-AT114</f>
        <v>0</v>
      </c>
      <c r="BA114" s="526"/>
      <c r="BB114" s="527">
        <f>+AN114-AV114</f>
        <v>0</v>
      </c>
      <c r="BC114" s="526"/>
      <c r="BD114" s="526">
        <f>SUM(AX114:BB114)</f>
        <v>0</v>
      </c>
      <c r="BF114" s="526"/>
      <c r="BH114" s="525">
        <f>A114</f>
        <v>510</v>
      </c>
    </row>
    <row r="115" spans="1:60" ht="15" x14ac:dyDescent="0.25">
      <c r="A115" s="525"/>
      <c r="B115" s="534"/>
      <c r="F115" s="536"/>
      <c r="H115" s="526"/>
      <c r="J115" s="526"/>
      <c r="K115" s="526"/>
      <c r="L115" s="526"/>
      <c r="M115" s="526"/>
      <c r="N115" s="526"/>
      <c r="R115" s="526"/>
      <c r="S115" s="526"/>
      <c r="T115" s="526"/>
      <c r="U115" s="526"/>
      <c r="V115" s="526"/>
      <c r="W115" s="526"/>
      <c r="X115" s="526"/>
      <c r="Y115" s="526"/>
      <c r="Z115" s="526"/>
      <c r="AA115" s="526"/>
      <c r="AB115" s="526"/>
      <c r="AC115" s="526"/>
      <c r="AD115" s="526"/>
      <c r="AE115" s="526"/>
      <c r="AF115" s="526"/>
      <c r="AG115" s="526"/>
      <c r="AH115" s="526"/>
      <c r="AI115" s="526"/>
      <c r="AJ115" s="526"/>
      <c r="AK115" s="526"/>
      <c r="AL115" s="526"/>
      <c r="AM115" s="526"/>
      <c r="AN115" s="526"/>
      <c r="AO115" s="526"/>
      <c r="AP115" s="526"/>
      <c r="AR115" s="526"/>
      <c r="AS115" s="526"/>
      <c r="AT115" s="526"/>
      <c r="AU115" s="526"/>
      <c r="AV115" s="526"/>
      <c r="AW115" s="526"/>
      <c r="AX115" s="526"/>
      <c r="AY115" s="526"/>
      <c r="AZ115" s="526"/>
      <c r="BA115" s="526"/>
      <c r="BB115" s="526"/>
      <c r="BC115" s="526"/>
      <c r="BD115" s="526"/>
      <c r="BF115" s="526"/>
      <c r="BH115" s="525"/>
    </row>
    <row r="116" spans="1:60" ht="15" x14ac:dyDescent="0.25">
      <c r="A116" s="508" t="s">
        <v>106</v>
      </c>
      <c r="F116" s="536"/>
      <c r="BH116" s="533" t="s">
        <v>106</v>
      </c>
    </row>
    <row r="117" spans="1:60" ht="15" x14ac:dyDescent="0.25">
      <c r="A117" s="525">
        <v>600</v>
      </c>
      <c r="B117" s="540" t="s">
        <v>1610</v>
      </c>
      <c r="F117" s="536"/>
      <c r="H117" s="531">
        <f>ROUND(SUM(H118:H122),0)</f>
        <v>0</v>
      </c>
      <c r="J117" s="531">
        <f>ROUND(SUM(J118:J122),0)</f>
        <v>336430551</v>
      </c>
      <c r="K117" s="526"/>
      <c r="L117" s="531">
        <f>ROUND(SUM(L118:L122),0)</f>
        <v>201858330</v>
      </c>
      <c r="M117" s="526"/>
      <c r="N117" s="531">
        <f>ROUND(SUM(N118:N122),0)</f>
        <v>134572220</v>
      </c>
      <c r="O117" s="525"/>
      <c r="P117" s="525"/>
      <c r="Q117" s="525"/>
      <c r="R117" s="531">
        <f>ROUND(SUM(R118:R122),0)</f>
        <v>134572220</v>
      </c>
      <c r="S117" s="526"/>
      <c r="T117" s="531">
        <f>ROUND(SUM(T118:T122),0)</f>
        <v>0</v>
      </c>
      <c r="U117" s="526"/>
      <c r="V117" s="531">
        <f>ROUND(SUM(V118:V122),0)</f>
        <v>0</v>
      </c>
      <c r="W117" s="526"/>
      <c r="X117" s="531">
        <f>ROUND(SUM(X118:X122),0)</f>
        <v>134572220</v>
      </c>
      <c r="Y117" s="526"/>
      <c r="Z117" s="526"/>
      <c r="AA117" s="526"/>
      <c r="AB117" s="531">
        <f>SUM(AB118:AB122)+0.4</f>
        <v>15134473.643311655</v>
      </c>
      <c r="AC117" s="526"/>
      <c r="AD117" s="531">
        <f>SUM(AD118:AD122)</f>
        <v>0</v>
      </c>
      <c r="AE117" s="526"/>
      <c r="AF117" s="531">
        <f>SUM(AF118:AF122)</f>
        <v>0</v>
      </c>
      <c r="AG117" s="526"/>
      <c r="AH117" s="526"/>
      <c r="AI117" s="526"/>
      <c r="AJ117" s="531">
        <f>SUM(AJ118:AJ122)</f>
        <v>119437746.75668834</v>
      </c>
      <c r="AK117" s="526"/>
      <c r="AL117" s="531">
        <f>SUM(AL118:AL122)</f>
        <v>0</v>
      </c>
      <c r="AM117" s="526"/>
      <c r="AN117" s="531">
        <f>SUM(AN118:AN122)</f>
        <v>0</v>
      </c>
      <c r="AO117" s="526"/>
      <c r="AP117" s="531">
        <f>SUM(AP118:AP122)</f>
        <v>119437746.75668834</v>
      </c>
      <c r="AR117" s="531">
        <f>SUM(AR118:AR122)</f>
        <v>3776846.2320144977</v>
      </c>
      <c r="AS117" s="526"/>
      <c r="AT117" s="531">
        <f>SUM(AT118:AT122)</f>
        <v>0</v>
      </c>
      <c r="AU117" s="526"/>
      <c r="AV117" s="531">
        <f>SUM(AV118:AV122)</f>
        <v>0</v>
      </c>
      <c r="AW117" s="526"/>
      <c r="AX117" s="531">
        <f>SUM(AX118:AX122)</f>
        <v>115660900.52467385</v>
      </c>
      <c r="AY117" s="526"/>
      <c r="AZ117" s="531">
        <f>SUM(AZ118:AZ122)</f>
        <v>0</v>
      </c>
      <c r="BA117" s="526"/>
      <c r="BB117" s="531">
        <f>SUM(BB118:BB122)</f>
        <v>0</v>
      </c>
      <c r="BC117" s="526"/>
      <c r="BD117" s="531">
        <f>SUM(BD118:BD122)</f>
        <v>115660900.52467385</v>
      </c>
      <c r="BF117" s="531">
        <f>ROUND(SUM(BF118:BF122),0)</f>
        <v>160603558</v>
      </c>
      <c r="BH117" s="525">
        <f>A117</f>
        <v>600</v>
      </c>
    </row>
    <row r="118" spans="1:60" ht="15" x14ac:dyDescent="0.25">
      <c r="A118" s="525">
        <f>A117+1</f>
        <v>601</v>
      </c>
      <c r="B118" s="539" t="s">
        <v>1609</v>
      </c>
      <c r="F118" s="536" t="s">
        <v>1608</v>
      </c>
      <c r="H118" s="528"/>
      <c r="J118" s="528">
        <v>336430551</v>
      </c>
      <c r="K118" s="526"/>
      <c r="L118" s="528">
        <v>201858330</v>
      </c>
      <c r="M118" s="526"/>
      <c r="N118" s="528">
        <v>134572220</v>
      </c>
      <c r="P118" s="538" t="s">
        <v>1607</v>
      </c>
      <c r="R118" s="526">
        <f>+N118</f>
        <v>134572220</v>
      </c>
      <c r="S118" s="526"/>
      <c r="T118" s="526">
        <v>0</v>
      </c>
      <c r="U118" s="526"/>
      <c r="V118" s="526">
        <v>0</v>
      </c>
      <c r="W118" s="526"/>
      <c r="X118" s="526">
        <f>SUM(R118:V118)</f>
        <v>134572220</v>
      </c>
      <c r="Y118" s="526"/>
      <c r="Z118" s="537" t="s">
        <v>1606</v>
      </c>
      <c r="AA118" s="526"/>
      <c r="AB118" s="528">
        <v>15134473.243311655</v>
      </c>
      <c r="AC118" s="526"/>
      <c r="AD118" s="526">
        <v>0</v>
      </c>
      <c r="AE118" s="526"/>
      <c r="AF118" s="526">
        <v>0</v>
      </c>
      <c r="AG118" s="526"/>
      <c r="AH118" s="537" t="s">
        <v>1605</v>
      </c>
      <c r="AI118" s="526"/>
      <c r="AJ118" s="527">
        <f>+R118-AB118</f>
        <v>119437746.75668834</v>
      </c>
      <c r="AK118" s="526"/>
      <c r="AL118" s="527">
        <f>+T118-AD118</f>
        <v>0</v>
      </c>
      <c r="AM118" s="526"/>
      <c r="AN118" s="527">
        <f>+V118-AF118</f>
        <v>0</v>
      </c>
      <c r="AO118" s="526"/>
      <c r="AP118" s="526">
        <f>SUM(AJ118:AN118)</f>
        <v>119437746.75668834</v>
      </c>
      <c r="AR118" s="528">
        <v>3776846.2320144977</v>
      </c>
      <c r="AS118" s="526"/>
      <c r="AT118" s="526">
        <v>0</v>
      </c>
      <c r="AU118" s="526"/>
      <c r="AV118" s="526">
        <v>0</v>
      </c>
      <c r="AW118" s="526"/>
      <c r="AX118" s="527">
        <f>+AJ118-AR118</f>
        <v>115660900.52467385</v>
      </c>
      <c r="AY118" s="526"/>
      <c r="AZ118" s="527">
        <f>+AL118-AT118</f>
        <v>0</v>
      </c>
      <c r="BA118" s="526"/>
      <c r="BB118" s="527">
        <f>+AN118-AV118</f>
        <v>0</v>
      </c>
      <c r="BC118" s="526"/>
      <c r="BD118" s="526">
        <f>SUM(AX118:BB118)</f>
        <v>115660900.52467385</v>
      </c>
      <c r="BF118" s="526">
        <f>+BD118*$BF$10</f>
        <v>160603557.69612733</v>
      </c>
      <c r="BH118" s="525">
        <f>A118</f>
        <v>601</v>
      </c>
    </row>
    <row r="119" spans="1:60" ht="15" x14ac:dyDescent="0.25">
      <c r="A119" s="525">
        <f>A118+1</f>
        <v>602</v>
      </c>
      <c r="B119" s="529" t="s">
        <v>83</v>
      </c>
      <c r="F119" s="536" t="s">
        <v>1608</v>
      </c>
      <c r="H119" s="528"/>
      <c r="J119" s="528"/>
      <c r="K119" s="526"/>
      <c r="L119" s="528"/>
      <c r="M119" s="526"/>
      <c r="N119" s="528"/>
      <c r="P119" s="538" t="s">
        <v>1607</v>
      </c>
      <c r="R119" s="526">
        <f>N119</f>
        <v>0</v>
      </c>
      <c r="S119" s="526"/>
      <c r="T119" s="526">
        <v>0</v>
      </c>
      <c r="U119" s="526"/>
      <c r="V119" s="526">
        <v>0</v>
      </c>
      <c r="W119" s="526"/>
      <c r="X119" s="526">
        <f>SUM(R119:V119)</f>
        <v>0</v>
      </c>
      <c r="Y119" s="526"/>
      <c r="Z119" s="537" t="s">
        <v>1606</v>
      </c>
      <c r="AA119" s="526"/>
      <c r="AB119" s="528"/>
      <c r="AC119" s="526"/>
      <c r="AD119" s="526">
        <v>0</v>
      </c>
      <c r="AE119" s="526"/>
      <c r="AF119" s="526">
        <v>0</v>
      </c>
      <c r="AG119" s="526"/>
      <c r="AH119" s="537" t="s">
        <v>1605</v>
      </c>
      <c r="AI119" s="526"/>
      <c r="AJ119" s="527">
        <f>+R119-AB119</f>
        <v>0</v>
      </c>
      <c r="AK119" s="526"/>
      <c r="AL119" s="527">
        <f>+T119-AD119</f>
        <v>0</v>
      </c>
      <c r="AM119" s="526"/>
      <c r="AN119" s="527">
        <f>+V119-AF119</f>
        <v>0</v>
      </c>
      <c r="AO119" s="526"/>
      <c r="AP119" s="526">
        <f>SUM(AJ119:AN119)</f>
        <v>0</v>
      </c>
      <c r="AR119" s="528"/>
      <c r="AS119" s="526"/>
      <c r="AT119" s="526">
        <v>0</v>
      </c>
      <c r="AU119" s="526"/>
      <c r="AV119" s="526">
        <v>0</v>
      </c>
      <c r="AW119" s="526"/>
      <c r="AX119" s="527">
        <f>+AJ119-AR119</f>
        <v>0</v>
      </c>
      <c r="AY119" s="526"/>
      <c r="AZ119" s="527">
        <f>+AL119-AT119</f>
        <v>0</v>
      </c>
      <c r="BA119" s="526"/>
      <c r="BB119" s="527">
        <f>+AN119-AV119</f>
        <v>0</v>
      </c>
      <c r="BC119" s="526"/>
      <c r="BD119" s="526">
        <f>SUM(AX119:BB119)</f>
        <v>0</v>
      </c>
      <c r="BF119" s="526">
        <f>+BD119*$BF$10</f>
        <v>0</v>
      </c>
      <c r="BH119" s="525">
        <f>A119</f>
        <v>602</v>
      </c>
    </row>
    <row r="120" spans="1:60" ht="15" x14ac:dyDescent="0.25">
      <c r="A120" s="525">
        <f>A119+1</f>
        <v>603</v>
      </c>
      <c r="B120" s="529" t="s">
        <v>83</v>
      </c>
      <c r="F120" s="536"/>
      <c r="H120" s="528"/>
      <c r="J120" s="528"/>
      <c r="K120" s="526"/>
      <c r="L120" s="528"/>
      <c r="M120" s="526"/>
      <c r="N120" s="528"/>
      <c r="R120" s="526">
        <v>0</v>
      </c>
      <c r="S120" s="526"/>
      <c r="T120" s="526">
        <v>0</v>
      </c>
      <c r="U120" s="526"/>
      <c r="V120" s="526">
        <v>0</v>
      </c>
      <c r="W120" s="526"/>
      <c r="X120" s="526">
        <f>SUM(R120:V120)</f>
        <v>0</v>
      </c>
      <c r="Y120" s="526"/>
      <c r="Z120" s="526"/>
      <c r="AA120" s="526"/>
      <c r="AB120" s="528"/>
      <c r="AC120" s="526"/>
      <c r="AD120" s="526">
        <v>0</v>
      </c>
      <c r="AE120" s="526"/>
      <c r="AF120" s="526">
        <v>0</v>
      </c>
      <c r="AG120" s="526"/>
      <c r="AH120" s="526"/>
      <c r="AI120" s="526"/>
      <c r="AJ120" s="527">
        <f>+R120-AB120</f>
        <v>0</v>
      </c>
      <c r="AK120" s="526"/>
      <c r="AL120" s="527">
        <f>+T120-AD120</f>
        <v>0</v>
      </c>
      <c r="AM120" s="526"/>
      <c r="AN120" s="527">
        <f>+V120-AF120</f>
        <v>0</v>
      </c>
      <c r="AO120" s="526"/>
      <c r="AP120" s="526">
        <f>SUM(AJ120:AN120)</f>
        <v>0</v>
      </c>
      <c r="AR120" s="528"/>
      <c r="AS120" s="526"/>
      <c r="AT120" s="526">
        <v>0</v>
      </c>
      <c r="AU120" s="526"/>
      <c r="AV120" s="526">
        <v>0</v>
      </c>
      <c r="AW120" s="526"/>
      <c r="AX120" s="527">
        <f>+AJ120-AR120</f>
        <v>0</v>
      </c>
      <c r="AY120" s="526"/>
      <c r="AZ120" s="527">
        <f>+AL120-AT120</f>
        <v>0</v>
      </c>
      <c r="BA120" s="526"/>
      <c r="BB120" s="527">
        <f>+AN120-AV120</f>
        <v>0</v>
      </c>
      <c r="BC120" s="526"/>
      <c r="BD120" s="526">
        <f>SUM(AX120:BB120)</f>
        <v>0</v>
      </c>
      <c r="BF120" s="526">
        <f>+BD120*$BF$10</f>
        <v>0</v>
      </c>
      <c r="BH120" s="525">
        <f>A120</f>
        <v>603</v>
      </c>
    </row>
    <row r="121" spans="1:60" ht="15" x14ac:dyDescent="0.25">
      <c r="A121" s="525">
        <f>A120+1</f>
        <v>604</v>
      </c>
      <c r="B121" s="535"/>
      <c r="H121" s="528"/>
      <c r="J121" s="528"/>
      <c r="K121" s="526"/>
      <c r="L121" s="528"/>
      <c r="M121" s="526"/>
      <c r="N121" s="528"/>
      <c r="R121" s="526">
        <v>0</v>
      </c>
      <c r="S121" s="526"/>
      <c r="T121" s="526">
        <v>0</v>
      </c>
      <c r="U121" s="526"/>
      <c r="V121" s="526">
        <v>0</v>
      </c>
      <c r="W121" s="526"/>
      <c r="X121" s="526">
        <f>SUM(R121:V121)</f>
        <v>0</v>
      </c>
      <c r="Y121" s="526"/>
      <c r="Z121" s="526"/>
      <c r="AA121" s="526"/>
      <c r="AB121" s="528"/>
      <c r="AC121" s="526"/>
      <c r="AD121" s="526">
        <v>0</v>
      </c>
      <c r="AE121" s="526"/>
      <c r="AF121" s="526">
        <v>0</v>
      </c>
      <c r="AG121" s="526"/>
      <c r="AH121" s="526"/>
      <c r="AI121" s="526"/>
      <c r="AJ121" s="527">
        <f>+R121-AB121</f>
        <v>0</v>
      </c>
      <c r="AK121" s="526"/>
      <c r="AL121" s="527">
        <f>+T121-AD121</f>
        <v>0</v>
      </c>
      <c r="AM121" s="526"/>
      <c r="AN121" s="527">
        <f>+V121-AF121</f>
        <v>0</v>
      </c>
      <c r="AO121" s="526"/>
      <c r="AP121" s="526">
        <f>SUM(AJ121:AN121)</f>
        <v>0</v>
      </c>
      <c r="AR121" s="528"/>
      <c r="AS121" s="526"/>
      <c r="AT121" s="526">
        <v>0</v>
      </c>
      <c r="AU121" s="526"/>
      <c r="AV121" s="526">
        <v>0</v>
      </c>
      <c r="AW121" s="526"/>
      <c r="AX121" s="527">
        <f>+AJ121-AR121</f>
        <v>0</v>
      </c>
      <c r="AY121" s="526"/>
      <c r="AZ121" s="527">
        <f>+AL121-AT121</f>
        <v>0</v>
      </c>
      <c r="BA121" s="526"/>
      <c r="BB121" s="527">
        <f>+AN121-AV121</f>
        <v>0</v>
      </c>
      <c r="BC121" s="526"/>
      <c r="BD121" s="526">
        <f>SUM(AX121:BB121)</f>
        <v>0</v>
      </c>
      <c r="BF121" s="526">
        <f>+BD121*$BF$10</f>
        <v>0</v>
      </c>
      <c r="BH121" s="525">
        <f>A121</f>
        <v>604</v>
      </c>
    </row>
    <row r="122" spans="1:60" ht="15" x14ac:dyDescent="0.25">
      <c r="A122" s="525">
        <f>+A121+1</f>
        <v>605</v>
      </c>
      <c r="B122" s="535"/>
      <c r="H122" s="528"/>
      <c r="J122" s="528"/>
      <c r="K122" s="526"/>
      <c r="L122" s="528"/>
      <c r="M122" s="526"/>
      <c r="N122" s="528"/>
      <c r="R122" s="526">
        <v>0</v>
      </c>
      <c r="S122" s="526"/>
      <c r="T122" s="526">
        <v>0</v>
      </c>
      <c r="U122" s="526"/>
      <c r="V122" s="526">
        <v>0</v>
      </c>
      <c r="W122" s="526"/>
      <c r="X122" s="526">
        <f>SUM(R122:V122)</f>
        <v>0</v>
      </c>
      <c r="Y122" s="526"/>
      <c r="Z122" s="526"/>
      <c r="AA122" s="526"/>
      <c r="AB122" s="528"/>
      <c r="AC122" s="526"/>
      <c r="AD122" s="526">
        <v>0</v>
      </c>
      <c r="AE122" s="526"/>
      <c r="AF122" s="526">
        <v>0</v>
      </c>
      <c r="AG122" s="526"/>
      <c r="AH122" s="526"/>
      <c r="AI122" s="526"/>
      <c r="AJ122" s="527">
        <f>+R122-AB122</f>
        <v>0</v>
      </c>
      <c r="AK122" s="526"/>
      <c r="AL122" s="527">
        <f>+T122-AD122</f>
        <v>0</v>
      </c>
      <c r="AM122" s="526"/>
      <c r="AN122" s="527">
        <f>+V122-AF122</f>
        <v>0</v>
      </c>
      <c r="AO122" s="526"/>
      <c r="AP122" s="526">
        <f>SUM(AJ122:AN122)</f>
        <v>0</v>
      </c>
      <c r="AR122" s="528"/>
      <c r="AS122" s="526"/>
      <c r="AT122" s="526">
        <v>0</v>
      </c>
      <c r="AU122" s="526"/>
      <c r="AV122" s="526">
        <v>0</v>
      </c>
      <c r="AW122" s="526"/>
      <c r="AX122" s="527">
        <f>+AJ122-AR122</f>
        <v>0</v>
      </c>
      <c r="AY122" s="526"/>
      <c r="AZ122" s="527">
        <f>+AL122-AT122</f>
        <v>0</v>
      </c>
      <c r="BA122" s="526"/>
      <c r="BB122" s="527">
        <f>+AN122-AV122</f>
        <v>0</v>
      </c>
      <c r="BC122" s="526"/>
      <c r="BD122" s="526">
        <f>SUM(AX122:BB122)</f>
        <v>0</v>
      </c>
      <c r="BF122" s="526">
        <f>+BD122*$BF$10</f>
        <v>0</v>
      </c>
      <c r="BH122" s="525">
        <f>A122</f>
        <v>605</v>
      </c>
    </row>
    <row r="123" spans="1:60" ht="15" x14ac:dyDescent="0.25">
      <c r="A123" s="525"/>
      <c r="B123" s="534"/>
      <c r="H123" s="526"/>
      <c r="J123" s="526"/>
      <c r="K123" s="526"/>
      <c r="L123" s="526"/>
      <c r="M123" s="526"/>
      <c r="N123" s="526"/>
      <c r="R123" s="526"/>
      <c r="S123" s="526"/>
      <c r="T123" s="526"/>
      <c r="U123" s="526"/>
      <c r="V123" s="526"/>
      <c r="W123" s="526"/>
      <c r="X123" s="526"/>
      <c r="Y123" s="526"/>
      <c r="Z123" s="526"/>
      <c r="AA123" s="526"/>
      <c r="AB123" s="526"/>
      <c r="AC123" s="526"/>
      <c r="AD123" s="526"/>
      <c r="AE123" s="526"/>
      <c r="AF123" s="526"/>
      <c r="AG123" s="526"/>
      <c r="AH123" s="526"/>
      <c r="AI123" s="526"/>
      <c r="AJ123" s="526">
        <f>+R123-AB123</f>
        <v>0</v>
      </c>
      <c r="AK123" s="526"/>
      <c r="AL123" s="526">
        <f>+T123-AD123</f>
        <v>0</v>
      </c>
      <c r="AM123" s="526"/>
      <c r="AN123" s="526">
        <f>+V123-AF123</f>
        <v>0</v>
      </c>
      <c r="AO123" s="526"/>
      <c r="AP123" s="526">
        <f>SUM(AJ123:AN123)</f>
        <v>0</v>
      </c>
      <c r="AR123" s="526"/>
      <c r="AS123" s="526"/>
      <c r="AT123" s="526"/>
      <c r="AU123" s="526"/>
      <c r="AV123" s="526"/>
      <c r="AW123" s="526"/>
      <c r="AX123" s="526">
        <f>+AJ123-AR123</f>
        <v>0</v>
      </c>
      <c r="AY123" s="526"/>
      <c r="AZ123" s="526">
        <f>+AL123-AT123</f>
        <v>0</v>
      </c>
      <c r="BA123" s="526"/>
      <c r="BB123" s="526">
        <f>+AN123-AV123</f>
        <v>0</v>
      </c>
      <c r="BC123" s="526"/>
      <c r="BD123" s="526"/>
      <c r="BF123" s="526"/>
      <c r="BH123" s="525"/>
    </row>
    <row r="124" spans="1:60" ht="15" x14ac:dyDescent="0.25">
      <c r="A124" s="508" t="s">
        <v>106</v>
      </c>
      <c r="BH124" s="533" t="s">
        <v>106</v>
      </c>
    </row>
    <row r="125" spans="1:60" ht="15" x14ac:dyDescent="0.25">
      <c r="A125" s="525">
        <v>700</v>
      </c>
      <c r="B125" s="532" t="s">
        <v>1604</v>
      </c>
      <c r="H125" s="531">
        <f>SUM(H126:H130)</f>
        <v>0</v>
      </c>
      <c r="J125" s="531">
        <f>SUM(J126:J130)-1</f>
        <v>-22361974</v>
      </c>
      <c r="K125" s="526"/>
      <c r="L125" s="531">
        <f>SUM(L126:L130)+1</f>
        <v>-13417682</v>
      </c>
      <c r="M125" s="526"/>
      <c r="N125" s="531">
        <f>SUM(N126:N130)</f>
        <v>-8944291</v>
      </c>
      <c r="O125" s="525"/>
      <c r="P125" s="525"/>
      <c r="Q125" s="525"/>
      <c r="R125" s="531">
        <f>SUM(R126:R130)</f>
        <v>0</v>
      </c>
      <c r="S125" s="526"/>
      <c r="T125" s="531">
        <f>SUM(T126:T130)</f>
        <v>-8944291</v>
      </c>
      <c r="U125" s="526"/>
      <c r="V125" s="531">
        <f>SUM(V126:V130)</f>
        <v>0</v>
      </c>
      <c r="W125" s="526"/>
      <c r="X125" s="531">
        <f>SUM(X126:X130)</f>
        <v>-8944291</v>
      </c>
      <c r="Y125" s="526"/>
      <c r="Z125" s="526"/>
      <c r="AA125" s="526"/>
      <c r="AB125" s="531">
        <f>SUM(AB126:AB130)</f>
        <v>0</v>
      </c>
      <c r="AC125" s="526"/>
      <c r="AD125" s="531">
        <f>SUM(AD126:AD130)+1</f>
        <v>-5857533.8955580052</v>
      </c>
      <c r="AE125" s="526"/>
      <c r="AF125" s="531">
        <f>SUM(AF126:AF130)</f>
        <v>0</v>
      </c>
      <c r="AG125" s="526"/>
      <c r="AH125" s="526"/>
      <c r="AI125" s="526"/>
      <c r="AJ125" s="531">
        <f>SUM(AJ126:AJ130)</f>
        <v>0</v>
      </c>
      <c r="AK125" s="526"/>
      <c r="AL125" s="531">
        <f>SUM(AL126:AL130)</f>
        <v>-3086756.1044419948</v>
      </c>
      <c r="AM125" s="526"/>
      <c r="AN125" s="531">
        <f>SUM(AN126:AN130)</f>
        <v>0</v>
      </c>
      <c r="AO125" s="526"/>
      <c r="AP125" s="531">
        <f>SUM(AP126:AP130)</f>
        <v>-3086756.1044419948</v>
      </c>
      <c r="AR125" s="531">
        <f>SUM(AR126:AR130)</f>
        <v>0</v>
      </c>
      <c r="AS125" s="526"/>
      <c r="AT125" s="531">
        <f>SUM(AT126:AT130)</f>
        <v>-929946.9651860015</v>
      </c>
      <c r="AU125" s="526"/>
      <c r="AV125" s="531">
        <f>SUM(AV126:AV130)</f>
        <v>0</v>
      </c>
      <c r="AW125" s="526"/>
      <c r="AX125" s="531">
        <f>SUM(AX126:AX130)</f>
        <v>0</v>
      </c>
      <c r="AY125" s="526"/>
      <c r="AZ125" s="531">
        <f>SUM(AZ126:AZ130)</f>
        <v>-2156809.1392559931</v>
      </c>
      <c r="BA125" s="526"/>
      <c r="BB125" s="531">
        <f>SUM(BB126:BB130)</f>
        <v>0</v>
      </c>
      <c r="BC125" s="526"/>
      <c r="BD125" s="531">
        <f>SUM(BD126:BD130)</f>
        <v>-2156809.1392559931</v>
      </c>
      <c r="BF125" s="531">
        <f>SUM(BF126:BF130)</f>
        <v>-12419797.435028687</v>
      </c>
      <c r="BH125" s="525">
        <f>A125</f>
        <v>700</v>
      </c>
    </row>
    <row r="126" spans="1:60" ht="15" x14ac:dyDescent="0.25">
      <c r="A126" s="525">
        <f>A125+1</f>
        <v>701</v>
      </c>
      <c r="B126" s="530" t="s">
        <v>1603</v>
      </c>
      <c r="H126" s="528"/>
      <c r="J126" s="528">
        <v>-29456149</v>
      </c>
      <c r="K126" s="526"/>
      <c r="L126" s="528">
        <v>-17673690</v>
      </c>
      <c r="M126" s="526"/>
      <c r="N126" s="528">
        <v>-11782460</v>
      </c>
      <c r="R126" s="526">
        <v>0</v>
      </c>
      <c r="S126" s="526"/>
      <c r="T126" s="526">
        <f>N126</f>
        <v>-11782460</v>
      </c>
      <c r="U126" s="526"/>
      <c r="V126" s="526">
        <v>0</v>
      </c>
      <c r="W126" s="526"/>
      <c r="X126" s="526">
        <f>SUM(R126:V126)</f>
        <v>-11782460</v>
      </c>
      <c r="Y126" s="526"/>
      <c r="Z126" s="526"/>
      <c r="AA126" s="526"/>
      <c r="AB126" s="528"/>
      <c r="AC126" s="526"/>
      <c r="AD126" s="528">
        <v>-7716224.5486277882</v>
      </c>
      <c r="AE126" s="526"/>
      <c r="AF126" s="528"/>
      <c r="AG126" s="526"/>
      <c r="AH126" s="526"/>
      <c r="AI126" s="526"/>
      <c r="AJ126" s="527">
        <f>+R126-AB126</f>
        <v>0</v>
      </c>
      <c r="AK126" s="526"/>
      <c r="AL126" s="527">
        <f>+T126-AD126</f>
        <v>-4066235.4513722118</v>
      </c>
      <c r="AM126" s="526"/>
      <c r="AN126" s="527">
        <f>+V126-AF126</f>
        <v>0</v>
      </c>
      <c r="AO126" s="526"/>
      <c r="AP126" s="526">
        <f>SUM(AJ126:AN126)</f>
        <v>-4066235.4513722118</v>
      </c>
      <c r="AR126" s="528"/>
      <c r="AS126" s="526"/>
      <c r="AT126" s="528">
        <v>-1225034.1828759292</v>
      </c>
      <c r="AU126" s="526"/>
      <c r="AV126" s="528"/>
      <c r="AW126" s="526"/>
      <c r="AX126" s="527">
        <f>+AJ126-AR126</f>
        <v>0</v>
      </c>
      <c r="AY126" s="526"/>
      <c r="AZ126" s="527">
        <f>+AL126-AT126</f>
        <v>-2841201.2684962824</v>
      </c>
      <c r="BA126" s="526"/>
      <c r="BB126" s="527">
        <f>+AN126-AV126</f>
        <v>0</v>
      </c>
      <c r="BC126" s="526"/>
      <c r="BD126" s="526">
        <f>SUM(AX126:BB126)</f>
        <v>-2841201.2684962824</v>
      </c>
      <c r="BF126" s="526">
        <f>+N126*$BF$10</f>
        <v>-16360801.150848972</v>
      </c>
      <c r="BH126" s="525">
        <f>A126</f>
        <v>701</v>
      </c>
    </row>
    <row r="127" spans="1:60" ht="15" x14ac:dyDescent="0.25">
      <c r="A127" s="525">
        <f>A126+1</f>
        <v>702</v>
      </c>
      <c r="B127" s="530" t="s">
        <v>1602</v>
      </c>
      <c r="H127" s="528"/>
      <c r="J127" s="528">
        <v>3240927</v>
      </c>
      <c r="K127" s="526"/>
      <c r="L127" s="528">
        <v>1944556</v>
      </c>
      <c r="M127" s="526"/>
      <c r="N127" s="528">
        <v>1296371</v>
      </c>
      <c r="R127" s="526">
        <v>0</v>
      </c>
      <c r="S127" s="526"/>
      <c r="T127" s="526">
        <f>N127</f>
        <v>1296371</v>
      </c>
      <c r="U127" s="526"/>
      <c r="V127" s="526">
        <v>0</v>
      </c>
      <c r="W127" s="526"/>
      <c r="X127" s="526">
        <f>SUM(R127:V127)</f>
        <v>1296371</v>
      </c>
      <c r="Y127" s="526"/>
      <c r="Z127" s="526"/>
      <c r="AA127" s="526"/>
      <c r="AB127" s="528"/>
      <c r="AC127" s="526"/>
      <c r="AD127" s="528">
        <v>848980.93573998357</v>
      </c>
      <c r="AE127" s="526"/>
      <c r="AF127" s="528"/>
      <c r="AG127" s="526"/>
      <c r="AH127" s="526"/>
      <c r="AI127" s="526"/>
      <c r="AJ127" s="527">
        <f>+R127-AB127</f>
        <v>0</v>
      </c>
      <c r="AK127" s="526"/>
      <c r="AL127" s="527">
        <f>+T127-AD127</f>
        <v>447390.06426001643</v>
      </c>
      <c r="AM127" s="526"/>
      <c r="AN127" s="527">
        <f>+V127-AF127</f>
        <v>0</v>
      </c>
      <c r="AO127" s="526"/>
      <c r="AP127" s="526">
        <f>SUM(AJ127:AN127)</f>
        <v>447390.06426001643</v>
      </c>
      <c r="AR127" s="528"/>
      <c r="AS127" s="526"/>
      <c r="AT127" s="528">
        <v>134784.97857999455</v>
      </c>
      <c r="AU127" s="526"/>
      <c r="AV127" s="528"/>
      <c r="AW127" s="526"/>
      <c r="AX127" s="527">
        <f>+AJ127-AR127</f>
        <v>0</v>
      </c>
      <c r="AY127" s="526"/>
      <c r="AZ127" s="527">
        <f>+AL127-AT127</f>
        <v>312605.0856800219</v>
      </c>
      <c r="BA127" s="526"/>
      <c r="BB127" s="527">
        <f>+AN127-AV127</f>
        <v>0</v>
      </c>
      <c r="BC127" s="526"/>
      <c r="BD127" s="526">
        <f>SUM(AX127:BB127)</f>
        <v>312605.0856800219</v>
      </c>
      <c r="BF127" s="526">
        <f>+N127*$BF$10</f>
        <v>1800105.2538033002</v>
      </c>
      <c r="BH127" s="525">
        <f>A127</f>
        <v>702</v>
      </c>
    </row>
    <row r="128" spans="1:60" ht="15" x14ac:dyDescent="0.25">
      <c r="A128" s="525">
        <f>A127+1</f>
        <v>703</v>
      </c>
      <c r="B128" s="530" t="s">
        <v>1601</v>
      </c>
      <c r="H128" s="528"/>
      <c r="J128" s="528">
        <v>3853249</v>
      </c>
      <c r="K128" s="526"/>
      <c r="L128" s="528">
        <v>2311451</v>
      </c>
      <c r="M128" s="526"/>
      <c r="N128" s="528">
        <v>1541798</v>
      </c>
      <c r="R128" s="526">
        <v>0</v>
      </c>
      <c r="S128" s="526"/>
      <c r="T128" s="526">
        <f>N128</f>
        <v>1541798</v>
      </c>
      <c r="U128" s="526"/>
      <c r="V128" s="526">
        <v>0</v>
      </c>
      <c r="W128" s="526"/>
      <c r="X128" s="526">
        <f>SUM(R128:V128)</f>
        <v>1541798</v>
      </c>
      <c r="Y128" s="526"/>
      <c r="Z128" s="526"/>
      <c r="AA128" s="526"/>
      <c r="AB128" s="528"/>
      <c r="AC128" s="526"/>
      <c r="AD128" s="528">
        <v>1009708.7173297994</v>
      </c>
      <c r="AE128" s="526"/>
      <c r="AF128" s="528"/>
      <c r="AG128" s="526"/>
      <c r="AH128" s="526"/>
      <c r="AI128" s="526"/>
      <c r="AJ128" s="527">
        <f>+R128-AB128</f>
        <v>0</v>
      </c>
      <c r="AK128" s="526"/>
      <c r="AL128" s="527">
        <f>+T128-AD128</f>
        <v>532089.28267020057</v>
      </c>
      <c r="AM128" s="526"/>
      <c r="AN128" s="527">
        <f>+V128-AF128</f>
        <v>0</v>
      </c>
      <c r="AO128" s="526"/>
      <c r="AP128" s="526">
        <f>SUM(AJ128:AN128)</f>
        <v>532089.28267020057</v>
      </c>
      <c r="AR128" s="528"/>
      <c r="AS128" s="526"/>
      <c r="AT128" s="528">
        <v>160302.23910993309</v>
      </c>
      <c r="AU128" s="526"/>
      <c r="AV128" s="528"/>
      <c r="AW128" s="526"/>
      <c r="AX128" s="527">
        <f>+AJ128-AR128</f>
        <v>0</v>
      </c>
      <c r="AY128" s="526"/>
      <c r="AZ128" s="527">
        <f>+AL128-AT128</f>
        <v>371787.04356026748</v>
      </c>
      <c r="BA128" s="526"/>
      <c r="BB128" s="527">
        <f>+AN128-AV128</f>
        <v>0</v>
      </c>
      <c r="BC128" s="526"/>
      <c r="BD128" s="526">
        <f>SUM(AX128:BB128)</f>
        <v>371787.04356026748</v>
      </c>
      <c r="BF128" s="526">
        <f>+N128*$BF$10</f>
        <v>2140898.4620169848</v>
      </c>
      <c r="BH128" s="525">
        <f>A128</f>
        <v>703</v>
      </c>
    </row>
    <row r="129" spans="1:60" ht="15" x14ac:dyDescent="0.25">
      <c r="A129" s="525">
        <f>A128+1</f>
        <v>704</v>
      </c>
      <c r="B129" s="529" t="s">
        <v>83</v>
      </c>
      <c r="H129" s="528"/>
      <c r="J129" s="528"/>
      <c r="K129" s="526"/>
      <c r="L129" s="528"/>
      <c r="M129" s="526"/>
      <c r="N129" s="528"/>
      <c r="R129" s="526">
        <v>0</v>
      </c>
      <c r="S129" s="526"/>
      <c r="T129" s="526">
        <f>N129</f>
        <v>0</v>
      </c>
      <c r="U129" s="526"/>
      <c r="V129" s="526">
        <v>0</v>
      </c>
      <c r="W129" s="526"/>
      <c r="X129" s="526">
        <f>SUM(R129:V129)</f>
        <v>0</v>
      </c>
      <c r="Y129" s="526"/>
      <c r="Z129" s="526"/>
      <c r="AA129" s="526"/>
      <c r="AB129" s="528"/>
      <c r="AC129" s="526"/>
      <c r="AD129" s="528"/>
      <c r="AE129" s="526"/>
      <c r="AF129" s="528"/>
      <c r="AG129" s="526"/>
      <c r="AH129" s="526"/>
      <c r="AI129" s="526"/>
      <c r="AJ129" s="527">
        <f>+R129-AB129</f>
        <v>0</v>
      </c>
      <c r="AK129" s="526"/>
      <c r="AL129" s="527">
        <f>+T129-AD129</f>
        <v>0</v>
      </c>
      <c r="AM129" s="526"/>
      <c r="AN129" s="527">
        <f>+V129-AF129</f>
        <v>0</v>
      </c>
      <c r="AO129" s="526"/>
      <c r="AP129" s="526">
        <f>SUM(AJ129:AN129)</f>
        <v>0</v>
      </c>
      <c r="AR129" s="528"/>
      <c r="AS129" s="526"/>
      <c r="AT129" s="528"/>
      <c r="AU129" s="526"/>
      <c r="AV129" s="528"/>
      <c r="AW129" s="526"/>
      <c r="AX129" s="527">
        <f>+AJ129-AR129</f>
        <v>0</v>
      </c>
      <c r="AY129" s="526"/>
      <c r="AZ129" s="527">
        <f>+AL129-AT129</f>
        <v>0</v>
      </c>
      <c r="BA129" s="526"/>
      <c r="BB129" s="527">
        <f>+AN129-AV129</f>
        <v>0</v>
      </c>
      <c r="BC129" s="526"/>
      <c r="BD129" s="526">
        <f>SUM(AX129:BB129)</f>
        <v>0</v>
      </c>
      <c r="BF129" s="526">
        <f>+N129*$BF$10</f>
        <v>0</v>
      </c>
      <c r="BH129" s="525">
        <f>A129</f>
        <v>704</v>
      </c>
    </row>
    <row r="130" spans="1:60" ht="15" x14ac:dyDescent="0.25">
      <c r="A130" s="525">
        <f>+A129+1</f>
        <v>705</v>
      </c>
      <c r="B130" s="529" t="s">
        <v>83</v>
      </c>
      <c r="H130" s="528"/>
      <c r="J130" s="528"/>
      <c r="K130" s="526"/>
      <c r="L130" s="528"/>
      <c r="M130" s="526"/>
      <c r="N130" s="528"/>
      <c r="R130" s="526">
        <v>0</v>
      </c>
      <c r="S130" s="526"/>
      <c r="T130" s="526">
        <f>N130</f>
        <v>0</v>
      </c>
      <c r="U130" s="526"/>
      <c r="V130" s="526">
        <v>0</v>
      </c>
      <c r="W130" s="526"/>
      <c r="X130" s="526">
        <f>SUM(R130:V130)</f>
        <v>0</v>
      </c>
      <c r="Y130" s="526"/>
      <c r="Z130" s="526"/>
      <c r="AA130" s="526"/>
      <c r="AB130" s="528"/>
      <c r="AC130" s="526"/>
      <c r="AD130" s="528"/>
      <c r="AE130" s="526"/>
      <c r="AF130" s="528"/>
      <c r="AG130" s="526"/>
      <c r="AH130" s="526"/>
      <c r="AI130" s="526"/>
      <c r="AJ130" s="527">
        <f>+R130-AB130</f>
        <v>0</v>
      </c>
      <c r="AK130" s="526"/>
      <c r="AL130" s="527">
        <f>+T130-AD130</f>
        <v>0</v>
      </c>
      <c r="AM130" s="526"/>
      <c r="AN130" s="527">
        <f>+V130-AF130</f>
        <v>0</v>
      </c>
      <c r="AO130" s="526"/>
      <c r="AP130" s="526">
        <f>SUM(AJ130:AN130)</f>
        <v>0</v>
      </c>
      <c r="AR130" s="528"/>
      <c r="AS130" s="526"/>
      <c r="AT130" s="528"/>
      <c r="AU130" s="526"/>
      <c r="AV130" s="528"/>
      <c r="AW130" s="526"/>
      <c r="AX130" s="527">
        <f>+AJ130-AR130</f>
        <v>0</v>
      </c>
      <c r="AY130" s="526"/>
      <c r="AZ130" s="527">
        <f>+AL130-AT130</f>
        <v>0</v>
      </c>
      <c r="BA130" s="526"/>
      <c r="BB130" s="527">
        <f>+AN130-AV130</f>
        <v>0</v>
      </c>
      <c r="BC130" s="526"/>
      <c r="BD130" s="526">
        <f>SUM(AX130:BB130)</f>
        <v>0</v>
      </c>
      <c r="BF130" s="526">
        <f>+N130*$BF$10</f>
        <v>0</v>
      </c>
      <c r="BH130" s="525">
        <f>A130</f>
        <v>705</v>
      </c>
    </row>
    <row r="134" spans="1:60" x14ac:dyDescent="0.2">
      <c r="A134" s="523" t="s">
        <v>99</v>
      </c>
      <c r="B134" s="524" t="s">
        <v>1600</v>
      </c>
      <c r="C134" s="524"/>
      <c r="D134" s="524"/>
      <c r="E134" s="524"/>
      <c r="F134" s="524"/>
      <c r="G134" s="524"/>
      <c r="H134" s="524"/>
      <c r="I134" s="524"/>
      <c r="J134" s="524"/>
      <c r="K134" s="524"/>
      <c r="L134" s="524"/>
    </row>
    <row r="135" spans="1:60" ht="25.5" customHeight="1" x14ac:dyDescent="0.2">
      <c r="A135" s="523" t="s">
        <v>1599</v>
      </c>
      <c r="B135" s="524" t="s">
        <v>1598</v>
      </c>
      <c r="C135" s="524"/>
      <c r="D135" s="524"/>
      <c r="E135" s="524"/>
      <c r="F135" s="524"/>
      <c r="G135" s="524"/>
      <c r="H135" s="524"/>
      <c r="I135" s="524"/>
      <c r="J135" s="524"/>
      <c r="K135" s="524"/>
      <c r="L135" s="524"/>
    </row>
    <row r="136" spans="1:60" x14ac:dyDescent="0.2">
      <c r="A136" s="523" t="s">
        <v>1597</v>
      </c>
      <c r="B136" s="524" t="s">
        <v>1596</v>
      </c>
      <c r="C136" s="524"/>
      <c r="D136" s="524"/>
    </row>
    <row r="137" spans="1:60" x14ac:dyDescent="0.2">
      <c r="A137" s="523" t="s">
        <v>1595</v>
      </c>
      <c r="B137" s="524" t="s">
        <v>1594</v>
      </c>
      <c r="C137" s="524"/>
      <c r="D137" s="524"/>
    </row>
    <row r="138" spans="1:60" x14ac:dyDescent="0.2">
      <c r="A138" s="523" t="s">
        <v>1593</v>
      </c>
      <c r="B138" s="524" t="s">
        <v>1592</v>
      </c>
      <c r="C138" s="524"/>
      <c r="D138" s="524"/>
    </row>
    <row r="139" spans="1:60" x14ac:dyDescent="0.2">
      <c r="A139" s="523" t="s">
        <v>1591</v>
      </c>
      <c r="B139" s="524" t="s">
        <v>1590</v>
      </c>
      <c r="C139" s="524"/>
      <c r="D139" s="524"/>
    </row>
    <row r="140" spans="1:60" x14ac:dyDescent="0.2">
      <c r="A140" s="523" t="s">
        <v>1589</v>
      </c>
      <c r="B140" s="524" t="s">
        <v>1588</v>
      </c>
      <c r="C140" s="524"/>
      <c r="D140" s="524"/>
    </row>
    <row r="141" spans="1:60" x14ac:dyDescent="0.2">
      <c r="A141" s="523" t="s">
        <v>1587</v>
      </c>
      <c r="B141" s="524" t="s">
        <v>1586</v>
      </c>
      <c r="C141" s="524"/>
      <c r="D141" s="524"/>
    </row>
    <row r="142" spans="1:60" x14ac:dyDescent="0.2">
      <c r="A142" s="523" t="s">
        <v>1585</v>
      </c>
      <c r="B142" s="524" t="s">
        <v>1584</v>
      </c>
      <c r="C142" s="524"/>
      <c r="D142" s="524"/>
    </row>
    <row r="143" spans="1:60" x14ac:dyDescent="0.2">
      <c r="A143" s="523" t="s">
        <v>1583</v>
      </c>
      <c r="B143" s="521" t="s">
        <v>1582</v>
      </c>
    </row>
    <row r="144" spans="1:60" x14ac:dyDescent="0.2">
      <c r="A144" s="522" t="s">
        <v>1581</v>
      </c>
      <c r="B144" s="522"/>
      <c r="C144" s="522"/>
      <c r="D144" s="522"/>
      <c r="E144" s="522"/>
      <c r="F144" s="522"/>
      <c r="G144" s="522"/>
      <c r="H144" s="522"/>
      <c r="I144" s="522"/>
      <c r="J144" s="522"/>
      <c r="K144" s="522"/>
      <c r="L144" s="522"/>
    </row>
  </sheetData>
  <mergeCells count="13">
    <mergeCell ref="B141:D141"/>
    <mergeCell ref="B142:D142"/>
    <mergeCell ref="B134:L134"/>
    <mergeCell ref="B136:D136"/>
    <mergeCell ref="B137:D137"/>
    <mergeCell ref="B138:D138"/>
    <mergeCell ref="B135:L135"/>
    <mergeCell ref="AX5:BB5"/>
    <mergeCell ref="J5:N5"/>
    <mergeCell ref="R5:V5"/>
    <mergeCell ref="AJ5:AN5"/>
    <mergeCell ref="B139:D139"/>
    <mergeCell ref="B140:D140"/>
  </mergeCells>
  <printOptions horizontalCentered="1"/>
  <pageMargins left="1" right="1" top="1" bottom="1" header="0.5" footer="0.5"/>
  <pageSetup scale="16" fitToHeight="0" orientation="landscape" r:id="rId1"/>
  <headerFooter>
    <oddHeader>&amp;R&amp;F</oddHeader>
  </headerFooter>
  <colBreaks count="3" manualBreakCount="3">
    <brk id="17" max="1048575" man="1"/>
    <brk id="34" max="1048575" man="1"/>
    <brk id="49" max="1048575" man="1"/>
  </colBreaks>
  <customProperties>
    <customPr name="_pios_id" r:id="rId2"/>
  </customPropertie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8F1023-DC83-4CA4-B3BC-455AEB2AB939}">
  <sheetPr>
    <pageSetUpPr fitToPage="1"/>
  </sheetPr>
  <dimension ref="A1:BJ141"/>
  <sheetViews>
    <sheetView view="pageBreakPreview" topLeftCell="AL1" zoomScale="60" zoomScaleNormal="100" workbookViewId="0">
      <selection activeCell="Q36" sqref="Q36"/>
    </sheetView>
  </sheetViews>
  <sheetFormatPr defaultColWidth="9.140625" defaultRowHeight="15" x14ac:dyDescent="0.25"/>
  <cols>
    <col min="1" max="1" width="6.85546875" style="521" bestFit="1" customWidth="1"/>
    <col min="2" max="2" width="50.42578125" style="521" customWidth="1"/>
    <col min="3" max="3" width="31" style="521" customWidth="1"/>
    <col min="4" max="4" width="26.140625" style="521" customWidth="1"/>
    <col min="5" max="5" width="0.85546875" style="521" customWidth="1"/>
    <col min="6" max="6" width="17.42578125" style="536" bestFit="1" customWidth="1"/>
    <col min="7" max="7" width="1.140625" style="521" customWidth="1"/>
    <col min="8" max="8" width="15.140625" style="521" bestFit="1" customWidth="1"/>
    <col min="9" max="9" width="1.85546875" style="521" customWidth="1"/>
    <col min="10" max="10" width="15.140625" style="521" bestFit="1" customWidth="1"/>
    <col min="11" max="11" width="1.85546875" style="521" customWidth="1"/>
    <col min="12" max="12" width="15.85546875" style="521" bestFit="1" customWidth="1"/>
    <col min="13" max="13" width="1.85546875" style="521" customWidth="1"/>
    <col min="14" max="14" width="17.42578125" style="521" bestFit="1" customWidth="1"/>
    <col min="15" max="15" width="1.42578125" style="521" customWidth="1"/>
    <col min="16" max="16" width="9.140625" style="6"/>
    <col min="17" max="17" width="1.85546875" style="521" customWidth="1"/>
    <col min="18" max="18" width="22.140625" style="521" customWidth="1"/>
    <col min="19" max="19" width="1.85546875" style="521" customWidth="1"/>
    <col min="20" max="20" width="20.140625" style="521" customWidth="1"/>
    <col min="21" max="21" width="1.85546875" style="521" customWidth="1"/>
    <col min="22" max="22" width="17.85546875" style="521" customWidth="1"/>
    <col min="23" max="23" width="1.85546875" style="521" customWidth="1"/>
    <col min="24" max="24" width="19" style="521" customWidth="1"/>
    <col min="25" max="25" width="1.85546875" style="521" customWidth="1"/>
    <col min="26" max="26" width="19.85546875" style="521" customWidth="1"/>
    <col min="27" max="27" width="1.85546875" style="521" customWidth="1"/>
    <col min="28" max="28" width="24.5703125" style="521" bestFit="1" customWidth="1"/>
    <col min="29" max="29" width="1.85546875" style="521" customWidth="1"/>
    <col min="30" max="30" width="19.5703125" style="521" customWidth="1"/>
    <col min="31" max="31" width="1.85546875" style="521" customWidth="1"/>
    <col min="32" max="32" width="20.5703125" style="521" customWidth="1"/>
    <col min="33" max="33" width="1.85546875" style="521" customWidth="1"/>
    <col min="34" max="34" width="18.85546875" style="521" customWidth="1"/>
    <col min="35" max="35" width="1.85546875" style="521" customWidth="1"/>
    <col min="36" max="36" width="21.85546875" style="521" bestFit="1" customWidth="1"/>
    <col min="37" max="37" width="1.85546875" style="521" customWidth="1"/>
    <col min="38" max="38" width="26.140625" style="521" customWidth="1"/>
    <col min="39" max="39" width="1.85546875" style="521" customWidth="1"/>
    <col min="40" max="40" width="26.5703125" style="521" customWidth="1"/>
    <col min="41" max="41" width="1.85546875" style="521" customWidth="1"/>
    <col min="42" max="42" width="25.5703125" style="521" customWidth="1"/>
    <col min="43" max="43" width="1.85546875" style="521" customWidth="1"/>
    <col min="44" max="44" width="21.85546875" style="521" customWidth="1"/>
    <col min="45" max="45" width="1.85546875" style="521" customWidth="1"/>
    <col min="46" max="46" width="21.5703125" style="521" customWidth="1"/>
    <col min="47" max="47" width="1.85546875" style="521" customWidth="1"/>
    <col min="48" max="48" width="20.5703125" style="521" customWidth="1"/>
    <col min="49" max="49" width="1.85546875" style="521" customWidth="1"/>
    <col min="50" max="50" width="20.5703125" style="521" customWidth="1"/>
    <col min="51" max="51" width="1.85546875" style="521" customWidth="1"/>
    <col min="52" max="52" width="22.42578125" style="521" customWidth="1"/>
    <col min="53" max="53" width="1.85546875" style="521" customWidth="1"/>
    <col min="54" max="54" width="23.140625" style="521" customWidth="1"/>
    <col min="55" max="55" width="1.85546875" style="521" customWidth="1"/>
    <col min="56" max="56" width="22.5703125" style="521" customWidth="1"/>
    <col min="57" max="57" width="1.85546875" style="521" customWidth="1"/>
    <col min="58" max="58" width="25.42578125" style="521" customWidth="1"/>
    <col min="59" max="59" width="2.140625" style="521" customWidth="1"/>
    <col min="60" max="60" width="17.85546875" style="521" customWidth="1"/>
    <col min="61" max="61" width="22.85546875" style="521" bestFit="1" customWidth="1"/>
    <col min="62" max="62" width="4.85546875" style="521" bestFit="1" customWidth="1"/>
    <col min="63" max="16384" width="9.140625" style="521"/>
  </cols>
  <sheetData>
    <row r="1" spans="1:62" x14ac:dyDescent="0.25">
      <c r="B1" s="30" t="s">
        <v>1767</v>
      </c>
    </row>
    <row r="2" spans="1:62" x14ac:dyDescent="0.25">
      <c r="B2" s="125" t="s">
        <v>1766</v>
      </c>
      <c r="C2" s="125"/>
      <c r="D2" s="125"/>
      <c r="E2" s="125"/>
      <c r="F2" s="124"/>
      <c r="G2" s="125"/>
      <c r="H2" s="125"/>
      <c r="I2" s="125"/>
      <c r="J2" s="125"/>
      <c r="K2" s="125"/>
      <c r="L2" s="125"/>
      <c r="M2" s="125"/>
      <c r="N2" s="125"/>
      <c r="O2" s="125"/>
      <c r="Q2" s="125"/>
      <c r="R2" s="125"/>
      <c r="S2" s="125"/>
      <c r="T2" s="125"/>
      <c r="U2" s="125"/>
      <c r="V2" s="125"/>
      <c r="W2" s="125"/>
      <c r="X2" s="125"/>
      <c r="Y2" s="125"/>
      <c r="Z2" s="125"/>
      <c r="AA2" s="125"/>
      <c r="AB2" s="125"/>
      <c r="AC2" s="125"/>
      <c r="AD2" s="125"/>
      <c r="AE2" s="125"/>
      <c r="AF2" s="125"/>
      <c r="AG2" s="125"/>
      <c r="AH2" s="125"/>
      <c r="AI2" s="125"/>
      <c r="AJ2" s="125"/>
      <c r="AK2" s="125"/>
      <c r="AL2" s="125"/>
      <c r="AM2" s="125"/>
      <c r="AN2" s="125"/>
      <c r="AO2" s="125"/>
      <c r="AP2" s="125"/>
      <c r="AQ2" s="125"/>
      <c r="AR2" s="125"/>
      <c r="AS2" s="125"/>
      <c r="AT2" s="125"/>
      <c r="AU2" s="125"/>
      <c r="AV2" s="125"/>
      <c r="AW2" s="125"/>
      <c r="AX2" s="125"/>
      <c r="AY2" s="125"/>
      <c r="AZ2" s="125"/>
      <c r="BA2" s="125"/>
      <c r="BB2" s="125"/>
      <c r="BC2" s="125"/>
      <c r="BD2" s="125"/>
      <c r="BE2" s="125"/>
      <c r="BF2" s="125"/>
      <c r="BG2" s="125"/>
      <c r="BH2" s="125"/>
      <c r="BI2" s="76" t="str">
        <f>CONCATENATE("Prior Year: ",'1-BaseTRR'!$G$3)</f>
        <v>Prior Year: 2025</v>
      </c>
    </row>
    <row r="3" spans="1:62" x14ac:dyDescent="0.25">
      <c r="A3" s="125"/>
      <c r="B3" s="78" t="s">
        <v>367</v>
      </c>
      <c r="C3" s="78"/>
      <c r="D3" s="125"/>
      <c r="E3" s="125"/>
      <c r="F3" s="124"/>
      <c r="G3" s="125"/>
      <c r="H3" s="125"/>
      <c r="I3" s="125"/>
      <c r="J3" s="125"/>
      <c r="K3" s="125"/>
      <c r="L3" s="125"/>
      <c r="M3" s="125"/>
      <c r="N3" s="125"/>
      <c r="O3" s="125"/>
      <c r="Q3" s="125"/>
      <c r="R3" s="125"/>
      <c r="S3" s="125"/>
      <c r="T3" s="125"/>
      <c r="U3" s="125"/>
      <c r="V3" s="125"/>
      <c r="W3" s="125"/>
      <c r="X3" s="125"/>
      <c r="Y3" s="125"/>
      <c r="Z3" s="125"/>
      <c r="AA3" s="125"/>
      <c r="AB3" s="125"/>
      <c r="AC3" s="125"/>
      <c r="AD3" s="125"/>
      <c r="AE3" s="125"/>
      <c r="AF3" s="125"/>
      <c r="AG3" s="125"/>
      <c r="AH3" s="125"/>
      <c r="AI3" s="125"/>
      <c r="AJ3" s="125"/>
      <c r="AK3" s="125"/>
      <c r="AL3" s="125"/>
      <c r="AM3" s="125"/>
      <c r="AN3" s="125"/>
      <c r="AO3" s="125"/>
      <c r="AP3" s="125"/>
      <c r="AQ3" s="125"/>
      <c r="AR3" s="125"/>
      <c r="AS3" s="125"/>
      <c r="AT3" s="125"/>
      <c r="AU3" s="125"/>
      <c r="AV3" s="125"/>
      <c r="AW3" s="125"/>
      <c r="AX3" s="125"/>
      <c r="AY3" s="125"/>
      <c r="AZ3" s="125"/>
      <c r="BA3" s="125"/>
      <c r="BB3" s="125"/>
      <c r="BC3" s="125"/>
      <c r="BD3" s="125"/>
      <c r="BE3" s="125"/>
      <c r="BF3" s="125"/>
      <c r="BG3" s="125"/>
      <c r="BH3" s="125"/>
      <c r="BI3" s="125"/>
    </row>
    <row r="4" spans="1:62" x14ac:dyDescent="0.25">
      <c r="A4" s="124"/>
      <c r="B4" s="124"/>
      <c r="C4" s="124"/>
      <c r="D4" s="124"/>
      <c r="E4" s="124"/>
      <c r="F4" s="124"/>
      <c r="G4" s="124"/>
      <c r="H4" s="124"/>
      <c r="I4" s="124"/>
      <c r="J4" s="124"/>
      <c r="K4" s="124"/>
      <c r="L4" s="124"/>
      <c r="M4" s="124"/>
      <c r="N4" s="124"/>
      <c r="O4" s="124"/>
      <c r="Q4" s="124"/>
      <c r="R4" s="124"/>
      <c r="S4" s="124"/>
      <c r="T4" s="124"/>
      <c r="U4" s="124"/>
      <c r="V4" s="124"/>
      <c r="W4" s="124"/>
      <c r="X4" s="124"/>
      <c r="Y4" s="124"/>
      <c r="Z4" s="124"/>
      <c r="AA4" s="124"/>
      <c r="AB4" s="124"/>
      <c r="AC4" s="124"/>
      <c r="AD4" s="124"/>
      <c r="AE4" s="124"/>
      <c r="AF4" s="124"/>
      <c r="AG4" s="124"/>
      <c r="AH4" s="124"/>
      <c r="AI4" s="124"/>
      <c r="AJ4" s="124"/>
      <c r="AK4" s="124"/>
      <c r="AL4" s="124"/>
      <c r="AM4" s="124"/>
      <c r="AN4" s="124"/>
      <c r="AO4" s="124"/>
      <c r="AP4" s="124"/>
      <c r="AQ4" s="124"/>
      <c r="AR4" s="124"/>
      <c r="AS4" s="124"/>
      <c r="AT4" s="124"/>
      <c r="AU4" s="124"/>
      <c r="AV4" s="124"/>
      <c r="AW4" s="124"/>
      <c r="AX4" s="124"/>
      <c r="AY4" s="124"/>
      <c r="AZ4" s="124"/>
      <c r="BA4" s="124"/>
      <c r="BB4" s="124"/>
      <c r="BC4" s="124"/>
      <c r="BD4" s="124"/>
      <c r="BE4" s="124"/>
      <c r="BF4" s="124"/>
      <c r="BG4" s="124"/>
      <c r="BH4" s="124"/>
      <c r="BI4" s="124"/>
    </row>
    <row r="5" spans="1:62" x14ac:dyDescent="0.25">
      <c r="J5" s="570" t="s">
        <v>1749</v>
      </c>
      <c r="K5" s="570"/>
      <c r="L5" s="570"/>
      <c r="M5" s="570"/>
      <c r="N5" s="570"/>
      <c r="O5" s="536"/>
      <c r="Q5" s="536"/>
      <c r="R5" s="571" t="s">
        <v>1748</v>
      </c>
      <c r="T5" s="570" t="s">
        <v>1745</v>
      </c>
      <c r="U5" s="570"/>
      <c r="V5" s="570"/>
      <c r="W5" s="570"/>
      <c r="X5" s="570"/>
      <c r="AB5" s="572" t="s">
        <v>1747</v>
      </c>
      <c r="AJ5" s="571" t="s">
        <v>1746</v>
      </c>
      <c r="AK5" s="536"/>
      <c r="AL5" s="570" t="s">
        <v>1745</v>
      </c>
      <c r="AM5" s="570"/>
      <c r="AN5" s="570"/>
      <c r="AO5" s="570"/>
      <c r="AP5" s="570"/>
      <c r="AQ5" s="536"/>
      <c r="AR5" s="536"/>
      <c r="AZ5" s="570" t="s">
        <v>1745</v>
      </c>
      <c r="BA5" s="570"/>
      <c r="BB5" s="570"/>
      <c r="BC5" s="570"/>
      <c r="BD5" s="570"/>
      <c r="BE5" s="536"/>
      <c r="BF5" s="536"/>
      <c r="BG5" s="536"/>
      <c r="BH5" s="536"/>
    </row>
    <row r="6" spans="1:62" x14ac:dyDescent="0.25">
      <c r="A6" s="540"/>
      <c r="B6" s="540"/>
      <c r="C6" s="540"/>
      <c r="D6" s="540"/>
      <c r="E6" s="540"/>
      <c r="F6" s="534"/>
      <c r="G6" s="540"/>
      <c r="H6" s="546" t="s">
        <v>1744</v>
      </c>
      <c r="I6" s="540"/>
      <c r="J6" s="546" t="s">
        <v>492</v>
      </c>
      <c r="K6" s="546"/>
      <c r="L6" s="546" t="s">
        <v>491</v>
      </c>
      <c r="M6" s="546"/>
      <c r="N6" s="546" t="s">
        <v>490</v>
      </c>
      <c r="O6" s="546"/>
      <c r="Q6" s="546"/>
      <c r="R6" s="546" t="s">
        <v>489</v>
      </c>
      <c r="S6" s="546"/>
      <c r="T6" s="546" t="s">
        <v>519</v>
      </c>
      <c r="U6" s="546"/>
      <c r="V6" s="546" t="s">
        <v>518</v>
      </c>
      <c r="W6" s="546"/>
      <c r="X6" s="546" t="s">
        <v>517</v>
      </c>
      <c r="Y6" s="546"/>
      <c r="Z6" s="546" t="s">
        <v>538</v>
      </c>
      <c r="AA6" s="546"/>
      <c r="AB6" s="546" t="s">
        <v>537</v>
      </c>
      <c r="AC6" s="525"/>
      <c r="AD6" s="525" t="s">
        <v>770</v>
      </c>
      <c r="AE6" s="525"/>
      <c r="AF6" s="525" t="s">
        <v>769</v>
      </c>
      <c r="AG6" s="525"/>
      <c r="AH6" s="525" t="s">
        <v>768</v>
      </c>
      <c r="AI6" s="525"/>
      <c r="AJ6" s="568" t="s">
        <v>767</v>
      </c>
      <c r="AK6" s="525"/>
      <c r="AL6" s="525" t="s">
        <v>766</v>
      </c>
      <c r="AM6" s="525"/>
      <c r="AN6" s="525" t="s">
        <v>765</v>
      </c>
      <c r="AO6" s="525"/>
      <c r="AP6" s="525" t="s">
        <v>900</v>
      </c>
      <c r="AQ6" s="525"/>
      <c r="AR6" s="525" t="s">
        <v>899</v>
      </c>
      <c r="AS6" s="525"/>
      <c r="AT6" s="525" t="s">
        <v>898</v>
      </c>
      <c r="AU6" s="525"/>
      <c r="AV6" s="525" t="s">
        <v>897</v>
      </c>
      <c r="AW6" s="525"/>
      <c r="AX6" s="525" t="s">
        <v>896</v>
      </c>
      <c r="AY6" s="525"/>
      <c r="AZ6" s="546" t="s">
        <v>895</v>
      </c>
      <c r="BA6" s="546"/>
      <c r="BB6" s="546" t="s">
        <v>894</v>
      </c>
      <c r="BC6" s="546"/>
      <c r="BD6" s="546" t="s">
        <v>893</v>
      </c>
      <c r="BE6" s="546"/>
      <c r="BF6" s="546" t="s">
        <v>892</v>
      </c>
      <c r="BG6" s="525"/>
      <c r="BH6" s="546">
        <v>25</v>
      </c>
      <c r="BI6" s="540"/>
      <c r="BJ6" s="540"/>
    </row>
    <row r="7" spans="1:62" ht="28.5" customHeight="1" x14ac:dyDescent="0.25">
      <c r="A7" s="540"/>
      <c r="B7" s="540"/>
      <c r="C7" s="540"/>
      <c r="D7" s="540"/>
      <c r="E7" s="540"/>
      <c r="F7" s="534"/>
      <c r="G7" s="540"/>
      <c r="H7" s="525"/>
      <c r="I7" s="540"/>
      <c r="J7" s="525"/>
      <c r="K7" s="525"/>
      <c r="L7" s="525"/>
      <c r="M7" s="525"/>
      <c r="N7" s="525" t="s">
        <v>1743</v>
      </c>
      <c r="O7" s="525"/>
      <c r="P7" s="521"/>
      <c r="Q7" s="525"/>
      <c r="R7" s="525"/>
      <c r="S7" s="525"/>
      <c r="T7" s="546"/>
      <c r="U7" s="546"/>
      <c r="V7" s="546"/>
      <c r="W7" s="546"/>
      <c r="X7" s="546"/>
      <c r="Y7" s="546"/>
      <c r="Z7" s="546" t="s">
        <v>1742</v>
      </c>
      <c r="AA7" s="525"/>
      <c r="AB7" s="525"/>
      <c r="AC7" s="525"/>
      <c r="AD7" s="567" t="s">
        <v>1765</v>
      </c>
      <c r="AE7" s="567"/>
      <c r="AF7" s="567"/>
      <c r="AG7" s="567"/>
      <c r="AH7" s="567"/>
      <c r="AI7" s="525"/>
      <c r="AJ7" s="525"/>
      <c r="AK7" s="525"/>
      <c r="AL7" s="525" t="s">
        <v>1740</v>
      </c>
      <c r="AM7" s="525"/>
      <c r="AN7" s="525" t="s">
        <v>1739</v>
      </c>
      <c r="AO7" s="525"/>
      <c r="AP7" s="525" t="s">
        <v>1738</v>
      </c>
      <c r="AQ7" s="525"/>
      <c r="AR7" s="525" t="s">
        <v>1737</v>
      </c>
      <c r="AS7" s="525"/>
      <c r="AT7" s="567" t="s">
        <v>1764</v>
      </c>
      <c r="AU7" s="567"/>
      <c r="AV7" s="567"/>
      <c r="AW7" s="567"/>
      <c r="AX7" s="567"/>
      <c r="AY7" s="525"/>
      <c r="AZ7" s="525" t="s">
        <v>1735</v>
      </c>
      <c r="BA7" s="525"/>
      <c r="BB7" s="525" t="s">
        <v>1734</v>
      </c>
      <c r="BC7" s="525"/>
      <c r="BD7" s="525" t="s">
        <v>1733</v>
      </c>
      <c r="BE7" s="525"/>
      <c r="BF7" s="525" t="s">
        <v>1732</v>
      </c>
      <c r="BG7" s="525"/>
      <c r="BH7" s="565" t="s">
        <v>1731</v>
      </c>
      <c r="BI7" s="540"/>
      <c r="BJ7" s="540"/>
    </row>
    <row r="8" spans="1:62" ht="30" x14ac:dyDescent="0.25">
      <c r="B8" s="542"/>
      <c r="C8" s="542"/>
      <c r="D8" s="542"/>
      <c r="E8" s="542"/>
      <c r="F8" s="563" t="s">
        <v>1730</v>
      </c>
      <c r="G8" s="542"/>
      <c r="H8" s="553" t="s">
        <v>1729</v>
      </c>
      <c r="I8" s="542"/>
      <c r="J8" s="553" t="s">
        <v>1728</v>
      </c>
      <c r="K8" s="542"/>
      <c r="L8" s="553" t="s">
        <v>1727</v>
      </c>
      <c r="M8" s="542"/>
      <c r="N8" s="565" t="s">
        <v>1763</v>
      </c>
      <c r="O8" s="563"/>
      <c r="Q8" s="563"/>
      <c r="R8" s="563" t="s">
        <v>819</v>
      </c>
      <c r="S8" s="542"/>
      <c r="T8" s="566" t="s">
        <v>1762</v>
      </c>
      <c r="U8" s="566"/>
      <c r="V8" s="566"/>
      <c r="W8" s="566"/>
      <c r="X8" s="566"/>
      <c r="Y8" s="566"/>
      <c r="Z8" s="566"/>
      <c r="AA8" s="553"/>
      <c r="AB8" s="553"/>
      <c r="AC8" s="553"/>
      <c r="AD8" s="553" t="s">
        <v>508</v>
      </c>
      <c r="AE8" s="553"/>
      <c r="AF8" s="553" t="s">
        <v>508</v>
      </c>
      <c r="AG8" s="553"/>
      <c r="AH8" s="553" t="s">
        <v>508</v>
      </c>
      <c r="AI8" s="553"/>
      <c r="AJ8" s="553" t="s">
        <v>819</v>
      </c>
      <c r="AK8" s="553"/>
      <c r="AL8" s="566" t="s">
        <v>1761</v>
      </c>
      <c r="AM8" s="566"/>
      <c r="AN8" s="566"/>
      <c r="AO8" s="566"/>
      <c r="AP8" s="566"/>
      <c r="AQ8" s="566"/>
      <c r="AR8" s="566"/>
      <c r="AS8" s="553"/>
      <c r="AT8" s="553" t="s">
        <v>508</v>
      </c>
      <c r="AU8" s="553"/>
      <c r="AV8" s="553" t="s">
        <v>508</v>
      </c>
      <c r="AW8" s="553"/>
      <c r="AX8" s="553" t="s">
        <v>508</v>
      </c>
      <c r="AY8" s="553"/>
      <c r="AZ8" s="566" t="s">
        <v>1760</v>
      </c>
      <c r="BA8" s="566"/>
      <c r="BB8" s="566"/>
      <c r="BC8" s="566"/>
      <c r="BD8" s="566"/>
      <c r="BE8" s="566"/>
      <c r="BF8" s="566"/>
      <c r="BG8" s="553"/>
      <c r="BH8" s="565" t="s">
        <v>1723</v>
      </c>
      <c r="BI8" s="542"/>
    </row>
    <row r="9" spans="1:62" ht="26.25" x14ac:dyDescent="0.25">
      <c r="B9" s="542"/>
      <c r="C9" s="542"/>
      <c r="D9" s="542"/>
      <c r="E9" s="542"/>
      <c r="F9" s="563" t="s">
        <v>1722</v>
      </c>
      <c r="G9" s="542"/>
      <c r="H9" s="553" t="s">
        <v>1721</v>
      </c>
      <c r="I9" s="542"/>
      <c r="J9" s="553" t="s">
        <v>1759</v>
      </c>
      <c r="K9" s="542"/>
      <c r="L9" s="553" t="s">
        <v>1719</v>
      </c>
      <c r="M9" s="542"/>
      <c r="N9" s="576" t="s">
        <v>1758</v>
      </c>
      <c r="O9" s="563"/>
      <c r="Q9" s="563"/>
      <c r="R9" s="563" t="s">
        <v>1718</v>
      </c>
      <c r="S9" s="542"/>
      <c r="T9" s="553" t="s">
        <v>1711</v>
      </c>
      <c r="U9" s="553"/>
      <c r="V9" s="553" t="s">
        <v>1711</v>
      </c>
      <c r="W9" s="553"/>
      <c r="X9" s="553" t="s">
        <v>1711</v>
      </c>
      <c r="Y9" s="553"/>
      <c r="Z9" s="553"/>
      <c r="AA9" s="553"/>
      <c r="AB9" s="553" t="s">
        <v>508</v>
      </c>
      <c r="AC9" s="553"/>
      <c r="AD9" s="553" t="s">
        <v>1051</v>
      </c>
      <c r="AE9" s="553"/>
      <c r="AF9" s="553" t="s">
        <v>1051</v>
      </c>
      <c r="AG9" s="553"/>
      <c r="AH9" s="553" t="s">
        <v>1051</v>
      </c>
      <c r="AI9" s="553"/>
      <c r="AJ9" s="553" t="s">
        <v>1717</v>
      </c>
      <c r="AK9" s="553"/>
      <c r="AL9" s="553" t="s">
        <v>1706</v>
      </c>
      <c r="AM9" s="553"/>
      <c r="AN9" s="553" t="s">
        <v>1706</v>
      </c>
      <c r="AO9" s="553"/>
      <c r="AP9" s="553" t="s">
        <v>1706</v>
      </c>
      <c r="AQ9" s="553"/>
      <c r="AR9" s="553"/>
      <c r="AS9" s="553"/>
      <c r="AT9" s="553" t="s">
        <v>1051</v>
      </c>
      <c r="AU9" s="553"/>
      <c r="AV9" s="553" t="s">
        <v>1051</v>
      </c>
      <c r="AW9" s="553"/>
      <c r="AX9" s="553" t="s">
        <v>1051</v>
      </c>
      <c r="AY9" s="553"/>
      <c r="AZ9" s="553" t="s">
        <v>1706</v>
      </c>
      <c r="BA9" s="553"/>
      <c r="BB9" s="553" t="s">
        <v>1706</v>
      </c>
      <c r="BC9" s="553"/>
      <c r="BD9" s="553" t="s">
        <v>1706</v>
      </c>
      <c r="BE9" s="553"/>
      <c r="BF9" s="553"/>
      <c r="BG9" s="553"/>
      <c r="BH9" s="564" t="s">
        <v>1716</v>
      </c>
      <c r="BI9" s="542"/>
    </row>
    <row r="10" spans="1:62" x14ac:dyDescent="0.25">
      <c r="A10" s="525"/>
      <c r="B10" s="540"/>
      <c r="C10" s="540"/>
      <c r="D10" s="540"/>
      <c r="E10" s="540"/>
      <c r="F10" s="563" t="s">
        <v>1712</v>
      </c>
      <c r="G10" s="540"/>
      <c r="H10" s="553" t="s">
        <v>1715</v>
      </c>
      <c r="I10" s="540"/>
      <c r="J10" s="562" t="s">
        <v>1713</v>
      </c>
      <c r="K10" s="540"/>
      <c r="L10" s="562" t="s">
        <v>1757</v>
      </c>
      <c r="M10" s="540"/>
      <c r="N10" s="534" t="s">
        <v>509</v>
      </c>
      <c r="O10" s="534"/>
      <c r="Q10" s="534"/>
      <c r="R10" s="534" t="s">
        <v>1712</v>
      </c>
      <c r="S10" s="540"/>
      <c r="T10" s="553" t="s">
        <v>1708</v>
      </c>
      <c r="U10" s="553"/>
      <c r="V10" s="525" t="s">
        <v>1707</v>
      </c>
      <c r="W10" s="525"/>
      <c r="X10" s="561" t="s">
        <v>1707</v>
      </c>
      <c r="Y10" s="561"/>
      <c r="Z10" s="561" t="s">
        <v>1711</v>
      </c>
      <c r="AA10" s="561"/>
      <c r="AB10" s="561" t="s">
        <v>1710</v>
      </c>
      <c r="AC10" s="561"/>
      <c r="AD10" s="553" t="s">
        <v>1708</v>
      </c>
      <c r="AE10" s="553"/>
      <c r="AF10" s="525" t="s">
        <v>1707</v>
      </c>
      <c r="AG10" s="525"/>
      <c r="AH10" s="561" t="s">
        <v>1707</v>
      </c>
      <c r="AI10" s="561"/>
      <c r="AJ10" s="561" t="s">
        <v>1709</v>
      </c>
      <c r="AK10" s="561"/>
      <c r="AL10" s="553" t="s">
        <v>1708</v>
      </c>
      <c r="AM10" s="553"/>
      <c r="AN10" s="525" t="s">
        <v>1707</v>
      </c>
      <c r="AO10" s="525"/>
      <c r="AP10" s="561" t="s">
        <v>1707</v>
      </c>
      <c r="AQ10" s="561"/>
      <c r="AR10" s="561" t="s">
        <v>1706</v>
      </c>
      <c r="AS10" s="561"/>
      <c r="AT10" s="553" t="s">
        <v>1708</v>
      </c>
      <c r="AU10" s="553"/>
      <c r="AV10" s="525" t="s">
        <v>1707</v>
      </c>
      <c r="AW10" s="525"/>
      <c r="AX10" s="561" t="s">
        <v>1707</v>
      </c>
      <c r="AY10" s="561"/>
      <c r="AZ10" s="553" t="s">
        <v>1708</v>
      </c>
      <c r="BA10" s="553"/>
      <c r="BB10" s="525" t="s">
        <v>1707</v>
      </c>
      <c r="BC10" s="525"/>
      <c r="BD10" s="561" t="s">
        <v>1707</v>
      </c>
      <c r="BE10" s="561"/>
      <c r="BF10" s="561" t="s">
        <v>1706</v>
      </c>
      <c r="BG10" s="561"/>
      <c r="BH10" s="560">
        <f>1/(1-(0.21+0.0884-(0.21*0.0884)))</f>
        <v>1.3885726029071155</v>
      </c>
      <c r="BI10" s="525"/>
      <c r="BJ10" s="525"/>
    </row>
    <row r="11" spans="1:62" ht="15.75" thickBot="1" x14ac:dyDescent="0.3">
      <c r="A11" s="508" t="s">
        <v>106</v>
      </c>
      <c r="B11" s="559" t="s">
        <v>1355</v>
      </c>
      <c r="C11" s="559"/>
      <c r="D11" s="559"/>
      <c r="E11" s="559"/>
      <c r="F11" s="554" t="s">
        <v>1434</v>
      </c>
      <c r="G11" s="559"/>
      <c r="H11" s="555">
        <v>43100</v>
      </c>
      <c r="I11" s="559"/>
      <c r="J11" s="555">
        <v>43100</v>
      </c>
      <c r="K11" s="559"/>
      <c r="L11" s="555">
        <v>43100</v>
      </c>
      <c r="M11" s="559"/>
      <c r="N11" s="555">
        <v>43100</v>
      </c>
      <c r="O11" s="555"/>
      <c r="Q11" s="555"/>
      <c r="R11" s="555" t="s">
        <v>1705</v>
      </c>
      <c r="S11" s="559"/>
      <c r="T11" s="558" t="s">
        <v>1702</v>
      </c>
      <c r="U11" s="558"/>
      <c r="V11" s="557" t="s">
        <v>1702</v>
      </c>
      <c r="W11" s="557"/>
      <c r="X11" s="556" t="s">
        <v>1701</v>
      </c>
      <c r="Y11" s="556"/>
      <c r="Z11" s="556" t="s">
        <v>1700</v>
      </c>
      <c r="AA11" s="556"/>
      <c r="AB11" s="556" t="s">
        <v>1704</v>
      </c>
      <c r="AC11" s="556"/>
      <c r="AD11" s="558" t="s">
        <v>1702</v>
      </c>
      <c r="AE11" s="558"/>
      <c r="AF11" s="557" t="s">
        <v>1702</v>
      </c>
      <c r="AG11" s="557"/>
      <c r="AH11" s="556" t="s">
        <v>1701</v>
      </c>
      <c r="AI11" s="556"/>
      <c r="AJ11" s="556" t="s">
        <v>1703</v>
      </c>
      <c r="AK11" s="556"/>
      <c r="AL11" s="558" t="s">
        <v>1702</v>
      </c>
      <c r="AM11" s="558"/>
      <c r="AN11" s="557" t="s">
        <v>1702</v>
      </c>
      <c r="AO11" s="557"/>
      <c r="AP11" s="556" t="s">
        <v>1701</v>
      </c>
      <c r="AQ11" s="556"/>
      <c r="AR11" s="556" t="s">
        <v>1700</v>
      </c>
      <c r="AS11" s="556"/>
      <c r="AT11" s="558" t="s">
        <v>1702</v>
      </c>
      <c r="AU11" s="558"/>
      <c r="AV11" s="557" t="s">
        <v>1702</v>
      </c>
      <c r="AW11" s="557"/>
      <c r="AX11" s="556" t="s">
        <v>1701</v>
      </c>
      <c r="AY11" s="556"/>
      <c r="AZ11" s="558" t="s">
        <v>1702</v>
      </c>
      <c r="BA11" s="558"/>
      <c r="BB11" s="557" t="s">
        <v>1702</v>
      </c>
      <c r="BC11" s="557"/>
      <c r="BD11" s="556" t="s">
        <v>1701</v>
      </c>
      <c r="BE11" s="556"/>
      <c r="BF11" s="556" t="s">
        <v>1700</v>
      </c>
      <c r="BG11" s="556"/>
      <c r="BH11" s="555"/>
      <c r="BI11" s="554" t="s">
        <v>671</v>
      </c>
      <c r="BJ11" s="533" t="s">
        <v>106</v>
      </c>
    </row>
    <row r="12" spans="1:62" x14ac:dyDescent="0.25">
      <c r="A12" s="525"/>
      <c r="B12" s="540"/>
      <c r="C12" s="540"/>
      <c r="D12" s="540"/>
      <c r="E12" s="540"/>
      <c r="F12" s="534"/>
      <c r="G12" s="540"/>
      <c r="H12" s="540"/>
      <c r="I12" s="540"/>
      <c r="J12" s="540"/>
      <c r="K12" s="540"/>
      <c r="L12" s="540"/>
      <c r="M12" s="540"/>
      <c r="N12" s="540"/>
      <c r="O12" s="540"/>
      <c r="Q12" s="540"/>
      <c r="R12" s="540"/>
      <c r="S12" s="540"/>
      <c r="T12" s="553"/>
      <c r="U12" s="553"/>
      <c r="V12" s="552"/>
      <c r="W12" s="552"/>
      <c r="X12" s="551"/>
      <c r="Y12" s="551"/>
      <c r="Z12" s="551"/>
      <c r="AA12" s="551"/>
      <c r="AB12" s="551"/>
      <c r="AC12" s="551"/>
      <c r="AD12" s="551"/>
      <c r="AE12" s="551"/>
      <c r="AF12" s="551"/>
      <c r="AG12" s="551"/>
      <c r="AH12" s="551"/>
      <c r="AI12" s="551"/>
      <c r="AJ12" s="551"/>
      <c r="AK12" s="551"/>
      <c r="AL12" s="551"/>
      <c r="AM12" s="551"/>
      <c r="AN12" s="551"/>
      <c r="AO12" s="551"/>
      <c r="AP12" s="551"/>
      <c r="AQ12" s="551"/>
      <c r="AR12" s="551"/>
      <c r="AS12" s="551"/>
      <c r="AT12" s="551"/>
      <c r="AU12" s="551"/>
      <c r="AV12" s="551"/>
      <c r="AW12" s="551"/>
      <c r="AX12" s="551"/>
      <c r="AY12" s="551"/>
      <c r="AZ12" s="551"/>
      <c r="BA12" s="551"/>
      <c r="BB12" s="551"/>
      <c r="BC12" s="551"/>
      <c r="BD12" s="551"/>
      <c r="BE12" s="551"/>
      <c r="BF12" s="551"/>
      <c r="BG12" s="551"/>
      <c r="BI12" s="525"/>
      <c r="BJ12" s="525"/>
    </row>
    <row r="13" spans="1:62" x14ac:dyDescent="0.25">
      <c r="A13" s="525">
        <v>100</v>
      </c>
      <c r="B13" s="540" t="s">
        <v>1699</v>
      </c>
      <c r="C13" s="540"/>
      <c r="D13" s="540" t="s">
        <v>1599</v>
      </c>
      <c r="E13" s="540"/>
      <c r="F13" s="534" t="s">
        <v>1614</v>
      </c>
      <c r="G13" s="540"/>
      <c r="H13" s="527">
        <f>+H27</f>
        <v>0</v>
      </c>
      <c r="I13" s="540"/>
      <c r="J13" s="527">
        <f>+J27</f>
        <v>0</v>
      </c>
      <c r="K13" s="540"/>
      <c r="L13" s="527">
        <f>+L27</f>
        <v>0</v>
      </c>
      <c r="M13" s="540"/>
      <c r="N13" s="527">
        <f>+N27</f>
        <v>0</v>
      </c>
      <c r="O13" s="527"/>
      <c r="Q13" s="540"/>
      <c r="R13" s="534" t="s">
        <v>1613</v>
      </c>
      <c r="S13" s="540"/>
      <c r="T13" s="527">
        <f>T27</f>
        <v>0</v>
      </c>
      <c r="U13" s="527"/>
      <c r="V13" s="527">
        <f>V27</f>
        <v>0</v>
      </c>
      <c r="W13" s="527"/>
      <c r="X13" s="527">
        <f>X27</f>
        <v>0</v>
      </c>
      <c r="Y13" s="527"/>
      <c r="Z13" s="527">
        <f>SUM(T13:X13)</f>
        <v>0</v>
      </c>
      <c r="AA13" s="527"/>
      <c r="AB13" s="537" t="s">
        <v>1606</v>
      </c>
      <c r="AC13" s="527"/>
      <c r="AD13" s="527">
        <f>AD27</f>
        <v>0</v>
      </c>
      <c r="AE13" s="527"/>
      <c r="AF13" s="527">
        <f>AF27</f>
        <v>0</v>
      </c>
      <c r="AG13" s="527"/>
      <c r="AH13" s="527">
        <f>AH27</f>
        <v>0</v>
      </c>
      <c r="AI13" s="527"/>
      <c r="AJ13" s="534" t="s">
        <v>1611</v>
      </c>
      <c r="AK13" s="527"/>
      <c r="AL13" s="527">
        <f>AL27</f>
        <v>0</v>
      </c>
      <c r="AM13" s="527"/>
      <c r="AN13" s="527">
        <f>AN27</f>
        <v>0</v>
      </c>
      <c r="AO13" s="527"/>
      <c r="AP13" s="527">
        <f>AP27</f>
        <v>0</v>
      </c>
      <c r="AQ13" s="527"/>
      <c r="AR13" s="527">
        <f>SUM(AL13:AP13)</f>
        <v>0</v>
      </c>
      <c r="AS13" s="527"/>
      <c r="AT13" s="527">
        <f>AT27</f>
        <v>0</v>
      </c>
      <c r="AU13" s="527"/>
      <c r="AV13" s="527">
        <f>AV27</f>
        <v>0</v>
      </c>
      <c r="AW13" s="527"/>
      <c r="AX13" s="527">
        <f>AX27</f>
        <v>0</v>
      </c>
      <c r="AY13" s="527"/>
      <c r="AZ13" s="527">
        <f>AZ27</f>
        <v>0</v>
      </c>
      <c r="BA13" s="527"/>
      <c r="BB13" s="527">
        <f>BB27</f>
        <v>0</v>
      </c>
      <c r="BC13" s="527"/>
      <c r="BD13" s="527">
        <f>BD27</f>
        <v>0</v>
      </c>
      <c r="BE13" s="527"/>
      <c r="BF13" s="527">
        <f>SUM(AZ13:BD13)</f>
        <v>0</v>
      </c>
      <c r="BG13" s="527"/>
      <c r="BH13" s="527">
        <f>+BH27</f>
        <v>0</v>
      </c>
      <c r="BI13" s="525"/>
      <c r="BJ13" s="525">
        <f>A13</f>
        <v>100</v>
      </c>
    </row>
    <row r="14" spans="1:62" x14ac:dyDescent="0.25">
      <c r="A14" s="525">
        <f>+A13+1</f>
        <v>101</v>
      </c>
      <c r="B14" s="540" t="s">
        <v>955</v>
      </c>
      <c r="C14" s="540"/>
      <c r="D14" s="540" t="s">
        <v>1597</v>
      </c>
      <c r="E14" s="540"/>
      <c r="F14" s="534" t="s">
        <v>1614</v>
      </c>
      <c r="G14" s="540"/>
      <c r="H14" s="527">
        <f>+H35</f>
        <v>0</v>
      </c>
      <c r="I14" s="540"/>
      <c r="J14" s="527">
        <f>+J35</f>
        <v>0</v>
      </c>
      <c r="K14" s="540"/>
      <c r="L14" s="527">
        <f>+L35</f>
        <v>0</v>
      </c>
      <c r="M14" s="540"/>
      <c r="N14" s="527">
        <f>+N35</f>
        <v>0</v>
      </c>
      <c r="O14" s="527"/>
      <c r="Q14" s="540"/>
      <c r="R14" s="534" t="s">
        <v>1613</v>
      </c>
      <c r="S14" s="540"/>
      <c r="T14" s="527">
        <f>T35</f>
        <v>0</v>
      </c>
      <c r="U14" s="527"/>
      <c r="V14" s="527">
        <f>V35</f>
        <v>0</v>
      </c>
      <c r="W14" s="527"/>
      <c r="X14" s="527">
        <f>X35</f>
        <v>0</v>
      </c>
      <c r="Y14" s="527"/>
      <c r="Z14" s="527">
        <f>SUM(T14:X14)</f>
        <v>0</v>
      </c>
      <c r="AA14" s="527"/>
      <c r="AB14" s="537" t="s">
        <v>1606</v>
      </c>
      <c r="AC14" s="527"/>
      <c r="AD14" s="527">
        <f>AD35</f>
        <v>0</v>
      </c>
      <c r="AE14" s="527"/>
      <c r="AF14" s="527">
        <f>AF35</f>
        <v>0</v>
      </c>
      <c r="AG14" s="527"/>
      <c r="AH14" s="527">
        <f>AH35</f>
        <v>0</v>
      </c>
      <c r="AI14" s="527"/>
      <c r="AJ14" s="534" t="s">
        <v>1611</v>
      </c>
      <c r="AK14" s="527"/>
      <c r="AL14" s="527">
        <f>AL35</f>
        <v>0</v>
      </c>
      <c r="AM14" s="527"/>
      <c r="AN14" s="527">
        <f>AN35</f>
        <v>0</v>
      </c>
      <c r="AO14" s="527"/>
      <c r="AP14" s="527">
        <f>AP35</f>
        <v>0</v>
      </c>
      <c r="AQ14" s="527"/>
      <c r="AR14" s="527">
        <f>SUM(AL14:AP14)</f>
        <v>0</v>
      </c>
      <c r="AS14" s="527"/>
      <c r="AT14" s="527">
        <f>AT35</f>
        <v>0</v>
      </c>
      <c r="AU14" s="527"/>
      <c r="AV14" s="527">
        <f>AV35</f>
        <v>0</v>
      </c>
      <c r="AW14" s="527"/>
      <c r="AX14" s="527">
        <f>AX35</f>
        <v>0</v>
      </c>
      <c r="AY14" s="527"/>
      <c r="AZ14" s="527">
        <f>AZ35</f>
        <v>0</v>
      </c>
      <c r="BA14" s="527"/>
      <c r="BB14" s="527">
        <f>BB35</f>
        <v>0</v>
      </c>
      <c r="BC14" s="527"/>
      <c r="BD14" s="527">
        <f>BD35</f>
        <v>0</v>
      </c>
      <c r="BE14" s="527"/>
      <c r="BF14" s="527">
        <f>SUM(AZ14:BD14)</f>
        <v>0</v>
      </c>
      <c r="BG14" s="527"/>
      <c r="BH14" s="527">
        <f>+BH35</f>
        <v>0</v>
      </c>
      <c r="BI14" s="525"/>
      <c r="BJ14" s="525">
        <f>A14</f>
        <v>101</v>
      </c>
    </row>
    <row r="15" spans="1:62" x14ac:dyDescent="0.25">
      <c r="A15" s="525">
        <f>+A14+1</f>
        <v>102</v>
      </c>
      <c r="B15" s="540" t="s">
        <v>1698</v>
      </c>
      <c r="C15" s="540"/>
      <c r="D15" s="540" t="s">
        <v>1595</v>
      </c>
      <c r="E15" s="540"/>
      <c r="F15" s="534" t="s">
        <v>1614</v>
      </c>
      <c r="G15" s="540"/>
      <c r="H15" s="527">
        <f>+H43</f>
        <v>0</v>
      </c>
      <c r="I15" s="540"/>
      <c r="J15" s="527">
        <f>+J43</f>
        <v>0</v>
      </c>
      <c r="K15" s="540"/>
      <c r="L15" s="527">
        <f>+L43</f>
        <v>0</v>
      </c>
      <c r="M15" s="540"/>
      <c r="N15" s="527">
        <f>+N43</f>
        <v>0</v>
      </c>
      <c r="O15" s="527"/>
      <c r="Q15" s="540"/>
      <c r="R15" s="534" t="s">
        <v>1613</v>
      </c>
      <c r="S15" s="540"/>
      <c r="T15" s="527">
        <f>T43</f>
        <v>0</v>
      </c>
      <c r="U15" s="527"/>
      <c r="V15" s="527">
        <f>V43</f>
        <v>0</v>
      </c>
      <c r="W15" s="527"/>
      <c r="X15" s="527">
        <f>X43</f>
        <v>0</v>
      </c>
      <c r="Y15" s="527"/>
      <c r="Z15" s="527">
        <f>SUM(T15:X15)</f>
        <v>0</v>
      </c>
      <c r="AA15" s="527"/>
      <c r="AB15" s="537" t="s">
        <v>1695</v>
      </c>
      <c r="AC15" s="527"/>
      <c r="AD15" s="527">
        <f>AD43</f>
        <v>0</v>
      </c>
      <c r="AE15" s="527"/>
      <c r="AF15" s="527">
        <f>AF43</f>
        <v>0</v>
      </c>
      <c r="AG15" s="527"/>
      <c r="AH15" s="527">
        <f>AH43</f>
        <v>0</v>
      </c>
      <c r="AI15" s="527"/>
      <c r="AJ15" s="534" t="s">
        <v>1611</v>
      </c>
      <c r="AK15" s="527"/>
      <c r="AL15" s="527">
        <f>AL43</f>
        <v>0</v>
      </c>
      <c r="AM15" s="527"/>
      <c r="AN15" s="527">
        <f>AN43</f>
        <v>0</v>
      </c>
      <c r="AO15" s="527"/>
      <c r="AP15" s="527">
        <f>AP43</f>
        <v>0</v>
      </c>
      <c r="AQ15" s="527"/>
      <c r="AR15" s="527">
        <f>SUM(AL15:AP15)</f>
        <v>0</v>
      </c>
      <c r="AS15" s="527"/>
      <c r="AT15" s="527">
        <f>AT43</f>
        <v>0</v>
      </c>
      <c r="AU15" s="527"/>
      <c r="AV15" s="527">
        <f>AV43</f>
        <v>0</v>
      </c>
      <c r="AW15" s="527"/>
      <c r="AX15" s="527">
        <f>AX43</f>
        <v>0</v>
      </c>
      <c r="AY15" s="527"/>
      <c r="AZ15" s="527">
        <f>AZ43</f>
        <v>0</v>
      </c>
      <c r="BA15" s="527"/>
      <c r="BB15" s="527">
        <f>BB43</f>
        <v>0</v>
      </c>
      <c r="BC15" s="527"/>
      <c r="BD15" s="527">
        <f>BD43</f>
        <v>0</v>
      </c>
      <c r="BE15" s="527"/>
      <c r="BF15" s="527">
        <f>SUM(AZ15:BD15)</f>
        <v>0</v>
      </c>
      <c r="BG15" s="527"/>
      <c r="BH15" s="527">
        <f>+BH43</f>
        <v>0</v>
      </c>
      <c r="BI15" s="525"/>
      <c r="BJ15" s="525">
        <f>A15</f>
        <v>102</v>
      </c>
    </row>
    <row r="16" spans="1:62" x14ac:dyDescent="0.25">
      <c r="A16" s="525">
        <f>+A15+1</f>
        <v>103</v>
      </c>
      <c r="B16" s="540" t="s">
        <v>1697</v>
      </c>
      <c r="C16" s="540"/>
      <c r="D16" s="540" t="s">
        <v>1593</v>
      </c>
      <c r="E16" s="540"/>
      <c r="F16" s="534" t="s">
        <v>1696</v>
      </c>
      <c r="G16" s="540"/>
      <c r="H16" s="527">
        <f>+H103</f>
        <v>0</v>
      </c>
      <c r="I16" s="540"/>
      <c r="J16" s="527">
        <f>+J103</f>
        <v>0</v>
      </c>
      <c r="K16" s="540"/>
      <c r="L16" s="527">
        <f>+L103</f>
        <v>0</v>
      </c>
      <c r="M16" s="540"/>
      <c r="N16" s="527">
        <f>+N103</f>
        <v>0</v>
      </c>
      <c r="O16" s="527"/>
      <c r="Q16" s="540"/>
      <c r="R16" s="534" t="s">
        <v>1607</v>
      </c>
      <c r="S16" s="540"/>
      <c r="T16" s="527">
        <f>T103</f>
        <v>0</v>
      </c>
      <c r="U16" s="527"/>
      <c r="V16" s="527">
        <f>V103</f>
        <v>0</v>
      </c>
      <c r="W16" s="527"/>
      <c r="X16" s="527">
        <f>X103</f>
        <v>0</v>
      </c>
      <c r="Y16" s="527"/>
      <c r="Z16" s="527">
        <f>SUM(T16:X16)</f>
        <v>0</v>
      </c>
      <c r="AA16" s="527"/>
      <c r="AB16" s="537" t="s">
        <v>1756</v>
      </c>
      <c r="AC16" s="527"/>
      <c r="AD16" s="527">
        <f>AD103</f>
        <v>0</v>
      </c>
      <c r="AE16" s="527"/>
      <c r="AF16" s="527">
        <f>AF103</f>
        <v>0</v>
      </c>
      <c r="AG16" s="527"/>
      <c r="AH16" s="527">
        <f>AH103</f>
        <v>0</v>
      </c>
      <c r="AI16" s="527"/>
      <c r="AJ16" s="534" t="s">
        <v>1605</v>
      </c>
      <c r="AK16" s="527"/>
      <c r="AL16" s="527">
        <f>AL103</f>
        <v>0</v>
      </c>
      <c r="AM16" s="527"/>
      <c r="AN16" s="527">
        <f>AN103</f>
        <v>0</v>
      </c>
      <c r="AO16" s="527"/>
      <c r="AP16" s="527">
        <f>AP103</f>
        <v>0</v>
      </c>
      <c r="AQ16" s="527"/>
      <c r="AR16" s="527">
        <f>SUM(AL16:AP16)</f>
        <v>0</v>
      </c>
      <c r="AS16" s="527"/>
      <c r="AT16" s="527">
        <f>AT103</f>
        <v>0</v>
      </c>
      <c r="AU16" s="527"/>
      <c r="AV16" s="527">
        <f>AV103</f>
        <v>0</v>
      </c>
      <c r="AW16" s="527"/>
      <c r="AX16" s="527">
        <f>AX103</f>
        <v>0</v>
      </c>
      <c r="AY16" s="527"/>
      <c r="AZ16" s="527">
        <f>AZ103</f>
        <v>0</v>
      </c>
      <c r="BA16" s="527"/>
      <c r="BB16" s="527">
        <f>BB103</f>
        <v>0</v>
      </c>
      <c r="BC16" s="527"/>
      <c r="BD16" s="527">
        <f>BD103</f>
        <v>0</v>
      </c>
      <c r="BE16" s="527"/>
      <c r="BF16" s="527">
        <f>SUM(AZ16:BD16)</f>
        <v>0</v>
      </c>
      <c r="BG16" s="527"/>
      <c r="BH16" s="527">
        <f>+BH103</f>
        <v>0</v>
      </c>
      <c r="BI16" s="525"/>
      <c r="BJ16" s="525">
        <f>A16</f>
        <v>103</v>
      </c>
    </row>
    <row r="17" spans="1:62" x14ac:dyDescent="0.25">
      <c r="A17" s="525">
        <f>+A16+1</f>
        <v>104</v>
      </c>
      <c r="B17" s="540" t="s">
        <v>1694</v>
      </c>
      <c r="C17" s="540" t="s">
        <v>1693</v>
      </c>
      <c r="D17" s="540" t="s">
        <v>1591</v>
      </c>
      <c r="E17" s="540"/>
      <c r="F17" s="534" t="s">
        <v>1608</v>
      </c>
      <c r="G17" s="540"/>
      <c r="H17" s="550">
        <f>+H116</f>
        <v>0</v>
      </c>
      <c r="I17" s="540"/>
      <c r="J17" s="550">
        <f>+J116</f>
        <v>0</v>
      </c>
      <c r="K17" s="540"/>
      <c r="L17" s="550">
        <f>+L116</f>
        <v>0</v>
      </c>
      <c r="M17" s="540"/>
      <c r="N17" s="550">
        <f>+N116</f>
        <v>0</v>
      </c>
      <c r="O17" s="527"/>
      <c r="Q17" s="540"/>
      <c r="R17" s="534" t="s">
        <v>1607</v>
      </c>
      <c r="S17" s="540"/>
      <c r="T17" s="550">
        <f>T116</f>
        <v>0</v>
      </c>
      <c r="U17" s="550"/>
      <c r="V17" s="550">
        <f>V116</f>
        <v>0</v>
      </c>
      <c r="W17" s="550"/>
      <c r="X17" s="550">
        <f>X116</f>
        <v>0</v>
      </c>
      <c r="Y17" s="550"/>
      <c r="Z17" s="550">
        <f>SUM(T17:X17)</f>
        <v>0</v>
      </c>
      <c r="AA17" s="527"/>
      <c r="AB17" s="537" t="s">
        <v>1606</v>
      </c>
      <c r="AC17" s="527"/>
      <c r="AD17" s="550">
        <f>AD116</f>
        <v>0</v>
      </c>
      <c r="AE17" s="550"/>
      <c r="AF17" s="550">
        <f>AF116</f>
        <v>0</v>
      </c>
      <c r="AG17" s="550"/>
      <c r="AH17" s="550">
        <f>AH116</f>
        <v>0</v>
      </c>
      <c r="AI17" s="527"/>
      <c r="AJ17" s="534" t="s">
        <v>1605</v>
      </c>
      <c r="AK17" s="527"/>
      <c r="AL17" s="550">
        <f>AL116</f>
        <v>0</v>
      </c>
      <c r="AM17" s="550"/>
      <c r="AN17" s="550">
        <f>AN116</f>
        <v>0</v>
      </c>
      <c r="AO17" s="550"/>
      <c r="AP17" s="550">
        <f>AP116</f>
        <v>0</v>
      </c>
      <c r="AQ17" s="550"/>
      <c r="AR17" s="550">
        <f>SUM(AL17:AP17)</f>
        <v>0</v>
      </c>
      <c r="AS17" s="527"/>
      <c r="AT17" s="550">
        <f>AT116</f>
        <v>0</v>
      </c>
      <c r="AU17" s="550"/>
      <c r="AV17" s="550">
        <f>AV116</f>
        <v>0</v>
      </c>
      <c r="AW17" s="550"/>
      <c r="AX17" s="550">
        <f>AX116</f>
        <v>0</v>
      </c>
      <c r="AY17" s="527"/>
      <c r="AZ17" s="550">
        <f>AZ116</f>
        <v>0</v>
      </c>
      <c r="BA17" s="550"/>
      <c r="BB17" s="550">
        <f>BB116</f>
        <v>0</v>
      </c>
      <c r="BC17" s="550"/>
      <c r="BD17" s="550">
        <f>BD116</f>
        <v>0</v>
      </c>
      <c r="BE17" s="550"/>
      <c r="BF17" s="550">
        <f>SUM(AZ17:BD17)</f>
        <v>0</v>
      </c>
      <c r="BG17" s="527"/>
      <c r="BH17" s="550">
        <f>+BH116</f>
        <v>0</v>
      </c>
      <c r="BI17" s="525"/>
      <c r="BJ17" s="525">
        <f>A17</f>
        <v>104</v>
      </c>
    </row>
    <row r="18" spans="1:62" x14ac:dyDescent="0.25">
      <c r="A18" s="525">
        <f>+A17+1</f>
        <v>105</v>
      </c>
      <c r="B18" s="540" t="s">
        <v>466</v>
      </c>
      <c r="C18" s="540"/>
      <c r="D18" s="525"/>
      <c r="E18" s="525"/>
      <c r="F18" s="525"/>
      <c r="G18" s="525"/>
      <c r="H18" s="526">
        <f>SUM(H13:H17)</f>
        <v>0</v>
      </c>
      <c r="I18" s="525"/>
      <c r="J18" s="526">
        <f>SUM(J13:J17)</f>
        <v>0</v>
      </c>
      <c r="K18" s="525"/>
      <c r="L18" s="526">
        <f>SUM(L13:L17)</f>
        <v>0</v>
      </c>
      <c r="M18" s="525"/>
      <c r="N18" s="526">
        <f>SUM(N13:N17)</f>
        <v>0</v>
      </c>
      <c r="O18" s="526"/>
      <c r="Q18" s="525"/>
      <c r="R18" s="525"/>
      <c r="S18" s="525"/>
      <c r="T18" s="526">
        <f>SUM(T13:T17)</f>
        <v>0</v>
      </c>
      <c r="U18" s="526"/>
      <c r="V18" s="526">
        <f>SUM(V13:V17)</f>
        <v>0</v>
      </c>
      <c r="W18" s="526"/>
      <c r="X18" s="526">
        <f>SUM(X13:X17)</f>
        <v>0</v>
      </c>
      <c r="Y18" s="526"/>
      <c r="Z18" s="526">
        <f>SUM(Z13:Z17)</f>
        <v>0</v>
      </c>
      <c r="AA18" s="526"/>
      <c r="AB18" s="526"/>
      <c r="AC18" s="526"/>
      <c r="AD18" s="526">
        <f>SUM(AD13:AD17)</f>
        <v>0</v>
      </c>
      <c r="AE18" s="526"/>
      <c r="AF18" s="526">
        <f>SUM(AF13:AF17)</f>
        <v>0</v>
      </c>
      <c r="AG18" s="526"/>
      <c r="AH18" s="526">
        <f>SUM(AH13:AH17)</f>
        <v>0</v>
      </c>
      <c r="AI18" s="526"/>
      <c r="AJ18" s="525"/>
      <c r="AK18" s="526"/>
      <c r="AL18" s="526">
        <f>SUM(AL13:AL17)</f>
        <v>0</v>
      </c>
      <c r="AM18" s="526"/>
      <c r="AN18" s="526">
        <f>SUM(AN13:AN17)</f>
        <v>0</v>
      </c>
      <c r="AO18" s="526"/>
      <c r="AP18" s="526">
        <f>SUM(AP13:AP17)</f>
        <v>0</v>
      </c>
      <c r="AQ18" s="526"/>
      <c r="AR18" s="526">
        <f>SUM(AR13:AR17)</f>
        <v>0</v>
      </c>
      <c r="AS18" s="526"/>
      <c r="AT18" s="526">
        <f>SUM(AT13:AT17)</f>
        <v>0</v>
      </c>
      <c r="AU18" s="526"/>
      <c r="AV18" s="526">
        <f>SUM(AV13:AV17)</f>
        <v>0</v>
      </c>
      <c r="AW18" s="526"/>
      <c r="AX18" s="526">
        <f>SUM(AX13:AX17)</f>
        <v>0</v>
      </c>
      <c r="AY18" s="526"/>
      <c r="AZ18" s="526">
        <f>SUM(AZ13:AZ17)</f>
        <v>0</v>
      </c>
      <c r="BA18" s="526"/>
      <c r="BB18" s="526">
        <f>SUM(BB13:BB17)</f>
        <v>0</v>
      </c>
      <c r="BC18" s="526"/>
      <c r="BD18" s="526">
        <f>SUM(BD13:BD17)</f>
        <v>0</v>
      </c>
      <c r="BE18" s="526"/>
      <c r="BF18" s="526">
        <f>SUM(BF13:BF17)</f>
        <v>0</v>
      </c>
      <c r="BG18" s="526"/>
      <c r="BH18" s="526">
        <f>SUM(BH13:BH17)</f>
        <v>0</v>
      </c>
      <c r="BI18" s="544"/>
      <c r="BJ18" s="525">
        <f>A18</f>
        <v>105</v>
      </c>
    </row>
    <row r="19" spans="1:62" x14ac:dyDescent="0.25">
      <c r="A19" s="525"/>
      <c r="B19" s="540"/>
      <c r="C19" s="540"/>
      <c r="D19" s="525"/>
      <c r="E19" s="525"/>
      <c r="F19" s="525"/>
      <c r="G19" s="525"/>
      <c r="H19" s="525"/>
      <c r="I19" s="525"/>
      <c r="J19" s="525"/>
      <c r="K19" s="525"/>
      <c r="L19" s="525"/>
      <c r="M19" s="525"/>
      <c r="N19" s="525"/>
      <c r="O19" s="525"/>
      <c r="Q19" s="525"/>
      <c r="R19" s="525"/>
      <c r="S19" s="525"/>
      <c r="T19" s="540"/>
      <c r="U19" s="540"/>
      <c r="V19" s="540"/>
      <c r="W19" s="540"/>
      <c r="X19" s="540"/>
      <c r="Y19" s="540"/>
      <c r="Z19" s="540"/>
      <c r="AA19" s="540"/>
      <c r="AB19" s="540"/>
      <c r="AC19" s="540"/>
      <c r="AD19" s="540"/>
      <c r="AE19" s="540"/>
      <c r="AF19" s="540"/>
      <c r="AG19" s="540"/>
      <c r="AH19" s="540"/>
      <c r="AI19" s="540"/>
      <c r="AJ19" s="525"/>
      <c r="AK19" s="540"/>
      <c r="AL19" s="540"/>
      <c r="AM19" s="540"/>
      <c r="AN19" s="540"/>
      <c r="AO19" s="540"/>
      <c r="AP19" s="540"/>
      <c r="AQ19" s="540"/>
      <c r="AR19" s="540"/>
      <c r="AS19" s="540"/>
      <c r="AT19" s="540"/>
      <c r="AU19" s="540"/>
      <c r="AV19" s="540"/>
      <c r="AW19" s="540"/>
      <c r="AX19" s="540"/>
      <c r="AY19" s="540"/>
      <c r="AZ19" s="540"/>
      <c r="BA19" s="540"/>
      <c r="BB19" s="540"/>
      <c r="BC19" s="540"/>
      <c r="BD19" s="540"/>
      <c r="BE19" s="540"/>
      <c r="BF19" s="540"/>
      <c r="BG19" s="540"/>
      <c r="BH19" s="525"/>
      <c r="BI19" s="544"/>
      <c r="BJ19" s="525"/>
    </row>
    <row r="20" spans="1:62" x14ac:dyDescent="0.25">
      <c r="A20" s="525">
        <f>+A18+1</f>
        <v>106</v>
      </c>
      <c r="B20" s="532" t="s">
        <v>1604</v>
      </c>
      <c r="C20" s="532"/>
      <c r="D20" s="546"/>
      <c r="E20" s="525"/>
      <c r="F20" s="525"/>
      <c r="G20" s="525"/>
      <c r="H20" s="525"/>
      <c r="I20" s="525"/>
      <c r="J20" s="525"/>
      <c r="K20" s="525"/>
      <c r="L20" s="525"/>
      <c r="M20" s="525"/>
      <c r="N20" s="525"/>
      <c r="O20" s="525"/>
      <c r="Q20" s="525"/>
      <c r="R20" s="525"/>
      <c r="S20" s="525"/>
      <c r="T20" s="540"/>
      <c r="U20" s="540"/>
      <c r="V20" s="540"/>
      <c r="W20" s="540"/>
      <c r="X20" s="540"/>
      <c r="Y20" s="540"/>
      <c r="Z20" s="540"/>
      <c r="AA20" s="540"/>
      <c r="AB20" s="540"/>
      <c r="AC20" s="540"/>
      <c r="AD20" s="540"/>
      <c r="AE20" s="540"/>
      <c r="AF20" s="540"/>
      <c r="AG20" s="540"/>
      <c r="AH20" s="540"/>
      <c r="AI20" s="540"/>
      <c r="AJ20" s="525"/>
      <c r="AK20" s="540"/>
      <c r="AL20" s="540"/>
      <c r="AM20" s="540"/>
      <c r="AN20" s="540"/>
      <c r="AO20" s="540"/>
      <c r="AP20" s="540"/>
      <c r="AQ20" s="540"/>
      <c r="AR20" s="540"/>
      <c r="AS20" s="540"/>
      <c r="AT20" s="540"/>
      <c r="AU20" s="540"/>
      <c r="AV20" s="540"/>
      <c r="AW20" s="540"/>
      <c r="AX20" s="540"/>
      <c r="AY20" s="540"/>
      <c r="AZ20" s="540"/>
      <c r="BA20" s="540"/>
      <c r="BB20" s="540"/>
      <c r="BC20" s="540"/>
      <c r="BD20" s="540"/>
      <c r="BE20" s="540"/>
      <c r="BF20" s="540"/>
      <c r="BG20" s="540"/>
      <c r="BH20" s="525"/>
      <c r="BI20" s="545"/>
      <c r="BJ20" s="525">
        <f>A20</f>
        <v>106</v>
      </c>
    </row>
    <row r="21" spans="1:62" x14ac:dyDescent="0.25">
      <c r="A21" s="525">
        <f>+A20+1</f>
        <v>107</v>
      </c>
      <c r="B21" s="534" t="s">
        <v>1753</v>
      </c>
      <c r="C21" s="540" t="s">
        <v>1755</v>
      </c>
      <c r="D21" s="525"/>
      <c r="E21" s="525"/>
      <c r="F21" s="525"/>
      <c r="G21" s="525"/>
      <c r="H21" s="526">
        <f>+H125</f>
        <v>0</v>
      </c>
      <c r="I21" s="525"/>
      <c r="J21" s="526">
        <f>+J125</f>
        <v>0</v>
      </c>
      <c r="K21" s="526"/>
      <c r="L21" s="526">
        <f>+L125</f>
        <v>0</v>
      </c>
      <c r="M21" s="526"/>
      <c r="N21" s="526">
        <f>N125</f>
        <v>0</v>
      </c>
      <c r="O21" s="526"/>
      <c r="Q21" s="526"/>
      <c r="R21" s="534" t="s">
        <v>1691</v>
      </c>
      <c r="S21" s="525"/>
      <c r="T21" s="526">
        <f>T124</f>
        <v>0</v>
      </c>
      <c r="U21" s="526"/>
      <c r="V21" s="526">
        <f>V124</f>
        <v>0</v>
      </c>
      <c r="W21" s="526"/>
      <c r="X21" s="526">
        <f>X124</f>
        <v>0</v>
      </c>
      <c r="Y21" s="526"/>
      <c r="Z21" s="526">
        <f>SUM(T21:X21)</f>
        <v>0</v>
      </c>
      <c r="AA21" s="526"/>
      <c r="AB21" s="537" t="s">
        <v>1606</v>
      </c>
      <c r="AC21" s="526"/>
      <c r="AD21" s="526">
        <f>AD124</f>
        <v>0</v>
      </c>
      <c r="AE21" s="526"/>
      <c r="AF21" s="526">
        <f>AF124</f>
        <v>0</v>
      </c>
      <c r="AG21" s="526"/>
      <c r="AH21" s="526">
        <f>AH124</f>
        <v>0</v>
      </c>
      <c r="AI21" s="526"/>
      <c r="AJ21" s="534" t="s">
        <v>1691</v>
      </c>
      <c r="AK21" s="526"/>
      <c r="AL21" s="526">
        <f>AL124</f>
        <v>0</v>
      </c>
      <c r="AM21" s="526"/>
      <c r="AN21" s="526">
        <f>AN124</f>
        <v>0</v>
      </c>
      <c r="AO21" s="526"/>
      <c r="AP21" s="526">
        <f>AP124</f>
        <v>0</v>
      </c>
      <c r="AQ21" s="526"/>
      <c r="AR21" s="526">
        <f>SUM(AL21:AP21)</f>
        <v>0</v>
      </c>
      <c r="AS21" s="526"/>
      <c r="AT21" s="526">
        <f>AT124</f>
        <v>0</v>
      </c>
      <c r="AU21" s="526"/>
      <c r="AV21" s="526">
        <f>AV124</f>
        <v>0</v>
      </c>
      <c r="AW21" s="526"/>
      <c r="AX21" s="526">
        <f>AX124</f>
        <v>0</v>
      </c>
      <c r="AY21" s="526"/>
      <c r="AZ21" s="527">
        <f>+AL21+AT21</f>
        <v>0</v>
      </c>
      <c r="BA21" s="526"/>
      <c r="BB21" s="527">
        <f>+AN21+AV21</f>
        <v>0</v>
      </c>
      <c r="BC21" s="526"/>
      <c r="BD21" s="527">
        <f>+AP21+AX21</f>
        <v>0</v>
      </c>
      <c r="BE21" s="526"/>
      <c r="BF21" s="526">
        <f>SUM(AZ21:BD21)</f>
        <v>0</v>
      </c>
      <c r="BG21" s="526"/>
      <c r="BH21" s="526">
        <f>BH125</f>
        <v>0</v>
      </c>
      <c r="BI21" s="544"/>
      <c r="BJ21" s="525">
        <f>A21</f>
        <v>107</v>
      </c>
    </row>
    <row r="22" spans="1:62" x14ac:dyDescent="0.25">
      <c r="A22" s="525">
        <f>A21+1</f>
        <v>108</v>
      </c>
      <c r="B22" s="534" t="s">
        <v>83</v>
      </c>
      <c r="C22" s="540"/>
      <c r="D22" s="525"/>
      <c r="E22" s="525"/>
      <c r="F22" s="525"/>
      <c r="G22" s="525"/>
      <c r="H22" s="526">
        <f>+H126</f>
        <v>0</v>
      </c>
      <c r="I22" s="525"/>
      <c r="J22" s="526">
        <f>+J126</f>
        <v>0</v>
      </c>
      <c r="K22" s="526"/>
      <c r="L22" s="526">
        <f>+L126</f>
        <v>0</v>
      </c>
      <c r="M22" s="526"/>
      <c r="N22" s="526">
        <f>N126</f>
        <v>0</v>
      </c>
      <c r="O22" s="526"/>
      <c r="Q22" s="526"/>
      <c r="R22" s="534" t="s">
        <v>1691</v>
      </c>
      <c r="S22" s="525"/>
      <c r="T22" s="526">
        <f>T125</f>
        <v>0</v>
      </c>
      <c r="U22" s="526"/>
      <c r="V22" s="526">
        <f>V125</f>
        <v>0</v>
      </c>
      <c r="W22" s="526"/>
      <c r="X22" s="526">
        <f>X125</f>
        <v>0</v>
      </c>
      <c r="Y22" s="526"/>
      <c r="Z22" s="526">
        <f>SUM(T22:X22)</f>
        <v>0</v>
      </c>
      <c r="AA22" s="526"/>
      <c r="AB22" s="537" t="s">
        <v>1606</v>
      </c>
      <c r="AC22" s="526"/>
      <c r="AD22" s="526">
        <f>AD125</f>
        <v>0</v>
      </c>
      <c r="AE22" s="526"/>
      <c r="AF22" s="526">
        <f>AF125</f>
        <v>0</v>
      </c>
      <c r="AG22" s="526"/>
      <c r="AH22" s="526">
        <f>AH125</f>
        <v>0</v>
      </c>
      <c r="AI22" s="526"/>
      <c r="AJ22" s="534" t="s">
        <v>1691</v>
      </c>
      <c r="AK22" s="526"/>
      <c r="AL22" s="526">
        <f>AL125</f>
        <v>0</v>
      </c>
      <c r="AM22" s="526"/>
      <c r="AN22" s="526">
        <f>AN125</f>
        <v>0</v>
      </c>
      <c r="AO22" s="526"/>
      <c r="AP22" s="526">
        <f>AP125</f>
        <v>0</v>
      </c>
      <c r="AQ22" s="526"/>
      <c r="AR22" s="526">
        <f>SUM(AL22:AP22)</f>
        <v>0</v>
      </c>
      <c r="AS22" s="526"/>
      <c r="AT22" s="526">
        <f>AT125</f>
        <v>0</v>
      </c>
      <c r="AU22" s="526"/>
      <c r="AV22" s="526">
        <f>AV125</f>
        <v>0</v>
      </c>
      <c r="AW22" s="526"/>
      <c r="AX22" s="526">
        <f>AX125</f>
        <v>0</v>
      </c>
      <c r="AY22" s="526"/>
      <c r="AZ22" s="527">
        <f>+AL22+AT22</f>
        <v>0</v>
      </c>
      <c r="BA22" s="526"/>
      <c r="BB22" s="527">
        <f>+AN22+AV22</f>
        <v>0</v>
      </c>
      <c r="BC22" s="526"/>
      <c r="BD22" s="527">
        <f>+AP22+AX22</f>
        <v>0</v>
      </c>
      <c r="BE22" s="526"/>
      <c r="BF22" s="526">
        <f>SUM(AZ22:BD22)</f>
        <v>0</v>
      </c>
      <c r="BG22" s="526"/>
      <c r="BH22" s="526">
        <f>BH126</f>
        <v>0</v>
      </c>
      <c r="BI22" s="545"/>
      <c r="BJ22" s="525">
        <f>A22</f>
        <v>108</v>
      </c>
    </row>
    <row r="23" spans="1:62" x14ac:dyDescent="0.25">
      <c r="A23" s="525">
        <f>A22+1</f>
        <v>109</v>
      </c>
      <c r="B23" s="534" t="s">
        <v>83</v>
      </c>
      <c r="C23" s="540"/>
      <c r="D23" s="525"/>
      <c r="E23" s="525"/>
      <c r="F23" s="525"/>
      <c r="G23" s="525"/>
      <c r="H23" s="531">
        <f>+H127</f>
        <v>0</v>
      </c>
      <c r="I23" s="525"/>
      <c r="J23" s="531">
        <f>+J127</f>
        <v>0</v>
      </c>
      <c r="K23" s="531"/>
      <c r="L23" s="531">
        <f>+L127</f>
        <v>0</v>
      </c>
      <c r="M23" s="531"/>
      <c r="N23" s="531">
        <f>N127</f>
        <v>0</v>
      </c>
      <c r="O23" s="531"/>
      <c r="Q23" s="531"/>
      <c r="R23" s="534" t="s">
        <v>1691</v>
      </c>
      <c r="S23" s="525"/>
      <c r="T23" s="531">
        <f>T126</f>
        <v>0</v>
      </c>
      <c r="U23" s="531"/>
      <c r="V23" s="531">
        <f>V126</f>
        <v>0</v>
      </c>
      <c r="W23" s="531"/>
      <c r="X23" s="531">
        <f>X126</f>
        <v>0</v>
      </c>
      <c r="Y23" s="531"/>
      <c r="Z23" s="531">
        <f>SUM(T23:X23)</f>
        <v>0</v>
      </c>
      <c r="AA23" s="526"/>
      <c r="AB23" s="537" t="s">
        <v>1606</v>
      </c>
      <c r="AC23" s="526"/>
      <c r="AD23" s="531">
        <f>AD126</f>
        <v>0</v>
      </c>
      <c r="AE23" s="531"/>
      <c r="AF23" s="531">
        <f>AF126</f>
        <v>0</v>
      </c>
      <c r="AG23" s="531"/>
      <c r="AH23" s="531">
        <f>AH126</f>
        <v>0</v>
      </c>
      <c r="AI23" s="526"/>
      <c r="AJ23" s="534" t="s">
        <v>1691</v>
      </c>
      <c r="AK23" s="526"/>
      <c r="AL23" s="531">
        <f>AL126</f>
        <v>0</v>
      </c>
      <c r="AM23" s="531"/>
      <c r="AN23" s="531">
        <f>AN126</f>
        <v>0</v>
      </c>
      <c r="AO23" s="531"/>
      <c r="AP23" s="531">
        <f>AP126</f>
        <v>0</v>
      </c>
      <c r="AQ23" s="531"/>
      <c r="AR23" s="531">
        <f>SUM(AL23:AP23)</f>
        <v>0</v>
      </c>
      <c r="AS23" s="526"/>
      <c r="AT23" s="531">
        <f>AT126</f>
        <v>0</v>
      </c>
      <c r="AU23" s="531"/>
      <c r="AV23" s="531">
        <f>AV126</f>
        <v>0</v>
      </c>
      <c r="AW23" s="531"/>
      <c r="AX23" s="531">
        <f>AX126</f>
        <v>0</v>
      </c>
      <c r="AY23" s="526"/>
      <c r="AZ23" s="550">
        <f>+AL23+AT23</f>
        <v>0</v>
      </c>
      <c r="BA23" s="531"/>
      <c r="BB23" s="550">
        <f>+AN23+AV23</f>
        <v>0</v>
      </c>
      <c r="BC23" s="531"/>
      <c r="BD23" s="550">
        <f>+AP23+AX23</f>
        <v>0</v>
      </c>
      <c r="BE23" s="531"/>
      <c r="BF23" s="531">
        <f>SUM(AZ23:BD23)</f>
        <v>0</v>
      </c>
      <c r="BG23" s="526"/>
      <c r="BH23" s="531">
        <f>BH127</f>
        <v>0</v>
      </c>
      <c r="BI23" s="545"/>
      <c r="BJ23" s="525">
        <f>A23</f>
        <v>109</v>
      </c>
    </row>
    <row r="24" spans="1:62" x14ac:dyDescent="0.25">
      <c r="A24" s="525">
        <f>A23+1</f>
        <v>110</v>
      </c>
      <c r="B24" s="540" t="s">
        <v>1690</v>
      </c>
      <c r="C24" s="540"/>
      <c r="D24" s="525"/>
      <c r="E24" s="525"/>
      <c r="F24" s="525"/>
      <c r="G24" s="525"/>
      <c r="H24" s="526">
        <f>SUM(H18:H23)</f>
        <v>0</v>
      </c>
      <c r="I24" s="525"/>
      <c r="J24" s="526">
        <f>SUM(J18:J23)</f>
        <v>0</v>
      </c>
      <c r="K24" s="526"/>
      <c r="L24" s="526">
        <f>SUM(L18:L23)</f>
        <v>0</v>
      </c>
      <c r="M24" s="526"/>
      <c r="N24" s="526">
        <f>SUM(N18:N23)</f>
        <v>0</v>
      </c>
      <c r="O24" s="526"/>
      <c r="Q24" s="526"/>
      <c r="R24" s="526"/>
      <c r="S24" s="525"/>
      <c r="T24" s="526">
        <f>SUM(T18:T23)</f>
        <v>0</v>
      </c>
      <c r="U24" s="526"/>
      <c r="V24" s="526">
        <f>SUM(V18:V23)</f>
        <v>0</v>
      </c>
      <c r="W24" s="526"/>
      <c r="X24" s="526">
        <f>SUM(X18:X23)</f>
        <v>0</v>
      </c>
      <c r="Y24" s="526"/>
      <c r="Z24" s="526">
        <f>SUM(Z18:Z23)</f>
        <v>0</v>
      </c>
      <c r="AA24" s="526"/>
      <c r="AB24" s="526"/>
      <c r="AC24" s="526"/>
      <c r="AD24" s="526">
        <f>SUM(AD18:AD23)</f>
        <v>0</v>
      </c>
      <c r="AE24" s="526"/>
      <c r="AF24" s="526">
        <f>SUM(AF18:AF23)</f>
        <v>0</v>
      </c>
      <c r="AG24" s="526"/>
      <c r="AH24" s="526">
        <f>SUM(AH18:AH23)</f>
        <v>0</v>
      </c>
      <c r="AI24" s="526"/>
      <c r="AJ24" s="526"/>
      <c r="AK24" s="526"/>
      <c r="AL24" s="526">
        <f>SUM(AL18:AL23)</f>
        <v>0</v>
      </c>
      <c r="AM24" s="526"/>
      <c r="AN24" s="526">
        <f>SUM(AN18:AN23)</f>
        <v>0</v>
      </c>
      <c r="AO24" s="526"/>
      <c r="AP24" s="526">
        <f>SUM(AP18:AP23)</f>
        <v>0</v>
      </c>
      <c r="AQ24" s="526"/>
      <c r="AR24" s="526">
        <f>SUM(AR18:AR23)</f>
        <v>0</v>
      </c>
      <c r="AS24" s="526"/>
      <c r="AT24" s="526">
        <f>SUM(AT18:AT23)</f>
        <v>0</v>
      </c>
      <c r="AU24" s="526"/>
      <c r="AV24" s="526">
        <f>SUM(AV18:AV23)</f>
        <v>0</v>
      </c>
      <c r="AW24" s="526"/>
      <c r="AX24" s="526">
        <f>SUM(AX18:AX23)</f>
        <v>0</v>
      </c>
      <c r="AY24" s="526"/>
      <c r="AZ24" s="526">
        <f>SUM(AZ18:AZ23)</f>
        <v>0</v>
      </c>
      <c r="BA24" s="526"/>
      <c r="BB24" s="526">
        <f>SUM(BB18:BB23)</f>
        <v>0</v>
      </c>
      <c r="BC24" s="526"/>
      <c r="BD24" s="526">
        <f>SUM(BD18:BD23)</f>
        <v>0</v>
      </c>
      <c r="BE24" s="526"/>
      <c r="BF24" s="526">
        <f>SUM(BF18:BF23)</f>
        <v>0</v>
      </c>
      <c r="BG24" s="526"/>
      <c r="BH24" s="526">
        <f>SUM(BH18:BH23)</f>
        <v>0</v>
      </c>
      <c r="BI24" s="545"/>
      <c r="BJ24" s="525">
        <f>A24</f>
        <v>110</v>
      </c>
    </row>
    <row r="25" spans="1:62" x14ac:dyDescent="0.25">
      <c r="A25" s="525"/>
      <c r="B25" s="540"/>
      <c r="C25" s="540"/>
      <c r="D25" s="525"/>
      <c r="E25" s="525"/>
      <c r="F25" s="525"/>
      <c r="G25" s="525"/>
      <c r="H25" s="525"/>
      <c r="I25" s="525"/>
      <c r="J25" s="525"/>
      <c r="K25" s="525"/>
      <c r="L25" s="525"/>
      <c r="M25" s="525"/>
      <c r="N25" s="525"/>
      <c r="O25" s="525"/>
      <c r="Q25" s="525"/>
      <c r="R25" s="525"/>
      <c r="S25" s="525"/>
      <c r="T25" s="526"/>
      <c r="U25" s="526"/>
      <c r="V25" s="526"/>
      <c r="W25" s="526"/>
      <c r="X25" s="526"/>
      <c r="Y25" s="526"/>
      <c r="Z25" s="526"/>
      <c r="AA25" s="526"/>
      <c r="AB25" s="526"/>
      <c r="AC25" s="526"/>
      <c r="AD25" s="526"/>
      <c r="AE25" s="526"/>
      <c r="AF25" s="526"/>
      <c r="AG25" s="526"/>
      <c r="AH25" s="526"/>
      <c r="AI25" s="526"/>
      <c r="AJ25" s="526"/>
      <c r="AK25" s="526"/>
      <c r="AL25" s="526"/>
      <c r="AM25" s="526"/>
      <c r="AN25" s="526"/>
      <c r="AO25" s="526"/>
      <c r="AP25" s="526"/>
      <c r="AQ25" s="526"/>
      <c r="AR25" s="526"/>
      <c r="AS25" s="526"/>
      <c r="AT25" s="526"/>
      <c r="AU25" s="526"/>
      <c r="AV25" s="526"/>
      <c r="AW25" s="526"/>
      <c r="AX25" s="526"/>
      <c r="AY25" s="526"/>
      <c r="AZ25" s="526"/>
      <c r="BA25" s="526"/>
      <c r="BB25" s="526"/>
      <c r="BC25" s="526"/>
      <c r="BD25" s="526"/>
      <c r="BE25" s="526"/>
      <c r="BF25" s="526"/>
      <c r="BG25" s="526"/>
      <c r="BH25" s="525"/>
      <c r="BI25" s="545"/>
      <c r="BJ25" s="525"/>
    </row>
    <row r="26" spans="1:62" x14ac:dyDescent="0.25">
      <c r="A26" s="508" t="s">
        <v>106</v>
      </c>
      <c r="B26" s="532" t="s">
        <v>1689</v>
      </c>
      <c r="C26" s="547"/>
      <c r="D26" s="546" t="s">
        <v>99</v>
      </c>
      <c r="E26" s="525"/>
      <c r="F26" s="525"/>
      <c r="G26" s="525"/>
      <c r="H26" s="525"/>
      <c r="I26" s="525"/>
      <c r="J26" s="525"/>
      <c r="K26" s="525"/>
      <c r="L26" s="525"/>
      <c r="M26" s="525"/>
      <c r="N26" s="525"/>
      <c r="O26" s="525"/>
      <c r="Q26" s="525"/>
      <c r="R26" s="525"/>
      <c r="S26" s="525"/>
      <c r="T26" s="526"/>
      <c r="U26" s="526"/>
      <c r="V26" s="526"/>
      <c r="W26" s="526"/>
      <c r="X26" s="540"/>
      <c r="Y26" s="540"/>
      <c r="Z26" s="540"/>
      <c r="AA26" s="540"/>
      <c r="AB26" s="540"/>
      <c r="AC26" s="540"/>
      <c r="AD26" s="540"/>
      <c r="AE26" s="540"/>
      <c r="AF26" s="540"/>
      <c r="AG26" s="540"/>
      <c r="AH26" s="540"/>
      <c r="AI26" s="540"/>
      <c r="AJ26" s="540"/>
      <c r="AK26" s="540"/>
      <c r="AL26" s="526"/>
      <c r="AM26" s="526"/>
      <c r="AN26" s="526"/>
      <c r="AO26" s="526"/>
      <c r="AP26" s="540"/>
      <c r="AQ26" s="540"/>
      <c r="AR26" s="540"/>
      <c r="AS26" s="540"/>
      <c r="AT26" s="540"/>
      <c r="AU26" s="540"/>
      <c r="AV26" s="540"/>
      <c r="AW26" s="540"/>
      <c r="AX26" s="540"/>
      <c r="AY26" s="540"/>
      <c r="AZ26" s="526"/>
      <c r="BA26" s="526"/>
      <c r="BB26" s="526"/>
      <c r="BC26" s="526"/>
      <c r="BD26" s="540"/>
      <c r="BE26" s="540"/>
      <c r="BF26" s="540"/>
      <c r="BG26" s="540"/>
      <c r="BH26" s="525"/>
      <c r="BI26" s="545"/>
      <c r="BJ26" s="533" t="s">
        <v>106</v>
      </c>
    </row>
    <row r="27" spans="1:62" x14ac:dyDescent="0.25">
      <c r="A27" s="525">
        <v>200</v>
      </c>
      <c r="B27" s="540" t="s">
        <v>1688</v>
      </c>
      <c r="C27" s="540"/>
      <c r="D27" s="525"/>
      <c r="E27" s="525"/>
      <c r="F27" s="525"/>
      <c r="G27" s="525"/>
      <c r="H27" s="531">
        <f>ROUND(SUM(H28:H32),0)</f>
        <v>0</v>
      </c>
      <c r="I27" s="525"/>
      <c r="J27" s="531">
        <f>ROUND(SUM(J28:J32),0)</f>
        <v>0</v>
      </c>
      <c r="K27" s="526"/>
      <c r="L27" s="531">
        <f>ROUND(SUM(L28:L32),0)</f>
        <v>0</v>
      </c>
      <c r="M27" s="526"/>
      <c r="N27" s="531">
        <f>ROUND(SUM(N28:N32),0)</f>
        <v>0</v>
      </c>
      <c r="O27" s="526"/>
      <c r="Q27" s="525"/>
      <c r="R27" s="525"/>
      <c r="S27" s="525"/>
      <c r="T27" s="531">
        <f>ROUND(SUM(T28:T32),0)</f>
        <v>0</v>
      </c>
      <c r="U27" s="526"/>
      <c r="V27" s="531">
        <f>ROUND(SUM(V28:V32),0)</f>
        <v>0</v>
      </c>
      <c r="W27" s="526"/>
      <c r="X27" s="531">
        <f>ROUND(SUM(X28:X32),0)</f>
        <v>0</v>
      </c>
      <c r="Y27" s="526"/>
      <c r="Z27" s="531">
        <f>ROUND(SUM(Z28:Z32),0)</f>
        <v>0</v>
      </c>
      <c r="AA27" s="526"/>
      <c r="AB27" s="526"/>
      <c r="AC27" s="526"/>
      <c r="AD27" s="531">
        <f>SUM(AD28:AD32)</f>
        <v>0</v>
      </c>
      <c r="AE27" s="526"/>
      <c r="AF27" s="531">
        <f>SUM(AF28:AF32)</f>
        <v>0</v>
      </c>
      <c r="AG27" s="526"/>
      <c r="AH27" s="531">
        <f>SUM(AH28:AH32)</f>
        <v>0</v>
      </c>
      <c r="AI27" s="526"/>
      <c r="AJ27" s="526"/>
      <c r="AK27" s="526"/>
      <c r="AL27" s="531">
        <f>SUM(AL28:AL32)</f>
        <v>0</v>
      </c>
      <c r="AM27" s="526"/>
      <c r="AN27" s="531">
        <f>SUM(AN28:AN32)</f>
        <v>0</v>
      </c>
      <c r="AO27" s="526"/>
      <c r="AP27" s="531">
        <f>SUM(AP28:AP32)</f>
        <v>0</v>
      </c>
      <c r="AQ27" s="526"/>
      <c r="AR27" s="531">
        <f>SUM(AR28:AR32)</f>
        <v>0</v>
      </c>
      <c r="AS27" s="526"/>
      <c r="AT27" s="531">
        <f>SUM(AT28:AT32)</f>
        <v>0</v>
      </c>
      <c r="AU27" s="526"/>
      <c r="AV27" s="531">
        <f>SUM(AV28:AV32)</f>
        <v>0</v>
      </c>
      <c r="AW27" s="526"/>
      <c r="AX27" s="531">
        <f>SUM(AX28:AX32)</f>
        <v>0</v>
      </c>
      <c r="AY27" s="526"/>
      <c r="AZ27" s="531">
        <f>SUM(AZ28:AZ32)</f>
        <v>0</v>
      </c>
      <c r="BA27" s="526"/>
      <c r="BB27" s="531">
        <f>SUM(BB28:BB32)</f>
        <v>0</v>
      </c>
      <c r="BC27" s="526"/>
      <c r="BD27" s="531">
        <f>SUM(BD28:BD32)</f>
        <v>0</v>
      </c>
      <c r="BE27" s="526"/>
      <c r="BF27" s="531">
        <f>SUM(BF28:BF32)</f>
        <v>0</v>
      </c>
      <c r="BG27" s="526"/>
      <c r="BH27" s="531">
        <f>ROUND(SUM(BH28:BH32),0)</f>
        <v>0</v>
      </c>
      <c r="BI27" s="544"/>
      <c r="BJ27" s="525">
        <f>A27</f>
        <v>200</v>
      </c>
    </row>
    <row r="28" spans="1:62" x14ac:dyDescent="0.25">
      <c r="A28" s="525">
        <f>A27+1</f>
        <v>201</v>
      </c>
      <c r="B28" s="530" t="s">
        <v>1687</v>
      </c>
      <c r="C28" s="540"/>
      <c r="D28" s="540" t="s">
        <v>1684</v>
      </c>
      <c r="E28" s="540"/>
      <c r="F28" s="534" t="s">
        <v>1614</v>
      </c>
      <c r="G28" s="540"/>
      <c r="H28" s="528"/>
      <c r="I28" s="525"/>
      <c r="J28" s="528"/>
      <c r="K28" s="526"/>
      <c r="L28" s="528"/>
      <c r="M28" s="526"/>
      <c r="N28" s="528"/>
      <c r="O28" s="526"/>
      <c r="Q28" s="525"/>
      <c r="R28" s="534" t="s">
        <v>1613</v>
      </c>
      <c r="S28" s="525"/>
      <c r="T28" s="526">
        <f>N28</f>
        <v>0</v>
      </c>
      <c r="U28" s="526"/>
      <c r="V28" s="526">
        <v>0</v>
      </c>
      <c r="W28" s="526"/>
      <c r="X28" s="526">
        <v>0</v>
      </c>
      <c r="Y28" s="526"/>
      <c r="Z28" s="526">
        <f>SUM(T28:X28)</f>
        <v>0</v>
      </c>
      <c r="AA28" s="526"/>
      <c r="AB28" s="537" t="s">
        <v>1606</v>
      </c>
      <c r="AC28" s="526"/>
      <c r="AD28" s="528"/>
      <c r="AE28" s="526"/>
      <c r="AF28" s="526">
        <v>0</v>
      </c>
      <c r="AG28" s="526"/>
      <c r="AH28" s="526">
        <v>0</v>
      </c>
      <c r="AI28" s="526"/>
      <c r="AJ28" s="537" t="s">
        <v>1611</v>
      </c>
      <c r="AK28" s="526"/>
      <c r="AL28" s="527">
        <f>+T28-AD28</f>
        <v>0</v>
      </c>
      <c r="AM28" s="526"/>
      <c r="AN28" s="527">
        <f>+V28-AF28</f>
        <v>0</v>
      </c>
      <c r="AO28" s="526"/>
      <c r="AP28" s="527">
        <f>+X28-AH28</f>
        <v>0</v>
      </c>
      <c r="AQ28" s="526"/>
      <c r="AR28" s="526">
        <f>SUM(AL28:AP28)</f>
        <v>0</v>
      </c>
      <c r="AS28" s="526"/>
      <c r="AT28" s="528"/>
      <c r="AU28" s="526"/>
      <c r="AV28" s="526">
        <v>0</v>
      </c>
      <c r="AW28" s="526"/>
      <c r="AX28" s="526">
        <v>0</v>
      </c>
      <c r="AY28" s="526"/>
      <c r="AZ28" s="527">
        <f>+AL28-AT28</f>
        <v>0</v>
      </c>
      <c r="BA28" s="526"/>
      <c r="BB28" s="527">
        <f>+AN28-AV28</f>
        <v>0</v>
      </c>
      <c r="BC28" s="526"/>
      <c r="BD28" s="527">
        <f>+AP28-AX28</f>
        <v>0</v>
      </c>
      <c r="BE28" s="526"/>
      <c r="BF28" s="526">
        <f>SUM(AZ28:BD28)</f>
        <v>0</v>
      </c>
      <c r="BG28" s="526"/>
      <c r="BH28" s="526">
        <f>+BF28*$BH$10</f>
        <v>0</v>
      </c>
      <c r="BI28" s="544"/>
      <c r="BJ28" s="525">
        <f>A28</f>
        <v>201</v>
      </c>
    </row>
    <row r="29" spans="1:62" x14ac:dyDescent="0.25">
      <c r="A29" s="525">
        <f>A28+1</f>
        <v>202</v>
      </c>
      <c r="B29" s="530" t="s">
        <v>1686</v>
      </c>
      <c r="C29" s="540"/>
      <c r="D29" s="540" t="s">
        <v>1684</v>
      </c>
      <c r="E29" s="540"/>
      <c r="F29" s="534" t="s">
        <v>1614</v>
      </c>
      <c r="G29" s="540"/>
      <c r="H29" s="528"/>
      <c r="I29" s="525"/>
      <c r="J29" s="528"/>
      <c r="K29" s="526"/>
      <c r="L29" s="528"/>
      <c r="M29" s="526"/>
      <c r="N29" s="528"/>
      <c r="O29" s="526"/>
      <c r="Q29" s="525"/>
      <c r="R29" s="534" t="s">
        <v>1613</v>
      </c>
      <c r="S29" s="525"/>
      <c r="T29" s="526">
        <f>N29</f>
        <v>0</v>
      </c>
      <c r="U29" s="526"/>
      <c r="V29" s="526">
        <v>0</v>
      </c>
      <c r="W29" s="526"/>
      <c r="X29" s="526">
        <v>0</v>
      </c>
      <c r="Y29" s="526"/>
      <c r="Z29" s="526">
        <f>SUM(T29:X29)</f>
        <v>0</v>
      </c>
      <c r="AA29" s="526"/>
      <c r="AB29" s="537" t="s">
        <v>1606</v>
      </c>
      <c r="AC29" s="526"/>
      <c r="AD29" s="528"/>
      <c r="AE29" s="526"/>
      <c r="AF29" s="526">
        <v>0</v>
      </c>
      <c r="AG29" s="526"/>
      <c r="AH29" s="526">
        <v>0</v>
      </c>
      <c r="AI29" s="526"/>
      <c r="AJ29" s="537" t="s">
        <v>1611</v>
      </c>
      <c r="AK29" s="526"/>
      <c r="AL29" s="527">
        <f>+T29-AD29</f>
        <v>0</v>
      </c>
      <c r="AM29" s="526"/>
      <c r="AN29" s="527">
        <f>+V29-AF29</f>
        <v>0</v>
      </c>
      <c r="AO29" s="526"/>
      <c r="AP29" s="527">
        <f>+X29-AH29</f>
        <v>0</v>
      </c>
      <c r="AQ29" s="526"/>
      <c r="AR29" s="526">
        <f>SUM(AL29:AP29)</f>
        <v>0</v>
      </c>
      <c r="AS29" s="526"/>
      <c r="AT29" s="528"/>
      <c r="AU29" s="526"/>
      <c r="AV29" s="526">
        <v>0</v>
      </c>
      <c r="AW29" s="526"/>
      <c r="AX29" s="526">
        <v>0</v>
      </c>
      <c r="AY29" s="526"/>
      <c r="AZ29" s="527">
        <f>+AL29-AT29</f>
        <v>0</v>
      </c>
      <c r="BA29" s="526"/>
      <c r="BB29" s="527">
        <f>+AN29-AV29</f>
        <v>0</v>
      </c>
      <c r="BC29" s="526"/>
      <c r="BD29" s="527">
        <f>+AP29-AX29</f>
        <v>0</v>
      </c>
      <c r="BE29" s="526"/>
      <c r="BF29" s="526">
        <f>SUM(AZ29:BD29)</f>
        <v>0</v>
      </c>
      <c r="BG29" s="526"/>
      <c r="BH29" s="526">
        <f>+BF29*$BH$10</f>
        <v>0</v>
      </c>
      <c r="BI29" s="544"/>
      <c r="BJ29" s="525">
        <f>A29</f>
        <v>202</v>
      </c>
    </row>
    <row r="30" spans="1:62" x14ac:dyDescent="0.25">
      <c r="A30" s="525">
        <f>A29+1</f>
        <v>203</v>
      </c>
      <c r="B30" s="530" t="s">
        <v>1685</v>
      </c>
      <c r="C30" s="540"/>
      <c r="D30" s="540" t="s">
        <v>1684</v>
      </c>
      <c r="E30" s="540"/>
      <c r="F30" s="534" t="s">
        <v>1614</v>
      </c>
      <c r="G30" s="540"/>
      <c r="H30" s="528"/>
      <c r="I30" s="525"/>
      <c r="J30" s="528"/>
      <c r="K30" s="526"/>
      <c r="L30" s="528"/>
      <c r="M30" s="526"/>
      <c r="N30" s="528"/>
      <c r="O30" s="526"/>
      <c r="Q30" s="525"/>
      <c r="R30" s="534" t="s">
        <v>1613</v>
      </c>
      <c r="S30" s="525"/>
      <c r="T30" s="526">
        <f>N30</f>
        <v>0</v>
      </c>
      <c r="U30" s="526"/>
      <c r="V30" s="526">
        <v>0</v>
      </c>
      <c r="W30" s="526"/>
      <c r="X30" s="526">
        <v>0</v>
      </c>
      <c r="Y30" s="526"/>
      <c r="Z30" s="526">
        <f>SUM(T30:X30)</f>
        <v>0</v>
      </c>
      <c r="AA30" s="526"/>
      <c r="AB30" s="537" t="s">
        <v>1606</v>
      </c>
      <c r="AC30" s="526"/>
      <c r="AD30" s="528"/>
      <c r="AE30" s="526"/>
      <c r="AF30" s="526">
        <v>0</v>
      </c>
      <c r="AG30" s="526"/>
      <c r="AH30" s="526">
        <v>0</v>
      </c>
      <c r="AI30" s="526"/>
      <c r="AJ30" s="537" t="s">
        <v>1611</v>
      </c>
      <c r="AK30" s="526"/>
      <c r="AL30" s="527">
        <f>+T30-AD30</f>
        <v>0</v>
      </c>
      <c r="AM30" s="526"/>
      <c r="AN30" s="527">
        <f>+V30-AF30</f>
        <v>0</v>
      </c>
      <c r="AO30" s="526"/>
      <c r="AP30" s="527">
        <f>+X30-AH30</f>
        <v>0</v>
      </c>
      <c r="AQ30" s="526"/>
      <c r="AR30" s="526">
        <f>SUM(AL30:AP30)</f>
        <v>0</v>
      </c>
      <c r="AS30" s="526"/>
      <c r="AT30" s="528"/>
      <c r="AU30" s="526"/>
      <c r="AV30" s="526">
        <v>0</v>
      </c>
      <c r="AW30" s="526"/>
      <c r="AX30" s="526">
        <v>0</v>
      </c>
      <c r="AY30" s="526"/>
      <c r="AZ30" s="527">
        <f>+AL30-AT30</f>
        <v>0</v>
      </c>
      <c r="BA30" s="526"/>
      <c r="BB30" s="527">
        <f>+AN30-AV30</f>
        <v>0</v>
      </c>
      <c r="BC30" s="526"/>
      <c r="BD30" s="527">
        <f>+AP30-AX30</f>
        <v>0</v>
      </c>
      <c r="BE30" s="526"/>
      <c r="BF30" s="526">
        <f>SUM(AZ30:BD30)</f>
        <v>0</v>
      </c>
      <c r="BG30" s="526"/>
      <c r="BH30" s="526">
        <f>+BF30*$BH$10</f>
        <v>0</v>
      </c>
      <c r="BI30" s="544"/>
      <c r="BJ30" s="525">
        <f>A30</f>
        <v>203</v>
      </c>
    </row>
    <row r="31" spans="1:62" x14ac:dyDescent="0.25">
      <c r="A31" s="525">
        <f>A30+1</f>
        <v>204</v>
      </c>
      <c r="B31" s="535" t="s">
        <v>83</v>
      </c>
      <c r="C31" s="540"/>
      <c r="D31" s="525"/>
      <c r="E31" s="525"/>
      <c r="F31" s="525"/>
      <c r="G31" s="525"/>
      <c r="H31" s="528"/>
      <c r="I31" s="525"/>
      <c r="J31" s="528"/>
      <c r="K31" s="526"/>
      <c r="L31" s="528"/>
      <c r="M31" s="526"/>
      <c r="N31" s="528"/>
      <c r="O31" s="526"/>
      <c r="Q31" s="525"/>
      <c r="R31" s="525"/>
      <c r="S31" s="525"/>
      <c r="T31" s="526">
        <v>0</v>
      </c>
      <c r="U31" s="526"/>
      <c r="V31" s="526">
        <v>0</v>
      </c>
      <c r="W31" s="526"/>
      <c r="X31" s="526">
        <v>0</v>
      </c>
      <c r="Y31" s="526"/>
      <c r="Z31" s="526">
        <f>SUM(T31:X31)</f>
        <v>0</v>
      </c>
      <c r="AA31" s="526"/>
      <c r="AB31" s="526"/>
      <c r="AC31" s="526"/>
      <c r="AD31" s="528"/>
      <c r="AE31" s="526"/>
      <c r="AF31" s="526">
        <v>0</v>
      </c>
      <c r="AG31" s="526"/>
      <c r="AH31" s="526">
        <v>0</v>
      </c>
      <c r="AI31" s="526"/>
      <c r="AJ31" s="526"/>
      <c r="AK31" s="526"/>
      <c r="AL31" s="527">
        <f>+T31-AD31</f>
        <v>0</v>
      </c>
      <c r="AM31" s="526"/>
      <c r="AN31" s="527">
        <f>+V31-AF31</f>
        <v>0</v>
      </c>
      <c r="AO31" s="526"/>
      <c r="AP31" s="527">
        <f>+X31-AH31</f>
        <v>0</v>
      </c>
      <c r="AQ31" s="526"/>
      <c r="AR31" s="526">
        <f>SUM(AL31:AP31)</f>
        <v>0</v>
      </c>
      <c r="AS31" s="526"/>
      <c r="AT31" s="528"/>
      <c r="AU31" s="526"/>
      <c r="AV31" s="526">
        <v>0</v>
      </c>
      <c r="AW31" s="526"/>
      <c r="AX31" s="526">
        <v>0</v>
      </c>
      <c r="AY31" s="526"/>
      <c r="AZ31" s="527">
        <f>+AL31-AT31</f>
        <v>0</v>
      </c>
      <c r="BA31" s="526"/>
      <c r="BB31" s="527">
        <f>+AN31-AV31</f>
        <v>0</v>
      </c>
      <c r="BC31" s="526"/>
      <c r="BD31" s="527">
        <f>+AP31-AX31</f>
        <v>0</v>
      </c>
      <c r="BE31" s="526"/>
      <c r="BF31" s="526">
        <f>SUM(AZ31:BD31)</f>
        <v>0</v>
      </c>
      <c r="BG31" s="526"/>
      <c r="BH31" s="526">
        <f>+BF31*$BH$10</f>
        <v>0</v>
      </c>
      <c r="BI31" s="544"/>
      <c r="BJ31" s="525">
        <f>A31</f>
        <v>204</v>
      </c>
    </row>
    <row r="32" spans="1:62" x14ac:dyDescent="0.25">
      <c r="A32" s="525">
        <f>+A31+1</f>
        <v>205</v>
      </c>
      <c r="B32" s="535" t="s">
        <v>83</v>
      </c>
      <c r="C32" s="543"/>
      <c r="D32" s="540"/>
      <c r="E32" s="540"/>
      <c r="F32" s="534"/>
      <c r="G32" s="540"/>
      <c r="H32" s="528"/>
      <c r="I32" s="540"/>
      <c r="J32" s="528"/>
      <c r="K32" s="526"/>
      <c r="L32" s="528"/>
      <c r="M32" s="526"/>
      <c r="N32" s="528"/>
      <c r="O32" s="526"/>
      <c r="Q32" s="540"/>
      <c r="R32" s="540"/>
      <c r="S32" s="540"/>
      <c r="T32" s="526">
        <v>0</v>
      </c>
      <c r="U32" s="526"/>
      <c r="V32" s="526">
        <v>0</v>
      </c>
      <c r="W32" s="526"/>
      <c r="X32" s="526">
        <v>0</v>
      </c>
      <c r="Y32" s="526"/>
      <c r="Z32" s="526">
        <f>SUM(T32:X32)</f>
        <v>0</v>
      </c>
      <c r="AA32" s="526"/>
      <c r="AB32" s="526"/>
      <c r="AC32" s="526"/>
      <c r="AD32" s="528"/>
      <c r="AE32" s="526"/>
      <c r="AF32" s="526">
        <v>0</v>
      </c>
      <c r="AG32" s="526"/>
      <c r="AH32" s="526">
        <v>0</v>
      </c>
      <c r="AI32" s="526"/>
      <c r="AJ32" s="526"/>
      <c r="AK32" s="526"/>
      <c r="AL32" s="527">
        <f>+T32-AD32</f>
        <v>0</v>
      </c>
      <c r="AM32" s="526"/>
      <c r="AN32" s="527">
        <f>+V32-AF32</f>
        <v>0</v>
      </c>
      <c r="AO32" s="526"/>
      <c r="AP32" s="527">
        <f>+X32-AH32</f>
        <v>0</v>
      </c>
      <c r="AQ32" s="526"/>
      <c r="AR32" s="526">
        <f>SUM(AL32:AP32)</f>
        <v>0</v>
      </c>
      <c r="AS32" s="542"/>
      <c r="AT32" s="528"/>
      <c r="AU32" s="526"/>
      <c r="AV32" s="526">
        <v>0</v>
      </c>
      <c r="AW32" s="526"/>
      <c r="AX32" s="526">
        <v>0</v>
      </c>
      <c r="AY32" s="526"/>
      <c r="AZ32" s="527">
        <f>+AL32-AT32</f>
        <v>0</v>
      </c>
      <c r="BA32" s="526"/>
      <c r="BB32" s="527">
        <f>+AN32-AV32</f>
        <v>0</v>
      </c>
      <c r="BC32" s="526"/>
      <c r="BD32" s="527">
        <f>+AP32-AX32</f>
        <v>0</v>
      </c>
      <c r="BE32" s="526"/>
      <c r="BF32" s="526">
        <f>SUM(AZ32:BD32)</f>
        <v>0</v>
      </c>
      <c r="BG32" s="526"/>
      <c r="BH32" s="526">
        <f>+BF32*$BH$10</f>
        <v>0</v>
      </c>
      <c r="BI32" s="540"/>
      <c r="BJ32" s="525">
        <f>A32</f>
        <v>205</v>
      </c>
    </row>
    <row r="33" spans="1:62" x14ac:dyDescent="0.25">
      <c r="A33" s="525"/>
      <c r="B33" s="534"/>
      <c r="C33" s="543"/>
      <c r="D33" s="540"/>
      <c r="E33" s="540"/>
      <c r="F33" s="534"/>
      <c r="G33" s="540"/>
      <c r="H33" s="526"/>
      <c r="I33" s="540"/>
      <c r="J33" s="526"/>
      <c r="K33" s="526"/>
      <c r="L33" s="526"/>
      <c r="M33" s="526"/>
      <c r="N33" s="526"/>
      <c r="O33" s="526"/>
      <c r="Q33" s="540"/>
      <c r="R33" s="540"/>
      <c r="S33" s="540"/>
      <c r="T33" s="526"/>
      <c r="U33" s="526"/>
      <c r="V33" s="526"/>
      <c r="W33" s="526"/>
      <c r="X33" s="526"/>
      <c r="Y33" s="526"/>
      <c r="Z33" s="526"/>
      <c r="AA33" s="526"/>
      <c r="AB33" s="526"/>
      <c r="AC33" s="526"/>
      <c r="AD33" s="526"/>
      <c r="AE33" s="526"/>
      <c r="AF33" s="526"/>
      <c r="AG33" s="526"/>
      <c r="AH33" s="526"/>
      <c r="AI33" s="526"/>
      <c r="AJ33" s="526"/>
      <c r="AK33" s="526"/>
      <c r="AL33" s="526"/>
      <c r="AM33" s="526"/>
      <c r="AN33" s="526"/>
      <c r="AO33" s="526"/>
      <c r="AP33" s="526"/>
      <c r="AQ33" s="526"/>
      <c r="AR33" s="526"/>
      <c r="AS33" s="542"/>
      <c r="AT33" s="526"/>
      <c r="AU33" s="526"/>
      <c r="AV33" s="526"/>
      <c r="AW33" s="526"/>
      <c r="AX33" s="526"/>
      <c r="AY33" s="526"/>
      <c r="AZ33" s="526"/>
      <c r="BA33" s="526"/>
      <c r="BB33" s="526"/>
      <c r="BC33" s="526"/>
      <c r="BD33" s="526"/>
      <c r="BE33" s="526"/>
      <c r="BF33" s="526"/>
      <c r="BG33" s="526"/>
      <c r="BH33" s="526"/>
      <c r="BI33" s="540"/>
      <c r="BJ33" s="525"/>
    </row>
    <row r="34" spans="1:62" x14ac:dyDescent="0.25">
      <c r="A34" s="508" t="s">
        <v>106</v>
      </c>
      <c r="B34" s="536"/>
      <c r="BJ34" s="533" t="s">
        <v>106</v>
      </c>
    </row>
    <row r="35" spans="1:62" x14ac:dyDescent="0.25">
      <c r="A35" s="525">
        <v>300</v>
      </c>
      <c r="B35" s="540" t="s">
        <v>1683</v>
      </c>
      <c r="H35" s="531">
        <f>SUM(H36:H40)</f>
        <v>0</v>
      </c>
      <c r="J35" s="531">
        <f>SUM(J36:J40)</f>
        <v>0</v>
      </c>
      <c r="K35" s="526"/>
      <c r="L35" s="531">
        <f>SUM(L36:L40)</f>
        <v>0</v>
      </c>
      <c r="M35" s="526"/>
      <c r="N35" s="531">
        <f>SUM(N36:N40)</f>
        <v>0</v>
      </c>
      <c r="O35" s="526"/>
      <c r="Q35" s="525"/>
      <c r="R35" s="525"/>
      <c r="S35" s="525"/>
      <c r="T35" s="531">
        <f>SUM(T36:T40)</f>
        <v>0</v>
      </c>
      <c r="U35" s="526"/>
      <c r="V35" s="531">
        <f>SUM(V36:V40)</f>
        <v>0</v>
      </c>
      <c r="W35" s="526"/>
      <c r="X35" s="531">
        <f>SUM(X36:X40)</f>
        <v>0</v>
      </c>
      <c r="Y35" s="526"/>
      <c r="Z35" s="531">
        <f>SUM(Z36:Z40)</f>
        <v>0</v>
      </c>
      <c r="AA35" s="526"/>
      <c r="AB35" s="526"/>
      <c r="AC35" s="526"/>
      <c r="AD35" s="531">
        <f>SUM(AD36:AD40)</f>
        <v>0</v>
      </c>
      <c r="AE35" s="526"/>
      <c r="AF35" s="531">
        <f>SUM(AF36:AF40)</f>
        <v>0</v>
      </c>
      <c r="AG35" s="526"/>
      <c r="AH35" s="531">
        <f>SUM(AH36:AH40)</f>
        <v>0</v>
      </c>
      <c r="AI35" s="526"/>
      <c r="AJ35" s="526"/>
      <c r="AK35" s="526"/>
      <c r="AL35" s="531">
        <f>SUM(AL36:AL40)</f>
        <v>0</v>
      </c>
      <c r="AM35" s="526"/>
      <c r="AN35" s="531">
        <f>SUM(AN36:AN40)</f>
        <v>0</v>
      </c>
      <c r="AO35" s="526"/>
      <c r="AP35" s="531">
        <f>SUM(AP36:AP40)</f>
        <v>0</v>
      </c>
      <c r="AQ35" s="526"/>
      <c r="AR35" s="531">
        <f>SUM(AR36:AR40)</f>
        <v>0</v>
      </c>
      <c r="AT35" s="531">
        <f>SUM(AT36:AT40)</f>
        <v>0</v>
      </c>
      <c r="AU35" s="526"/>
      <c r="AV35" s="531">
        <f>SUM(AV36:AV40)</f>
        <v>0</v>
      </c>
      <c r="AW35" s="526"/>
      <c r="AX35" s="531">
        <f>SUM(AX36:AX40)</f>
        <v>0</v>
      </c>
      <c r="AY35" s="526"/>
      <c r="AZ35" s="531">
        <f>SUM(AZ36:AZ40)</f>
        <v>0</v>
      </c>
      <c r="BA35" s="526"/>
      <c r="BB35" s="531">
        <f>SUM(BB36:BB40)</f>
        <v>0</v>
      </c>
      <c r="BC35" s="526"/>
      <c r="BD35" s="531">
        <f>SUM(BD36:BD40)</f>
        <v>0</v>
      </c>
      <c r="BE35" s="526"/>
      <c r="BF35" s="531">
        <f>SUM(BF36:BF40)</f>
        <v>0</v>
      </c>
      <c r="BG35" s="526"/>
      <c r="BH35" s="531">
        <f>SUM(BH36:BH40)</f>
        <v>0</v>
      </c>
      <c r="BJ35" s="525">
        <f>A35</f>
        <v>300</v>
      </c>
    </row>
    <row r="36" spans="1:62" x14ac:dyDescent="0.25">
      <c r="A36" s="525">
        <f>A35+1</f>
        <v>301</v>
      </c>
      <c r="B36" s="539" t="s">
        <v>1682</v>
      </c>
      <c r="D36" s="521" t="s">
        <v>1681</v>
      </c>
      <c r="F36" s="536" t="s">
        <v>1614</v>
      </c>
      <c r="H36" s="528"/>
      <c r="J36" s="528"/>
      <c r="K36" s="526"/>
      <c r="L36" s="528"/>
      <c r="M36" s="526"/>
      <c r="N36" s="528"/>
      <c r="O36" s="526"/>
      <c r="R36" s="534" t="s">
        <v>1613</v>
      </c>
      <c r="T36" s="526">
        <f>N36</f>
        <v>0</v>
      </c>
      <c r="U36" s="526"/>
      <c r="V36" s="526">
        <v>0</v>
      </c>
      <c r="W36" s="526"/>
      <c r="X36" s="526">
        <v>0</v>
      </c>
      <c r="Y36" s="526"/>
      <c r="Z36" s="526">
        <f>SUM(T36:X36)</f>
        <v>0</v>
      </c>
      <c r="AA36" s="526"/>
      <c r="AB36" s="526"/>
      <c r="AC36" s="526"/>
      <c r="AD36" s="528"/>
      <c r="AE36" s="526"/>
      <c r="AF36" s="528"/>
      <c r="AG36" s="526"/>
      <c r="AH36" s="526">
        <v>0</v>
      </c>
      <c r="AI36" s="526"/>
      <c r="AJ36" s="526"/>
      <c r="AK36" s="526"/>
      <c r="AL36" s="527">
        <f>+T36-AD36</f>
        <v>0</v>
      </c>
      <c r="AM36" s="526"/>
      <c r="AN36" s="527">
        <f>+V36-AF36</f>
        <v>0</v>
      </c>
      <c r="AO36" s="526"/>
      <c r="AP36" s="527">
        <f>+X36-AH36</f>
        <v>0</v>
      </c>
      <c r="AQ36" s="526"/>
      <c r="AR36" s="526">
        <f>SUM(AL36:AP36)</f>
        <v>0</v>
      </c>
      <c r="AT36" s="528"/>
      <c r="AU36" s="526"/>
      <c r="AV36" s="528"/>
      <c r="AW36" s="526"/>
      <c r="AX36" s="526">
        <v>0</v>
      </c>
      <c r="AY36" s="526"/>
      <c r="AZ36" s="527">
        <f>+AL36-AT36</f>
        <v>0</v>
      </c>
      <c r="BA36" s="526"/>
      <c r="BB36" s="527">
        <f>+AN36-AV36</f>
        <v>0</v>
      </c>
      <c r="BC36" s="526"/>
      <c r="BD36" s="527">
        <f>+AP36-AX36</f>
        <v>0</v>
      </c>
      <c r="BE36" s="526"/>
      <c r="BF36" s="526">
        <f>SUM(AZ36:BD36)</f>
        <v>0</v>
      </c>
      <c r="BG36" s="526"/>
      <c r="BH36" s="526">
        <f>+BF36*$BH$10</f>
        <v>0</v>
      </c>
      <c r="BJ36" s="525">
        <f>A36</f>
        <v>301</v>
      </c>
    </row>
    <row r="37" spans="1:62" x14ac:dyDescent="0.25">
      <c r="A37" s="525">
        <f>A36+1</f>
        <v>302</v>
      </c>
      <c r="B37" s="539" t="s">
        <v>1682</v>
      </c>
      <c r="D37" s="521" t="s">
        <v>1681</v>
      </c>
      <c r="F37" s="536" t="s">
        <v>1614</v>
      </c>
      <c r="H37" s="528"/>
      <c r="J37" s="528"/>
      <c r="K37" s="526"/>
      <c r="L37" s="528"/>
      <c r="M37" s="526"/>
      <c r="N37" s="528"/>
      <c r="O37" s="526"/>
      <c r="R37" s="534" t="s">
        <v>1613</v>
      </c>
      <c r="T37" s="526">
        <f>N37</f>
        <v>0</v>
      </c>
      <c r="U37" s="526"/>
      <c r="V37" s="526">
        <v>0</v>
      </c>
      <c r="W37" s="526"/>
      <c r="X37" s="526">
        <v>0</v>
      </c>
      <c r="Y37" s="526"/>
      <c r="Z37" s="526">
        <f>SUM(T37:X37)</f>
        <v>0</v>
      </c>
      <c r="AA37" s="526"/>
      <c r="AB37" s="526"/>
      <c r="AC37" s="526"/>
      <c r="AD37" s="528"/>
      <c r="AE37" s="526"/>
      <c r="AF37" s="528"/>
      <c r="AG37" s="526"/>
      <c r="AH37" s="526">
        <v>0</v>
      </c>
      <c r="AI37" s="526"/>
      <c r="AJ37" s="526"/>
      <c r="AK37" s="526"/>
      <c r="AL37" s="527">
        <f>+T37-AD37</f>
        <v>0</v>
      </c>
      <c r="AM37" s="526"/>
      <c r="AN37" s="527">
        <f>+V37-AF37</f>
        <v>0</v>
      </c>
      <c r="AO37" s="526"/>
      <c r="AP37" s="527">
        <f>+X37-AH37</f>
        <v>0</v>
      </c>
      <c r="AQ37" s="526"/>
      <c r="AR37" s="526">
        <f>SUM(AL37:AP37)</f>
        <v>0</v>
      </c>
      <c r="AT37" s="528"/>
      <c r="AU37" s="526"/>
      <c r="AV37" s="528"/>
      <c r="AW37" s="526"/>
      <c r="AX37" s="526">
        <v>0</v>
      </c>
      <c r="AY37" s="526"/>
      <c r="AZ37" s="527">
        <f>+AL37-AT37</f>
        <v>0</v>
      </c>
      <c r="BA37" s="526"/>
      <c r="BB37" s="527">
        <f>+AN37-AV37</f>
        <v>0</v>
      </c>
      <c r="BC37" s="526"/>
      <c r="BD37" s="527">
        <f>+AP37-AX37</f>
        <v>0</v>
      </c>
      <c r="BE37" s="526"/>
      <c r="BF37" s="526">
        <f>SUM(AZ37:BD37)</f>
        <v>0</v>
      </c>
      <c r="BG37" s="526"/>
      <c r="BH37" s="526">
        <f>+BF37*$BH$10</f>
        <v>0</v>
      </c>
      <c r="BJ37" s="525">
        <f>A37</f>
        <v>302</v>
      </c>
    </row>
    <row r="38" spans="1:62" x14ac:dyDescent="0.25">
      <c r="A38" s="525">
        <f>A37+1</f>
        <v>303</v>
      </c>
      <c r="B38" s="539" t="s">
        <v>1682</v>
      </c>
      <c r="D38" s="521" t="s">
        <v>1681</v>
      </c>
      <c r="F38" s="536" t="s">
        <v>1614</v>
      </c>
      <c r="H38" s="528"/>
      <c r="J38" s="528"/>
      <c r="K38" s="526"/>
      <c r="L38" s="528"/>
      <c r="M38" s="526"/>
      <c r="N38" s="528"/>
      <c r="O38" s="526"/>
      <c r="R38" s="534" t="s">
        <v>1613</v>
      </c>
      <c r="T38" s="526">
        <f>N38</f>
        <v>0</v>
      </c>
      <c r="U38" s="526"/>
      <c r="V38" s="526">
        <v>0</v>
      </c>
      <c r="W38" s="526"/>
      <c r="X38" s="526">
        <v>0</v>
      </c>
      <c r="Y38" s="526"/>
      <c r="Z38" s="526">
        <f>SUM(T38:X38)</f>
        <v>0</v>
      </c>
      <c r="AA38" s="526"/>
      <c r="AB38" s="526"/>
      <c r="AC38" s="526"/>
      <c r="AD38" s="528"/>
      <c r="AE38" s="526"/>
      <c r="AF38" s="528"/>
      <c r="AG38" s="526"/>
      <c r="AH38" s="526">
        <v>0</v>
      </c>
      <c r="AI38" s="526"/>
      <c r="AJ38" s="526"/>
      <c r="AK38" s="526"/>
      <c r="AL38" s="527">
        <f>+T38-AD38</f>
        <v>0</v>
      </c>
      <c r="AM38" s="526"/>
      <c r="AN38" s="527">
        <f>+V38-AF38</f>
        <v>0</v>
      </c>
      <c r="AO38" s="526"/>
      <c r="AP38" s="527">
        <f>+X38-AH38</f>
        <v>0</v>
      </c>
      <c r="AQ38" s="526"/>
      <c r="AR38" s="526">
        <f>SUM(AL38:AP38)</f>
        <v>0</v>
      </c>
      <c r="AT38" s="528"/>
      <c r="AU38" s="526"/>
      <c r="AV38" s="528"/>
      <c r="AW38" s="526"/>
      <c r="AX38" s="526">
        <v>0</v>
      </c>
      <c r="AY38" s="526"/>
      <c r="AZ38" s="527">
        <f>+AL38-AT38</f>
        <v>0</v>
      </c>
      <c r="BA38" s="526"/>
      <c r="BB38" s="527">
        <f>+AN38-AV38</f>
        <v>0</v>
      </c>
      <c r="BC38" s="526"/>
      <c r="BD38" s="527">
        <f>+AP38-AX38</f>
        <v>0</v>
      </c>
      <c r="BE38" s="526"/>
      <c r="BF38" s="526">
        <f>SUM(AZ38:BD38)</f>
        <v>0</v>
      </c>
      <c r="BG38" s="526"/>
      <c r="BH38" s="526">
        <f>+BF38*$BH$10</f>
        <v>0</v>
      </c>
      <c r="BJ38" s="525">
        <f>A38</f>
        <v>303</v>
      </c>
    </row>
    <row r="39" spans="1:62" x14ac:dyDescent="0.25">
      <c r="A39" s="525">
        <f>A38+1</f>
        <v>304</v>
      </c>
      <c r="B39" s="535" t="s">
        <v>83</v>
      </c>
      <c r="H39" s="528"/>
      <c r="J39" s="528"/>
      <c r="K39" s="526"/>
      <c r="L39" s="528"/>
      <c r="M39" s="526"/>
      <c r="N39" s="528"/>
      <c r="O39" s="526"/>
      <c r="T39" s="526">
        <f>N39</f>
        <v>0</v>
      </c>
      <c r="U39" s="526"/>
      <c r="V39" s="526">
        <v>0</v>
      </c>
      <c r="W39" s="526"/>
      <c r="X39" s="526">
        <v>0</v>
      </c>
      <c r="Y39" s="526"/>
      <c r="Z39" s="526">
        <f>SUM(T39:X39)</f>
        <v>0</v>
      </c>
      <c r="AA39" s="526"/>
      <c r="AB39" s="526"/>
      <c r="AC39" s="526"/>
      <c r="AD39" s="528"/>
      <c r="AE39" s="526"/>
      <c r="AF39" s="528"/>
      <c r="AG39" s="526"/>
      <c r="AH39" s="526">
        <v>0</v>
      </c>
      <c r="AI39" s="526"/>
      <c r="AJ39" s="526"/>
      <c r="AK39" s="526"/>
      <c r="AL39" s="527">
        <f>+T39-AD39</f>
        <v>0</v>
      </c>
      <c r="AM39" s="526"/>
      <c r="AN39" s="527">
        <f>+V39-AF39</f>
        <v>0</v>
      </c>
      <c r="AO39" s="526"/>
      <c r="AP39" s="527">
        <f>+X39-AH39</f>
        <v>0</v>
      </c>
      <c r="AQ39" s="526"/>
      <c r="AR39" s="526">
        <f>SUM(AL39:AP39)</f>
        <v>0</v>
      </c>
      <c r="AT39" s="528"/>
      <c r="AU39" s="526"/>
      <c r="AV39" s="528"/>
      <c r="AW39" s="526"/>
      <c r="AX39" s="526">
        <v>0</v>
      </c>
      <c r="AY39" s="526"/>
      <c r="AZ39" s="527">
        <f>+AL39-AT39</f>
        <v>0</v>
      </c>
      <c r="BA39" s="526"/>
      <c r="BB39" s="527">
        <f>+AN39-AV39</f>
        <v>0</v>
      </c>
      <c r="BC39" s="526"/>
      <c r="BD39" s="527">
        <f>+AP39-AX39</f>
        <v>0</v>
      </c>
      <c r="BE39" s="526"/>
      <c r="BF39" s="526">
        <f>SUM(AZ39:BD39)</f>
        <v>0</v>
      </c>
      <c r="BG39" s="526"/>
      <c r="BH39" s="526">
        <f>+BF39*$BH$10</f>
        <v>0</v>
      </c>
      <c r="BJ39" s="525">
        <f>A39</f>
        <v>304</v>
      </c>
    </row>
    <row r="40" spans="1:62" x14ac:dyDescent="0.25">
      <c r="A40" s="525">
        <f>+A39+1</f>
        <v>305</v>
      </c>
      <c r="B40" s="535" t="s">
        <v>83</v>
      </c>
      <c r="H40" s="528"/>
      <c r="J40" s="528"/>
      <c r="K40" s="526"/>
      <c r="L40" s="528"/>
      <c r="M40" s="526"/>
      <c r="N40" s="528"/>
      <c r="O40" s="526"/>
      <c r="T40" s="526">
        <f>N40</f>
        <v>0</v>
      </c>
      <c r="U40" s="526"/>
      <c r="V40" s="526">
        <v>0</v>
      </c>
      <c r="W40" s="526"/>
      <c r="X40" s="526">
        <v>0</v>
      </c>
      <c r="Y40" s="526"/>
      <c r="Z40" s="526">
        <f>SUM(T40:X40)</f>
        <v>0</v>
      </c>
      <c r="AA40" s="526"/>
      <c r="AB40" s="526"/>
      <c r="AC40" s="526"/>
      <c r="AD40" s="528"/>
      <c r="AE40" s="526"/>
      <c r="AF40" s="528"/>
      <c r="AG40" s="526"/>
      <c r="AH40" s="526">
        <v>0</v>
      </c>
      <c r="AI40" s="526"/>
      <c r="AJ40" s="526"/>
      <c r="AK40" s="526"/>
      <c r="AL40" s="527">
        <f>+T40-AD40</f>
        <v>0</v>
      </c>
      <c r="AM40" s="526"/>
      <c r="AN40" s="527">
        <f>+V40-AF40</f>
        <v>0</v>
      </c>
      <c r="AO40" s="526"/>
      <c r="AP40" s="527">
        <f>+X40-AH40</f>
        <v>0</v>
      </c>
      <c r="AQ40" s="526"/>
      <c r="AR40" s="526">
        <f>SUM(AL40:AP40)</f>
        <v>0</v>
      </c>
      <c r="AT40" s="528"/>
      <c r="AU40" s="526"/>
      <c r="AV40" s="528"/>
      <c r="AW40" s="526"/>
      <c r="AX40" s="526">
        <v>0</v>
      </c>
      <c r="AY40" s="526"/>
      <c r="AZ40" s="527">
        <f>+AL40-AT40</f>
        <v>0</v>
      </c>
      <c r="BA40" s="526"/>
      <c r="BB40" s="527">
        <f>+AN40-AV40</f>
        <v>0</v>
      </c>
      <c r="BC40" s="526"/>
      <c r="BD40" s="527">
        <f>+AP40-AX40</f>
        <v>0</v>
      </c>
      <c r="BE40" s="526"/>
      <c r="BF40" s="526">
        <f>SUM(AZ40:BD40)</f>
        <v>0</v>
      </c>
      <c r="BG40" s="526"/>
      <c r="BH40" s="526">
        <f>+BF40*$BH$10</f>
        <v>0</v>
      </c>
      <c r="BJ40" s="525">
        <f>A40</f>
        <v>305</v>
      </c>
    </row>
    <row r="41" spans="1:62" x14ac:dyDescent="0.25">
      <c r="A41" s="525"/>
      <c r="B41" s="534"/>
      <c r="H41" s="526"/>
      <c r="J41" s="526"/>
      <c r="K41" s="526"/>
      <c r="L41" s="526"/>
      <c r="M41" s="526"/>
      <c r="N41" s="526"/>
      <c r="O41" s="526"/>
      <c r="T41" s="526"/>
      <c r="U41" s="526"/>
      <c r="V41" s="526"/>
      <c r="W41" s="526"/>
      <c r="X41" s="526"/>
      <c r="Y41" s="526"/>
      <c r="Z41" s="526"/>
      <c r="AA41" s="526"/>
      <c r="AB41" s="526"/>
      <c r="AC41" s="526"/>
      <c r="AD41" s="526"/>
      <c r="AE41" s="526"/>
      <c r="AF41" s="526"/>
      <c r="AG41" s="526"/>
      <c r="AH41" s="526"/>
      <c r="AI41" s="526"/>
      <c r="AJ41" s="526"/>
      <c r="AK41" s="526"/>
      <c r="AL41" s="526"/>
      <c r="AM41" s="526"/>
      <c r="AN41" s="526"/>
      <c r="AO41" s="526"/>
      <c r="AP41" s="526"/>
      <c r="AQ41" s="526"/>
      <c r="AR41" s="526"/>
      <c r="AT41" s="526"/>
      <c r="AU41" s="526"/>
      <c r="AV41" s="526"/>
      <c r="AW41" s="526"/>
      <c r="AX41" s="526"/>
      <c r="AY41" s="526"/>
      <c r="AZ41" s="526"/>
      <c r="BA41" s="526"/>
      <c r="BB41" s="526"/>
      <c r="BC41" s="526"/>
      <c r="BD41" s="526"/>
      <c r="BE41" s="526"/>
      <c r="BF41" s="526"/>
      <c r="BG41" s="526"/>
      <c r="BH41" s="526"/>
      <c r="BJ41" s="525"/>
    </row>
    <row r="42" spans="1:62" x14ac:dyDescent="0.25">
      <c r="A42" s="508" t="s">
        <v>106</v>
      </c>
      <c r="T42" s="526"/>
      <c r="U42" s="526"/>
      <c r="V42" s="526"/>
      <c r="W42" s="526"/>
      <c r="X42" s="526"/>
      <c r="Y42" s="526"/>
      <c r="Z42" s="526"/>
      <c r="AA42" s="526"/>
      <c r="AB42" s="526"/>
      <c r="AC42" s="526"/>
      <c r="AE42" s="526"/>
      <c r="AG42" s="526"/>
      <c r="AI42" s="526"/>
      <c r="AJ42" s="526"/>
      <c r="AK42" s="526"/>
      <c r="AL42" s="526"/>
      <c r="AM42" s="526"/>
      <c r="AN42" s="526"/>
      <c r="AO42" s="526"/>
      <c r="AP42" s="526"/>
      <c r="AQ42" s="526"/>
      <c r="AR42" s="526"/>
      <c r="AU42" s="526"/>
      <c r="AW42" s="526"/>
      <c r="AY42" s="526"/>
      <c r="AZ42" s="526"/>
      <c r="BA42" s="526"/>
      <c r="BB42" s="526"/>
      <c r="BC42" s="526"/>
      <c r="BD42" s="526"/>
      <c r="BE42" s="526"/>
      <c r="BF42" s="526"/>
      <c r="BG42" s="526"/>
      <c r="BJ42" s="508" t="s">
        <v>106</v>
      </c>
    </row>
    <row r="43" spans="1:62" x14ac:dyDescent="0.25">
      <c r="A43" s="525">
        <v>400</v>
      </c>
      <c r="B43" s="540" t="s">
        <v>1680</v>
      </c>
      <c r="H43" s="531">
        <f>ROUND(SUM(H44:H100),0)</f>
        <v>0</v>
      </c>
      <c r="J43" s="531">
        <f>ROUND(SUM(J44:J100),0)</f>
        <v>0</v>
      </c>
      <c r="K43" s="526"/>
      <c r="L43" s="531">
        <f>ROUND(SUM(L44:L100),0)</f>
        <v>0</v>
      </c>
      <c r="M43" s="526"/>
      <c r="N43" s="531">
        <f>ROUND(SUM(N44:N100),0)</f>
        <v>0</v>
      </c>
      <c r="O43" s="526"/>
      <c r="Q43" s="525"/>
      <c r="R43" s="525"/>
      <c r="S43" s="525"/>
      <c r="T43" s="531">
        <f>ROUND(SUM(T44:T100),0)</f>
        <v>0</v>
      </c>
      <c r="U43" s="526"/>
      <c r="V43" s="531">
        <f>ROUND(SUM(V44:V100),0)</f>
        <v>0</v>
      </c>
      <c r="W43" s="526"/>
      <c r="X43" s="531">
        <f>ROUND(SUM(X44:X100),0)</f>
        <v>0</v>
      </c>
      <c r="Y43" s="526"/>
      <c r="Z43" s="531">
        <f>ROUND(SUM(Z44:Z100),0)</f>
        <v>0</v>
      </c>
      <c r="AA43" s="526"/>
      <c r="AB43" s="526"/>
      <c r="AC43" s="526"/>
      <c r="AD43" s="531">
        <f>SUM(AD44:AD100)</f>
        <v>0</v>
      </c>
      <c r="AE43" s="526"/>
      <c r="AF43" s="531">
        <f>SUM(AF44:AF100)</f>
        <v>0</v>
      </c>
      <c r="AG43" s="526"/>
      <c r="AH43" s="531">
        <f>SUM(AH44:AH100)</f>
        <v>0</v>
      </c>
      <c r="AI43" s="526"/>
      <c r="AJ43" s="526"/>
      <c r="AK43" s="526"/>
      <c r="AL43" s="531">
        <f>SUM(AL44:AL100)</f>
        <v>0</v>
      </c>
      <c r="AM43" s="526"/>
      <c r="AN43" s="531">
        <f>SUM(AN44:AN100)</f>
        <v>0</v>
      </c>
      <c r="AO43" s="526"/>
      <c r="AP43" s="531">
        <f>SUM(AP44:AP100)</f>
        <v>0</v>
      </c>
      <c r="AQ43" s="526"/>
      <c r="AR43" s="531">
        <f>SUM(AR44:AR100)</f>
        <v>0</v>
      </c>
      <c r="AT43" s="531">
        <f>SUM(AT44:AT100)</f>
        <v>0</v>
      </c>
      <c r="AU43" s="526"/>
      <c r="AV43" s="531">
        <f>SUM(AV44:AV100)</f>
        <v>0</v>
      </c>
      <c r="AW43" s="526"/>
      <c r="AX43" s="531">
        <f>SUM(AX44:AX100)</f>
        <v>0</v>
      </c>
      <c r="AY43" s="526"/>
      <c r="AZ43" s="531">
        <f>SUM(AZ44:AZ100)</f>
        <v>0</v>
      </c>
      <c r="BA43" s="526"/>
      <c r="BB43" s="531">
        <f>SUM(BB44:BB100)</f>
        <v>0</v>
      </c>
      <c r="BC43" s="526"/>
      <c r="BD43" s="531">
        <f>SUM(BD44:BD100)</f>
        <v>0</v>
      </c>
      <c r="BE43" s="526"/>
      <c r="BF43" s="531">
        <f>SUM(BF44:BF100)</f>
        <v>0</v>
      </c>
      <c r="BG43" s="526"/>
      <c r="BH43" s="531">
        <f>ROUND(SUM(BH44:BH100),0)</f>
        <v>0</v>
      </c>
      <c r="BJ43" s="525">
        <f>A43</f>
        <v>400</v>
      </c>
    </row>
    <row r="44" spans="1:62" x14ac:dyDescent="0.25">
      <c r="A44" s="525">
        <f>A43+1</f>
        <v>401</v>
      </c>
      <c r="B44" s="530" t="s">
        <v>1679</v>
      </c>
      <c r="F44" s="536" t="s">
        <v>1614</v>
      </c>
      <c r="H44" s="528"/>
      <c r="J44" s="528"/>
      <c r="K44" s="526"/>
      <c r="L44" s="528"/>
      <c r="M44" s="526"/>
      <c r="N44" s="528"/>
      <c r="O44" s="526"/>
      <c r="R44" s="538" t="s">
        <v>1613</v>
      </c>
      <c r="T44" s="526">
        <v>0</v>
      </c>
      <c r="U44" s="526"/>
      <c r="V44" s="526">
        <f>N44</f>
        <v>0</v>
      </c>
      <c r="W44" s="526"/>
      <c r="X44" s="526">
        <v>0</v>
      </c>
      <c r="Y44" s="526"/>
      <c r="Z44" s="526">
        <f>SUM(T44:X44)</f>
        <v>0</v>
      </c>
      <c r="AA44" s="526"/>
      <c r="AB44" s="537" t="s">
        <v>1606</v>
      </c>
      <c r="AC44" s="526"/>
      <c r="AD44" s="526">
        <v>0</v>
      </c>
      <c r="AE44" s="526"/>
      <c r="AF44" s="528"/>
      <c r="AG44" s="526"/>
      <c r="AH44" s="526">
        <v>0</v>
      </c>
      <c r="AI44" s="526"/>
      <c r="AJ44" s="537" t="s">
        <v>1611</v>
      </c>
      <c r="AK44" s="526"/>
      <c r="AL44" s="527">
        <f>+T44-AD44</f>
        <v>0</v>
      </c>
      <c r="AM44" s="526"/>
      <c r="AN44" s="527">
        <f>+V44-AF44</f>
        <v>0</v>
      </c>
      <c r="AO44" s="526"/>
      <c r="AP44" s="527">
        <f>+X44-AH44</f>
        <v>0</v>
      </c>
      <c r="AQ44" s="526"/>
      <c r="AR44" s="526">
        <f>SUM(AL44:AP44)</f>
        <v>0</v>
      </c>
      <c r="AT44" s="526">
        <v>0</v>
      </c>
      <c r="AU44" s="526"/>
      <c r="AV44" s="528"/>
      <c r="AW44" s="526"/>
      <c r="AX44" s="526">
        <v>0</v>
      </c>
      <c r="AY44" s="526"/>
      <c r="AZ44" s="527">
        <f>+AL44-AT44</f>
        <v>0</v>
      </c>
      <c r="BA44" s="526"/>
      <c r="BB44" s="527">
        <f>+AN44-AV44</f>
        <v>0</v>
      </c>
      <c r="BC44" s="526"/>
      <c r="BD44" s="527">
        <f>+AP44-AX44</f>
        <v>0</v>
      </c>
      <c r="BE44" s="526"/>
      <c r="BF44" s="526">
        <f>SUM(AZ44:BD44)</f>
        <v>0</v>
      </c>
      <c r="BG44" s="526"/>
      <c r="BH44" s="526">
        <f>+BF44*$BH$10</f>
        <v>0</v>
      </c>
      <c r="BJ44" s="525">
        <f>A44</f>
        <v>401</v>
      </c>
    </row>
    <row r="45" spans="1:62" x14ac:dyDescent="0.25">
      <c r="A45" s="525">
        <f>A44+1</f>
        <v>402</v>
      </c>
      <c r="B45" s="530" t="s">
        <v>1678</v>
      </c>
      <c r="F45" s="536" t="s">
        <v>1614</v>
      </c>
      <c r="H45" s="528"/>
      <c r="J45" s="528"/>
      <c r="K45" s="526"/>
      <c r="L45" s="528"/>
      <c r="M45" s="526"/>
      <c r="N45" s="528"/>
      <c r="O45" s="526"/>
      <c r="R45" s="538" t="s">
        <v>1613</v>
      </c>
      <c r="T45" s="526">
        <v>0</v>
      </c>
      <c r="U45" s="526"/>
      <c r="V45" s="526">
        <f>N45</f>
        <v>0</v>
      </c>
      <c r="W45" s="526"/>
      <c r="X45" s="526">
        <v>0</v>
      </c>
      <c r="Y45" s="526"/>
      <c r="Z45" s="526">
        <f>SUM(T45:X45)</f>
        <v>0</v>
      </c>
      <c r="AA45" s="526"/>
      <c r="AB45" s="537" t="s">
        <v>1606</v>
      </c>
      <c r="AC45" s="526"/>
      <c r="AD45" s="526">
        <v>0</v>
      </c>
      <c r="AE45" s="526"/>
      <c r="AF45" s="528"/>
      <c r="AG45" s="526"/>
      <c r="AH45" s="526">
        <v>0</v>
      </c>
      <c r="AI45" s="526"/>
      <c r="AJ45" s="537" t="s">
        <v>1611</v>
      </c>
      <c r="AK45" s="526"/>
      <c r="AL45" s="527">
        <f>+T45-AD45</f>
        <v>0</v>
      </c>
      <c r="AM45" s="526"/>
      <c r="AN45" s="527">
        <f>+V45-AF45</f>
        <v>0</v>
      </c>
      <c r="AO45" s="526"/>
      <c r="AP45" s="527">
        <f>+X45-AH45</f>
        <v>0</v>
      </c>
      <c r="AQ45" s="526"/>
      <c r="AR45" s="526">
        <f>SUM(AL45:AP45)</f>
        <v>0</v>
      </c>
      <c r="AT45" s="526">
        <v>0</v>
      </c>
      <c r="AU45" s="526"/>
      <c r="AV45" s="528"/>
      <c r="AW45" s="526"/>
      <c r="AX45" s="526">
        <v>0</v>
      </c>
      <c r="AY45" s="526"/>
      <c r="AZ45" s="527">
        <f>+AL45-AT45</f>
        <v>0</v>
      </c>
      <c r="BA45" s="526"/>
      <c r="BB45" s="527">
        <f>+AN45-AV45</f>
        <v>0</v>
      </c>
      <c r="BC45" s="526"/>
      <c r="BD45" s="527">
        <f>+AP45-AX45</f>
        <v>0</v>
      </c>
      <c r="BE45" s="526"/>
      <c r="BF45" s="526">
        <f>SUM(AZ45:BD45)</f>
        <v>0</v>
      </c>
      <c r="BG45" s="526"/>
      <c r="BH45" s="526">
        <f>+BF45*$BH$10</f>
        <v>0</v>
      </c>
      <c r="BJ45" s="525">
        <f>A45</f>
        <v>402</v>
      </c>
    </row>
    <row r="46" spans="1:62" x14ac:dyDescent="0.25">
      <c r="A46" s="525">
        <f>A45+1</f>
        <v>403</v>
      </c>
      <c r="B46" s="530" t="s">
        <v>1677</v>
      </c>
      <c r="F46" s="536" t="s">
        <v>1614</v>
      </c>
      <c r="H46" s="528"/>
      <c r="J46" s="528"/>
      <c r="K46" s="526"/>
      <c r="L46" s="528"/>
      <c r="M46" s="526"/>
      <c r="N46" s="528"/>
      <c r="O46" s="526"/>
      <c r="R46" s="538" t="s">
        <v>1613</v>
      </c>
      <c r="T46" s="526">
        <v>0</v>
      </c>
      <c r="U46" s="526"/>
      <c r="V46" s="526">
        <f>N46</f>
        <v>0</v>
      </c>
      <c r="W46" s="526"/>
      <c r="X46" s="526">
        <v>0</v>
      </c>
      <c r="Y46" s="526"/>
      <c r="Z46" s="526">
        <f>SUM(T46:X46)</f>
        <v>0</v>
      </c>
      <c r="AA46" s="526"/>
      <c r="AB46" s="537" t="s">
        <v>1606</v>
      </c>
      <c r="AC46" s="526"/>
      <c r="AD46" s="526">
        <v>0</v>
      </c>
      <c r="AE46" s="526"/>
      <c r="AF46" s="528"/>
      <c r="AG46" s="526"/>
      <c r="AH46" s="526">
        <v>0</v>
      </c>
      <c r="AI46" s="526"/>
      <c r="AJ46" s="537" t="s">
        <v>1611</v>
      </c>
      <c r="AK46" s="526"/>
      <c r="AL46" s="527">
        <f>+T46-AD46</f>
        <v>0</v>
      </c>
      <c r="AM46" s="526"/>
      <c r="AN46" s="527">
        <f>+V46-AF46</f>
        <v>0</v>
      </c>
      <c r="AO46" s="526"/>
      <c r="AP46" s="527">
        <f>+X46-AH46</f>
        <v>0</v>
      </c>
      <c r="AQ46" s="526"/>
      <c r="AR46" s="526">
        <f>SUM(AL46:AP46)</f>
        <v>0</v>
      </c>
      <c r="AT46" s="526">
        <v>0</v>
      </c>
      <c r="AU46" s="526"/>
      <c r="AV46" s="528"/>
      <c r="AW46" s="526"/>
      <c r="AX46" s="526">
        <v>0</v>
      </c>
      <c r="AY46" s="526"/>
      <c r="AZ46" s="527">
        <f>+AL46-AT46</f>
        <v>0</v>
      </c>
      <c r="BA46" s="526"/>
      <c r="BB46" s="527">
        <f>+AN46-AV46</f>
        <v>0</v>
      </c>
      <c r="BC46" s="526"/>
      <c r="BD46" s="527">
        <f>+AP46-AX46</f>
        <v>0</v>
      </c>
      <c r="BE46" s="526"/>
      <c r="BF46" s="526">
        <f>SUM(AZ46:BD46)</f>
        <v>0</v>
      </c>
      <c r="BG46" s="526"/>
      <c r="BH46" s="526">
        <f>+BF46*$BH$10</f>
        <v>0</v>
      </c>
      <c r="BJ46" s="525">
        <f>A46</f>
        <v>403</v>
      </c>
    </row>
    <row r="47" spans="1:62" x14ac:dyDescent="0.25">
      <c r="A47" s="525">
        <f>A46+1</f>
        <v>404</v>
      </c>
      <c r="B47" s="530" t="s">
        <v>1676</v>
      </c>
      <c r="F47" s="536" t="s">
        <v>1614</v>
      </c>
      <c r="H47" s="528"/>
      <c r="J47" s="528"/>
      <c r="K47" s="526"/>
      <c r="L47" s="528"/>
      <c r="M47" s="526"/>
      <c r="N47" s="528"/>
      <c r="O47" s="526"/>
      <c r="R47" s="538" t="s">
        <v>1613</v>
      </c>
      <c r="T47" s="526">
        <v>0</v>
      </c>
      <c r="U47" s="526"/>
      <c r="V47" s="526">
        <f>N47</f>
        <v>0</v>
      </c>
      <c r="W47" s="526"/>
      <c r="X47" s="526">
        <v>0</v>
      </c>
      <c r="Y47" s="526"/>
      <c r="Z47" s="526">
        <f>SUM(T47:X47)</f>
        <v>0</v>
      </c>
      <c r="AA47" s="526"/>
      <c r="AB47" s="537" t="s">
        <v>1606</v>
      </c>
      <c r="AC47" s="526"/>
      <c r="AD47" s="526">
        <v>0</v>
      </c>
      <c r="AE47" s="526"/>
      <c r="AF47" s="528"/>
      <c r="AG47" s="526"/>
      <c r="AH47" s="526">
        <v>0</v>
      </c>
      <c r="AI47" s="526"/>
      <c r="AJ47" s="537" t="s">
        <v>1611</v>
      </c>
      <c r="AK47" s="526"/>
      <c r="AL47" s="527">
        <f>+T47-AD47</f>
        <v>0</v>
      </c>
      <c r="AM47" s="526"/>
      <c r="AN47" s="527">
        <f>+V47-AF47</f>
        <v>0</v>
      </c>
      <c r="AO47" s="526"/>
      <c r="AP47" s="527">
        <f>+X47-AH47</f>
        <v>0</v>
      </c>
      <c r="AQ47" s="526"/>
      <c r="AR47" s="526">
        <f>SUM(AL47:AP47)</f>
        <v>0</v>
      </c>
      <c r="AT47" s="526">
        <v>0</v>
      </c>
      <c r="AU47" s="526"/>
      <c r="AV47" s="528"/>
      <c r="AW47" s="526"/>
      <c r="AX47" s="526">
        <v>0</v>
      </c>
      <c r="AY47" s="526"/>
      <c r="AZ47" s="527">
        <f>+AL47-AT47</f>
        <v>0</v>
      </c>
      <c r="BA47" s="526"/>
      <c r="BB47" s="527">
        <f>+AN47-AV47</f>
        <v>0</v>
      </c>
      <c r="BC47" s="526"/>
      <c r="BD47" s="527">
        <f>+AP47-AX47</f>
        <v>0</v>
      </c>
      <c r="BE47" s="526"/>
      <c r="BF47" s="526">
        <f>SUM(AZ47:BD47)</f>
        <v>0</v>
      </c>
      <c r="BG47" s="526"/>
      <c r="BH47" s="526">
        <f>+BF47*$BH$10</f>
        <v>0</v>
      </c>
      <c r="BJ47" s="525">
        <f>A47</f>
        <v>404</v>
      </c>
    </row>
    <row r="48" spans="1:62" x14ac:dyDescent="0.25">
      <c r="A48" s="525">
        <f>A47+1</f>
        <v>405</v>
      </c>
      <c r="B48" s="530" t="s">
        <v>1675</v>
      </c>
      <c r="F48" s="536" t="s">
        <v>1614</v>
      </c>
      <c r="H48" s="528"/>
      <c r="J48" s="528"/>
      <c r="K48" s="526"/>
      <c r="L48" s="528"/>
      <c r="M48" s="526"/>
      <c r="N48" s="528"/>
      <c r="O48" s="526"/>
      <c r="R48" s="538" t="s">
        <v>1613</v>
      </c>
      <c r="T48" s="526">
        <v>0</v>
      </c>
      <c r="U48" s="526"/>
      <c r="V48" s="526">
        <f>N48</f>
        <v>0</v>
      </c>
      <c r="W48" s="526"/>
      <c r="X48" s="526">
        <v>0</v>
      </c>
      <c r="Y48" s="526"/>
      <c r="Z48" s="526">
        <f>SUM(T48:X48)</f>
        <v>0</v>
      </c>
      <c r="AA48" s="526"/>
      <c r="AB48" s="537" t="s">
        <v>1606</v>
      </c>
      <c r="AC48" s="526"/>
      <c r="AD48" s="526">
        <v>0</v>
      </c>
      <c r="AE48" s="526"/>
      <c r="AF48" s="528"/>
      <c r="AG48" s="526"/>
      <c r="AH48" s="526">
        <v>0</v>
      </c>
      <c r="AI48" s="526"/>
      <c r="AJ48" s="537" t="s">
        <v>1611</v>
      </c>
      <c r="AK48" s="526"/>
      <c r="AL48" s="527">
        <f>+T48-AD48</f>
        <v>0</v>
      </c>
      <c r="AM48" s="526"/>
      <c r="AN48" s="527">
        <f>+V48-AF48</f>
        <v>0</v>
      </c>
      <c r="AO48" s="526"/>
      <c r="AP48" s="527">
        <f>+X48-AH48</f>
        <v>0</v>
      </c>
      <c r="AQ48" s="526"/>
      <c r="AR48" s="526">
        <f>SUM(AL48:AP48)</f>
        <v>0</v>
      </c>
      <c r="AT48" s="526">
        <v>0</v>
      </c>
      <c r="AU48" s="526"/>
      <c r="AV48" s="528"/>
      <c r="AW48" s="526"/>
      <c r="AX48" s="526">
        <v>0</v>
      </c>
      <c r="AY48" s="526"/>
      <c r="AZ48" s="527">
        <f>+AL48-AT48</f>
        <v>0</v>
      </c>
      <c r="BA48" s="526"/>
      <c r="BB48" s="527">
        <f>+AN48-AV48</f>
        <v>0</v>
      </c>
      <c r="BC48" s="526"/>
      <c r="BD48" s="527">
        <f>+AP48-AX48</f>
        <v>0</v>
      </c>
      <c r="BE48" s="526"/>
      <c r="BF48" s="526">
        <f>SUM(AZ48:BD48)</f>
        <v>0</v>
      </c>
      <c r="BG48" s="526"/>
      <c r="BH48" s="526">
        <f>+BF48*$BH$10</f>
        <v>0</v>
      </c>
      <c r="BJ48" s="525">
        <f>A48</f>
        <v>405</v>
      </c>
    </row>
    <row r="49" spans="1:62" x14ac:dyDescent="0.25">
      <c r="A49" s="525">
        <f>A48+1</f>
        <v>406</v>
      </c>
      <c r="B49" s="530" t="s">
        <v>1674</v>
      </c>
      <c r="F49" s="536" t="s">
        <v>1614</v>
      </c>
      <c r="H49" s="528"/>
      <c r="J49" s="528"/>
      <c r="K49" s="526"/>
      <c r="L49" s="528"/>
      <c r="M49" s="526"/>
      <c r="N49" s="528"/>
      <c r="O49" s="526"/>
      <c r="R49" s="538" t="s">
        <v>1613</v>
      </c>
      <c r="T49" s="526">
        <v>0</v>
      </c>
      <c r="U49" s="526"/>
      <c r="V49" s="526">
        <f>N49</f>
        <v>0</v>
      </c>
      <c r="W49" s="526"/>
      <c r="X49" s="526">
        <v>0</v>
      </c>
      <c r="Y49" s="526"/>
      <c r="Z49" s="526">
        <f>SUM(T49:X49)</f>
        <v>0</v>
      </c>
      <c r="AA49" s="526"/>
      <c r="AB49" s="537" t="s">
        <v>1606</v>
      </c>
      <c r="AC49" s="526"/>
      <c r="AD49" s="526">
        <v>0</v>
      </c>
      <c r="AE49" s="526"/>
      <c r="AF49" s="528"/>
      <c r="AG49" s="526"/>
      <c r="AH49" s="526">
        <v>0</v>
      </c>
      <c r="AI49" s="526"/>
      <c r="AJ49" s="537" t="s">
        <v>1611</v>
      </c>
      <c r="AK49" s="526"/>
      <c r="AL49" s="527">
        <f>+T49-AD49</f>
        <v>0</v>
      </c>
      <c r="AM49" s="526"/>
      <c r="AN49" s="527">
        <f>+V49-AF49</f>
        <v>0</v>
      </c>
      <c r="AO49" s="526"/>
      <c r="AP49" s="527">
        <f>+X49-AH49</f>
        <v>0</v>
      </c>
      <c r="AQ49" s="526"/>
      <c r="AR49" s="526">
        <f>SUM(AL49:AP49)</f>
        <v>0</v>
      </c>
      <c r="AT49" s="526">
        <v>0</v>
      </c>
      <c r="AU49" s="526"/>
      <c r="AV49" s="528"/>
      <c r="AW49" s="526"/>
      <c r="AX49" s="526">
        <v>0</v>
      </c>
      <c r="AY49" s="526"/>
      <c r="AZ49" s="527">
        <f>+AL49-AT49</f>
        <v>0</v>
      </c>
      <c r="BA49" s="526"/>
      <c r="BB49" s="527">
        <f>+AN49-AV49</f>
        <v>0</v>
      </c>
      <c r="BC49" s="526"/>
      <c r="BD49" s="527">
        <f>+AP49-AX49</f>
        <v>0</v>
      </c>
      <c r="BE49" s="526"/>
      <c r="BF49" s="526">
        <f>SUM(AZ49:BD49)</f>
        <v>0</v>
      </c>
      <c r="BG49" s="526"/>
      <c r="BH49" s="526">
        <f>+BF49*$BH$10</f>
        <v>0</v>
      </c>
      <c r="BJ49" s="525">
        <f>A49</f>
        <v>406</v>
      </c>
    </row>
    <row r="50" spans="1:62" x14ac:dyDescent="0.25">
      <c r="A50" s="525">
        <f>A49+1</f>
        <v>407</v>
      </c>
      <c r="B50" s="530" t="s">
        <v>1673</v>
      </c>
      <c r="F50" s="536" t="s">
        <v>1614</v>
      </c>
      <c r="H50" s="528"/>
      <c r="J50" s="528"/>
      <c r="K50" s="526"/>
      <c r="L50" s="528"/>
      <c r="M50" s="526"/>
      <c r="N50" s="528"/>
      <c r="O50" s="526"/>
      <c r="R50" s="538" t="s">
        <v>1613</v>
      </c>
      <c r="T50" s="526">
        <v>0</v>
      </c>
      <c r="U50" s="526"/>
      <c r="V50" s="526">
        <f>N50</f>
        <v>0</v>
      </c>
      <c r="W50" s="526"/>
      <c r="X50" s="526">
        <v>0</v>
      </c>
      <c r="Y50" s="526"/>
      <c r="Z50" s="526">
        <f>SUM(T50:X50)</f>
        <v>0</v>
      </c>
      <c r="AA50" s="526"/>
      <c r="AB50" s="537" t="s">
        <v>1606</v>
      </c>
      <c r="AC50" s="526"/>
      <c r="AD50" s="526">
        <v>0</v>
      </c>
      <c r="AE50" s="526"/>
      <c r="AF50" s="528"/>
      <c r="AG50" s="526"/>
      <c r="AH50" s="526">
        <v>0</v>
      </c>
      <c r="AI50" s="526"/>
      <c r="AJ50" s="537" t="s">
        <v>1611</v>
      </c>
      <c r="AK50" s="526"/>
      <c r="AL50" s="527">
        <f>+T50-AD50</f>
        <v>0</v>
      </c>
      <c r="AM50" s="526"/>
      <c r="AN50" s="527">
        <f>+V50-AF50</f>
        <v>0</v>
      </c>
      <c r="AO50" s="526"/>
      <c r="AP50" s="527">
        <f>+X50-AH50</f>
        <v>0</v>
      </c>
      <c r="AQ50" s="526"/>
      <c r="AR50" s="526">
        <f>SUM(AL50:AP50)</f>
        <v>0</v>
      </c>
      <c r="AT50" s="526">
        <v>0</v>
      </c>
      <c r="AU50" s="526"/>
      <c r="AV50" s="528"/>
      <c r="AW50" s="526"/>
      <c r="AX50" s="526">
        <v>0</v>
      </c>
      <c r="AY50" s="526"/>
      <c r="AZ50" s="527">
        <f>+AL50-AT50</f>
        <v>0</v>
      </c>
      <c r="BA50" s="526"/>
      <c r="BB50" s="527">
        <f>+AN50-AV50</f>
        <v>0</v>
      </c>
      <c r="BC50" s="526"/>
      <c r="BD50" s="527">
        <f>+AP50-AX50</f>
        <v>0</v>
      </c>
      <c r="BE50" s="526"/>
      <c r="BF50" s="526">
        <f>SUM(AZ50:BD50)</f>
        <v>0</v>
      </c>
      <c r="BG50" s="526"/>
      <c r="BH50" s="526">
        <f>+BF50*$BH$10</f>
        <v>0</v>
      </c>
      <c r="BJ50" s="525">
        <f>A50</f>
        <v>407</v>
      </c>
    </row>
    <row r="51" spans="1:62" x14ac:dyDescent="0.25">
      <c r="A51" s="525">
        <f>A50+1</f>
        <v>408</v>
      </c>
      <c r="B51" s="530" t="s">
        <v>1672</v>
      </c>
      <c r="F51" s="536" t="s">
        <v>1614</v>
      </c>
      <c r="H51" s="528"/>
      <c r="J51" s="528"/>
      <c r="K51" s="526"/>
      <c r="L51" s="528"/>
      <c r="M51" s="526"/>
      <c r="N51" s="528"/>
      <c r="O51" s="526"/>
      <c r="R51" s="538" t="s">
        <v>1613</v>
      </c>
      <c r="T51" s="526">
        <v>0</v>
      </c>
      <c r="U51" s="526"/>
      <c r="V51" s="526">
        <f>N51</f>
        <v>0</v>
      </c>
      <c r="W51" s="526"/>
      <c r="X51" s="526">
        <v>0</v>
      </c>
      <c r="Y51" s="526"/>
      <c r="Z51" s="526">
        <f>SUM(T51:X51)</f>
        <v>0</v>
      </c>
      <c r="AA51" s="526"/>
      <c r="AB51" s="537" t="s">
        <v>1606</v>
      </c>
      <c r="AC51" s="526"/>
      <c r="AD51" s="526">
        <v>0</v>
      </c>
      <c r="AE51" s="526"/>
      <c r="AF51" s="528"/>
      <c r="AG51" s="526"/>
      <c r="AH51" s="526">
        <v>0</v>
      </c>
      <c r="AI51" s="526"/>
      <c r="AJ51" s="537" t="s">
        <v>1611</v>
      </c>
      <c r="AK51" s="526"/>
      <c r="AL51" s="527">
        <f>+T51-AD51</f>
        <v>0</v>
      </c>
      <c r="AM51" s="526"/>
      <c r="AN51" s="527">
        <f>+V51-AF51</f>
        <v>0</v>
      </c>
      <c r="AO51" s="526"/>
      <c r="AP51" s="527">
        <f>+X51-AH51</f>
        <v>0</v>
      </c>
      <c r="AQ51" s="526"/>
      <c r="AR51" s="526">
        <f>SUM(AL51:AP51)</f>
        <v>0</v>
      </c>
      <c r="AT51" s="526">
        <v>0</v>
      </c>
      <c r="AU51" s="526"/>
      <c r="AV51" s="528"/>
      <c r="AW51" s="526"/>
      <c r="AX51" s="526">
        <v>0</v>
      </c>
      <c r="AY51" s="526"/>
      <c r="AZ51" s="527">
        <f>+AL51-AT51</f>
        <v>0</v>
      </c>
      <c r="BA51" s="526"/>
      <c r="BB51" s="527">
        <f>+AN51-AV51</f>
        <v>0</v>
      </c>
      <c r="BC51" s="526"/>
      <c r="BD51" s="527">
        <f>+AP51-AX51</f>
        <v>0</v>
      </c>
      <c r="BE51" s="526"/>
      <c r="BF51" s="526">
        <f>SUM(AZ51:BD51)</f>
        <v>0</v>
      </c>
      <c r="BG51" s="526"/>
      <c r="BH51" s="526">
        <f>+BF51*$BH$10</f>
        <v>0</v>
      </c>
      <c r="BJ51" s="525">
        <f>A51</f>
        <v>408</v>
      </c>
    </row>
    <row r="52" spans="1:62" x14ac:dyDescent="0.25">
      <c r="A52" s="525">
        <f>A51+1</f>
        <v>409</v>
      </c>
      <c r="B52" s="530" t="s">
        <v>1671</v>
      </c>
      <c r="F52" s="536" t="s">
        <v>1614</v>
      </c>
      <c r="H52" s="528"/>
      <c r="J52" s="528"/>
      <c r="K52" s="526"/>
      <c r="L52" s="528"/>
      <c r="M52" s="526"/>
      <c r="N52" s="528"/>
      <c r="O52" s="526"/>
      <c r="R52" s="538" t="s">
        <v>1613</v>
      </c>
      <c r="T52" s="526">
        <v>0</v>
      </c>
      <c r="U52" s="526"/>
      <c r="V52" s="526">
        <f>N52</f>
        <v>0</v>
      </c>
      <c r="W52" s="526"/>
      <c r="X52" s="526">
        <v>0</v>
      </c>
      <c r="Y52" s="526"/>
      <c r="Z52" s="526">
        <f>SUM(T52:X52)</f>
        <v>0</v>
      </c>
      <c r="AA52" s="526"/>
      <c r="AB52" s="537" t="s">
        <v>1606</v>
      </c>
      <c r="AC52" s="526"/>
      <c r="AD52" s="526">
        <v>0</v>
      </c>
      <c r="AE52" s="526"/>
      <c r="AF52" s="528"/>
      <c r="AG52" s="526"/>
      <c r="AH52" s="526">
        <v>0</v>
      </c>
      <c r="AI52" s="526"/>
      <c r="AJ52" s="537" t="s">
        <v>1611</v>
      </c>
      <c r="AK52" s="526"/>
      <c r="AL52" s="527">
        <f>+T52-AD52</f>
        <v>0</v>
      </c>
      <c r="AM52" s="526"/>
      <c r="AN52" s="527">
        <f>+V52-AF52</f>
        <v>0</v>
      </c>
      <c r="AO52" s="526"/>
      <c r="AP52" s="527">
        <f>+X52-AH52</f>
        <v>0</v>
      </c>
      <c r="AQ52" s="526"/>
      <c r="AR52" s="526">
        <f>SUM(AL52:AP52)</f>
        <v>0</v>
      </c>
      <c r="AT52" s="526">
        <v>0</v>
      </c>
      <c r="AU52" s="526"/>
      <c r="AV52" s="528"/>
      <c r="AW52" s="526"/>
      <c r="AX52" s="526">
        <v>0</v>
      </c>
      <c r="AY52" s="526"/>
      <c r="AZ52" s="527">
        <f>+AL52-AT52</f>
        <v>0</v>
      </c>
      <c r="BA52" s="526"/>
      <c r="BB52" s="527">
        <f>+AN52-AV52</f>
        <v>0</v>
      </c>
      <c r="BC52" s="526"/>
      <c r="BD52" s="527">
        <f>+AP52-AX52</f>
        <v>0</v>
      </c>
      <c r="BE52" s="526"/>
      <c r="BF52" s="526">
        <f>SUM(AZ52:BD52)</f>
        <v>0</v>
      </c>
      <c r="BG52" s="526"/>
      <c r="BH52" s="526">
        <f>+BF52*$BH$10</f>
        <v>0</v>
      </c>
      <c r="BJ52" s="525">
        <f>A52</f>
        <v>409</v>
      </c>
    </row>
    <row r="53" spans="1:62" x14ac:dyDescent="0.25">
      <c r="A53" s="525">
        <f>A52+1</f>
        <v>410</v>
      </c>
      <c r="B53" s="530" t="s">
        <v>1670</v>
      </c>
      <c r="F53" s="536" t="s">
        <v>1614</v>
      </c>
      <c r="H53" s="528"/>
      <c r="J53" s="528"/>
      <c r="K53" s="526"/>
      <c r="L53" s="528"/>
      <c r="M53" s="526"/>
      <c r="N53" s="528"/>
      <c r="O53" s="526"/>
      <c r="R53" s="538" t="s">
        <v>1613</v>
      </c>
      <c r="T53" s="526">
        <v>0</v>
      </c>
      <c r="U53" s="526"/>
      <c r="V53" s="526">
        <f>N53</f>
        <v>0</v>
      </c>
      <c r="W53" s="526"/>
      <c r="X53" s="526">
        <v>0</v>
      </c>
      <c r="Y53" s="526"/>
      <c r="Z53" s="526">
        <f>SUM(T53:X53)</f>
        <v>0</v>
      </c>
      <c r="AA53" s="526"/>
      <c r="AB53" s="537" t="s">
        <v>1606</v>
      </c>
      <c r="AC53" s="526"/>
      <c r="AD53" s="526">
        <v>0</v>
      </c>
      <c r="AE53" s="526"/>
      <c r="AF53" s="528"/>
      <c r="AG53" s="526"/>
      <c r="AH53" s="526">
        <v>0</v>
      </c>
      <c r="AI53" s="526"/>
      <c r="AJ53" s="537" t="s">
        <v>1611</v>
      </c>
      <c r="AK53" s="526"/>
      <c r="AL53" s="527">
        <f>+T53-AD53</f>
        <v>0</v>
      </c>
      <c r="AM53" s="526"/>
      <c r="AN53" s="527">
        <f>+V53-AF53</f>
        <v>0</v>
      </c>
      <c r="AO53" s="526"/>
      <c r="AP53" s="527">
        <f>+X53-AH53</f>
        <v>0</v>
      </c>
      <c r="AQ53" s="526"/>
      <c r="AR53" s="526">
        <f>SUM(AL53:AP53)</f>
        <v>0</v>
      </c>
      <c r="AT53" s="526">
        <v>0</v>
      </c>
      <c r="AU53" s="526"/>
      <c r="AV53" s="528"/>
      <c r="AW53" s="526"/>
      <c r="AX53" s="526">
        <v>0</v>
      </c>
      <c r="AY53" s="526"/>
      <c r="AZ53" s="527">
        <f>+AL53-AT53</f>
        <v>0</v>
      </c>
      <c r="BA53" s="526"/>
      <c r="BB53" s="527">
        <f>+AN53-AV53</f>
        <v>0</v>
      </c>
      <c r="BC53" s="526"/>
      <c r="BD53" s="527">
        <f>+AP53-AX53</f>
        <v>0</v>
      </c>
      <c r="BE53" s="526"/>
      <c r="BF53" s="526">
        <f>SUM(AZ53:BD53)</f>
        <v>0</v>
      </c>
      <c r="BG53" s="526"/>
      <c r="BH53" s="526">
        <f>+BF53*$BH$10</f>
        <v>0</v>
      </c>
      <c r="BJ53" s="525">
        <f>A53</f>
        <v>410</v>
      </c>
    </row>
    <row r="54" spans="1:62" x14ac:dyDescent="0.25">
      <c r="A54" s="525">
        <f>A53+1</f>
        <v>411</v>
      </c>
      <c r="B54" s="530" t="s">
        <v>1669</v>
      </c>
      <c r="F54" s="536" t="s">
        <v>1614</v>
      </c>
      <c r="H54" s="528"/>
      <c r="J54" s="528"/>
      <c r="K54" s="526"/>
      <c r="L54" s="528"/>
      <c r="M54" s="526"/>
      <c r="N54" s="528"/>
      <c r="O54" s="526"/>
      <c r="R54" s="538" t="s">
        <v>1613</v>
      </c>
      <c r="T54" s="526">
        <v>0</v>
      </c>
      <c r="U54" s="526"/>
      <c r="V54" s="526">
        <f>N54</f>
        <v>0</v>
      </c>
      <c r="W54" s="526"/>
      <c r="X54" s="526">
        <v>0</v>
      </c>
      <c r="Y54" s="526"/>
      <c r="Z54" s="526">
        <f>SUM(T54:X54)</f>
        <v>0</v>
      </c>
      <c r="AA54" s="526"/>
      <c r="AB54" s="537" t="s">
        <v>1606</v>
      </c>
      <c r="AC54" s="526"/>
      <c r="AD54" s="526">
        <v>0</v>
      </c>
      <c r="AE54" s="526"/>
      <c r="AF54" s="528"/>
      <c r="AG54" s="526"/>
      <c r="AH54" s="526">
        <v>0</v>
      </c>
      <c r="AI54" s="526"/>
      <c r="AJ54" s="537" t="s">
        <v>1611</v>
      </c>
      <c r="AK54" s="526"/>
      <c r="AL54" s="527">
        <f>+T54-AD54</f>
        <v>0</v>
      </c>
      <c r="AM54" s="526"/>
      <c r="AN54" s="527">
        <f>+V54-AF54</f>
        <v>0</v>
      </c>
      <c r="AO54" s="526"/>
      <c r="AP54" s="527">
        <f>+X54-AH54</f>
        <v>0</v>
      </c>
      <c r="AQ54" s="526"/>
      <c r="AR54" s="526">
        <f>SUM(AL54:AP54)</f>
        <v>0</v>
      </c>
      <c r="AT54" s="526">
        <v>0</v>
      </c>
      <c r="AU54" s="526"/>
      <c r="AV54" s="528"/>
      <c r="AW54" s="526"/>
      <c r="AX54" s="526">
        <v>0</v>
      </c>
      <c r="AY54" s="526"/>
      <c r="AZ54" s="527">
        <f>+AL54-AT54</f>
        <v>0</v>
      </c>
      <c r="BA54" s="526"/>
      <c r="BB54" s="527">
        <f>+AN54-AV54</f>
        <v>0</v>
      </c>
      <c r="BC54" s="526"/>
      <c r="BD54" s="527">
        <f>+AP54-AX54</f>
        <v>0</v>
      </c>
      <c r="BE54" s="526"/>
      <c r="BF54" s="526">
        <f>SUM(AZ54:BD54)</f>
        <v>0</v>
      </c>
      <c r="BG54" s="526"/>
      <c r="BH54" s="526">
        <f>+BF54*$BH$10</f>
        <v>0</v>
      </c>
      <c r="BJ54" s="525">
        <f>A54</f>
        <v>411</v>
      </c>
    </row>
    <row r="55" spans="1:62" x14ac:dyDescent="0.25">
      <c r="A55" s="525">
        <f>A54+1</f>
        <v>412</v>
      </c>
      <c r="B55" s="530" t="s">
        <v>1668</v>
      </c>
      <c r="F55" s="536" t="s">
        <v>1614</v>
      </c>
      <c r="H55" s="528"/>
      <c r="J55" s="528"/>
      <c r="K55" s="526"/>
      <c r="L55" s="528"/>
      <c r="M55" s="526"/>
      <c r="N55" s="528"/>
      <c r="O55" s="526"/>
      <c r="R55" s="538" t="s">
        <v>1613</v>
      </c>
      <c r="T55" s="526">
        <v>0</v>
      </c>
      <c r="U55" s="526"/>
      <c r="V55" s="526">
        <f>N55</f>
        <v>0</v>
      </c>
      <c r="W55" s="526"/>
      <c r="X55" s="526">
        <v>0</v>
      </c>
      <c r="Y55" s="526"/>
      <c r="Z55" s="526">
        <f>SUM(T55:X55)</f>
        <v>0</v>
      </c>
      <c r="AA55" s="526"/>
      <c r="AB55" s="537" t="s">
        <v>1606</v>
      </c>
      <c r="AC55" s="526"/>
      <c r="AD55" s="526">
        <v>0</v>
      </c>
      <c r="AE55" s="526"/>
      <c r="AF55" s="528"/>
      <c r="AG55" s="526"/>
      <c r="AH55" s="526">
        <v>0</v>
      </c>
      <c r="AI55" s="526"/>
      <c r="AJ55" s="537" t="s">
        <v>1611</v>
      </c>
      <c r="AK55" s="526"/>
      <c r="AL55" s="527">
        <f>+T55-AD55</f>
        <v>0</v>
      </c>
      <c r="AM55" s="526"/>
      <c r="AN55" s="527">
        <f>+V55-AF55</f>
        <v>0</v>
      </c>
      <c r="AO55" s="526"/>
      <c r="AP55" s="527">
        <f>+X55-AH55</f>
        <v>0</v>
      </c>
      <c r="AQ55" s="526"/>
      <c r="AR55" s="526">
        <f>SUM(AL55:AP55)</f>
        <v>0</v>
      </c>
      <c r="AT55" s="526">
        <v>0</v>
      </c>
      <c r="AU55" s="526"/>
      <c r="AV55" s="528"/>
      <c r="AW55" s="526"/>
      <c r="AX55" s="526">
        <v>0</v>
      </c>
      <c r="AY55" s="526"/>
      <c r="AZ55" s="527">
        <f>+AL55-AT55</f>
        <v>0</v>
      </c>
      <c r="BA55" s="526"/>
      <c r="BB55" s="527">
        <f>+AN55-AV55</f>
        <v>0</v>
      </c>
      <c r="BC55" s="526"/>
      <c r="BD55" s="527">
        <f>+AP55-AX55</f>
        <v>0</v>
      </c>
      <c r="BE55" s="526"/>
      <c r="BF55" s="526">
        <f>SUM(AZ55:BD55)</f>
        <v>0</v>
      </c>
      <c r="BG55" s="526"/>
      <c r="BH55" s="526">
        <f>+BF55*$BH$10</f>
        <v>0</v>
      </c>
      <c r="BJ55" s="525">
        <f>A55</f>
        <v>412</v>
      </c>
    </row>
    <row r="56" spans="1:62" x14ac:dyDescent="0.25">
      <c r="A56" s="525">
        <f>A55+1</f>
        <v>413</v>
      </c>
      <c r="B56" s="530" t="s">
        <v>1667</v>
      </c>
      <c r="F56" s="536" t="s">
        <v>1614</v>
      </c>
      <c r="H56" s="528"/>
      <c r="J56" s="528"/>
      <c r="K56" s="526"/>
      <c r="L56" s="528"/>
      <c r="M56" s="526"/>
      <c r="N56" s="528"/>
      <c r="O56" s="526"/>
      <c r="R56" s="538" t="s">
        <v>1613</v>
      </c>
      <c r="T56" s="526">
        <v>0</v>
      </c>
      <c r="U56" s="526"/>
      <c r="V56" s="526">
        <f>N56</f>
        <v>0</v>
      </c>
      <c r="W56" s="526"/>
      <c r="X56" s="526">
        <v>0</v>
      </c>
      <c r="Y56" s="526"/>
      <c r="Z56" s="526">
        <f>SUM(T56:X56)</f>
        <v>0</v>
      </c>
      <c r="AA56" s="526"/>
      <c r="AB56" s="537" t="s">
        <v>1606</v>
      </c>
      <c r="AC56" s="526"/>
      <c r="AD56" s="526">
        <v>0</v>
      </c>
      <c r="AE56" s="526"/>
      <c r="AF56" s="528"/>
      <c r="AG56" s="526"/>
      <c r="AH56" s="526">
        <v>0</v>
      </c>
      <c r="AI56" s="526"/>
      <c r="AJ56" s="537" t="s">
        <v>1611</v>
      </c>
      <c r="AK56" s="526"/>
      <c r="AL56" s="527">
        <f>+T56-AD56</f>
        <v>0</v>
      </c>
      <c r="AM56" s="526"/>
      <c r="AN56" s="527">
        <f>+V56-AF56</f>
        <v>0</v>
      </c>
      <c r="AO56" s="526"/>
      <c r="AP56" s="527">
        <f>+X56-AH56</f>
        <v>0</v>
      </c>
      <c r="AQ56" s="526"/>
      <c r="AR56" s="526">
        <f>SUM(AL56:AP56)</f>
        <v>0</v>
      </c>
      <c r="AT56" s="526">
        <v>0</v>
      </c>
      <c r="AU56" s="526"/>
      <c r="AV56" s="528"/>
      <c r="AW56" s="526"/>
      <c r="AX56" s="526">
        <v>0</v>
      </c>
      <c r="AY56" s="526"/>
      <c r="AZ56" s="527">
        <f>+AL56-AT56</f>
        <v>0</v>
      </c>
      <c r="BA56" s="526"/>
      <c r="BB56" s="527">
        <f>+AN56-AV56</f>
        <v>0</v>
      </c>
      <c r="BC56" s="526"/>
      <c r="BD56" s="527">
        <f>+AP56-AX56</f>
        <v>0</v>
      </c>
      <c r="BE56" s="526"/>
      <c r="BF56" s="526">
        <f>SUM(AZ56:BD56)</f>
        <v>0</v>
      </c>
      <c r="BG56" s="526"/>
      <c r="BH56" s="526">
        <f>+BF56*$BH$10</f>
        <v>0</v>
      </c>
      <c r="BJ56" s="525">
        <f>A56</f>
        <v>413</v>
      </c>
    </row>
    <row r="57" spans="1:62" x14ac:dyDescent="0.25">
      <c r="A57" s="525">
        <f>A56+1</f>
        <v>414</v>
      </c>
      <c r="B57" s="530" t="s">
        <v>1666</v>
      </c>
      <c r="F57" s="536" t="s">
        <v>1614</v>
      </c>
      <c r="H57" s="528"/>
      <c r="J57" s="528"/>
      <c r="K57" s="526"/>
      <c r="L57" s="528"/>
      <c r="M57" s="526"/>
      <c r="N57" s="528"/>
      <c r="O57" s="526"/>
      <c r="R57" s="538" t="s">
        <v>1613</v>
      </c>
      <c r="T57" s="526">
        <v>0</v>
      </c>
      <c r="U57" s="526"/>
      <c r="V57" s="526">
        <f>N57</f>
        <v>0</v>
      </c>
      <c r="W57" s="526"/>
      <c r="X57" s="526">
        <v>0</v>
      </c>
      <c r="Y57" s="526"/>
      <c r="Z57" s="526">
        <f>SUM(T57:X57)</f>
        <v>0</v>
      </c>
      <c r="AA57" s="526"/>
      <c r="AB57" s="537" t="s">
        <v>1606</v>
      </c>
      <c r="AC57" s="526"/>
      <c r="AD57" s="526">
        <v>0</v>
      </c>
      <c r="AE57" s="526"/>
      <c r="AF57" s="528"/>
      <c r="AG57" s="526"/>
      <c r="AH57" s="526">
        <v>0</v>
      </c>
      <c r="AI57" s="526"/>
      <c r="AJ57" s="537" t="s">
        <v>1611</v>
      </c>
      <c r="AK57" s="526"/>
      <c r="AL57" s="527">
        <f>+T57-AD57</f>
        <v>0</v>
      </c>
      <c r="AM57" s="526"/>
      <c r="AN57" s="527">
        <f>+V57-AF57</f>
        <v>0</v>
      </c>
      <c r="AO57" s="526"/>
      <c r="AP57" s="527">
        <f>+X57-AH57</f>
        <v>0</v>
      </c>
      <c r="AQ57" s="526"/>
      <c r="AR57" s="526">
        <f>SUM(AL57:AP57)</f>
        <v>0</v>
      </c>
      <c r="AT57" s="526">
        <v>0</v>
      </c>
      <c r="AU57" s="526"/>
      <c r="AV57" s="528"/>
      <c r="AW57" s="526"/>
      <c r="AX57" s="526">
        <v>0</v>
      </c>
      <c r="AY57" s="526"/>
      <c r="AZ57" s="527">
        <f>+AL57-AT57</f>
        <v>0</v>
      </c>
      <c r="BA57" s="526"/>
      <c r="BB57" s="527">
        <f>+AN57-AV57</f>
        <v>0</v>
      </c>
      <c r="BC57" s="526"/>
      <c r="BD57" s="527">
        <f>+AP57-AX57</f>
        <v>0</v>
      </c>
      <c r="BE57" s="526"/>
      <c r="BF57" s="526">
        <f>SUM(AZ57:BD57)</f>
        <v>0</v>
      </c>
      <c r="BG57" s="526"/>
      <c r="BH57" s="526">
        <f>+BF57*$BH$10</f>
        <v>0</v>
      </c>
      <c r="BJ57" s="525">
        <f>A57</f>
        <v>414</v>
      </c>
    </row>
    <row r="58" spans="1:62" x14ac:dyDescent="0.25">
      <c r="A58" s="525">
        <f>A57+1</f>
        <v>415</v>
      </c>
      <c r="B58" s="530" t="s">
        <v>1665</v>
      </c>
      <c r="F58" s="536" t="s">
        <v>1614</v>
      </c>
      <c r="H58" s="528"/>
      <c r="J58" s="528"/>
      <c r="K58" s="526"/>
      <c r="L58" s="528"/>
      <c r="M58" s="526"/>
      <c r="N58" s="528"/>
      <c r="O58" s="526"/>
      <c r="R58" s="538" t="s">
        <v>1613</v>
      </c>
      <c r="T58" s="526">
        <v>0</v>
      </c>
      <c r="U58" s="526"/>
      <c r="V58" s="526">
        <f>N58</f>
        <v>0</v>
      </c>
      <c r="W58" s="526"/>
      <c r="X58" s="526">
        <v>0</v>
      </c>
      <c r="Y58" s="526"/>
      <c r="Z58" s="526">
        <f>SUM(T58:X58)</f>
        <v>0</v>
      </c>
      <c r="AA58" s="526"/>
      <c r="AB58" s="537" t="s">
        <v>1606</v>
      </c>
      <c r="AC58" s="526"/>
      <c r="AD58" s="526">
        <v>0</v>
      </c>
      <c r="AE58" s="526"/>
      <c r="AF58" s="528"/>
      <c r="AG58" s="526"/>
      <c r="AH58" s="526">
        <v>0</v>
      </c>
      <c r="AI58" s="526"/>
      <c r="AJ58" s="537" t="s">
        <v>1611</v>
      </c>
      <c r="AK58" s="526"/>
      <c r="AL58" s="527">
        <f>+T58-AD58</f>
        <v>0</v>
      </c>
      <c r="AM58" s="526"/>
      <c r="AN58" s="527">
        <f>+V58-AF58</f>
        <v>0</v>
      </c>
      <c r="AO58" s="526"/>
      <c r="AP58" s="527">
        <f>+X58-AH58</f>
        <v>0</v>
      </c>
      <c r="AQ58" s="526"/>
      <c r="AR58" s="526">
        <f>SUM(AL58:AP58)</f>
        <v>0</v>
      </c>
      <c r="AT58" s="526">
        <v>0</v>
      </c>
      <c r="AU58" s="526"/>
      <c r="AV58" s="528"/>
      <c r="AW58" s="526"/>
      <c r="AX58" s="526">
        <v>0</v>
      </c>
      <c r="AY58" s="526"/>
      <c r="AZ58" s="527">
        <f>+AL58-AT58</f>
        <v>0</v>
      </c>
      <c r="BA58" s="526"/>
      <c r="BB58" s="527">
        <f>+AN58-AV58</f>
        <v>0</v>
      </c>
      <c r="BC58" s="526"/>
      <c r="BD58" s="527">
        <f>+AP58-AX58</f>
        <v>0</v>
      </c>
      <c r="BE58" s="526"/>
      <c r="BF58" s="526">
        <f>SUM(AZ58:BD58)</f>
        <v>0</v>
      </c>
      <c r="BG58" s="526"/>
      <c r="BH58" s="526">
        <f>+BF58*$BH$10</f>
        <v>0</v>
      </c>
      <c r="BJ58" s="525">
        <f>A58</f>
        <v>415</v>
      </c>
    </row>
    <row r="59" spans="1:62" x14ac:dyDescent="0.25">
      <c r="A59" s="525">
        <f>A58+1</f>
        <v>416</v>
      </c>
      <c r="B59" s="530" t="s">
        <v>1664</v>
      </c>
      <c r="F59" s="536" t="s">
        <v>1614</v>
      </c>
      <c r="H59" s="528"/>
      <c r="J59" s="528"/>
      <c r="K59" s="526"/>
      <c r="L59" s="528"/>
      <c r="M59" s="526"/>
      <c r="N59" s="528"/>
      <c r="O59" s="526"/>
      <c r="R59" s="538" t="s">
        <v>1613</v>
      </c>
      <c r="T59" s="526">
        <v>0</v>
      </c>
      <c r="U59" s="526"/>
      <c r="V59" s="526">
        <f>N59</f>
        <v>0</v>
      </c>
      <c r="W59" s="526"/>
      <c r="X59" s="526">
        <v>0</v>
      </c>
      <c r="Y59" s="526"/>
      <c r="Z59" s="526">
        <f>SUM(T59:X59)</f>
        <v>0</v>
      </c>
      <c r="AA59" s="526"/>
      <c r="AB59" s="537" t="s">
        <v>1606</v>
      </c>
      <c r="AC59" s="526"/>
      <c r="AD59" s="526">
        <v>0</v>
      </c>
      <c r="AE59" s="526"/>
      <c r="AF59" s="528"/>
      <c r="AG59" s="526"/>
      <c r="AH59" s="526">
        <v>0</v>
      </c>
      <c r="AI59" s="526"/>
      <c r="AJ59" s="537" t="s">
        <v>1611</v>
      </c>
      <c r="AK59" s="526"/>
      <c r="AL59" s="527">
        <f>+T59-AD59</f>
        <v>0</v>
      </c>
      <c r="AM59" s="526"/>
      <c r="AN59" s="527">
        <f>+V59-AF59</f>
        <v>0</v>
      </c>
      <c r="AO59" s="526"/>
      <c r="AP59" s="527">
        <f>+X59-AH59</f>
        <v>0</v>
      </c>
      <c r="AQ59" s="526"/>
      <c r="AR59" s="526">
        <f>SUM(AL59:AP59)</f>
        <v>0</v>
      </c>
      <c r="AT59" s="526">
        <v>0</v>
      </c>
      <c r="AU59" s="526"/>
      <c r="AV59" s="528"/>
      <c r="AW59" s="526"/>
      <c r="AX59" s="526">
        <v>0</v>
      </c>
      <c r="AY59" s="526"/>
      <c r="AZ59" s="527">
        <f>+AL59-AT59</f>
        <v>0</v>
      </c>
      <c r="BA59" s="526"/>
      <c r="BB59" s="527">
        <f>+AN59-AV59</f>
        <v>0</v>
      </c>
      <c r="BC59" s="526"/>
      <c r="BD59" s="527">
        <f>+AP59-AX59</f>
        <v>0</v>
      </c>
      <c r="BE59" s="526"/>
      <c r="BF59" s="526">
        <f>SUM(AZ59:BD59)</f>
        <v>0</v>
      </c>
      <c r="BG59" s="526"/>
      <c r="BH59" s="526">
        <f>+BF59*$BH$10</f>
        <v>0</v>
      </c>
      <c r="BJ59" s="525">
        <f>A59</f>
        <v>416</v>
      </c>
    </row>
    <row r="60" spans="1:62" x14ac:dyDescent="0.25">
      <c r="A60" s="525">
        <f>A59+1</f>
        <v>417</v>
      </c>
      <c r="B60" s="530" t="s">
        <v>1663</v>
      </c>
      <c r="F60" s="536" t="s">
        <v>1614</v>
      </c>
      <c r="H60" s="528"/>
      <c r="J60" s="528"/>
      <c r="K60" s="526"/>
      <c r="L60" s="528"/>
      <c r="M60" s="526"/>
      <c r="N60" s="528"/>
      <c r="O60" s="526"/>
      <c r="R60" s="538" t="s">
        <v>1613</v>
      </c>
      <c r="T60" s="526">
        <v>0</v>
      </c>
      <c r="U60" s="526"/>
      <c r="V60" s="526">
        <f>N60</f>
        <v>0</v>
      </c>
      <c r="W60" s="526"/>
      <c r="X60" s="526">
        <v>0</v>
      </c>
      <c r="Y60" s="526"/>
      <c r="Z60" s="526">
        <f>SUM(T60:X60)</f>
        <v>0</v>
      </c>
      <c r="AA60" s="526"/>
      <c r="AB60" s="537" t="s">
        <v>1606</v>
      </c>
      <c r="AC60" s="526"/>
      <c r="AD60" s="526">
        <v>0</v>
      </c>
      <c r="AE60" s="526"/>
      <c r="AF60" s="528"/>
      <c r="AG60" s="526"/>
      <c r="AH60" s="526">
        <v>0</v>
      </c>
      <c r="AI60" s="526"/>
      <c r="AJ60" s="537" t="s">
        <v>1611</v>
      </c>
      <c r="AK60" s="526"/>
      <c r="AL60" s="527">
        <f>+T60-AD60</f>
        <v>0</v>
      </c>
      <c r="AM60" s="526"/>
      <c r="AN60" s="527">
        <f>+V60-AF60</f>
        <v>0</v>
      </c>
      <c r="AO60" s="526"/>
      <c r="AP60" s="527">
        <f>+X60-AH60</f>
        <v>0</v>
      </c>
      <c r="AQ60" s="526"/>
      <c r="AR60" s="526">
        <f>SUM(AL60:AP60)</f>
        <v>0</v>
      </c>
      <c r="AT60" s="526">
        <v>0</v>
      </c>
      <c r="AU60" s="526"/>
      <c r="AV60" s="528"/>
      <c r="AW60" s="526"/>
      <c r="AX60" s="526">
        <v>0</v>
      </c>
      <c r="AY60" s="526"/>
      <c r="AZ60" s="527">
        <f>+AL60-AT60</f>
        <v>0</v>
      </c>
      <c r="BA60" s="526"/>
      <c r="BB60" s="527">
        <f>+AN60-AV60</f>
        <v>0</v>
      </c>
      <c r="BC60" s="526"/>
      <c r="BD60" s="527">
        <f>+AP60-AX60</f>
        <v>0</v>
      </c>
      <c r="BE60" s="526"/>
      <c r="BF60" s="526">
        <f>SUM(AZ60:BD60)</f>
        <v>0</v>
      </c>
      <c r="BG60" s="526"/>
      <c r="BH60" s="526">
        <f>+BF60*$BH$10</f>
        <v>0</v>
      </c>
      <c r="BJ60" s="525">
        <f>A60</f>
        <v>417</v>
      </c>
    </row>
    <row r="61" spans="1:62" x14ac:dyDescent="0.25">
      <c r="A61" s="525">
        <f>A60+1</f>
        <v>418</v>
      </c>
      <c r="B61" s="530" t="s">
        <v>1662</v>
      </c>
      <c r="F61" s="536" t="s">
        <v>1614</v>
      </c>
      <c r="H61" s="528"/>
      <c r="J61" s="528"/>
      <c r="K61" s="526"/>
      <c r="L61" s="528"/>
      <c r="M61" s="526"/>
      <c r="N61" s="528"/>
      <c r="O61" s="526"/>
      <c r="R61" s="538" t="s">
        <v>1613</v>
      </c>
      <c r="T61" s="526">
        <v>0</v>
      </c>
      <c r="U61" s="526"/>
      <c r="V61" s="526">
        <f>N61</f>
        <v>0</v>
      </c>
      <c r="W61" s="526"/>
      <c r="X61" s="526">
        <v>0</v>
      </c>
      <c r="Y61" s="526"/>
      <c r="Z61" s="526">
        <f>SUM(T61:X61)</f>
        <v>0</v>
      </c>
      <c r="AA61" s="526"/>
      <c r="AB61" s="537" t="s">
        <v>1606</v>
      </c>
      <c r="AC61" s="526"/>
      <c r="AD61" s="526">
        <v>0</v>
      </c>
      <c r="AE61" s="526"/>
      <c r="AF61" s="528"/>
      <c r="AG61" s="526"/>
      <c r="AH61" s="526">
        <v>0</v>
      </c>
      <c r="AI61" s="526"/>
      <c r="AJ61" s="537" t="s">
        <v>1611</v>
      </c>
      <c r="AK61" s="526"/>
      <c r="AL61" s="527">
        <f>+T61-AD61</f>
        <v>0</v>
      </c>
      <c r="AM61" s="526"/>
      <c r="AN61" s="527">
        <f>+V61-AF61</f>
        <v>0</v>
      </c>
      <c r="AO61" s="526"/>
      <c r="AP61" s="527">
        <f>+X61-AH61</f>
        <v>0</v>
      </c>
      <c r="AQ61" s="526"/>
      <c r="AR61" s="526">
        <f>SUM(AL61:AP61)</f>
        <v>0</v>
      </c>
      <c r="AT61" s="526">
        <v>0</v>
      </c>
      <c r="AU61" s="526"/>
      <c r="AV61" s="528"/>
      <c r="AW61" s="526"/>
      <c r="AX61" s="526">
        <v>0</v>
      </c>
      <c r="AY61" s="526"/>
      <c r="AZ61" s="527">
        <f>+AL61-AT61</f>
        <v>0</v>
      </c>
      <c r="BA61" s="526"/>
      <c r="BB61" s="527">
        <f>+AN61-AV61</f>
        <v>0</v>
      </c>
      <c r="BC61" s="526"/>
      <c r="BD61" s="527">
        <f>+AP61-AX61</f>
        <v>0</v>
      </c>
      <c r="BE61" s="526"/>
      <c r="BF61" s="526">
        <f>SUM(AZ61:BD61)</f>
        <v>0</v>
      </c>
      <c r="BG61" s="526"/>
      <c r="BH61" s="526">
        <f>+BF61*$BH$10</f>
        <v>0</v>
      </c>
      <c r="BJ61" s="525">
        <f>A61</f>
        <v>418</v>
      </c>
    </row>
    <row r="62" spans="1:62" x14ac:dyDescent="0.25">
      <c r="A62" s="525">
        <f>A61+1</f>
        <v>419</v>
      </c>
      <c r="B62" s="530" t="s">
        <v>1661</v>
      </c>
      <c r="F62" s="536" t="s">
        <v>1614</v>
      </c>
      <c r="H62" s="528"/>
      <c r="J62" s="528"/>
      <c r="K62" s="526"/>
      <c r="L62" s="528"/>
      <c r="M62" s="526"/>
      <c r="N62" s="528"/>
      <c r="O62" s="526"/>
      <c r="R62" s="538" t="s">
        <v>1613</v>
      </c>
      <c r="T62" s="526">
        <v>0</v>
      </c>
      <c r="U62" s="526"/>
      <c r="V62" s="526">
        <f>N62</f>
        <v>0</v>
      </c>
      <c r="W62" s="526"/>
      <c r="X62" s="526">
        <v>0</v>
      </c>
      <c r="Y62" s="526"/>
      <c r="Z62" s="526">
        <f>SUM(T62:X62)</f>
        <v>0</v>
      </c>
      <c r="AA62" s="526"/>
      <c r="AB62" s="537" t="s">
        <v>1606</v>
      </c>
      <c r="AC62" s="526"/>
      <c r="AD62" s="526">
        <v>0</v>
      </c>
      <c r="AE62" s="526"/>
      <c r="AF62" s="528"/>
      <c r="AG62" s="526"/>
      <c r="AH62" s="526">
        <v>0</v>
      </c>
      <c r="AI62" s="526"/>
      <c r="AJ62" s="537" t="s">
        <v>1611</v>
      </c>
      <c r="AK62" s="526"/>
      <c r="AL62" s="527">
        <f>+T62-AD62</f>
        <v>0</v>
      </c>
      <c r="AM62" s="526"/>
      <c r="AN62" s="527">
        <f>+V62-AF62</f>
        <v>0</v>
      </c>
      <c r="AO62" s="526"/>
      <c r="AP62" s="527">
        <f>+X62-AH62</f>
        <v>0</v>
      </c>
      <c r="AQ62" s="526"/>
      <c r="AR62" s="526">
        <f>SUM(AL62:AP62)</f>
        <v>0</v>
      </c>
      <c r="AT62" s="526">
        <v>0</v>
      </c>
      <c r="AU62" s="526"/>
      <c r="AV62" s="528"/>
      <c r="AW62" s="526"/>
      <c r="AX62" s="526">
        <v>0</v>
      </c>
      <c r="AY62" s="526"/>
      <c r="AZ62" s="527">
        <f>+AL62-AT62</f>
        <v>0</v>
      </c>
      <c r="BA62" s="526"/>
      <c r="BB62" s="527">
        <f>+AN62-AV62</f>
        <v>0</v>
      </c>
      <c r="BC62" s="526"/>
      <c r="BD62" s="527">
        <f>+AP62-AX62</f>
        <v>0</v>
      </c>
      <c r="BE62" s="526"/>
      <c r="BF62" s="526">
        <f>SUM(AZ62:BD62)</f>
        <v>0</v>
      </c>
      <c r="BG62" s="526"/>
      <c r="BH62" s="526">
        <f>+BF62*$BH$10</f>
        <v>0</v>
      </c>
      <c r="BJ62" s="525">
        <f>A62</f>
        <v>419</v>
      </c>
    </row>
    <row r="63" spans="1:62" x14ac:dyDescent="0.25">
      <c r="A63" s="525">
        <f>A62+1</f>
        <v>420</v>
      </c>
      <c r="B63" s="530" t="s">
        <v>1660</v>
      </c>
      <c r="F63" s="536" t="s">
        <v>1614</v>
      </c>
      <c r="H63" s="528"/>
      <c r="J63" s="528"/>
      <c r="K63" s="526"/>
      <c r="L63" s="528"/>
      <c r="M63" s="526"/>
      <c r="N63" s="528"/>
      <c r="O63" s="526"/>
      <c r="R63" s="538" t="s">
        <v>1613</v>
      </c>
      <c r="T63" s="526">
        <v>0</v>
      </c>
      <c r="U63" s="526"/>
      <c r="V63" s="526">
        <f>N63</f>
        <v>0</v>
      </c>
      <c r="W63" s="526"/>
      <c r="X63" s="526">
        <v>0</v>
      </c>
      <c r="Y63" s="526"/>
      <c r="Z63" s="526">
        <f>SUM(T63:X63)</f>
        <v>0</v>
      </c>
      <c r="AA63" s="526"/>
      <c r="AB63" s="537" t="s">
        <v>1606</v>
      </c>
      <c r="AC63" s="526"/>
      <c r="AD63" s="526">
        <v>0</v>
      </c>
      <c r="AE63" s="526"/>
      <c r="AF63" s="528"/>
      <c r="AG63" s="526"/>
      <c r="AH63" s="526">
        <v>0</v>
      </c>
      <c r="AI63" s="526"/>
      <c r="AJ63" s="537" t="s">
        <v>1611</v>
      </c>
      <c r="AK63" s="526"/>
      <c r="AL63" s="527">
        <f>+T63-AD63</f>
        <v>0</v>
      </c>
      <c r="AM63" s="526"/>
      <c r="AN63" s="527">
        <f>+V63-AF63</f>
        <v>0</v>
      </c>
      <c r="AO63" s="526"/>
      <c r="AP63" s="527">
        <f>+X63-AH63</f>
        <v>0</v>
      </c>
      <c r="AQ63" s="526"/>
      <c r="AR63" s="526">
        <f>SUM(AL63:AP63)</f>
        <v>0</v>
      </c>
      <c r="AT63" s="526">
        <v>0</v>
      </c>
      <c r="AU63" s="526"/>
      <c r="AV63" s="528"/>
      <c r="AW63" s="526"/>
      <c r="AX63" s="526">
        <v>0</v>
      </c>
      <c r="AY63" s="526"/>
      <c r="AZ63" s="527">
        <f>+AL63-AT63</f>
        <v>0</v>
      </c>
      <c r="BA63" s="526"/>
      <c r="BB63" s="527">
        <f>+AN63-AV63</f>
        <v>0</v>
      </c>
      <c r="BC63" s="526"/>
      <c r="BD63" s="527">
        <f>+AP63-AX63</f>
        <v>0</v>
      </c>
      <c r="BE63" s="526"/>
      <c r="BF63" s="526">
        <f>SUM(AZ63:BD63)</f>
        <v>0</v>
      </c>
      <c r="BG63" s="526"/>
      <c r="BH63" s="526">
        <f>+BF63*$BH$10</f>
        <v>0</v>
      </c>
      <c r="BJ63" s="525">
        <f>A63</f>
        <v>420</v>
      </c>
    </row>
    <row r="64" spans="1:62" x14ac:dyDescent="0.25">
      <c r="A64" s="525">
        <f>A63+1</f>
        <v>421</v>
      </c>
      <c r="B64" s="530" t="s">
        <v>1659</v>
      </c>
      <c r="F64" s="536" t="s">
        <v>1614</v>
      </c>
      <c r="H64" s="528"/>
      <c r="J64" s="528"/>
      <c r="K64" s="526"/>
      <c r="L64" s="528"/>
      <c r="M64" s="526"/>
      <c r="N64" s="528"/>
      <c r="O64" s="526"/>
      <c r="R64" s="538" t="s">
        <v>1613</v>
      </c>
      <c r="T64" s="526">
        <v>0</v>
      </c>
      <c r="U64" s="526"/>
      <c r="V64" s="526">
        <f>N64</f>
        <v>0</v>
      </c>
      <c r="W64" s="526"/>
      <c r="X64" s="526">
        <v>0</v>
      </c>
      <c r="Y64" s="526"/>
      <c r="Z64" s="526">
        <f>SUM(T64:X64)</f>
        <v>0</v>
      </c>
      <c r="AA64" s="526"/>
      <c r="AB64" s="537" t="s">
        <v>1606</v>
      </c>
      <c r="AC64" s="526"/>
      <c r="AD64" s="526">
        <v>0</v>
      </c>
      <c r="AE64" s="526"/>
      <c r="AF64" s="528"/>
      <c r="AG64" s="526"/>
      <c r="AH64" s="526">
        <v>0</v>
      </c>
      <c r="AI64" s="526"/>
      <c r="AJ64" s="537" t="s">
        <v>1611</v>
      </c>
      <c r="AK64" s="526"/>
      <c r="AL64" s="527">
        <f>+T64-AD64</f>
        <v>0</v>
      </c>
      <c r="AM64" s="526"/>
      <c r="AN64" s="527">
        <f>+V64-AF64</f>
        <v>0</v>
      </c>
      <c r="AO64" s="526"/>
      <c r="AP64" s="527">
        <f>+X64-AH64</f>
        <v>0</v>
      </c>
      <c r="AQ64" s="526"/>
      <c r="AR64" s="526">
        <f>SUM(AL64:AP64)</f>
        <v>0</v>
      </c>
      <c r="AT64" s="526">
        <v>0</v>
      </c>
      <c r="AU64" s="526"/>
      <c r="AV64" s="528"/>
      <c r="AW64" s="526"/>
      <c r="AX64" s="526">
        <v>0</v>
      </c>
      <c r="AY64" s="526"/>
      <c r="AZ64" s="527">
        <f>+AL64-AT64</f>
        <v>0</v>
      </c>
      <c r="BA64" s="526"/>
      <c r="BB64" s="527">
        <f>+AN64-AV64</f>
        <v>0</v>
      </c>
      <c r="BC64" s="526"/>
      <c r="BD64" s="527">
        <f>+AP64-AX64</f>
        <v>0</v>
      </c>
      <c r="BE64" s="526"/>
      <c r="BF64" s="526">
        <f>SUM(AZ64:BD64)</f>
        <v>0</v>
      </c>
      <c r="BG64" s="526"/>
      <c r="BH64" s="526">
        <f>+BF64*$BH$10</f>
        <v>0</v>
      </c>
      <c r="BJ64" s="525">
        <f>A64</f>
        <v>421</v>
      </c>
    </row>
    <row r="65" spans="1:62" x14ac:dyDescent="0.25">
      <c r="A65" s="525">
        <f>A64+1</f>
        <v>422</v>
      </c>
      <c r="B65" s="530" t="s">
        <v>1658</v>
      </c>
      <c r="F65" s="536" t="s">
        <v>1614</v>
      </c>
      <c r="H65" s="528"/>
      <c r="J65" s="528"/>
      <c r="K65" s="526"/>
      <c r="L65" s="528"/>
      <c r="M65" s="526"/>
      <c r="N65" s="528"/>
      <c r="O65" s="526"/>
      <c r="R65" s="538" t="s">
        <v>1613</v>
      </c>
      <c r="T65" s="526">
        <v>0</v>
      </c>
      <c r="U65" s="526"/>
      <c r="V65" s="526">
        <f>N65</f>
        <v>0</v>
      </c>
      <c r="W65" s="526"/>
      <c r="X65" s="526">
        <v>0</v>
      </c>
      <c r="Y65" s="526"/>
      <c r="Z65" s="526">
        <f>SUM(T65:X65)</f>
        <v>0</v>
      </c>
      <c r="AA65" s="526"/>
      <c r="AB65" s="537" t="s">
        <v>1606</v>
      </c>
      <c r="AC65" s="526"/>
      <c r="AD65" s="526">
        <v>0</v>
      </c>
      <c r="AE65" s="526"/>
      <c r="AF65" s="528"/>
      <c r="AG65" s="526"/>
      <c r="AH65" s="526">
        <v>0</v>
      </c>
      <c r="AI65" s="526"/>
      <c r="AJ65" s="537" t="s">
        <v>1611</v>
      </c>
      <c r="AK65" s="526"/>
      <c r="AL65" s="527">
        <f>+T65-AD65</f>
        <v>0</v>
      </c>
      <c r="AM65" s="526"/>
      <c r="AN65" s="527">
        <f>+V65-AF65</f>
        <v>0</v>
      </c>
      <c r="AO65" s="526"/>
      <c r="AP65" s="527">
        <f>+X65-AH65</f>
        <v>0</v>
      </c>
      <c r="AQ65" s="526"/>
      <c r="AR65" s="526">
        <f>SUM(AL65:AP65)</f>
        <v>0</v>
      </c>
      <c r="AT65" s="526">
        <v>0</v>
      </c>
      <c r="AU65" s="526"/>
      <c r="AV65" s="528"/>
      <c r="AW65" s="526"/>
      <c r="AX65" s="526">
        <v>0</v>
      </c>
      <c r="AY65" s="526"/>
      <c r="AZ65" s="527">
        <f>+AL65-AT65</f>
        <v>0</v>
      </c>
      <c r="BA65" s="526"/>
      <c r="BB65" s="527">
        <f>+AN65-AV65</f>
        <v>0</v>
      </c>
      <c r="BC65" s="526"/>
      <c r="BD65" s="527">
        <f>+AP65-AX65</f>
        <v>0</v>
      </c>
      <c r="BE65" s="526"/>
      <c r="BF65" s="526">
        <f>SUM(AZ65:BD65)</f>
        <v>0</v>
      </c>
      <c r="BG65" s="526"/>
      <c r="BH65" s="526">
        <f>+BF65*$BH$10</f>
        <v>0</v>
      </c>
      <c r="BJ65" s="525">
        <f>A65</f>
        <v>422</v>
      </c>
    </row>
    <row r="66" spans="1:62" x14ac:dyDescent="0.25">
      <c r="A66" s="525">
        <f>A65+1</f>
        <v>423</v>
      </c>
      <c r="B66" s="530" t="s">
        <v>1657</v>
      </c>
      <c r="F66" s="536" t="s">
        <v>1614</v>
      </c>
      <c r="H66" s="528"/>
      <c r="J66" s="528"/>
      <c r="K66" s="526"/>
      <c r="L66" s="528"/>
      <c r="M66" s="526"/>
      <c r="N66" s="528"/>
      <c r="O66" s="526"/>
      <c r="R66" s="538" t="s">
        <v>1613</v>
      </c>
      <c r="T66" s="526">
        <v>0</v>
      </c>
      <c r="U66" s="526"/>
      <c r="V66" s="526">
        <f>N66</f>
        <v>0</v>
      </c>
      <c r="W66" s="526"/>
      <c r="X66" s="526">
        <v>0</v>
      </c>
      <c r="Y66" s="526"/>
      <c r="Z66" s="526">
        <f>SUM(T66:X66)</f>
        <v>0</v>
      </c>
      <c r="AA66" s="526"/>
      <c r="AB66" s="537" t="s">
        <v>1606</v>
      </c>
      <c r="AC66" s="526"/>
      <c r="AD66" s="526">
        <v>0</v>
      </c>
      <c r="AE66" s="526"/>
      <c r="AF66" s="528"/>
      <c r="AG66" s="526"/>
      <c r="AH66" s="526">
        <v>0</v>
      </c>
      <c r="AI66" s="526"/>
      <c r="AJ66" s="537" t="s">
        <v>1611</v>
      </c>
      <c r="AK66" s="526"/>
      <c r="AL66" s="527">
        <f>+T66-AD66</f>
        <v>0</v>
      </c>
      <c r="AM66" s="526"/>
      <c r="AN66" s="527">
        <f>+V66-AF66</f>
        <v>0</v>
      </c>
      <c r="AO66" s="526"/>
      <c r="AP66" s="527">
        <f>+X66-AH66</f>
        <v>0</v>
      </c>
      <c r="AQ66" s="526"/>
      <c r="AR66" s="526">
        <f>SUM(AL66:AP66)</f>
        <v>0</v>
      </c>
      <c r="AT66" s="526">
        <v>0</v>
      </c>
      <c r="AU66" s="526"/>
      <c r="AV66" s="528"/>
      <c r="AW66" s="526"/>
      <c r="AX66" s="526">
        <v>0</v>
      </c>
      <c r="AY66" s="526"/>
      <c r="AZ66" s="527">
        <f>+AL66-AT66</f>
        <v>0</v>
      </c>
      <c r="BA66" s="526"/>
      <c r="BB66" s="527">
        <f>+AN66-AV66</f>
        <v>0</v>
      </c>
      <c r="BC66" s="526"/>
      <c r="BD66" s="527">
        <f>+AP66-AX66</f>
        <v>0</v>
      </c>
      <c r="BE66" s="526"/>
      <c r="BF66" s="526">
        <f>SUM(AZ66:BD66)</f>
        <v>0</v>
      </c>
      <c r="BG66" s="526"/>
      <c r="BH66" s="526">
        <f>+BF66*$BH$10</f>
        <v>0</v>
      </c>
      <c r="BJ66" s="525">
        <f>A66</f>
        <v>423</v>
      </c>
    </row>
    <row r="67" spans="1:62" x14ac:dyDescent="0.25">
      <c r="A67" s="525">
        <f>A66+1</f>
        <v>424</v>
      </c>
      <c r="B67" s="530" t="s">
        <v>1656</v>
      </c>
      <c r="F67" s="536" t="s">
        <v>1614</v>
      </c>
      <c r="H67" s="528"/>
      <c r="J67" s="528"/>
      <c r="K67" s="526"/>
      <c r="L67" s="528"/>
      <c r="M67" s="526"/>
      <c r="N67" s="528"/>
      <c r="O67" s="526"/>
      <c r="R67" s="538" t="s">
        <v>1613</v>
      </c>
      <c r="T67" s="526">
        <v>0</v>
      </c>
      <c r="U67" s="526"/>
      <c r="V67" s="526">
        <f>N67</f>
        <v>0</v>
      </c>
      <c r="W67" s="526"/>
      <c r="X67" s="526">
        <v>0</v>
      </c>
      <c r="Y67" s="526"/>
      <c r="Z67" s="526">
        <f>SUM(T67:X67)</f>
        <v>0</v>
      </c>
      <c r="AA67" s="526"/>
      <c r="AB67" s="537" t="s">
        <v>1606</v>
      </c>
      <c r="AC67" s="526"/>
      <c r="AD67" s="526">
        <v>0</v>
      </c>
      <c r="AE67" s="526"/>
      <c r="AF67" s="528"/>
      <c r="AG67" s="526"/>
      <c r="AH67" s="526">
        <v>0</v>
      </c>
      <c r="AI67" s="526"/>
      <c r="AJ67" s="537" t="s">
        <v>1611</v>
      </c>
      <c r="AK67" s="526"/>
      <c r="AL67" s="527">
        <f>+T67-AD67</f>
        <v>0</v>
      </c>
      <c r="AM67" s="526"/>
      <c r="AN67" s="527">
        <f>+V67-AF67</f>
        <v>0</v>
      </c>
      <c r="AO67" s="526"/>
      <c r="AP67" s="527">
        <f>+X67-AH67</f>
        <v>0</v>
      </c>
      <c r="AQ67" s="526"/>
      <c r="AR67" s="526">
        <f>SUM(AL67:AP67)</f>
        <v>0</v>
      </c>
      <c r="AT67" s="526">
        <v>0</v>
      </c>
      <c r="AU67" s="526"/>
      <c r="AV67" s="528"/>
      <c r="AW67" s="526"/>
      <c r="AX67" s="526">
        <v>0</v>
      </c>
      <c r="AY67" s="526"/>
      <c r="AZ67" s="527">
        <f>+AL67-AT67</f>
        <v>0</v>
      </c>
      <c r="BA67" s="526"/>
      <c r="BB67" s="527">
        <f>+AN67-AV67</f>
        <v>0</v>
      </c>
      <c r="BC67" s="526"/>
      <c r="BD67" s="527">
        <f>+AP67-AX67</f>
        <v>0</v>
      </c>
      <c r="BE67" s="526"/>
      <c r="BF67" s="526">
        <f>SUM(AZ67:BD67)</f>
        <v>0</v>
      </c>
      <c r="BG67" s="526"/>
      <c r="BH67" s="526">
        <f>+BF67*$BH$10</f>
        <v>0</v>
      </c>
      <c r="BJ67" s="525">
        <f>A67</f>
        <v>424</v>
      </c>
    </row>
    <row r="68" spans="1:62" x14ac:dyDescent="0.25">
      <c r="A68" s="525">
        <f>A67+1</f>
        <v>425</v>
      </c>
      <c r="B68" s="530" t="s">
        <v>1655</v>
      </c>
      <c r="F68" s="536" t="s">
        <v>1614</v>
      </c>
      <c r="H68" s="528"/>
      <c r="J68" s="528"/>
      <c r="K68" s="526"/>
      <c r="L68" s="528"/>
      <c r="M68" s="526"/>
      <c r="N68" s="528"/>
      <c r="O68" s="526"/>
      <c r="R68" s="538" t="s">
        <v>1613</v>
      </c>
      <c r="T68" s="526">
        <v>0</v>
      </c>
      <c r="U68" s="526"/>
      <c r="V68" s="526">
        <f>N68</f>
        <v>0</v>
      </c>
      <c r="W68" s="526"/>
      <c r="X68" s="526">
        <v>0</v>
      </c>
      <c r="Y68" s="526"/>
      <c r="Z68" s="526">
        <f>SUM(T68:X68)</f>
        <v>0</v>
      </c>
      <c r="AA68" s="526"/>
      <c r="AB68" s="537" t="s">
        <v>1606</v>
      </c>
      <c r="AC68" s="526"/>
      <c r="AD68" s="526">
        <v>0</v>
      </c>
      <c r="AE68" s="526"/>
      <c r="AF68" s="528"/>
      <c r="AG68" s="526"/>
      <c r="AH68" s="526">
        <v>0</v>
      </c>
      <c r="AI68" s="526"/>
      <c r="AJ68" s="537" t="s">
        <v>1611</v>
      </c>
      <c r="AK68" s="526"/>
      <c r="AL68" s="527">
        <f>+T68-AD68</f>
        <v>0</v>
      </c>
      <c r="AM68" s="526"/>
      <c r="AN68" s="527">
        <f>+V68-AF68</f>
        <v>0</v>
      </c>
      <c r="AO68" s="526"/>
      <c r="AP68" s="527">
        <f>+X68-AH68</f>
        <v>0</v>
      </c>
      <c r="AQ68" s="526"/>
      <c r="AR68" s="526">
        <f>SUM(AL68:AP68)</f>
        <v>0</v>
      </c>
      <c r="AT68" s="526">
        <v>0</v>
      </c>
      <c r="AU68" s="526"/>
      <c r="AV68" s="528"/>
      <c r="AW68" s="526"/>
      <c r="AX68" s="526">
        <v>0</v>
      </c>
      <c r="AY68" s="526"/>
      <c r="AZ68" s="527">
        <f>+AL68-AT68</f>
        <v>0</v>
      </c>
      <c r="BA68" s="526"/>
      <c r="BB68" s="527">
        <f>+AN68-AV68</f>
        <v>0</v>
      </c>
      <c r="BC68" s="526"/>
      <c r="BD68" s="527">
        <f>+AP68-AX68</f>
        <v>0</v>
      </c>
      <c r="BE68" s="526"/>
      <c r="BF68" s="526">
        <f>SUM(AZ68:BD68)</f>
        <v>0</v>
      </c>
      <c r="BG68" s="526"/>
      <c r="BH68" s="526">
        <f>+BF68*$BH$10</f>
        <v>0</v>
      </c>
      <c r="BJ68" s="525">
        <f>A68</f>
        <v>425</v>
      </c>
    </row>
    <row r="69" spans="1:62" x14ac:dyDescent="0.25">
      <c r="A69" s="525">
        <f>A68+1</f>
        <v>426</v>
      </c>
      <c r="B69" s="530" t="s">
        <v>1654</v>
      </c>
      <c r="F69" s="536" t="s">
        <v>1614</v>
      </c>
      <c r="H69" s="528"/>
      <c r="J69" s="528"/>
      <c r="K69" s="526"/>
      <c r="L69" s="528"/>
      <c r="M69" s="526"/>
      <c r="N69" s="528"/>
      <c r="O69" s="526"/>
      <c r="R69" s="538" t="s">
        <v>1613</v>
      </c>
      <c r="T69" s="526">
        <v>0</v>
      </c>
      <c r="U69" s="526"/>
      <c r="V69" s="526">
        <f>N69</f>
        <v>0</v>
      </c>
      <c r="W69" s="526"/>
      <c r="X69" s="526">
        <v>0</v>
      </c>
      <c r="Y69" s="526"/>
      <c r="Z69" s="526">
        <f>SUM(T69:X69)</f>
        <v>0</v>
      </c>
      <c r="AA69" s="526"/>
      <c r="AB69" s="537" t="s">
        <v>1606</v>
      </c>
      <c r="AC69" s="526"/>
      <c r="AD69" s="526">
        <v>0</v>
      </c>
      <c r="AE69" s="526"/>
      <c r="AF69" s="528"/>
      <c r="AG69" s="526"/>
      <c r="AH69" s="526">
        <v>0</v>
      </c>
      <c r="AI69" s="526"/>
      <c r="AJ69" s="537" t="s">
        <v>1611</v>
      </c>
      <c r="AK69" s="526"/>
      <c r="AL69" s="527">
        <f>+T69-AD69</f>
        <v>0</v>
      </c>
      <c r="AM69" s="526"/>
      <c r="AN69" s="527">
        <f>+V69-AF69</f>
        <v>0</v>
      </c>
      <c r="AO69" s="526"/>
      <c r="AP69" s="527">
        <f>+X69-AH69</f>
        <v>0</v>
      </c>
      <c r="AQ69" s="526"/>
      <c r="AR69" s="526">
        <f>SUM(AL69:AP69)</f>
        <v>0</v>
      </c>
      <c r="AT69" s="526">
        <v>0</v>
      </c>
      <c r="AU69" s="526"/>
      <c r="AV69" s="528"/>
      <c r="AW69" s="526"/>
      <c r="AX69" s="526">
        <v>0</v>
      </c>
      <c r="AY69" s="526"/>
      <c r="AZ69" s="527">
        <f>+AL69-AT69</f>
        <v>0</v>
      </c>
      <c r="BA69" s="526"/>
      <c r="BB69" s="527">
        <f>+AN69-AV69</f>
        <v>0</v>
      </c>
      <c r="BC69" s="526"/>
      <c r="BD69" s="527">
        <f>+AP69-AX69</f>
        <v>0</v>
      </c>
      <c r="BE69" s="526"/>
      <c r="BF69" s="526">
        <f>SUM(AZ69:BD69)</f>
        <v>0</v>
      </c>
      <c r="BG69" s="526"/>
      <c r="BH69" s="526">
        <f>+BF69*$BH$10</f>
        <v>0</v>
      </c>
      <c r="BJ69" s="525">
        <f>A69</f>
        <v>426</v>
      </c>
    </row>
    <row r="70" spans="1:62" x14ac:dyDescent="0.25">
      <c r="A70" s="525">
        <f>A69+1</f>
        <v>427</v>
      </c>
      <c r="B70" s="530" t="s">
        <v>1653</v>
      </c>
      <c r="F70" s="536" t="s">
        <v>1614</v>
      </c>
      <c r="H70" s="528"/>
      <c r="J70" s="528"/>
      <c r="K70" s="526"/>
      <c r="L70" s="528"/>
      <c r="M70" s="526"/>
      <c r="N70" s="528"/>
      <c r="O70" s="526"/>
      <c r="R70" s="538" t="s">
        <v>1613</v>
      </c>
      <c r="T70" s="526">
        <v>0</v>
      </c>
      <c r="U70" s="526"/>
      <c r="V70" s="526">
        <f>N70</f>
        <v>0</v>
      </c>
      <c r="W70" s="526"/>
      <c r="X70" s="526">
        <v>0</v>
      </c>
      <c r="Y70" s="526"/>
      <c r="Z70" s="526">
        <f>SUM(T70:X70)</f>
        <v>0</v>
      </c>
      <c r="AA70" s="526"/>
      <c r="AB70" s="537" t="s">
        <v>1606</v>
      </c>
      <c r="AC70" s="526"/>
      <c r="AD70" s="526">
        <v>0</v>
      </c>
      <c r="AE70" s="526"/>
      <c r="AF70" s="528"/>
      <c r="AG70" s="526"/>
      <c r="AH70" s="526">
        <v>0</v>
      </c>
      <c r="AI70" s="526"/>
      <c r="AJ70" s="537" t="s">
        <v>1611</v>
      </c>
      <c r="AK70" s="526"/>
      <c r="AL70" s="527">
        <f>+T70-AD70</f>
        <v>0</v>
      </c>
      <c r="AM70" s="526"/>
      <c r="AN70" s="527">
        <f>+V70-AF70</f>
        <v>0</v>
      </c>
      <c r="AO70" s="526"/>
      <c r="AP70" s="527">
        <f>+X70-AH70</f>
        <v>0</v>
      </c>
      <c r="AQ70" s="526"/>
      <c r="AR70" s="526">
        <f>SUM(AL70:AP70)</f>
        <v>0</v>
      </c>
      <c r="AT70" s="526">
        <v>0</v>
      </c>
      <c r="AU70" s="526"/>
      <c r="AV70" s="528"/>
      <c r="AW70" s="526"/>
      <c r="AX70" s="526">
        <v>0</v>
      </c>
      <c r="AY70" s="526"/>
      <c r="AZ70" s="527">
        <f>+AL70-AT70</f>
        <v>0</v>
      </c>
      <c r="BA70" s="526"/>
      <c r="BB70" s="527">
        <f>+AN70-AV70</f>
        <v>0</v>
      </c>
      <c r="BC70" s="526"/>
      <c r="BD70" s="527">
        <f>+AP70-AX70</f>
        <v>0</v>
      </c>
      <c r="BE70" s="526"/>
      <c r="BF70" s="526">
        <f>SUM(AZ70:BD70)</f>
        <v>0</v>
      </c>
      <c r="BG70" s="526"/>
      <c r="BH70" s="526">
        <f>+BF70*$BH$10</f>
        <v>0</v>
      </c>
      <c r="BJ70" s="525">
        <f>A70</f>
        <v>427</v>
      </c>
    </row>
    <row r="71" spans="1:62" x14ac:dyDescent="0.25">
      <c r="A71" s="525">
        <f>A70+1</f>
        <v>428</v>
      </c>
      <c r="B71" s="530" t="s">
        <v>1652</v>
      </c>
      <c r="F71" s="536" t="s">
        <v>1614</v>
      </c>
      <c r="H71" s="528"/>
      <c r="J71" s="528"/>
      <c r="K71" s="526"/>
      <c r="L71" s="528"/>
      <c r="M71" s="526"/>
      <c r="N71" s="528"/>
      <c r="O71" s="526"/>
      <c r="R71" s="538" t="s">
        <v>1613</v>
      </c>
      <c r="T71" s="526">
        <v>0</v>
      </c>
      <c r="U71" s="526"/>
      <c r="V71" s="526">
        <f>N71</f>
        <v>0</v>
      </c>
      <c r="W71" s="526"/>
      <c r="X71" s="526">
        <v>0</v>
      </c>
      <c r="Y71" s="526"/>
      <c r="Z71" s="526">
        <f>SUM(T71:X71)</f>
        <v>0</v>
      </c>
      <c r="AA71" s="526"/>
      <c r="AB71" s="537" t="s">
        <v>1606</v>
      </c>
      <c r="AC71" s="526"/>
      <c r="AD71" s="526">
        <v>0</v>
      </c>
      <c r="AE71" s="526"/>
      <c r="AF71" s="528"/>
      <c r="AG71" s="526"/>
      <c r="AH71" s="526">
        <v>0</v>
      </c>
      <c r="AI71" s="526"/>
      <c r="AJ71" s="537" t="s">
        <v>1611</v>
      </c>
      <c r="AK71" s="526"/>
      <c r="AL71" s="527">
        <f>+T71-AD71</f>
        <v>0</v>
      </c>
      <c r="AM71" s="526"/>
      <c r="AN71" s="527">
        <f>+V71-AF71</f>
        <v>0</v>
      </c>
      <c r="AO71" s="526"/>
      <c r="AP71" s="527">
        <f>+X71-AH71</f>
        <v>0</v>
      </c>
      <c r="AQ71" s="526"/>
      <c r="AR71" s="526">
        <f>SUM(AL71:AP71)</f>
        <v>0</v>
      </c>
      <c r="AT71" s="526">
        <v>0</v>
      </c>
      <c r="AU71" s="526"/>
      <c r="AV71" s="528"/>
      <c r="AW71" s="526"/>
      <c r="AX71" s="526">
        <v>0</v>
      </c>
      <c r="AY71" s="526"/>
      <c r="AZ71" s="527">
        <f>+AL71-AT71</f>
        <v>0</v>
      </c>
      <c r="BA71" s="526"/>
      <c r="BB71" s="527">
        <f>+AN71-AV71</f>
        <v>0</v>
      </c>
      <c r="BC71" s="526"/>
      <c r="BD71" s="527">
        <f>+AP71-AX71</f>
        <v>0</v>
      </c>
      <c r="BE71" s="526"/>
      <c r="BF71" s="526">
        <f>SUM(AZ71:BD71)</f>
        <v>0</v>
      </c>
      <c r="BG71" s="526"/>
      <c r="BH71" s="526">
        <f>+BF71*$BH$10</f>
        <v>0</v>
      </c>
      <c r="BJ71" s="525">
        <f>A71</f>
        <v>428</v>
      </c>
    </row>
    <row r="72" spans="1:62" x14ac:dyDescent="0.25">
      <c r="A72" s="525">
        <f>A71+1</f>
        <v>429</v>
      </c>
      <c r="B72" s="530" t="s">
        <v>1651</v>
      </c>
      <c r="F72" s="536" t="s">
        <v>1614</v>
      </c>
      <c r="H72" s="528"/>
      <c r="J72" s="528"/>
      <c r="K72" s="526"/>
      <c r="L72" s="528"/>
      <c r="M72" s="526"/>
      <c r="N72" s="528"/>
      <c r="O72" s="526"/>
      <c r="R72" s="538" t="s">
        <v>1613</v>
      </c>
      <c r="T72" s="526">
        <v>0</v>
      </c>
      <c r="U72" s="526"/>
      <c r="V72" s="526">
        <f>N72</f>
        <v>0</v>
      </c>
      <c r="W72" s="526"/>
      <c r="X72" s="526">
        <v>0</v>
      </c>
      <c r="Y72" s="526"/>
      <c r="Z72" s="526">
        <f>SUM(T72:X72)</f>
        <v>0</v>
      </c>
      <c r="AA72" s="526"/>
      <c r="AB72" s="537" t="s">
        <v>1606</v>
      </c>
      <c r="AC72" s="526"/>
      <c r="AD72" s="526">
        <v>0</v>
      </c>
      <c r="AE72" s="526"/>
      <c r="AF72" s="528"/>
      <c r="AG72" s="526"/>
      <c r="AH72" s="526">
        <v>0</v>
      </c>
      <c r="AI72" s="526"/>
      <c r="AJ72" s="537" t="s">
        <v>1611</v>
      </c>
      <c r="AK72" s="526"/>
      <c r="AL72" s="527">
        <f>+T72-AD72</f>
        <v>0</v>
      </c>
      <c r="AM72" s="526"/>
      <c r="AN72" s="527">
        <f>+V72-AF72</f>
        <v>0</v>
      </c>
      <c r="AO72" s="526"/>
      <c r="AP72" s="527">
        <f>+X72-AH72</f>
        <v>0</v>
      </c>
      <c r="AQ72" s="526"/>
      <c r="AR72" s="526">
        <f>SUM(AL72:AP72)</f>
        <v>0</v>
      </c>
      <c r="AT72" s="526">
        <v>0</v>
      </c>
      <c r="AU72" s="526"/>
      <c r="AV72" s="528"/>
      <c r="AW72" s="526"/>
      <c r="AX72" s="526">
        <v>0</v>
      </c>
      <c r="AY72" s="526"/>
      <c r="AZ72" s="527">
        <f>+AL72-AT72</f>
        <v>0</v>
      </c>
      <c r="BA72" s="526"/>
      <c r="BB72" s="527">
        <f>+AN72-AV72</f>
        <v>0</v>
      </c>
      <c r="BC72" s="526"/>
      <c r="BD72" s="527">
        <f>+AP72-AX72</f>
        <v>0</v>
      </c>
      <c r="BE72" s="526"/>
      <c r="BF72" s="526">
        <f>SUM(AZ72:BD72)</f>
        <v>0</v>
      </c>
      <c r="BG72" s="526"/>
      <c r="BH72" s="526">
        <f>+BF72*$BH$10</f>
        <v>0</v>
      </c>
      <c r="BJ72" s="525">
        <f>A72</f>
        <v>429</v>
      </c>
    </row>
    <row r="73" spans="1:62" x14ac:dyDescent="0.25">
      <c r="A73" s="525">
        <f>A72+1</f>
        <v>430</v>
      </c>
      <c r="B73" s="530" t="s">
        <v>1650</v>
      </c>
      <c r="F73" s="536" t="s">
        <v>1614</v>
      </c>
      <c r="H73" s="528"/>
      <c r="J73" s="528"/>
      <c r="K73" s="526"/>
      <c r="L73" s="528"/>
      <c r="M73" s="526"/>
      <c r="N73" s="528"/>
      <c r="O73" s="526"/>
      <c r="R73" s="538" t="s">
        <v>1613</v>
      </c>
      <c r="T73" s="526">
        <v>0</v>
      </c>
      <c r="U73" s="526"/>
      <c r="V73" s="526">
        <f>N73</f>
        <v>0</v>
      </c>
      <c r="W73" s="526"/>
      <c r="X73" s="526">
        <v>0</v>
      </c>
      <c r="Y73" s="526"/>
      <c r="Z73" s="526">
        <f>SUM(T73:X73)</f>
        <v>0</v>
      </c>
      <c r="AA73" s="526"/>
      <c r="AB73" s="537" t="s">
        <v>1606</v>
      </c>
      <c r="AC73" s="526"/>
      <c r="AD73" s="526">
        <v>0</v>
      </c>
      <c r="AE73" s="526"/>
      <c r="AF73" s="528"/>
      <c r="AG73" s="526"/>
      <c r="AH73" s="526">
        <v>0</v>
      </c>
      <c r="AI73" s="526"/>
      <c r="AJ73" s="537" t="s">
        <v>1611</v>
      </c>
      <c r="AK73" s="526"/>
      <c r="AL73" s="527">
        <f>+T73-AD73</f>
        <v>0</v>
      </c>
      <c r="AM73" s="526"/>
      <c r="AN73" s="527">
        <f>+V73-AF73</f>
        <v>0</v>
      </c>
      <c r="AO73" s="526"/>
      <c r="AP73" s="527">
        <f>+X73-AH73</f>
        <v>0</v>
      </c>
      <c r="AQ73" s="526"/>
      <c r="AR73" s="526">
        <f>SUM(AL73:AP73)</f>
        <v>0</v>
      </c>
      <c r="AT73" s="526">
        <v>0</v>
      </c>
      <c r="AU73" s="526"/>
      <c r="AV73" s="528"/>
      <c r="AW73" s="526"/>
      <c r="AX73" s="526">
        <v>0</v>
      </c>
      <c r="AY73" s="526"/>
      <c r="AZ73" s="527">
        <f>+AL73-AT73</f>
        <v>0</v>
      </c>
      <c r="BA73" s="526"/>
      <c r="BB73" s="527">
        <f>+AN73-AV73</f>
        <v>0</v>
      </c>
      <c r="BC73" s="526"/>
      <c r="BD73" s="527">
        <f>+AP73-AX73</f>
        <v>0</v>
      </c>
      <c r="BE73" s="526"/>
      <c r="BF73" s="526">
        <f>SUM(AZ73:BD73)</f>
        <v>0</v>
      </c>
      <c r="BG73" s="526"/>
      <c r="BH73" s="526">
        <f>+BF73*$BH$10</f>
        <v>0</v>
      </c>
      <c r="BJ73" s="525">
        <f>A73</f>
        <v>430</v>
      </c>
    </row>
    <row r="74" spans="1:62" x14ac:dyDescent="0.25">
      <c r="A74" s="525">
        <f>A73+1</f>
        <v>431</v>
      </c>
      <c r="B74" s="530" t="s">
        <v>1649</v>
      </c>
      <c r="F74" s="536" t="s">
        <v>1614</v>
      </c>
      <c r="H74" s="528"/>
      <c r="J74" s="528"/>
      <c r="K74" s="526"/>
      <c r="L74" s="528"/>
      <c r="M74" s="526"/>
      <c r="N74" s="528"/>
      <c r="O74" s="526"/>
      <c r="R74" s="538" t="s">
        <v>1613</v>
      </c>
      <c r="T74" s="526">
        <v>0</v>
      </c>
      <c r="U74" s="526"/>
      <c r="V74" s="526">
        <f>N74</f>
        <v>0</v>
      </c>
      <c r="W74" s="526"/>
      <c r="X74" s="526">
        <v>0</v>
      </c>
      <c r="Y74" s="526"/>
      <c r="Z74" s="526">
        <f>SUM(T74:X74)</f>
        <v>0</v>
      </c>
      <c r="AA74" s="526"/>
      <c r="AB74" s="537" t="s">
        <v>1606</v>
      </c>
      <c r="AC74" s="526"/>
      <c r="AD74" s="526">
        <v>0</v>
      </c>
      <c r="AE74" s="526"/>
      <c r="AF74" s="528"/>
      <c r="AG74" s="526"/>
      <c r="AH74" s="526">
        <v>0</v>
      </c>
      <c r="AI74" s="526"/>
      <c r="AJ74" s="537" t="s">
        <v>1611</v>
      </c>
      <c r="AK74" s="526"/>
      <c r="AL74" s="527">
        <f>+T74-AD74</f>
        <v>0</v>
      </c>
      <c r="AM74" s="526"/>
      <c r="AN74" s="527">
        <f>+V74-AF74</f>
        <v>0</v>
      </c>
      <c r="AO74" s="526"/>
      <c r="AP74" s="527">
        <f>+X74-AH74</f>
        <v>0</v>
      </c>
      <c r="AQ74" s="526"/>
      <c r="AR74" s="526">
        <f>SUM(AL74:AP74)</f>
        <v>0</v>
      </c>
      <c r="AT74" s="526">
        <v>0</v>
      </c>
      <c r="AU74" s="526"/>
      <c r="AV74" s="528"/>
      <c r="AW74" s="526"/>
      <c r="AX74" s="526">
        <v>0</v>
      </c>
      <c r="AY74" s="526"/>
      <c r="AZ74" s="527">
        <f>+AL74-AT74</f>
        <v>0</v>
      </c>
      <c r="BA74" s="526"/>
      <c r="BB74" s="527">
        <f>+AN74-AV74</f>
        <v>0</v>
      </c>
      <c r="BC74" s="526"/>
      <c r="BD74" s="527">
        <f>+AP74-AX74</f>
        <v>0</v>
      </c>
      <c r="BE74" s="526"/>
      <c r="BF74" s="526">
        <f>SUM(AZ74:BD74)</f>
        <v>0</v>
      </c>
      <c r="BG74" s="526"/>
      <c r="BH74" s="526">
        <f>+BF74*$BH$10</f>
        <v>0</v>
      </c>
      <c r="BJ74" s="525">
        <f>A74</f>
        <v>431</v>
      </c>
    </row>
    <row r="75" spans="1:62" x14ac:dyDescent="0.25">
      <c r="A75" s="525">
        <f>A74+1</f>
        <v>432</v>
      </c>
      <c r="B75" s="530" t="s">
        <v>1648</v>
      </c>
      <c r="F75" s="536" t="s">
        <v>1614</v>
      </c>
      <c r="H75" s="528"/>
      <c r="J75" s="528"/>
      <c r="K75" s="526"/>
      <c r="L75" s="528"/>
      <c r="M75" s="526"/>
      <c r="N75" s="528"/>
      <c r="O75" s="526"/>
      <c r="R75" s="538" t="s">
        <v>1613</v>
      </c>
      <c r="T75" s="526">
        <v>0</v>
      </c>
      <c r="U75" s="526"/>
      <c r="V75" s="526">
        <f>N75</f>
        <v>0</v>
      </c>
      <c r="W75" s="526"/>
      <c r="X75" s="526">
        <v>0</v>
      </c>
      <c r="Y75" s="526"/>
      <c r="Z75" s="526">
        <f>SUM(T75:X75)</f>
        <v>0</v>
      </c>
      <c r="AA75" s="526"/>
      <c r="AB75" s="537" t="s">
        <v>1606</v>
      </c>
      <c r="AC75" s="526"/>
      <c r="AD75" s="526">
        <v>0</v>
      </c>
      <c r="AE75" s="526"/>
      <c r="AF75" s="528"/>
      <c r="AG75" s="526"/>
      <c r="AH75" s="526">
        <v>0</v>
      </c>
      <c r="AI75" s="526"/>
      <c r="AJ75" s="537" t="s">
        <v>1611</v>
      </c>
      <c r="AK75" s="526"/>
      <c r="AL75" s="527">
        <f>+T75-AD75</f>
        <v>0</v>
      </c>
      <c r="AM75" s="526"/>
      <c r="AN75" s="527">
        <f>+V75-AF75</f>
        <v>0</v>
      </c>
      <c r="AO75" s="526"/>
      <c r="AP75" s="527">
        <f>+X75-AH75</f>
        <v>0</v>
      </c>
      <c r="AQ75" s="526"/>
      <c r="AR75" s="526">
        <f>SUM(AL75:AP75)</f>
        <v>0</v>
      </c>
      <c r="AT75" s="526">
        <v>0</v>
      </c>
      <c r="AU75" s="526"/>
      <c r="AV75" s="528"/>
      <c r="AW75" s="526"/>
      <c r="AX75" s="526">
        <v>0</v>
      </c>
      <c r="AY75" s="526"/>
      <c r="AZ75" s="527">
        <f>+AL75-AT75</f>
        <v>0</v>
      </c>
      <c r="BA75" s="526"/>
      <c r="BB75" s="527">
        <f>+AN75-AV75</f>
        <v>0</v>
      </c>
      <c r="BC75" s="526"/>
      <c r="BD75" s="527">
        <f>+AP75-AX75</f>
        <v>0</v>
      </c>
      <c r="BE75" s="526"/>
      <c r="BF75" s="526">
        <f>SUM(AZ75:BD75)</f>
        <v>0</v>
      </c>
      <c r="BG75" s="526"/>
      <c r="BH75" s="526">
        <f>+BF75*$BH$10</f>
        <v>0</v>
      </c>
      <c r="BJ75" s="525">
        <f>A75</f>
        <v>432</v>
      </c>
    </row>
    <row r="76" spans="1:62" x14ac:dyDescent="0.25">
      <c r="A76" s="525">
        <f>A75+1</f>
        <v>433</v>
      </c>
      <c r="B76" s="530" t="s">
        <v>1647</v>
      </c>
      <c r="F76" s="536" t="s">
        <v>1614</v>
      </c>
      <c r="H76" s="528"/>
      <c r="J76" s="528"/>
      <c r="K76" s="526"/>
      <c r="L76" s="528"/>
      <c r="M76" s="526"/>
      <c r="N76" s="528"/>
      <c r="O76" s="526"/>
      <c r="R76" s="538" t="s">
        <v>1613</v>
      </c>
      <c r="T76" s="526">
        <v>0</v>
      </c>
      <c r="U76" s="526"/>
      <c r="V76" s="526">
        <f>N76</f>
        <v>0</v>
      </c>
      <c r="W76" s="526"/>
      <c r="X76" s="526">
        <v>0</v>
      </c>
      <c r="Y76" s="526"/>
      <c r="Z76" s="526">
        <f>SUM(T76:X76)</f>
        <v>0</v>
      </c>
      <c r="AA76" s="526"/>
      <c r="AB76" s="537" t="s">
        <v>1606</v>
      </c>
      <c r="AC76" s="526"/>
      <c r="AD76" s="526">
        <v>0</v>
      </c>
      <c r="AE76" s="526"/>
      <c r="AF76" s="528"/>
      <c r="AG76" s="526"/>
      <c r="AH76" s="526">
        <v>0</v>
      </c>
      <c r="AI76" s="526"/>
      <c r="AJ76" s="537" t="s">
        <v>1611</v>
      </c>
      <c r="AK76" s="526"/>
      <c r="AL76" s="527">
        <f>+T76-AD76</f>
        <v>0</v>
      </c>
      <c r="AM76" s="526"/>
      <c r="AN76" s="527">
        <f>+V76-AF76</f>
        <v>0</v>
      </c>
      <c r="AO76" s="526"/>
      <c r="AP76" s="527">
        <f>+X76-AH76</f>
        <v>0</v>
      </c>
      <c r="AQ76" s="526"/>
      <c r="AR76" s="526">
        <f>SUM(AL76:AP76)</f>
        <v>0</v>
      </c>
      <c r="AT76" s="526">
        <v>0</v>
      </c>
      <c r="AU76" s="526"/>
      <c r="AV76" s="528"/>
      <c r="AW76" s="526"/>
      <c r="AX76" s="526">
        <v>0</v>
      </c>
      <c r="AY76" s="526"/>
      <c r="AZ76" s="527">
        <f>+AL76-AT76</f>
        <v>0</v>
      </c>
      <c r="BA76" s="526"/>
      <c r="BB76" s="527">
        <f>+AN76-AV76</f>
        <v>0</v>
      </c>
      <c r="BC76" s="526"/>
      <c r="BD76" s="527">
        <f>+AP76-AX76</f>
        <v>0</v>
      </c>
      <c r="BE76" s="526"/>
      <c r="BF76" s="526">
        <f>SUM(AZ76:BD76)</f>
        <v>0</v>
      </c>
      <c r="BG76" s="526"/>
      <c r="BH76" s="526">
        <f>+BF76*$BH$10</f>
        <v>0</v>
      </c>
      <c r="BJ76" s="525">
        <f>A76</f>
        <v>433</v>
      </c>
    </row>
    <row r="77" spans="1:62" x14ac:dyDescent="0.25">
      <c r="A77" s="525">
        <f>A76+1</f>
        <v>434</v>
      </c>
      <c r="B77" s="530" t="s">
        <v>1646</v>
      </c>
      <c r="F77" s="536" t="s">
        <v>1614</v>
      </c>
      <c r="H77" s="528"/>
      <c r="J77" s="528"/>
      <c r="K77" s="526"/>
      <c r="L77" s="528"/>
      <c r="M77" s="526"/>
      <c r="N77" s="528"/>
      <c r="O77" s="526"/>
      <c r="R77" s="538" t="s">
        <v>1613</v>
      </c>
      <c r="T77" s="526">
        <v>0</v>
      </c>
      <c r="U77" s="526"/>
      <c r="V77" s="526">
        <f>N77</f>
        <v>0</v>
      </c>
      <c r="W77" s="526"/>
      <c r="X77" s="526">
        <v>0</v>
      </c>
      <c r="Y77" s="526"/>
      <c r="Z77" s="526">
        <f>SUM(T77:X77)</f>
        <v>0</v>
      </c>
      <c r="AA77" s="526"/>
      <c r="AB77" s="537" t="s">
        <v>1606</v>
      </c>
      <c r="AC77" s="526"/>
      <c r="AD77" s="526">
        <v>0</v>
      </c>
      <c r="AE77" s="526"/>
      <c r="AF77" s="528"/>
      <c r="AG77" s="526"/>
      <c r="AH77" s="526">
        <v>0</v>
      </c>
      <c r="AI77" s="526"/>
      <c r="AJ77" s="537" t="s">
        <v>1611</v>
      </c>
      <c r="AK77" s="526"/>
      <c r="AL77" s="527">
        <f>+T77-AD77</f>
        <v>0</v>
      </c>
      <c r="AM77" s="526"/>
      <c r="AN77" s="527">
        <f>+V77-AF77</f>
        <v>0</v>
      </c>
      <c r="AO77" s="526"/>
      <c r="AP77" s="527">
        <f>+X77-AH77</f>
        <v>0</v>
      </c>
      <c r="AQ77" s="526"/>
      <c r="AR77" s="526">
        <f>SUM(AL77:AP77)</f>
        <v>0</v>
      </c>
      <c r="AT77" s="526">
        <v>0</v>
      </c>
      <c r="AU77" s="526"/>
      <c r="AV77" s="528"/>
      <c r="AW77" s="526"/>
      <c r="AX77" s="526">
        <v>0</v>
      </c>
      <c r="AY77" s="526"/>
      <c r="AZ77" s="527">
        <f>+AL77-AT77</f>
        <v>0</v>
      </c>
      <c r="BA77" s="526"/>
      <c r="BB77" s="527">
        <f>+AN77-AV77</f>
        <v>0</v>
      </c>
      <c r="BC77" s="526"/>
      <c r="BD77" s="527">
        <f>+AP77-AX77</f>
        <v>0</v>
      </c>
      <c r="BE77" s="526"/>
      <c r="BF77" s="526">
        <f>SUM(AZ77:BD77)</f>
        <v>0</v>
      </c>
      <c r="BG77" s="526"/>
      <c r="BH77" s="526">
        <f>+BF77*$BH$10</f>
        <v>0</v>
      </c>
      <c r="BJ77" s="525">
        <f>A77</f>
        <v>434</v>
      </c>
    </row>
    <row r="78" spans="1:62" x14ac:dyDescent="0.25">
      <c r="A78" s="525">
        <f>A77+1</f>
        <v>435</v>
      </c>
      <c r="B78" s="530" t="s">
        <v>1645</v>
      </c>
      <c r="F78" s="536" t="s">
        <v>1614</v>
      </c>
      <c r="H78" s="528"/>
      <c r="J78" s="528"/>
      <c r="K78" s="526"/>
      <c r="L78" s="528"/>
      <c r="M78" s="526"/>
      <c r="N78" s="528"/>
      <c r="O78" s="526"/>
      <c r="R78" s="538" t="s">
        <v>1613</v>
      </c>
      <c r="T78" s="526">
        <v>0</v>
      </c>
      <c r="U78" s="526"/>
      <c r="V78" s="526">
        <f>N78</f>
        <v>0</v>
      </c>
      <c r="W78" s="526"/>
      <c r="X78" s="526">
        <v>0</v>
      </c>
      <c r="Y78" s="526"/>
      <c r="Z78" s="526">
        <f>SUM(T78:X78)</f>
        <v>0</v>
      </c>
      <c r="AA78" s="526"/>
      <c r="AB78" s="537" t="s">
        <v>1606</v>
      </c>
      <c r="AC78" s="526"/>
      <c r="AD78" s="526">
        <v>0</v>
      </c>
      <c r="AE78" s="526"/>
      <c r="AF78" s="528"/>
      <c r="AG78" s="526"/>
      <c r="AH78" s="526">
        <v>0</v>
      </c>
      <c r="AI78" s="526"/>
      <c r="AJ78" s="537" t="s">
        <v>1611</v>
      </c>
      <c r="AK78" s="526"/>
      <c r="AL78" s="527">
        <f>+T78-AD78</f>
        <v>0</v>
      </c>
      <c r="AM78" s="526"/>
      <c r="AN78" s="527">
        <f>+V78-AF78</f>
        <v>0</v>
      </c>
      <c r="AO78" s="526"/>
      <c r="AP78" s="527">
        <f>+X78-AH78</f>
        <v>0</v>
      </c>
      <c r="AQ78" s="526"/>
      <c r="AR78" s="526">
        <f>SUM(AL78:AP78)</f>
        <v>0</v>
      </c>
      <c r="AT78" s="526">
        <v>0</v>
      </c>
      <c r="AU78" s="526"/>
      <c r="AV78" s="528"/>
      <c r="AW78" s="526"/>
      <c r="AX78" s="526">
        <v>0</v>
      </c>
      <c r="AY78" s="526"/>
      <c r="AZ78" s="527">
        <f>+AL78-AT78</f>
        <v>0</v>
      </c>
      <c r="BA78" s="526"/>
      <c r="BB78" s="527">
        <f>+AN78-AV78</f>
        <v>0</v>
      </c>
      <c r="BC78" s="526"/>
      <c r="BD78" s="527">
        <f>+AP78-AX78</f>
        <v>0</v>
      </c>
      <c r="BE78" s="526"/>
      <c r="BF78" s="526">
        <f>SUM(AZ78:BD78)</f>
        <v>0</v>
      </c>
      <c r="BG78" s="526"/>
      <c r="BH78" s="526">
        <f>+BF78*$BH$10</f>
        <v>0</v>
      </c>
      <c r="BJ78" s="525">
        <f>A78</f>
        <v>435</v>
      </c>
    </row>
    <row r="79" spans="1:62" x14ac:dyDescent="0.25">
      <c r="A79" s="525">
        <f>A78+1</f>
        <v>436</v>
      </c>
      <c r="B79" s="530" t="s">
        <v>1644</v>
      </c>
      <c r="F79" s="536" t="s">
        <v>1614</v>
      </c>
      <c r="H79" s="528"/>
      <c r="J79" s="528"/>
      <c r="K79" s="526"/>
      <c r="L79" s="528"/>
      <c r="M79" s="526"/>
      <c r="N79" s="528"/>
      <c r="O79" s="526"/>
      <c r="R79" s="538" t="s">
        <v>1613</v>
      </c>
      <c r="T79" s="526">
        <v>0</v>
      </c>
      <c r="U79" s="526"/>
      <c r="V79" s="526">
        <f>N79</f>
        <v>0</v>
      </c>
      <c r="W79" s="526"/>
      <c r="X79" s="526">
        <v>0</v>
      </c>
      <c r="Y79" s="526"/>
      <c r="Z79" s="526">
        <f>SUM(T79:X79)</f>
        <v>0</v>
      </c>
      <c r="AA79" s="526"/>
      <c r="AB79" s="537" t="s">
        <v>1606</v>
      </c>
      <c r="AC79" s="526"/>
      <c r="AD79" s="526">
        <v>0</v>
      </c>
      <c r="AE79" s="526"/>
      <c r="AF79" s="528"/>
      <c r="AG79" s="526"/>
      <c r="AH79" s="526">
        <v>0</v>
      </c>
      <c r="AI79" s="526"/>
      <c r="AJ79" s="537" t="s">
        <v>1611</v>
      </c>
      <c r="AK79" s="526"/>
      <c r="AL79" s="527">
        <f>+T79-AD79</f>
        <v>0</v>
      </c>
      <c r="AM79" s="526"/>
      <c r="AN79" s="527">
        <f>+V79-AF79</f>
        <v>0</v>
      </c>
      <c r="AO79" s="526"/>
      <c r="AP79" s="527">
        <f>+X79-AH79</f>
        <v>0</v>
      </c>
      <c r="AQ79" s="526"/>
      <c r="AR79" s="526">
        <f>SUM(AL79:AP79)</f>
        <v>0</v>
      </c>
      <c r="AT79" s="526">
        <v>0</v>
      </c>
      <c r="AU79" s="526"/>
      <c r="AV79" s="528"/>
      <c r="AW79" s="526"/>
      <c r="AX79" s="526">
        <v>0</v>
      </c>
      <c r="AY79" s="526"/>
      <c r="AZ79" s="527">
        <f>+AL79-AT79</f>
        <v>0</v>
      </c>
      <c r="BA79" s="526"/>
      <c r="BB79" s="527">
        <f>+AN79-AV79</f>
        <v>0</v>
      </c>
      <c r="BC79" s="526"/>
      <c r="BD79" s="527">
        <f>+AP79-AX79</f>
        <v>0</v>
      </c>
      <c r="BE79" s="526"/>
      <c r="BF79" s="526">
        <f>SUM(AZ79:BD79)</f>
        <v>0</v>
      </c>
      <c r="BG79" s="526"/>
      <c r="BH79" s="526">
        <f>+BF79*$BH$10</f>
        <v>0</v>
      </c>
      <c r="BJ79" s="525">
        <f>A79</f>
        <v>436</v>
      </c>
    </row>
    <row r="80" spans="1:62" x14ac:dyDescent="0.25">
      <c r="A80" s="525">
        <f>A79+1</f>
        <v>437</v>
      </c>
      <c r="B80" s="530" t="s">
        <v>1643</v>
      </c>
      <c r="F80" s="536" t="s">
        <v>1614</v>
      </c>
      <c r="H80" s="528"/>
      <c r="J80" s="528"/>
      <c r="K80" s="526"/>
      <c r="L80" s="528"/>
      <c r="M80" s="526"/>
      <c r="N80" s="528"/>
      <c r="O80" s="526"/>
      <c r="R80" s="538" t="s">
        <v>1613</v>
      </c>
      <c r="T80" s="526">
        <v>0</v>
      </c>
      <c r="U80" s="526"/>
      <c r="V80" s="526">
        <f>N80</f>
        <v>0</v>
      </c>
      <c r="W80" s="526"/>
      <c r="X80" s="526">
        <v>0</v>
      </c>
      <c r="Y80" s="526"/>
      <c r="Z80" s="526">
        <f>SUM(T80:X80)</f>
        <v>0</v>
      </c>
      <c r="AA80" s="526"/>
      <c r="AB80" s="537" t="s">
        <v>1606</v>
      </c>
      <c r="AC80" s="526"/>
      <c r="AD80" s="526">
        <v>0</v>
      </c>
      <c r="AE80" s="526"/>
      <c r="AF80" s="528"/>
      <c r="AG80" s="526"/>
      <c r="AH80" s="526">
        <v>0</v>
      </c>
      <c r="AI80" s="526"/>
      <c r="AJ80" s="537" t="s">
        <v>1611</v>
      </c>
      <c r="AK80" s="526"/>
      <c r="AL80" s="527">
        <f>+T80-AD80</f>
        <v>0</v>
      </c>
      <c r="AM80" s="526"/>
      <c r="AN80" s="527">
        <f>+V80-AF80</f>
        <v>0</v>
      </c>
      <c r="AO80" s="526"/>
      <c r="AP80" s="527">
        <f>+X80-AH80</f>
        <v>0</v>
      </c>
      <c r="AQ80" s="526"/>
      <c r="AR80" s="526">
        <f>SUM(AL80:AP80)</f>
        <v>0</v>
      </c>
      <c r="AT80" s="526">
        <v>0</v>
      </c>
      <c r="AU80" s="526"/>
      <c r="AV80" s="528"/>
      <c r="AW80" s="526"/>
      <c r="AX80" s="526">
        <v>0</v>
      </c>
      <c r="AY80" s="526"/>
      <c r="AZ80" s="527">
        <f>+AL80-AT80</f>
        <v>0</v>
      </c>
      <c r="BA80" s="526"/>
      <c r="BB80" s="527">
        <f>+AN80-AV80</f>
        <v>0</v>
      </c>
      <c r="BC80" s="526"/>
      <c r="BD80" s="527">
        <f>+AP80-AX80</f>
        <v>0</v>
      </c>
      <c r="BE80" s="526"/>
      <c r="BF80" s="526">
        <f>SUM(AZ80:BD80)</f>
        <v>0</v>
      </c>
      <c r="BG80" s="526"/>
      <c r="BH80" s="526">
        <f>+BF80*$BH$10</f>
        <v>0</v>
      </c>
      <c r="BJ80" s="525">
        <f>A80</f>
        <v>437</v>
      </c>
    </row>
    <row r="81" spans="1:62" x14ac:dyDescent="0.25">
      <c r="A81" s="525">
        <f>A80+1</f>
        <v>438</v>
      </c>
      <c r="B81" s="530" t="s">
        <v>1642</v>
      </c>
      <c r="F81" s="536" t="s">
        <v>1614</v>
      </c>
      <c r="H81" s="528"/>
      <c r="J81" s="528"/>
      <c r="K81" s="526"/>
      <c r="L81" s="528"/>
      <c r="M81" s="526"/>
      <c r="N81" s="528"/>
      <c r="O81" s="526"/>
      <c r="R81" s="538" t="s">
        <v>1613</v>
      </c>
      <c r="T81" s="526">
        <v>0</v>
      </c>
      <c r="U81" s="526"/>
      <c r="V81" s="526">
        <f>N81</f>
        <v>0</v>
      </c>
      <c r="W81" s="526"/>
      <c r="X81" s="526">
        <v>0</v>
      </c>
      <c r="Y81" s="526"/>
      <c r="Z81" s="526">
        <f>SUM(T81:X81)</f>
        <v>0</v>
      </c>
      <c r="AA81" s="526"/>
      <c r="AB81" s="537" t="s">
        <v>1606</v>
      </c>
      <c r="AC81" s="526"/>
      <c r="AD81" s="526">
        <v>0</v>
      </c>
      <c r="AE81" s="526"/>
      <c r="AF81" s="528"/>
      <c r="AG81" s="526"/>
      <c r="AH81" s="526">
        <v>0</v>
      </c>
      <c r="AI81" s="526"/>
      <c r="AJ81" s="537" t="s">
        <v>1611</v>
      </c>
      <c r="AK81" s="526"/>
      <c r="AL81" s="527">
        <f>+T81-AD81</f>
        <v>0</v>
      </c>
      <c r="AM81" s="526"/>
      <c r="AN81" s="527">
        <f>+V81-AF81</f>
        <v>0</v>
      </c>
      <c r="AO81" s="526"/>
      <c r="AP81" s="527">
        <f>+X81-AH81</f>
        <v>0</v>
      </c>
      <c r="AQ81" s="526"/>
      <c r="AR81" s="526">
        <f>SUM(AL81:AP81)</f>
        <v>0</v>
      </c>
      <c r="AT81" s="526">
        <v>0</v>
      </c>
      <c r="AU81" s="526"/>
      <c r="AV81" s="528"/>
      <c r="AW81" s="526"/>
      <c r="AX81" s="526">
        <v>0</v>
      </c>
      <c r="AY81" s="526"/>
      <c r="AZ81" s="527">
        <f>+AL81-AT81</f>
        <v>0</v>
      </c>
      <c r="BA81" s="526"/>
      <c r="BB81" s="527">
        <f>+AN81-AV81</f>
        <v>0</v>
      </c>
      <c r="BC81" s="526"/>
      <c r="BD81" s="527">
        <f>+AP81-AX81</f>
        <v>0</v>
      </c>
      <c r="BE81" s="526"/>
      <c r="BF81" s="526">
        <f>SUM(AZ81:BD81)</f>
        <v>0</v>
      </c>
      <c r="BG81" s="526"/>
      <c r="BH81" s="526">
        <f>+BF81*$BH$10</f>
        <v>0</v>
      </c>
      <c r="BJ81" s="525">
        <f>A81</f>
        <v>438</v>
      </c>
    </row>
    <row r="82" spans="1:62" x14ac:dyDescent="0.25">
      <c r="A82" s="525">
        <f>A81+1</f>
        <v>439</v>
      </c>
      <c r="B82" s="530" t="s">
        <v>1641</v>
      </c>
      <c r="F82" s="536" t="s">
        <v>1614</v>
      </c>
      <c r="H82" s="528"/>
      <c r="J82" s="528"/>
      <c r="K82" s="526"/>
      <c r="L82" s="528"/>
      <c r="M82" s="526"/>
      <c r="N82" s="528"/>
      <c r="O82" s="526"/>
      <c r="R82" s="538" t="s">
        <v>1613</v>
      </c>
      <c r="T82" s="526">
        <v>0</v>
      </c>
      <c r="U82" s="526"/>
      <c r="V82" s="526">
        <f>N82</f>
        <v>0</v>
      </c>
      <c r="W82" s="526"/>
      <c r="X82" s="526">
        <v>0</v>
      </c>
      <c r="Y82" s="526"/>
      <c r="Z82" s="526">
        <f>SUM(T82:X82)</f>
        <v>0</v>
      </c>
      <c r="AA82" s="526"/>
      <c r="AB82" s="537" t="s">
        <v>1606</v>
      </c>
      <c r="AC82" s="526"/>
      <c r="AD82" s="526">
        <v>0</v>
      </c>
      <c r="AE82" s="526"/>
      <c r="AF82" s="528"/>
      <c r="AG82" s="526"/>
      <c r="AH82" s="526">
        <v>0</v>
      </c>
      <c r="AI82" s="526"/>
      <c r="AJ82" s="537" t="s">
        <v>1611</v>
      </c>
      <c r="AK82" s="526"/>
      <c r="AL82" s="527">
        <f>+T82-AD82</f>
        <v>0</v>
      </c>
      <c r="AM82" s="526"/>
      <c r="AN82" s="527">
        <f>+V82-AF82</f>
        <v>0</v>
      </c>
      <c r="AO82" s="526"/>
      <c r="AP82" s="527">
        <f>+X82-AH82</f>
        <v>0</v>
      </c>
      <c r="AQ82" s="526"/>
      <c r="AR82" s="526">
        <f>SUM(AL82:AP82)</f>
        <v>0</v>
      </c>
      <c r="AT82" s="526">
        <v>0</v>
      </c>
      <c r="AU82" s="526"/>
      <c r="AV82" s="528"/>
      <c r="AW82" s="526"/>
      <c r="AX82" s="526">
        <v>0</v>
      </c>
      <c r="AY82" s="526"/>
      <c r="AZ82" s="527">
        <f>+AL82-AT82</f>
        <v>0</v>
      </c>
      <c r="BA82" s="526"/>
      <c r="BB82" s="527">
        <f>+AN82-AV82</f>
        <v>0</v>
      </c>
      <c r="BC82" s="526"/>
      <c r="BD82" s="527">
        <f>+AP82-AX82</f>
        <v>0</v>
      </c>
      <c r="BE82" s="526"/>
      <c r="BF82" s="526">
        <f>SUM(AZ82:BD82)</f>
        <v>0</v>
      </c>
      <c r="BG82" s="526"/>
      <c r="BH82" s="526">
        <f>+BF82*$BH$10</f>
        <v>0</v>
      </c>
      <c r="BJ82" s="525">
        <f>A82</f>
        <v>439</v>
      </c>
    </row>
    <row r="83" spans="1:62" x14ac:dyDescent="0.25">
      <c r="A83" s="525">
        <f>A82+1</f>
        <v>440</v>
      </c>
      <c r="B83" s="530" t="s">
        <v>1640</v>
      </c>
      <c r="F83" s="536" t="s">
        <v>1614</v>
      </c>
      <c r="H83" s="528"/>
      <c r="J83" s="528"/>
      <c r="K83" s="526"/>
      <c r="L83" s="528"/>
      <c r="M83" s="526"/>
      <c r="N83" s="528"/>
      <c r="O83" s="526"/>
      <c r="R83" s="538" t="s">
        <v>1613</v>
      </c>
      <c r="T83" s="526">
        <v>0</v>
      </c>
      <c r="U83" s="526"/>
      <c r="V83" s="526">
        <f>N83</f>
        <v>0</v>
      </c>
      <c r="W83" s="526"/>
      <c r="X83" s="526">
        <v>0</v>
      </c>
      <c r="Y83" s="526"/>
      <c r="Z83" s="526">
        <f>SUM(T83:X83)</f>
        <v>0</v>
      </c>
      <c r="AA83" s="526"/>
      <c r="AB83" s="537" t="s">
        <v>1606</v>
      </c>
      <c r="AC83" s="526"/>
      <c r="AD83" s="526">
        <v>0</v>
      </c>
      <c r="AE83" s="526"/>
      <c r="AF83" s="528"/>
      <c r="AG83" s="526"/>
      <c r="AH83" s="526">
        <v>0</v>
      </c>
      <c r="AI83" s="526"/>
      <c r="AJ83" s="537" t="s">
        <v>1611</v>
      </c>
      <c r="AK83" s="526"/>
      <c r="AL83" s="527">
        <f>+T83-AD83</f>
        <v>0</v>
      </c>
      <c r="AM83" s="526"/>
      <c r="AN83" s="527">
        <f>+V83-AF83</f>
        <v>0</v>
      </c>
      <c r="AO83" s="526"/>
      <c r="AP83" s="527">
        <f>+X83-AH83</f>
        <v>0</v>
      </c>
      <c r="AQ83" s="526"/>
      <c r="AR83" s="526">
        <f>SUM(AL83:AP83)</f>
        <v>0</v>
      </c>
      <c r="AT83" s="526">
        <v>0</v>
      </c>
      <c r="AU83" s="526"/>
      <c r="AV83" s="528"/>
      <c r="AW83" s="526"/>
      <c r="AX83" s="526">
        <v>0</v>
      </c>
      <c r="AY83" s="526"/>
      <c r="AZ83" s="527">
        <f>+AL83-AT83</f>
        <v>0</v>
      </c>
      <c r="BA83" s="526"/>
      <c r="BB83" s="527">
        <f>+AN83-AV83</f>
        <v>0</v>
      </c>
      <c r="BC83" s="526"/>
      <c r="BD83" s="527">
        <f>+AP83-AX83</f>
        <v>0</v>
      </c>
      <c r="BE83" s="526"/>
      <c r="BF83" s="526">
        <f>SUM(AZ83:BD83)</f>
        <v>0</v>
      </c>
      <c r="BG83" s="526"/>
      <c r="BH83" s="526">
        <f>+BF83*$BH$10</f>
        <v>0</v>
      </c>
      <c r="BJ83" s="525">
        <f>A83</f>
        <v>440</v>
      </c>
    </row>
    <row r="84" spans="1:62" x14ac:dyDescent="0.25">
      <c r="A84" s="525">
        <f>A83+1</f>
        <v>441</v>
      </c>
      <c r="B84" s="530" t="s">
        <v>1639</v>
      </c>
      <c r="F84" s="536" t="s">
        <v>1614</v>
      </c>
      <c r="H84" s="528"/>
      <c r="J84" s="528"/>
      <c r="K84" s="526"/>
      <c r="L84" s="528"/>
      <c r="M84" s="526"/>
      <c r="N84" s="528"/>
      <c r="O84" s="526"/>
      <c r="R84" s="538" t="s">
        <v>1613</v>
      </c>
      <c r="T84" s="526">
        <v>0</v>
      </c>
      <c r="U84" s="526"/>
      <c r="V84" s="526">
        <f>N84</f>
        <v>0</v>
      </c>
      <c r="W84" s="526"/>
      <c r="X84" s="526">
        <v>0</v>
      </c>
      <c r="Y84" s="526"/>
      <c r="Z84" s="526">
        <f>SUM(T84:X84)</f>
        <v>0</v>
      </c>
      <c r="AA84" s="526"/>
      <c r="AB84" s="537" t="s">
        <v>1606</v>
      </c>
      <c r="AC84" s="526"/>
      <c r="AD84" s="526">
        <v>0</v>
      </c>
      <c r="AE84" s="526"/>
      <c r="AF84" s="528"/>
      <c r="AG84" s="526"/>
      <c r="AH84" s="526">
        <v>0</v>
      </c>
      <c r="AI84" s="526"/>
      <c r="AJ84" s="537" t="s">
        <v>1611</v>
      </c>
      <c r="AK84" s="526"/>
      <c r="AL84" s="527">
        <f>+T84-AD84</f>
        <v>0</v>
      </c>
      <c r="AM84" s="526"/>
      <c r="AN84" s="527">
        <f>+V84-AF84</f>
        <v>0</v>
      </c>
      <c r="AO84" s="526"/>
      <c r="AP84" s="527">
        <f>+X84-AH84</f>
        <v>0</v>
      </c>
      <c r="AQ84" s="526"/>
      <c r="AR84" s="526">
        <f>SUM(AL84:AP84)</f>
        <v>0</v>
      </c>
      <c r="AT84" s="526">
        <v>0</v>
      </c>
      <c r="AU84" s="526"/>
      <c r="AV84" s="528"/>
      <c r="AW84" s="526"/>
      <c r="AX84" s="526">
        <v>0</v>
      </c>
      <c r="AY84" s="526"/>
      <c r="AZ84" s="527">
        <f>+AL84-AT84</f>
        <v>0</v>
      </c>
      <c r="BA84" s="526"/>
      <c r="BB84" s="527">
        <f>+AN84-AV84</f>
        <v>0</v>
      </c>
      <c r="BC84" s="526"/>
      <c r="BD84" s="527">
        <f>+AP84-AX84</f>
        <v>0</v>
      </c>
      <c r="BE84" s="526"/>
      <c r="BF84" s="526">
        <f>SUM(AZ84:BD84)</f>
        <v>0</v>
      </c>
      <c r="BG84" s="526"/>
      <c r="BH84" s="526">
        <f>+BF84*$BH$10</f>
        <v>0</v>
      </c>
      <c r="BJ84" s="525">
        <f>A84</f>
        <v>441</v>
      </c>
    </row>
    <row r="85" spans="1:62" x14ac:dyDescent="0.25">
      <c r="A85" s="525">
        <f>A84+1</f>
        <v>442</v>
      </c>
      <c r="B85" s="530" t="s">
        <v>1638</v>
      </c>
      <c r="F85" s="536" t="s">
        <v>1614</v>
      </c>
      <c r="H85" s="528"/>
      <c r="J85" s="528"/>
      <c r="K85" s="526"/>
      <c r="L85" s="528"/>
      <c r="M85" s="526"/>
      <c r="N85" s="528"/>
      <c r="O85" s="526"/>
      <c r="R85" s="538" t="s">
        <v>1613</v>
      </c>
      <c r="T85" s="526">
        <v>0</v>
      </c>
      <c r="U85" s="526"/>
      <c r="V85" s="526">
        <f>N85</f>
        <v>0</v>
      </c>
      <c r="W85" s="526"/>
      <c r="X85" s="526">
        <v>0</v>
      </c>
      <c r="Y85" s="526"/>
      <c r="Z85" s="526">
        <f>SUM(T85:X85)</f>
        <v>0</v>
      </c>
      <c r="AA85" s="526"/>
      <c r="AB85" s="537" t="s">
        <v>1606</v>
      </c>
      <c r="AC85" s="526"/>
      <c r="AD85" s="526">
        <v>0</v>
      </c>
      <c r="AE85" s="526"/>
      <c r="AF85" s="528"/>
      <c r="AG85" s="526"/>
      <c r="AH85" s="526">
        <v>0</v>
      </c>
      <c r="AI85" s="526"/>
      <c r="AJ85" s="537" t="s">
        <v>1611</v>
      </c>
      <c r="AK85" s="526"/>
      <c r="AL85" s="527">
        <f>+T85-AD85</f>
        <v>0</v>
      </c>
      <c r="AM85" s="526"/>
      <c r="AN85" s="527">
        <f>+V85-AF85</f>
        <v>0</v>
      </c>
      <c r="AO85" s="526"/>
      <c r="AP85" s="527">
        <f>+X85-AH85</f>
        <v>0</v>
      </c>
      <c r="AQ85" s="526"/>
      <c r="AR85" s="526">
        <f>SUM(AL85:AP85)</f>
        <v>0</v>
      </c>
      <c r="AT85" s="526">
        <v>0</v>
      </c>
      <c r="AU85" s="526"/>
      <c r="AV85" s="528"/>
      <c r="AW85" s="526"/>
      <c r="AX85" s="526">
        <v>0</v>
      </c>
      <c r="AY85" s="526"/>
      <c r="AZ85" s="527">
        <f>+AL85-AT85</f>
        <v>0</v>
      </c>
      <c r="BA85" s="526"/>
      <c r="BB85" s="527">
        <f>+AN85-AV85</f>
        <v>0</v>
      </c>
      <c r="BC85" s="526"/>
      <c r="BD85" s="527">
        <f>+AP85-AX85</f>
        <v>0</v>
      </c>
      <c r="BE85" s="526"/>
      <c r="BF85" s="526">
        <f>SUM(AZ85:BD85)</f>
        <v>0</v>
      </c>
      <c r="BG85" s="526"/>
      <c r="BH85" s="526">
        <f>+BF85*$BH$10</f>
        <v>0</v>
      </c>
      <c r="BJ85" s="525">
        <f>A85</f>
        <v>442</v>
      </c>
    </row>
    <row r="86" spans="1:62" x14ac:dyDescent="0.25">
      <c r="A86" s="525">
        <f>A85+1</f>
        <v>443</v>
      </c>
      <c r="B86" s="530" t="s">
        <v>1637</v>
      </c>
      <c r="F86" s="536" t="s">
        <v>1614</v>
      </c>
      <c r="H86" s="528"/>
      <c r="J86" s="528"/>
      <c r="K86" s="526"/>
      <c r="L86" s="528"/>
      <c r="M86" s="526"/>
      <c r="N86" s="528"/>
      <c r="O86" s="526"/>
      <c r="R86" s="538" t="s">
        <v>1613</v>
      </c>
      <c r="T86" s="526">
        <v>0</v>
      </c>
      <c r="U86" s="526"/>
      <c r="V86" s="526">
        <f>N86</f>
        <v>0</v>
      </c>
      <c r="W86" s="526"/>
      <c r="X86" s="526">
        <v>0</v>
      </c>
      <c r="Y86" s="526"/>
      <c r="Z86" s="526">
        <f>SUM(T86:X86)</f>
        <v>0</v>
      </c>
      <c r="AA86" s="526"/>
      <c r="AB86" s="537" t="s">
        <v>1606</v>
      </c>
      <c r="AC86" s="526"/>
      <c r="AD86" s="526">
        <v>0</v>
      </c>
      <c r="AE86" s="526"/>
      <c r="AF86" s="528"/>
      <c r="AG86" s="526"/>
      <c r="AH86" s="526">
        <v>0</v>
      </c>
      <c r="AI86" s="526"/>
      <c r="AJ86" s="537" t="s">
        <v>1611</v>
      </c>
      <c r="AK86" s="526"/>
      <c r="AL86" s="527">
        <f>+T86-AD86</f>
        <v>0</v>
      </c>
      <c r="AM86" s="526"/>
      <c r="AN86" s="527">
        <f>+V86-AF86</f>
        <v>0</v>
      </c>
      <c r="AO86" s="526"/>
      <c r="AP86" s="527">
        <f>+X86-AH86</f>
        <v>0</v>
      </c>
      <c r="AQ86" s="526"/>
      <c r="AR86" s="526">
        <f>SUM(AL86:AP86)</f>
        <v>0</v>
      </c>
      <c r="AT86" s="526">
        <v>0</v>
      </c>
      <c r="AU86" s="526"/>
      <c r="AV86" s="528"/>
      <c r="AW86" s="526"/>
      <c r="AX86" s="526">
        <v>0</v>
      </c>
      <c r="AY86" s="526"/>
      <c r="AZ86" s="527">
        <f>+AL86-AT86</f>
        <v>0</v>
      </c>
      <c r="BA86" s="526"/>
      <c r="BB86" s="527">
        <f>+AN86-AV86</f>
        <v>0</v>
      </c>
      <c r="BC86" s="526"/>
      <c r="BD86" s="527">
        <f>+AP86-AX86</f>
        <v>0</v>
      </c>
      <c r="BE86" s="526"/>
      <c r="BF86" s="526">
        <f>SUM(AZ86:BD86)</f>
        <v>0</v>
      </c>
      <c r="BG86" s="526"/>
      <c r="BH86" s="526">
        <f>+BF86*$BH$10</f>
        <v>0</v>
      </c>
      <c r="BJ86" s="525">
        <f>A86</f>
        <v>443</v>
      </c>
    </row>
    <row r="87" spans="1:62" x14ac:dyDescent="0.25">
      <c r="A87" s="525">
        <f>A86+1</f>
        <v>444</v>
      </c>
      <c r="B87" s="530" t="s">
        <v>1636</v>
      </c>
      <c r="F87" s="536" t="s">
        <v>1614</v>
      </c>
      <c r="H87" s="528"/>
      <c r="J87" s="528"/>
      <c r="K87" s="526"/>
      <c r="L87" s="528"/>
      <c r="M87" s="526"/>
      <c r="N87" s="528"/>
      <c r="O87" s="526"/>
      <c r="R87" s="538" t="s">
        <v>1613</v>
      </c>
      <c r="T87" s="526">
        <v>0</v>
      </c>
      <c r="U87" s="526"/>
      <c r="V87" s="526">
        <f>N87</f>
        <v>0</v>
      </c>
      <c r="W87" s="526"/>
      <c r="X87" s="526">
        <v>0</v>
      </c>
      <c r="Y87" s="526"/>
      <c r="Z87" s="526">
        <f>SUM(T87:X87)</f>
        <v>0</v>
      </c>
      <c r="AA87" s="526"/>
      <c r="AB87" s="537" t="s">
        <v>1606</v>
      </c>
      <c r="AC87" s="526"/>
      <c r="AD87" s="526">
        <v>0</v>
      </c>
      <c r="AE87" s="526"/>
      <c r="AF87" s="528"/>
      <c r="AG87" s="526"/>
      <c r="AH87" s="526">
        <v>0</v>
      </c>
      <c r="AI87" s="526"/>
      <c r="AJ87" s="537" t="s">
        <v>1611</v>
      </c>
      <c r="AK87" s="526"/>
      <c r="AL87" s="527">
        <f>+T87-AD87</f>
        <v>0</v>
      </c>
      <c r="AM87" s="526"/>
      <c r="AN87" s="527">
        <f>+V87-AF87</f>
        <v>0</v>
      </c>
      <c r="AO87" s="526"/>
      <c r="AP87" s="527">
        <f>+X87-AH87</f>
        <v>0</v>
      </c>
      <c r="AQ87" s="526"/>
      <c r="AR87" s="526">
        <f>SUM(AL87:AP87)</f>
        <v>0</v>
      </c>
      <c r="AT87" s="526">
        <v>0</v>
      </c>
      <c r="AU87" s="526"/>
      <c r="AV87" s="528"/>
      <c r="AW87" s="526"/>
      <c r="AX87" s="526">
        <v>0</v>
      </c>
      <c r="AY87" s="526"/>
      <c r="AZ87" s="527">
        <f>+AL87-AT87</f>
        <v>0</v>
      </c>
      <c r="BA87" s="526"/>
      <c r="BB87" s="527">
        <f>+AN87-AV87</f>
        <v>0</v>
      </c>
      <c r="BC87" s="526"/>
      <c r="BD87" s="527">
        <f>+AP87-AX87</f>
        <v>0</v>
      </c>
      <c r="BE87" s="526"/>
      <c r="BF87" s="526">
        <f>SUM(AZ87:BD87)</f>
        <v>0</v>
      </c>
      <c r="BG87" s="526"/>
      <c r="BH87" s="526">
        <f>+BF87*$BH$10</f>
        <v>0</v>
      </c>
      <c r="BJ87" s="525">
        <f>A87</f>
        <v>444</v>
      </c>
    </row>
    <row r="88" spans="1:62" x14ac:dyDescent="0.25">
      <c r="A88" s="525">
        <f>A87+1</f>
        <v>445</v>
      </c>
      <c r="B88" s="530" t="s">
        <v>1635</v>
      </c>
      <c r="F88" s="536" t="s">
        <v>1614</v>
      </c>
      <c r="H88" s="528"/>
      <c r="J88" s="528"/>
      <c r="K88" s="526"/>
      <c r="L88" s="528"/>
      <c r="M88" s="526"/>
      <c r="N88" s="528"/>
      <c r="O88" s="526"/>
      <c r="R88" s="538" t="s">
        <v>1613</v>
      </c>
      <c r="T88" s="526">
        <v>0</v>
      </c>
      <c r="U88" s="526"/>
      <c r="V88" s="526">
        <f>N88</f>
        <v>0</v>
      </c>
      <c r="W88" s="526"/>
      <c r="X88" s="526">
        <v>0</v>
      </c>
      <c r="Y88" s="526"/>
      <c r="Z88" s="526">
        <f>SUM(T88:X88)</f>
        <v>0</v>
      </c>
      <c r="AA88" s="526"/>
      <c r="AB88" s="537" t="s">
        <v>1606</v>
      </c>
      <c r="AC88" s="526"/>
      <c r="AD88" s="526">
        <v>0</v>
      </c>
      <c r="AE88" s="526"/>
      <c r="AF88" s="528"/>
      <c r="AG88" s="526"/>
      <c r="AH88" s="526">
        <v>0</v>
      </c>
      <c r="AI88" s="526"/>
      <c r="AJ88" s="537" t="s">
        <v>1611</v>
      </c>
      <c r="AK88" s="526"/>
      <c r="AL88" s="527">
        <f>+T88-AD88</f>
        <v>0</v>
      </c>
      <c r="AM88" s="526"/>
      <c r="AN88" s="527">
        <f>+V88-AF88</f>
        <v>0</v>
      </c>
      <c r="AO88" s="526"/>
      <c r="AP88" s="527">
        <f>+X88-AH88</f>
        <v>0</v>
      </c>
      <c r="AQ88" s="526"/>
      <c r="AR88" s="526">
        <f>SUM(AL88:AP88)</f>
        <v>0</v>
      </c>
      <c r="AT88" s="526">
        <v>0</v>
      </c>
      <c r="AU88" s="526"/>
      <c r="AV88" s="528"/>
      <c r="AW88" s="526"/>
      <c r="AX88" s="526">
        <v>0</v>
      </c>
      <c r="AY88" s="526"/>
      <c r="AZ88" s="527">
        <f>+AL88-AT88</f>
        <v>0</v>
      </c>
      <c r="BA88" s="526"/>
      <c r="BB88" s="527">
        <f>+AN88-AV88</f>
        <v>0</v>
      </c>
      <c r="BC88" s="526"/>
      <c r="BD88" s="527">
        <f>+AP88-AX88</f>
        <v>0</v>
      </c>
      <c r="BE88" s="526"/>
      <c r="BF88" s="526">
        <f>SUM(AZ88:BD88)</f>
        <v>0</v>
      </c>
      <c r="BG88" s="526"/>
      <c r="BH88" s="526">
        <f>+BF88*$BH$10</f>
        <v>0</v>
      </c>
      <c r="BJ88" s="525">
        <f>A88</f>
        <v>445</v>
      </c>
    </row>
    <row r="89" spans="1:62" x14ac:dyDescent="0.25">
      <c r="A89" s="525">
        <f>A88+1</f>
        <v>446</v>
      </c>
      <c r="B89" s="530" t="s">
        <v>1634</v>
      </c>
      <c r="F89" s="536" t="s">
        <v>1614</v>
      </c>
      <c r="H89" s="528"/>
      <c r="J89" s="528"/>
      <c r="K89" s="526"/>
      <c r="L89" s="528"/>
      <c r="M89" s="526"/>
      <c r="N89" s="528"/>
      <c r="O89" s="526"/>
      <c r="R89" s="538" t="s">
        <v>1613</v>
      </c>
      <c r="T89" s="526">
        <v>0</v>
      </c>
      <c r="U89" s="526"/>
      <c r="V89" s="526">
        <f>N89</f>
        <v>0</v>
      </c>
      <c r="W89" s="526"/>
      <c r="X89" s="526">
        <v>0</v>
      </c>
      <c r="Y89" s="526"/>
      <c r="Z89" s="526">
        <f>SUM(T89:X89)</f>
        <v>0</v>
      </c>
      <c r="AA89" s="526"/>
      <c r="AB89" s="537" t="s">
        <v>1606</v>
      </c>
      <c r="AC89" s="526"/>
      <c r="AD89" s="526">
        <v>0</v>
      </c>
      <c r="AE89" s="526"/>
      <c r="AF89" s="528"/>
      <c r="AG89" s="526"/>
      <c r="AH89" s="526">
        <v>0</v>
      </c>
      <c r="AI89" s="526"/>
      <c r="AJ89" s="537" t="s">
        <v>1611</v>
      </c>
      <c r="AK89" s="526"/>
      <c r="AL89" s="527">
        <f>+T89-AD89</f>
        <v>0</v>
      </c>
      <c r="AM89" s="526"/>
      <c r="AN89" s="527">
        <f>+V89-AF89</f>
        <v>0</v>
      </c>
      <c r="AO89" s="526"/>
      <c r="AP89" s="527">
        <f>+X89-AH89</f>
        <v>0</v>
      </c>
      <c r="AQ89" s="526"/>
      <c r="AR89" s="526">
        <f>SUM(AL89:AP89)</f>
        <v>0</v>
      </c>
      <c r="AT89" s="526">
        <v>0</v>
      </c>
      <c r="AU89" s="526"/>
      <c r="AV89" s="528"/>
      <c r="AW89" s="526"/>
      <c r="AX89" s="526">
        <v>0</v>
      </c>
      <c r="AY89" s="526"/>
      <c r="AZ89" s="527">
        <f>+AL89-AT89</f>
        <v>0</v>
      </c>
      <c r="BA89" s="526"/>
      <c r="BB89" s="527">
        <f>+AN89-AV89</f>
        <v>0</v>
      </c>
      <c r="BC89" s="526"/>
      <c r="BD89" s="527">
        <f>+AP89-AX89</f>
        <v>0</v>
      </c>
      <c r="BE89" s="526"/>
      <c r="BF89" s="526">
        <f>SUM(AZ89:BD89)</f>
        <v>0</v>
      </c>
      <c r="BG89" s="526"/>
      <c r="BH89" s="526">
        <f>+BF89*$BH$10</f>
        <v>0</v>
      </c>
      <c r="BJ89" s="525">
        <f>A89</f>
        <v>446</v>
      </c>
    </row>
    <row r="90" spans="1:62" x14ac:dyDescent="0.25">
      <c r="A90" s="525">
        <f>A89+1</f>
        <v>447</v>
      </c>
      <c r="B90" s="530" t="s">
        <v>1633</v>
      </c>
      <c r="F90" s="536" t="s">
        <v>1614</v>
      </c>
      <c r="H90" s="528"/>
      <c r="J90" s="528"/>
      <c r="K90" s="526"/>
      <c r="L90" s="528"/>
      <c r="M90" s="526"/>
      <c r="N90" s="528"/>
      <c r="O90" s="526"/>
      <c r="R90" s="538" t="s">
        <v>1613</v>
      </c>
      <c r="T90" s="526">
        <v>0</v>
      </c>
      <c r="U90" s="526"/>
      <c r="V90" s="526">
        <f>N90</f>
        <v>0</v>
      </c>
      <c r="W90" s="526"/>
      <c r="X90" s="526">
        <v>0</v>
      </c>
      <c r="Y90" s="526"/>
      <c r="Z90" s="526">
        <f>SUM(T90:X90)</f>
        <v>0</v>
      </c>
      <c r="AA90" s="526"/>
      <c r="AB90" s="537" t="s">
        <v>1606</v>
      </c>
      <c r="AC90" s="526"/>
      <c r="AD90" s="526">
        <v>0</v>
      </c>
      <c r="AE90" s="526"/>
      <c r="AF90" s="528"/>
      <c r="AG90" s="526"/>
      <c r="AH90" s="526">
        <v>0</v>
      </c>
      <c r="AI90" s="526"/>
      <c r="AJ90" s="537" t="s">
        <v>1611</v>
      </c>
      <c r="AK90" s="526"/>
      <c r="AL90" s="527">
        <f>+T90-AD90</f>
        <v>0</v>
      </c>
      <c r="AM90" s="526"/>
      <c r="AN90" s="527">
        <f>+V90-AF90</f>
        <v>0</v>
      </c>
      <c r="AO90" s="526"/>
      <c r="AP90" s="527">
        <f>+X90-AH90</f>
        <v>0</v>
      </c>
      <c r="AQ90" s="526"/>
      <c r="AR90" s="526">
        <f>SUM(AL90:AP90)</f>
        <v>0</v>
      </c>
      <c r="AT90" s="526">
        <v>0</v>
      </c>
      <c r="AU90" s="526"/>
      <c r="AV90" s="528"/>
      <c r="AW90" s="526"/>
      <c r="AX90" s="526">
        <v>0</v>
      </c>
      <c r="AY90" s="526"/>
      <c r="AZ90" s="527">
        <f>+AL90-AT90</f>
        <v>0</v>
      </c>
      <c r="BA90" s="526"/>
      <c r="BB90" s="527">
        <f>+AN90-AV90</f>
        <v>0</v>
      </c>
      <c r="BC90" s="526"/>
      <c r="BD90" s="527">
        <f>+AP90-AX90</f>
        <v>0</v>
      </c>
      <c r="BE90" s="526"/>
      <c r="BF90" s="526">
        <f>SUM(AZ90:BD90)</f>
        <v>0</v>
      </c>
      <c r="BG90" s="526"/>
      <c r="BH90" s="526">
        <f>+BF90*$BH$10</f>
        <v>0</v>
      </c>
      <c r="BJ90" s="525">
        <f>A90</f>
        <v>447</v>
      </c>
    </row>
    <row r="91" spans="1:62" x14ac:dyDescent="0.25">
      <c r="A91" s="525">
        <f>A90+1</f>
        <v>448</v>
      </c>
      <c r="B91" s="530" t="s">
        <v>1632</v>
      </c>
      <c r="F91" s="536" t="s">
        <v>1614</v>
      </c>
      <c r="H91" s="528"/>
      <c r="J91" s="528"/>
      <c r="K91" s="526"/>
      <c r="L91" s="528"/>
      <c r="M91" s="526"/>
      <c r="N91" s="528"/>
      <c r="O91" s="526"/>
      <c r="R91" s="538" t="s">
        <v>1613</v>
      </c>
      <c r="T91" s="526">
        <v>0</v>
      </c>
      <c r="U91" s="526"/>
      <c r="V91" s="526">
        <f>N91</f>
        <v>0</v>
      </c>
      <c r="W91" s="526"/>
      <c r="X91" s="526">
        <v>0</v>
      </c>
      <c r="Y91" s="526"/>
      <c r="Z91" s="526">
        <f>SUM(T91:X91)</f>
        <v>0</v>
      </c>
      <c r="AA91" s="526"/>
      <c r="AB91" s="537" t="s">
        <v>1606</v>
      </c>
      <c r="AC91" s="526"/>
      <c r="AD91" s="526">
        <v>0</v>
      </c>
      <c r="AE91" s="526"/>
      <c r="AF91" s="528"/>
      <c r="AG91" s="526"/>
      <c r="AH91" s="526">
        <v>0</v>
      </c>
      <c r="AI91" s="526"/>
      <c r="AJ91" s="537" t="s">
        <v>1611</v>
      </c>
      <c r="AK91" s="526"/>
      <c r="AL91" s="527">
        <f>+T91-AD91</f>
        <v>0</v>
      </c>
      <c r="AM91" s="526"/>
      <c r="AN91" s="527">
        <f>+V91-AF91</f>
        <v>0</v>
      </c>
      <c r="AO91" s="526"/>
      <c r="AP91" s="527">
        <f>+X91-AH91</f>
        <v>0</v>
      </c>
      <c r="AQ91" s="526"/>
      <c r="AR91" s="526">
        <f>SUM(AL91:AP91)</f>
        <v>0</v>
      </c>
      <c r="AT91" s="526">
        <v>0</v>
      </c>
      <c r="AU91" s="526"/>
      <c r="AV91" s="528"/>
      <c r="AW91" s="526"/>
      <c r="AX91" s="526">
        <v>0</v>
      </c>
      <c r="AY91" s="526"/>
      <c r="AZ91" s="527">
        <f>+AL91-AT91</f>
        <v>0</v>
      </c>
      <c r="BA91" s="526"/>
      <c r="BB91" s="527">
        <f>+AN91-AV91</f>
        <v>0</v>
      </c>
      <c r="BC91" s="526"/>
      <c r="BD91" s="527">
        <f>+AP91-AX91</f>
        <v>0</v>
      </c>
      <c r="BE91" s="526"/>
      <c r="BF91" s="526">
        <f>SUM(AZ91:BD91)</f>
        <v>0</v>
      </c>
      <c r="BG91" s="526"/>
      <c r="BH91" s="526">
        <f>+BF91*$BH$10</f>
        <v>0</v>
      </c>
      <c r="BJ91" s="525">
        <f>A91</f>
        <v>448</v>
      </c>
    </row>
    <row r="92" spans="1:62" x14ac:dyDescent="0.25">
      <c r="A92" s="525">
        <f>A91+1</f>
        <v>449</v>
      </c>
      <c r="B92" s="530" t="s">
        <v>1631</v>
      </c>
      <c r="F92" s="536" t="s">
        <v>1614</v>
      </c>
      <c r="H92" s="528"/>
      <c r="J92" s="528"/>
      <c r="K92" s="526"/>
      <c r="L92" s="528"/>
      <c r="M92" s="526"/>
      <c r="N92" s="528"/>
      <c r="O92" s="526"/>
      <c r="R92" s="538" t="s">
        <v>1613</v>
      </c>
      <c r="T92" s="526">
        <v>0</v>
      </c>
      <c r="U92" s="526"/>
      <c r="V92" s="526">
        <f>N92</f>
        <v>0</v>
      </c>
      <c r="W92" s="526"/>
      <c r="X92" s="526">
        <v>0</v>
      </c>
      <c r="Y92" s="526"/>
      <c r="Z92" s="526">
        <f>SUM(T92:X92)</f>
        <v>0</v>
      </c>
      <c r="AA92" s="526"/>
      <c r="AB92" s="537" t="s">
        <v>1606</v>
      </c>
      <c r="AC92" s="526"/>
      <c r="AD92" s="526">
        <v>0</v>
      </c>
      <c r="AE92" s="526"/>
      <c r="AF92" s="528"/>
      <c r="AG92" s="526"/>
      <c r="AH92" s="526">
        <v>0</v>
      </c>
      <c r="AI92" s="526"/>
      <c r="AJ92" s="537" t="s">
        <v>1611</v>
      </c>
      <c r="AK92" s="526"/>
      <c r="AL92" s="527">
        <f>+T92-AD92</f>
        <v>0</v>
      </c>
      <c r="AM92" s="526"/>
      <c r="AN92" s="527">
        <f>+V92-AF92</f>
        <v>0</v>
      </c>
      <c r="AO92" s="526"/>
      <c r="AP92" s="527">
        <f>+X92-AH92</f>
        <v>0</v>
      </c>
      <c r="AQ92" s="526"/>
      <c r="AR92" s="526">
        <f>SUM(AL92:AP92)</f>
        <v>0</v>
      </c>
      <c r="AT92" s="526">
        <v>0</v>
      </c>
      <c r="AU92" s="526"/>
      <c r="AV92" s="528"/>
      <c r="AW92" s="526"/>
      <c r="AX92" s="526">
        <v>0</v>
      </c>
      <c r="AY92" s="526"/>
      <c r="AZ92" s="527">
        <f>+AL92-AT92</f>
        <v>0</v>
      </c>
      <c r="BA92" s="526"/>
      <c r="BB92" s="527">
        <f>+AN92-AV92</f>
        <v>0</v>
      </c>
      <c r="BC92" s="526"/>
      <c r="BD92" s="527">
        <f>+AP92-AX92</f>
        <v>0</v>
      </c>
      <c r="BE92" s="526"/>
      <c r="BF92" s="526">
        <f>SUM(AZ92:BD92)</f>
        <v>0</v>
      </c>
      <c r="BG92" s="526"/>
      <c r="BH92" s="526">
        <f>+BF92*$BH$10</f>
        <v>0</v>
      </c>
      <c r="BJ92" s="525">
        <f>A92</f>
        <v>449</v>
      </c>
    </row>
    <row r="93" spans="1:62" x14ac:dyDescent="0.25">
      <c r="A93" s="525">
        <f>A92+1</f>
        <v>450</v>
      </c>
      <c r="B93" s="530" t="s">
        <v>1630</v>
      </c>
      <c r="F93" s="536" t="s">
        <v>1614</v>
      </c>
      <c r="H93" s="528"/>
      <c r="J93" s="528"/>
      <c r="K93" s="526"/>
      <c r="L93" s="528"/>
      <c r="M93" s="526"/>
      <c r="N93" s="528"/>
      <c r="O93" s="526"/>
      <c r="R93" s="538" t="s">
        <v>1613</v>
      </c>
      <c r="T93" s="526">
        <v>0</v>
      </c>
      <c r="U93" s="526"/>
      <c r="V93" s="526">
        <f>N93</f>
        <v>0</v>
      </c>
      <c r="W93" s="526"/>
      <c r="X93" s="526">
        <v>0</v>
      </c>
      <c r="Y93" s="526"/>
      <c r="Z93" s="526">
        <f>SUM(T93:X93)</f>
        <v>0</v>
      </c>
      <c r="AA93" s="526"/>
      <c r="AB93" s="537" t="s">
        <v>1606</v>
      </c>
      <c r="AC93" s="526"/>
      <c r="AD93" s="526">
        <v>0</v>
      </c>
      <c r="AE93" s="526"/>
      <c r="AF93" s="528"/>
      <c r="AG93" s="526"/>
      <c r="AH93" s="526">
        <v>0</v>
      </c>
      <c r="AI93" s="526"/>
      <c r="AJ93" s="537" t="s">
        <v>1611</v>
      </c>
      <c r="AK93" s="526"/>
      <c r="AL93" s="527">
        <f>+T93-AD93</f>
        <v>0</v>
      </c>
      <c r="AM93" s="526"/>
      <c r="AN93" s="527">
        <f>+V93-AF93</f>
        <v>0</v>
      </c>
      <c r="AO93" s="526"/>
      <c r="AP93" s="527">
        <f>+X93-AH93</f>
        <v>0</v>
      </c>
      <c r="AQ93" s="526"/>
      <c r="AR93" s="526">
        <f>SUM(AL93:AP93)</f>
        <v>0</v>
      </c>
      <c r="AT93" s="526">
        <v>0</v>
      </c>
      <c r="AU93" s="526"/>
      <c r="AV93" s="528"/>
      <c r="AW93" s="526"/>
      <c r="AX93" s="526">
        <v>0</v>
      </c>
      <c r="AY93" s="526"/>
      <c r="AZ93" s="527">
        <f>+AL93-AT93</f>
        <v>0</v>
      </c>
      <c r="BA93" s="526"/>
      <c r="BB93" s="527">
        <f>+AN93-AV93</f>
        <v>0</v>
      </c>
      <c r="BC93" s="526"/>
      <c r="BD93" s="527">
        <f>+AP93-AX93</f>
        <v>0</v>
      </c>
      <c r="BE93" s="526"/>
      <c r="BF93" s="526">
        <f>SUM(AZ93:BD93)</f>
        <v>0</v>
      </c>
      <c r="BG93" s="526"/>
      <c r="BH93" s="526">
        <f>+BF93*$BH$10</f>
        <v>0</v>
      </c>
      <c r="BJ93" s="525">
        <f>A93</f>
        <v>450</v>
      </c>
    </row>
    <row r="94" spans="1:62" x14ac:dyDescent="0.25">
      <c r="A94" s="525">
        <f>A93+1</f>
        <v>451</v>
      </c>
      <c r="B94" s="530" t="s">
        <v>1629</v>
      </c>
      <c r="F94" s="536" t="s">
        <v>1614</v>
      </c>
      <c r="H94" s="528"/>
      <c r="J94" s="528"/>
      <c r="K94" s="526"/>
      <c r="L94" s="528"/>
      <c r="M94" s="526"/>
      <c r="N94" s="528"/>
      <c r="O94" s="526"/>
      <c r="R94" s="538" t="s">
        <v>1613</v>
      </c>
      <c r="T94" s="526">
        <v>0</v>
      </c>
      <c r="U94" s="526"/>
      <c r="V94" s="526">
        <f>N94</f>
        <v>0</v>
      </c>
      <c r="W94" s="526"/>
      <c r="X94" s="526">
        <v>0</v>
      </c>
      <c r="Y94" s="526"/>
      <c r="Z94" s="526">
        <f>SUM(T94:X94)</f>
        <v>0</v>
      </c>
      <c r="AA94" s="526"/>
      <c r="AB94" s="537" t="s">
        <v>1606</v>
      </c>
      <c r="AC94" s="526"/>
      <c r="AD94" s="526">
        <v>0</v>
      </c>
      <c r="AE94" s="526"/>
      <c r="AF94" s="528"/>
      <c r="AG94" s="526"/>
      <c r="AH94" s="526">
        <v>0</v>
      </c>
      <c r="AI94" s="526"/>
      <c r="AJ94" s="537" t="s">
        <v>1611</v>
      </c>
      <c r="AK94" s="526"/>
      <c r="AL94" s="527">
        <f>+T94-AD94</f>
        <v>0</v>
      </c>
      <c r="AM94" s="526"/>
      <c r="AN94" s="527">
        <f>+V94-AF94</f>
        <v>0</v>
      </c>
      <c r="AO94" s="526"/>
      <c r="AP94" s="527">
        <f>+X94-AH94</f>
        <v>0</v>
      </c>
      <c r="AQ94" s="526"/>
      <c r="AR94" s="526">
        <f>SUM(AL94:AP94)</f>
        <v>0</v>
      </c>
      <c r="AT94" s="526">
        <v>0</v>
      </c>
      <c r="AU94" s="526"/>
      <c r="AV94" s="528"/>
      <c r="AW94" s="526"/>
      <c r="AX94" s="526">
        <v>0</v>
      </c>
      <c r="AY94" s="526"/>
      <c r="AZ94" s="527">
        <f>+AL94-AT94</f>
        <v>0</v>
      </c>
      <c r="BA94" s="526"/>
      <c r="BB94" s="527">
        <f>+AN94-AV94</f>
        <v>0</v>
      </c>
      <c r="BC94" s="526"/>
      <c r="BD94" s="527">
        <f>+AP94-AX94</f>
        <v>0</v>
      </c>
      <c r="BE94" s="526"/>
      <c r="BF94" s="526">
        <f>SUM(AZ94:BD94)</f>
        <v>0</v>
      </c>
      <c r="BG94" s="526"/>
      <c r="BH94" s="526">
        <f>+BF94*$BH$10</f>
        <v>0</v>
      </c>
      <c r="BJ94" s="525">
        <f>A94</f>
        <v>451</v>
      </c>
    </row>
    <row r="95" spans="1:62" x14ac:dyDescent="0.25">
      <c r="A95" s="525">
        <f>A94+1</f>
        <v>452</v>
      </c>
      <c r="B95" s="530" t="s">
        <v>1628</v>
      </c>
      <c r="F95" s="536" t="s">
        <v>1614</v>
      </c>
      <c r="H95" s="528"/>
      <c r="J95" s="528"/>
      <c r="K95" s="526"/>
      <c r="L95" s="528"/>
      <c r="M95" s="526"/>
      <c r="N95" s="528"/>
      <c r="O95" s="526"/>
      <c r="R95" s="538" t="s">
        <v>1613</v>
      </c>
      <c r="T95" s="526">
        <v>0</v>
      </c>
      <c r="U95" s="526"/>
      <c r="V95" s="526">
        <f>N95</f>
        <v>0</v>
      </c>
      <c r="W95" s="526"/>
      <c r="X95" s="526">
        <v>0</v>
      </c>
      <c r="Y95" s="526"/>
      <c r="Z95" s="526">
        <f>SUM(T95:X95)</f>
        <v>0</v>
      </c>
      <c r="AA95" s="526"/>
      <c r="AB95" s="537" t="s">
        <v>1606</v>
      </c>
      <c r="AC95" s="526"/>
      <c r="AD95" s="526">
        <v>0</v>
      </c>
      <c r="AE95" s="526"/>
      <c r="AF95" s="528"/>
      <c r="AG95" s="526"/>
      <c r="AH95" s="526">
        <v>0</v>
      </c>
      <c r="AI95" s="526"/>
      <c r="AJ95" s="537" t="s">
        <v>1611</v>
      </c>
      <c r="AK95" s="526"/>
      <c r="AL95" s="527">
        <f>+T95-AD95</f>
        <v>0</v>
      </c>
      <c r="AM95" s="526"/>
      <c r="AN95" s="527">
        <f>+V95-AF95</f>
        <v>0</v>
      </c>
      <c r="AO95" s="526"/>
      <c r="AP95" s="527">
        <f>+X95-AH95</f>
        <v>0</v>
      </c>
      <c r="AQ95" s="526"/>
      <c r="AR95" s="526">
        <f>SUM(AL95:AP95)</f>
        <v>0</v>
      </c>
      <c r="AT95" s="526">
        <v>0</v>
      </c>
      <c r="AU95" s="526"/>
      <c r="AV95" s="528"/>
      <c r="AW95" s="526"/>
      <c r="AX95" s="526">
        <v>0</v>
      </c>
      <c r="AY95" s="526"/>
      <c r="AZ95" s="527">
        <f>+AL95-AT95</f>
        <v>0</v>
      </c>
      <c r="BA95" s="526"/>
      <c r="BB95" s="527">
        <f>+AN95-AV95</f>
        <v>0</v>
      </c>
      <c r="BC95" s="526"/>
      <c r="BD95" s="527">
        <f>+AP95-AX95</f>
        <v>0</v>
      </c>
      <c r="BE95" s="526"/>
      <c r="BF95" s="526">
        <f>SUM(AZ95:BD95)</f>
        <v>0</v>
      </c>
      <c r="BG95" s="526"/>
      <c r="BH95" s="526">
        <f>+BF95*$BH$10</f>
        <v>0</v>
      </c>
      <c r="BJ95" s="525">
        <f>A95</f>
        <v>452</v>
      </c>
    </row>
    <row r="96" spans="1:62" x14ac:dyDescent="0.25">
      <c r="A96" s="525">
        <f>A95+1</f>
        <v>453</v>
      </c>
      <c r="B96" s="530" t="s">
        <v>1627</v>
      </c>
      <c r="F96" s="536" t="s">
        <v>1614</v>
      </c>
      <c r="H96" s="528"/>
      <c r="J96" s="528"/>
      <c r="K96" s="526"/>
      <c r="L96" s="528"/>
      <c r="M96" s="526"/>
      <c r="N96" s="528"/>
      <c r="O96" s="526"/>
      <c r="R96" s="538" t="s">
        <v>1613</v>
      </c>
      <c r="T96" s="526">
        <v>0</v>
      </c>
      <c r="U96" s="526"/>
      <c r="V96" s="526">
        <f>N96</f>
        <v>0</v>
      </c>
      <c r="W96" s="526"/>
      <c r="X96" s="526">
        <v>0</v>
      </c>
      <c r="Y96" s="526"/>
      <c r="Z96" s="526">
        <f>SUM(T96:X96)</f>
        <v>0</v>
      </c>
      <c r="AA96" s="526"/>
      <c r="AB96" s="537" t="s">
        <v>1606</v>
      </c>
      <c r="AC96" s="526"/>
      <c r="AD96" s="526">
        <v>0</v>
      </c>
      <c r="AE96" s="526"/>
      <c r="AF96" s="528"/>
      <c r="AG96" s="526"/>
      <c r="AH96" s="526">
        <v>0</v>
      </c>
      <c r="AI96" s="526"/>
      <c r="AJ96" s="537" t="s">
        <v>1611</v>
      </c>
      <c r="AK96" s="526"/>
      <c r="AL96" s="527">
        <f>+T96-AD96</f>
        <v>0</v>
      </c>
      <c r="AM96" s="526"/>
      <c r="AN96" s="527">
        <f>+V96-AF96</f>
        <v>0</v>
      </c>
      <c r="AO96" s="526"/>
      <c r="AP96" s="527">
        <f>+X96-AH96</f>
        <v>0</v>
      </c>
      <c r="AQ96" s="526"/>
      <c r="AR96" s="526">
        <f>SUM(AL96:AP96)</f>
        <v>0</v>
      </c>
      <c r="AT96" s="526">
        <v>0</v>
      </c>
      <c r="AU96" s="526"/>
      <c r="AV96" s="528"/>
      <c r="AW96" s="526"/>
      <c r="AX96" s="526">
        <v>0</v>
      </c>
      <c r="AY96" s="526"/>
      <c r="AZ96" s="527">
        <f>+AL96-AT96</f>
        <v>0</v>
      </c>
      <c r="BA96" s="526"/>
      <c r="BB96" s="527">
        <f>+AN96-AV96</f>
        <v>0</v>
      </c>
      <c r="BC96" s="526"/>
      <c r="BD96" s="527">
        <f>+AP96-AX96</f>
        <v>0</v>
      </c>
      <c r="BE96" s="526"/>
      <c r="BF96" s="526">
        <f>SUM(AZ96:BD96)</f>
        <v>0</v>
      </c>
      <c r="BG96" s="526"/>
      <c r="BH96" s="526">
        <f>+BF96*$BH$10</f>
        <v>0</v>
      </c>
      <c r="BJ96" s="525">
        <f>A96</f>
        <v>453</v>
      </c>
    </row>
    <row r="97" spans="1:62" x14ac:dyDescent="0.25">
      <c r="A97" s="525">
        <f>A96+1</f>
        <v>454</v>
      </c>
      <c r="B97" s="530" t="s">
        <v>1626</v>
      </c>
      <c r="F97" s="536" t="s">
        <v>1614</v>
      </c>
      <c r="H97" s="528"/>
      <c r="J97" s="528"/>
      <c r="K97" s="526"/>
      <c r="L97" s="528"/>
      <c r="M97" s="526"/>
      <c r="N97" s="528"/>
      <c r="O97" s="526"/>
      <c r="R97" s="538" t="s">
        <v>1613</v>
      </c>
      <c r="T97" s="526">
        <v>0</v>
      </c>
      <c r="U97" s="526"/>
      <c r="V97" s="526">
        <f>N97</f>
        <v>0</v>
      </c>
      <c r="W97" s="526"/>
      <c r="X97" s="526">
        <v>0</v>
      </c>
      <c r="Y97" s="526"/>
      <c r="Z97" s="526">
        <f>SUM(T97:X97)</f>
        <v>0</v>
      </c>
      <c r="AA97" s="526"/>
      <c r="AB97" s="537" t="s">
        <v>1606</v>
      </c>
      <c r="AC97" s="526"/>
      <c r="AD97" s="526">
        <v>0</v>
      </c>
      <c r="AE97" s="526"/>
      <c r="AF97" s="528"/>
      <c r="AG97" s="526"/>
      <c r="AH97" s="526">
        <v>0</v>
      </c>
      <c r="AI97" s="526"/>
      <c r="AJ97" s="537" t="s">
        <v>1611</v>
      </c>
      <c r="AK97" s="526"/>
      <c r="AL97" s="527">
        <f>+T97-AD97</f>
        <v>0</v>
      </c>
      <c r="AM97" s="526"/>
      <c r="AN97" s="527">
        <f>+V97-AF97</f>
        <v>0</v>
      </c>
      <c r="AO97" s="526"/>
      <c r="AP97" s="527">
        <f>+X97-AH97</f>
        <v>0</v>
      </c>
      <c r="AQ97" s="526"/>
      <c r="AR97" s="526">
        <f>SUM(AL97:AP97)</f>
        <v>0</v>
      </c>
      <c r="AT97" s="526">
        <v>0</v>
      </c>
      <c r="AU97" s="526"/>
      <c r="AV97" s="528"/>
      <c r="AW97" s="526"/>
      <c r="AX97" s="526">
        <v>0</v>
      </c>
      <c r="AY97" s="526"/>
      <c r="AZ97" s="527">
        <f>+AL97-AT97</f>
        <v>0</v>
      </c>
      <c r="BA97" s="526"/>
      <c r="BB97" s="527">
        <f>+AN97-AV97</f>
        <v>0</v>
      </c>
      <c r="BC97" s="526"/>
      <c r="BD97" s="527">
        <f>+AP97-AX97</f>
        <v>0</v>
      </c>
      <c r="BE97" s="526"/>
      <c r="BF97" s="526">
        <f>SUM(AZ97:BD97)</f>
        <v>0</v>
      </c>
      <c r="BG97" s="526"/>
      <c r="BH97" s="526">
        <f>+BF97*$BH$10</f>
        <v>0</v>
      </c>
      <c r="BJ97" s="525">
        <f>A97</f>
        <v>454</v>
      </c>
    </row>
    <row r="98" spans="1:62" x14ac:dyDescent="0.25">
      <c r="A98" s="525">
        <f>A97+1</f>
        <v>455</v>
      </c>
      <c r="B98" s="530" t="s">
        <v>1625</v>
      </c>
      <c r="F98" s="536" t="s">
        <v>1614</v>
      </c>
      <c r="H98" s="528"/>
      <c r="J98" s="528"/>
      <c r="K98" s="526"/>
      <c r="L98" s="528"/>
      <c r="M98" s="526"/>
      <c r="N98" s="528"/>
      <c r="O98" s="526"/>
      <c r="R98" s="538" t="s">
        <v>1613</v>
      </c>
      <c r="T98" s="526">
        <v>0</v>
      </c>
      <c r="U98" s="526"/>
      <c r="V98" s="526">
        <f>N98</f>
        <v>0</v>
      </c>
      <c r="W98" s="526"/>
      <c r="X98" s="526">
        <v>0</v>
      </c>
      <c r="Y98" s="526"/>
      <c r="Z98" s="526">
        <f>SUM(T98:X98)</f>
        <v>0</v>
      </c>
      <c r="AA98" s="526"/>
      <c r="AB98" s="537" t="s">
        <v>1606</v>
      </c>
      <c r="AC98" s="526"/>
      <c r="AD98" s="526">
        <v>0</v>
      </c>
      <c r="AE98" s="526"/>
      <c r="AF98" s="528"/>
      <c r="AG98" s="526"/>
      <c r="AH98" s="526">
        <v>0</v>
      </c>
      <c r="AI98" s="526"/>
      <c r="AJ98" s="537" t="s">
        <v>1611</v>
      </c>
      <c r="AK98" s="526"/>
      <c r="AL98" s="527">
        <f>+T98-AD98</f>
        <v>0</v>
      </c>
      <c r="AM98" s="526"/>
      <c r="AN98" s="527">
        <f>+V98-AF98</f>
        <v>0</v>
      </c>
      <c r="AO98" s="526"/>
      <c r="AP98" s="527">
        <f>+X98-AH98</f>
        <v>0</v>
      </c>
      <c r="AQ98" s="526"/>
      <c r="AR98" s="526">
        <f>SUM(AL98:AP98)</f>
        <v>0</v>
      </c>
      <c r="AT98" s="526">
        <v>0</v>
      </c>
      <c r="AU98" s="526"/>
      <c r="AV98" s="528"/>
      <c r="AW98" s="526"/>
      <c r="AX98" s="526">
        <v>0</v>
      </c>
      <c r="AY98" s="526"/>
      <c r="AZ98" s="527">
        <f>+AL98-AT98</f>
        <v>0</v>
      </c>
      <c r="BA98" s="526"/>
      <c r="BB98" s="527">
        <f>+AN98-AV98</f>
        <v>0</v>
      </c>
      <c r="BC98" s="526"/>
      <c r="BD98" s="527">
        <f>+AP98-AX98</f>
        <v>0</v>
      </c>
      <c r="BE98" s="526"/>
      <c r="BF98" s="526">
        <f>SUM(AZ98:BD98)</f>
        <v>0</v>
      </c>
      <c r="BG98" s="526"/>
      <c r="BH98" s="526">
        <f>+BF98*$BH$10</f>
        <v>0</v>
      </c>
      <c r="BJ98" s="525">
        <f>A98</f>
        <v>455</v>
      </c>
    </row>
    <row r="99" spans="1:62" x14ac:dyDescent="0.25">
      <c r="A99" s="525">
        <f>A98+1</f>
        <v>456</v>
      </c>
      <c r="B99" s="535" t="s">
        <v>83</v>
      </c>
      <c r="H99" s="528"/>
      <c r="J99" s="528"/>
      <c r="K99" s="526"/>
      <c r="L99" s="528"/>
      <c r="M99" s="526"/>
      <c r="N99" s="528"/>
      <c r="O99" s="526"/>
      <c r="R99" s="541"/>
      <c r="T99" s="526">
        <v>0</v>
      </c>
      <c r="U99" s="526"/>
      <c r="V99" s="526">
        <f>N99</f>
        <v>0</v>
      </c>
      <c r="W99" s="526"/>
      <c r="X99" s="526">
        <v>0</v>
      </c>
      <c r="Y99" s="526"/>
      <c r="Z99" s="526">
        <f>SUM(T99:X99)</f>
        <v>0</v>
      </c>
      <c r="AA99" s="526"/>
      <c r="AB99" s="537"/>
      <c r="AC99" s="526"/>
      <c r="AD99" s="526">
        <v>0</v>
      </c>
      <c r="AE99" s="526"/>
      <c r="AF99" s="528"/>
      <c r="AG99" s="526"/>
      <c r="AH99" s="526">
        <v>0</v>
      </c>
      <c r="AI99" s="526"/>
      <c r="AJ99" s="526"/>
      <c r="AK99" s="526"/>
      <c r="AL99" s="527">
        <f>+T99-AD99</f>
        <v>0</v>
      </c>
      <c r="AM99" s="526"/>
      <c r="AN99" s="527">
        <f>+V99-AF99</f>
        <v>0</v>
      </c>
      <c r="AO99" s="526"/>
      <c r="AP99" s="527">
        <f>+X99-AH99</f>
        <v>0</v>
      </c>
      <c r="AQ99" s="526"/>
      <c r="AR99" s="526">
        <f>SUM(AL99:AP99)</f>
        <v>0</v>
      </c>
      <c r="AT99" s="526">
        <v>0</v>
      </c>
      <c r="AU99" s="526"/>
      <c r="AV99" s="528"/>
      <c r="AW99" s="526"/>
      <c r="AX99" s="526">
        <v>0</v>
      </c>
      <c r="AY99" s="526"/>
      <c r="AZ99" s="527">
        <f>+AL99-AT99</f>
        <v>0</v>
      </c>
      <c r="BA99" s="526"/>
      <c r="BB99" s="527">
        <f>+AN99-AV99</f>
        <v>0</v>
      </c>
      <c r="BC99" s="526"/>
      <c r="BD99" s="527">
        <f>+AP99-AX99</f>
        <v>0</v>
      </c>
      <c r="BE99" s="526"/>
      <c r="BF99" s="526">
        <f>SUM(AZ99:BD99)</f>
        <v>0</v>
      </c>
      <c r="BG99" s="526"/>
      <c r="BH99" s="526">
        <f>+BF99*$BH$10</f>
        <v>0</v>
      </c>
      <c r="BJ99" s="525">
        <f>A99</f>
        <v>456</v>
      </c>
    </row>
    <row r="100" spans="1:62" x14ac:dyDescent="0.25">
      <c r="A100" s="525">
        <f>A99+1</f>
        <v>457</v>
      </c>
      <c r="B100" s="535" t="s">
        <v>83</v>
      </c>
      <c r="H100" s="528"/>
      <c r="J100" s="528"/>
      <c r="K100" s="526"/>
      <c r="L100" s="528"/>
      <c r="M100" s="526"/>
      <c r="N100" s="528"/>
      <c r="O100" s="526"/>
      <c r="R100" s="541"/>
      <c r="T100" s="526">
        <v>0</v>
      </c>
      <c r="U100" s="526"/>
      <c r="V100" s="526">
        <f>N100</f>
        <v>0</v>
      </c>
      <c r="W100" s="526"/>
      <c r="X100" s="526">
        <v>0</v>
      </c>
      <c r="Y100" s="526"/>
      <c r="Z100" s="526">
        <f>SUM(T100:X100)</f>
        <v>0</v>
      </c>
      <c r="AA100" s="526"/>
      <c r="AB100" s="537"/>
      <c r="AC100" s="526"/>
      <c r="AD100" s="526">
        <v>0</v>
      </c>
      <c r="AE100" s="526"/>
      <c r="AF100" s="528"/>
      <c r="AG100" s="526"/>
      <c r="AH100" s="526">
        <v>0</v>
      </c>
      <c r="AI100" s="526"/>
      <c r="AJ100" s="526"/>
      <c r="AK100" s="526"/>
      <c r="AL100" s="527">
        <f>+T100-AD100</f>
        <v>0</v>
      </c>
      <c r="AM100" s="526"/>
      <c r="AN100" s="527">
        <f>+V100-AF100</f>
        <v>0</v>
      </c>
      <c r="AO100" s="526"/>
      <c r="AP100" s="527">
        <f>+X100-AH100</f>
        <v>0</v>
      </c>
      <c r="AQ100" s="526"/>
      <c r="AR100" s="526">
        <f>SUM(AL100:AP100)</f>
        <v>0</v>
      </c>
      <c r="AT100" s="526">
        <v>0</v>
      </c>
      <c r="AU100" s="526"/>
      <c r="AV100" s="528"/>
      <c r="AW100" s="526"/>
      <c r="AX100" s="526">
        <v>0</v>
      </c>
      <c r="AY100" s="526"/>
      <c r="AZ100" s="527">
        <f>+AL100-AT100</f>
        <v>0</v>
      </c>
      <c r="BA100" s="526"/>
      <c r="BB100" s="527">
        <f>+AN100-AV100</f>
        <v>0</v>
      </c>
      <c r="BC100" s="526"/>
      <c r="BD100" s="527">
        <f>+AP100-AX100</f>
        <v>0</v>
      </c>
      <c r="BE100" s="526"/>
      <c r="BF100" s="526">
        <f>SUM(AZ100:BD100)</f>
        <v>0</v>
      </c>
      <c r="BG100" s="526"/>
      <c r="BH100" s="526">
        <f>+BF100*$BH$10</f>
        <v>0</v>
      </c>
      <c r="BJ100" s="525">
        <f>A100</f>
        <v>457</v>
      </c>
    </row>
    <row r="101" spans="1:62" x14ac:dyDescent="0.25">
      <c r="A101" s="525"/>
      <c r="B101" s="534"/>
      <c r="H101" s="526"/>
      <c r="J101" s="526"/>
      <c r="K101" s="526"/>
      <c r="L101" s="526"/>
      <c r="M101" s="526"/>
      <c r="N101" s="526"/>
      <c r="O101" s="526"/>
      <c r="R101" s="541"/>
      <c r="T101" s="526"/>
      <c r="U101" s="526"/>
      <c r="V101" s="526"/>
      <c r="W101" s="526"/>
      <c r="X101" s="526"/>
      <c r="Y101" s="526"/>
      <c r="Z101" s="526"/>
      <c r="AA101" s="526"/>
      <c r="AB101" s="537"/>
      <c r="AC101" s="526"/>
      <c r="AD101" s="526"/>
      <c r="AE101" s="526"/>
      <c r="AF101" s="526"/>
      <c r="AG101" s="526"/>
      <c r="AH101" s="526"/>
      <c r="AI101" s="526"/>
      <c r="AJ101" s="526"/>
      <c r="AK101" s="526"/>
      <c r="AL101" s="526"/>
      <c r="AM101" s="526"/>
      <c r="AN101" s="526"/>
      <c r="AO101" s="526"/>
      <c r="AP101" s="526"/>
      <c r="AQ101" s="526"/>
      <c r="AR101" s="526"/>
      <c r="AT101" s="526"/>
      <c r="AU101" s="526"/>
      <c r="AV101" s="526"/>
      <c r="AW101" s="526"/>
      <c r="AX101" s="526"/>
      <c r="AY101" s="526"/>
      <c r="AZ101" s="526"/>
      <c r="BA101" s="526"/>
      <c r="BB101" s="526"/>
      <c r="BC101" s="526"/>
      <c r="BD101" s="526"/>
      <c r="BE101" s="526"/>
      <c r="BF101" s="526"/>
      <c r="BG101" s="526"/>
      <c r="BH101" s="526"/>
      <c r="BJ101" s="525"/>
    </row>
    <row r="102" spans="1:62" x14ac:dyDescent="0.25">
      <c r="A102" s="508" t="s">
        <v>106</v>
      </c>
      <c r="R102" s="541"/>
      <c r="Z102" s="526"/>
      <c r="AB102" s="536"/>
      <c r="BJ102" s="533" t="s">
        <v>106</v>
      </c>
    </row>
    <row r="103" spans="1:62" x14ac:dyDescent="0.25">
      <c r="A103" s="525">
        <v>500</v>
      </c>
      <c r="B103" s="540" t="s">
        <v>1624</v>
      </c>
      <c r="H103" s="531">
        <f>ROUND(SUM(H104:H113),0)</f>
        <v>0</v>
      </c>
      <c r="J103" s="531">
        <f>ROUND(SUM(J104:J113),0)</f>
        <v>0</v>
      </c>
      <c r="K103" s="526"/>
      <c r="L103" s="531">
        <f>ROUND(SUM(L104:L113),0)</f>
        <v>0</v>
      </c>
      <c r="M103" s="526"/>
      <c r="N103" s="531">
        <f>ROUND(SUM(N104:N113),0)</f>
        <v>0</v>
      </c>
      <c r="O103" s="526"/>
      <c r="Q103" s="525"/>
      <c r="R103" s="541"/>
      <c r="S103" s="525"/>
      <c r="T103" s="531">
        <f>ROUND(SUM(T104:T113),0)</f>
        <v>0</v>
      </c>
      <c r="U103" s="526"/>
      <c r="V103" s="531">
        <f>ROUND(SUM(V104:V113),0)</f>
        <v>0</v>
      </c>
      <c r="W103" s="526"/>
      <c r="X103" s="531">
        <f>ROUND(SUM(X104:X113),0)</f>
        <v>0</v>
      </c>
      <c r="Y103" s="526"/>
      <c r="Z103" s="531">
        <f>ROUND(SUM(Z104:Z113),0)</f>
        <v>0</v>
      </c>
      <c r="AA103" s="526"/>
      <c r="AB103" s="537"/>
      <c r="AC103" s="526"/>
      <c r="AD103" s="531">
        <f>SUM(AD104:AD113)</f>
        <v>0</v>
      </c>
      <c r="AE103" s="526"/>
      <c r="AF103" s="531">
        <f>SUM(AF104:AF113)</f>
        <v>0</v>
      </c>
      <c r="AG103" s="526"/>
      <c r="AH103" s="531">
        <f>SUM(AH104:AH113)</f>
        <v>0</v>
      </c>
      <c r="AI103" s="526"/>
      <c r="AJ103" s="526"/>
      <c r="AK103" s="526"/>
      <c r="AL103" s="531">
        <f>SUM(AL104:AL113)</f>
        <v>0</v>
      </c>
      <c r="AM103" s="526"/>
      <c r="AN103" s="531">
        <f>SUM(AN104:AN113)</f>
        <v>0</v>
      </c>
      <c r="AO103" s="526"/>
      <c r="AP103" s="531">
        <f>SUM(AP104:AP113)</f>
        <v>0</v>
      </c>
      <c r="AQ103" s="526"/>
      <c r="AR103" s="531">
        <f>SUM(AR104:AR113)</f>
        <v>0</v>
      </c>
      <c r="AT103" s="531">
        <f>SUM(AT104:AT113)</f>
        <v>0</v>
      </c>
      <c r="AU103" s="526"/>
      <c r="AV103" s="531">
        <f>SUM(AV104:AV113)</f>
        <v>0</v>
      </c>
      <c r="AW103" s="526"/>
      <c r="AX103" s="531">
        <f>SUM(AX104:AX113)</f>
        <v>0</v>
      </c>
      <c r="AY103" s="526"/>
      <c r="AZ103" s="531">
        <f>SUM(AZ104:AZ113)</f>
        <v>0</v>
      </c>
      <c r="BA103" s="526"/>
      <c r="BB103" s="531">
        <f>SUM(BB104:BB113)</f>
        <v>0</v>
      </c>
      <c r="BC103" s="526"/>
      <c r="BD103" s="531">
        <f>SUM(BD104:BD113)</f>
        <v>0</v>
      </c>
      <c r="BE103" s="526"/>
      <c r="BF103" s="531">
        <f>SUM(BF104:BF113)</f>
        <v>0</v>
      </c>
      <c r="BG103" s="526"/>
      <c r="BH103" s="531">
        <f>ROUND(SUM(BH104:BH113),0)</f>
        <v>0</v>
      </c>
      <c r="BJ103" s="525">
        <f>A103</f>
        <v>500</v>
      </c>
    </row>
    <row r="104" spans="1:62" x14ac:dyDescent="0.25">
      <c r="A104" s="525">
        <f>A103+1</f>
        <v>501</v>
      </c>
      <c r="B104" s="539" t="s">
        <v>1623</v>
      </c>
      <c r="F104" s="534" t="s">
        <v>1608</v>
      </c>
      <c r="H104" s="528"/>
      <c r="J104" s="528"/>
      <c r="K104" s="526"/>
      <c r="L104" s="528"/>
      <c r="M104" s="526"/>
      <c r="N104" s="528"/>
      <c r="O104" s="526"/>
      <c r="R104" s="538" t="s">
        <v>1607</v>
      </c>
      <c r="T104" s="526">
        <v>0</v>
      </c>
      <c r="U104" s="526"/>
      <c r="V104" s="526">
        <v>0</v>
      </c>
      <c r="W104" s="526"/>
      <c r="X104" s="526">
        <f>+N104</f>
        <v>0</v>
      </c>
      <c r="Y104" s="526"/>
      <c r="Z104" s="526">
        <f>SUM(T104:X104)</f>
        <v>0</v>
      </c>
      <c r="AA104" s="526"/>
      <c r="AB104" s="537" t="s">
        <v>1612</v>
      </c>
      <c r="AC104" s="526"/>
      <c r="AD104" s="526">
        <v>0</v>
      </c>
      <c r="AE104" s="526"/>
      <c r="AF104" s="526">
        <v>0</v>
      </c>
      <c r="AG104" s="526"/>
      <c r="AH104" s="528"/>
      <c r="AI104" s="526"/>
      <c r="AJ104" s="537" t="s">
        <v>1605</v>
      </c>
      <c r="AK104" s="526"/>
      <c r="AL104" s="527">
        <f>+T104-AD104</f>
        <v>0</v>
      </c>
      <c r="AM104" s="526"/>
      <c r="AN104" s="527">
        <f>+V104-AF104</f>
        <v>0</v>
      </c>
      <c r="AO104" s="526"/>
      <c r="AP104" s="527">
        <f>+X104-AH104</f>
        <v>0</v>
      </c>
      <c r="AQ104" s="526"/>
      <c r="AR104" s="526">
        <f>SUM(AL104:AP104)</f>
        <v>0</v>
      </c>
      <c r="AT104" s="526">
        <v>0</v>
      </c>
      <c r="AU104" s="526"/>
      <c r="AV104" s="526">
        <v>0</v>
      </c>
      <c r="AW104" s="526"/>
      <c r="AX104" s="528"/>
      <c r="AY104" s="526"/>
      <c r="AZ104" s="527">
        <f>+AL104-AT104</f>
        <v>0</v>
      </c>
      <c r="BA104" s="526"/>
      <c r="BB104" s="527">
        <f>+AN104-AV104</f>
        <v>0</v>
      </c>
      <c r="BC104" s="526"/>
      <c r="BD104" s="527">
        <f>+AP104-AX104</f>
        <v>0</v>
      </c>
      <c r="BE104" s="526"/>
      <c r="BF104" s="526">
        <f>SUM(AZ104:BD104)</f>
        <v>0</v>
      </c>
      <c r="BG104" s="526"/>
      <c r="BH104" s="526">
        <f>+BF104*$BH$10</f>
        <v>0</v>
      </c>
      <c r="BJ104" s="525">
        <f>A104</f>
        <v>501</v>
      </c>
    </row>
    <row r="105" spans="1:62" x14ac:dyDescent="0.25">
      <c r="A105" s="525">
        <f>A104+1</f>
        <v>502</v>
      </c>
      <c r="B105" s="539" t="s">
        <v>1397</v>
      </c>
      <c r="F105" s="534" t="s">
        <v>1608</v>
      </c>
      <c r="H105" s="528"/>
      <c r="J105" s="528"/>
      <c r="K105" s="526"/>
      <c r="L105" s="528"/>
      <c r="M105" s="526"/>
      <c r="N105" s="528"/>
      <c r="O105" s="526"/>
      <c r="R105" s="538" t="s">
        <v>1607</v>
      </c>
      <c r="T105" s="526">
        <v>0</v>
      </c>
      <c r="U105" s="526"/>
      <c r="V105" s="526">
        <v>0</v>
      </c>
      <c r="W105" s="526"/>
      <c r="X105" s="526">
        <f>+N105</f>
        <v>0</v>
      </c>
      <c r="Y105" s="526"/>
      <c r="Z105" s="526">
        <f>SUM(T105:X105)</f>
        <v>0</v>
      </c>
      <c r="AA105" s="526"/>
      <c r="AB105" s="537" t="s">
        <v>1612</v>
      </c>
      <c r="AC105" s="526"/>
      <c r="AD105" s="526">
        <v>0</v>
      </c>
      <c r="AE105" s="526"/>
      <c r="AF105" s="526">
        <v>0</v>
      </c>
      <c r="AG105" s="526"/>
      <c r="AH105" s="528"/>
      <c r="AI105" s="526"/>
      <c r="AJ105" s="537" t="s">
        <v>1605</v>
      </c>
      <c r="AK105" s="526"/>
      <c r="AL105" s="527">
        <f>+T105-AD105</f>
        <v>0</v>
      </c>
      <c r="AM105" s="526"/>
      <c r="AN105" s="527">
        <f>+V105-AF105</f>
        <v>0</v>
      </c>
      <c r="AO105" s="526"/>
      <c r="AP105" s="527">
        <f>+X105-AH105</f>
        <v>0</v>
      </c>
      <c r="AQ105" s="526"/>
      <c r="AR105" s="526">
        <f>SUM(AL105:AP105)</f>
        <v>0</v>
      </c>
      <c r="AT105" s="526">
        <v>0</v>
      </c>
      <c r="AU105" s="526"/>
      <c r="AV105" s="526">
        <v>0</v>
      </c>
      <c r="AW105" s="526"/>
      <c r="AX105" s="528"/>
      <c r="AY105" s="526"/>
      <c r="AZ105" s="527">
        <f>+AL105-AT105</f>
        <v>0</v>
      </c>
      <c r="BA105" s="526"/>
      <c r="BB105" s="527">
        <f>+AN105-AV105</f>
        <v>0</v>
      </c>
      <c r="BC105" s="526"/>
      <c r="BD105" s="527">
        <f>+AP105-AX105</f>
        <v>0</v>
      </c>
      <c r="BE105" s="526"/>
      <c r="BF105" s="526">
        <f>SUM(AZ105:BD105)</f>
        <v>0</v>
      </c>
      <c r="BG105" s="526"/>
      <c r="BH105" s="526">
        <f>+BF105*$BH$10</f>
        <v>0</v>
      </c>
      <c r="BJ105" s="525">
        <f>A105</f>
        <v>502</v>
      </c>
    </row>
    <row r="106" spans="1:62" x14ac:dyDescent="0.25">
      <c r="A106" s="525">
        <f>A105+1</f>
        <v>503</v>
      </c>
      <c r="B106" s="530" t="s">
        <v>1620</v>
      </c>
      <c r="F106" s="534" t="s">
        <v>1614</v>
      </c>
      <c r="H106" s="528"/>
      <c r="J106" s="528"/>
      <c r="K106" s="526"/>
      <c r="L106" s="528"/>
      <c r="M106" s="526"/>
      <c r="N106" s="528"/>
      <c r="O106" s="526"/>
      <c r="R106" s="538" t="s">
        <v>1613</v>
      </c>
      <c r="T106" s="526">
        <v>0</v>
      </c>
      <c r="U106" s="526"/>
      <c r="V106" s="526">
        <v>0</v>
      </c>
      <c r="W106" s="526"/>
      <c r="X106" s="526">
        <f>N106</f>
        <v>0</v>
      </c>
      <c r="Y106" s="526"/>
      <c r="Z106" s="526">
        <f>SUM(T106:X106)</f>
        <v>0</v>
      </c>
      <c r="AA106" s="526"/>
      <c r="AB106" s="537" t="s">
        <v>1612</v>
      </c>
      <c r="AC106" s="526"/>
      <c r="AD106" s="526">
        <v>0</v>
      </c>
      <c r="AE106" s="526"/>
      <c r="AF106" s="526">
        <v>0</v>
      </c>
      <c r="AG106" s="526"/>
      <c r="AH106" s="528"/>
      <c r="AI106" s="526"/>
      <c r="AJ106" s="537" t="s">
        <v>1611</v>
      </c>
      <c r="AK106" s="526"/>
      <c r="AL106" s="527">
        <f>+T106-AD106</f>
        <v>0</v>
      </c>
      <c r="AM106" s="526"/>
      <c r="AN106" s="527">
        <f>+V106-AF106</f>
        <v>0</v>
      </c>
      <c r="AO106" s="526"/>
      <c r="AP106" s="527">
        <f>+X106-AH106</f>
        <v>0</v>
      </c>
      <c r="AQ106" s="526"/>
      <c r="AR106" s="526">
        <f>SUM(AL106:AP106)</f>
        <v>0</v>
      </c>
      <c r="AT106" s="526">
        <v>0</v>
      </c>
      <c r="AU106" s="526"/>
      <c r="AV106" s="526">
        <v>0</v>
      </c>
      <c r="AW106" s="526"/>
      <c r="AX106" s="528"/>
      <c r="AY106" s="526"/>
      <c r="AZ106" s="527">
        <f>+AL106-AT106</f>
        <v>0</v>
      </c>
      <c r="BA106" s="526"/>
      <c r="BB106" s="527">
        <f>+AN106-AV106</f>
        <v>0</v>
      </c>
      <c r="BC106" s="526"/>
      <c r="BD106" s="527">
        <f>+AP106-AX106</f>
        <v>0</v>
      </c>
      <c r="BE106" s="526"/>
      <c r="BF106" s="526">
        <f>SUM(AZ106:BD106)</f>
        <v>0</v>
      </c>
      <c r="BG106" s="526"/>
      <c r="BH106" s="526">
        <f>+BF106*$BH$10</f>
        <v>0</v>
      </c>
      <c r="BJ106" s="525">
        <f>A106</f>
        <v>503</v>
      </c>
    </row>
    <row r="107" spans="1:62" x14ac:dyDescent="0.25">
      <c r="A107" s="525">
        <f>A106+1</f>
        <v>504</v>
      </c>
      <c r="B107" s="530" t="s">
        <v>1619</v>
      </c>
      <c r="F107" s="536" t="s">
        <v>1614</v>
      </c>
      <c r="H107" s="528"/>
      <c r="J107" s="528"/>
      <c r="K107" s="526"/>
      <c r="L107" s="528"/>
      <c r="M107" s="526"/>
      <c r="N107" s="528"/>
      <c r="O107" s="526"/>
      <c r="R107" s="538" t="s">
        <v>1613</v>
      </c>
      <c r="T107" s="526">
        <v>0</v>
      </c>
      <c r="U107" s="526"/>
      <c r="V107" s="526">
        <v>0</v>
      </c>
      <c r="W107" s="526"/>
      <c r="X107" s="526">
        <f>N107</f>
        <v>0</v>
      </c>
      <c r="Y107" s="526"/>
      <c r="Z107" s="526">
        <f>SUM(T107:X107)</f>
        <v>0</v>
      </c>
      <c r="AA107" s="526"/>
      <c r="AB107" s="537" t="s">
        <v>1612</v>
      </c>
      <c r="AC107" s="526"/>
      <c r="AD107" s="526">
        <v>0</v>
      </c>
      <c r="AE107" s="526"/>
      <c r="AF107" s="526">
        <v>0</v>
      </c>
      <c r="AG107" s="526"/>
      <c r="AH107" s="528"/>
      <c r="AI107" s="526"/>
      <c r="AJ107" s="537" t="s">
        <v>1611</v>
      </c>
      <c r="AK107" s="526"/>
      <c r="AL107" s="527">
        <f>+T107-AD107</f>
        <v>0</v>
      </c>
      <c r="AM107" s="526"/>
      <c r="AN107" s="527">
        <f>+V107-AF107</f>
        <v>0</v>
      </c>
      <c r="AO107" s="526"/>
      <c r="AP107" s="527">
        <f>+X107-AH107</f>
        <v>0</v>
      </c>
      <c r="AQ107" s="526"/>
      <c r="AR107" s="526">
        <f>SUM(AL107:AP107)</f>
        <v>0</v>
      </c>
      <c r="AT107" s="526">
        <v>0</v>
      </c>
      <c r="AU107" s="526"/>
      <c r="AV107" s="526">
        <v>0</v>
      </c>
      <c r="AW107" s="526"/>
      <c r="AX107" s="528"/>
      <c r="AY107" s="526"/>
      <c r="AZ107" s="527">
        <f>+AL107-AT107</f>
        <v>0</v>
      </c>
      <c r="BA107" s="526"/>
      <c r="BB107" s="527">
        <f>+AN107-AV107</f>
        <v>0</v>
      </c>
      <c r="BC107" s="526"/>
      <c r="BD107" s="527">
        <f>+AP107-AX107</f>
        <v>0</v>
      </c>
      <c r="BE107" s="526"/>
      <c r="BF107" s="526">
        <f>SUM(AZ107:BD107)</f>
        <v>0</v>
      </c>
      <c r="BG107" s="526"/>
      <c r="BH107" s="526">
        <f>+BF107*$BH$10</f>
        <v>0</v>
      </c>
      <c r="BJ107" s="525">
        <f>A107</f>
        <v>504</v>
      </c>
    </row>
    <row r="108" spans="1:62" x14ac:dyDescent="0.25">
      <c r="A108" s="525">
        <f>+A107+1</f>
        <v>505</v>
      </c>
      <c r="B108" s="530" t="s">
        <v>1618</v>
      </c>
      <c r="F108" s="536" t="s">
        <v>1614</v>
      </c>
      <c r="H108" s="528"/>
      <c r="J108" s="528"/>
      <c r="K108" s="526"/>
      <c r="L108" s="528"/>
      <c r="M108" s="526"/>
      <c r="N108" s="528"/>
      <c r="O108" s="526"/>
      <c r="R108" s="538" t="s">
        <v>1613</v>
      </c>
      <c r="T108" s="526">
        <v>0</v>
      </c>
      <c r="U108" s="526"/>
      <c r="V108" s="526">
        <v>0</v>
      </c>
      <c r="W108" s="526"/>
      <c r="X108" s="526">
        <f>N108</f>
        <v>0</v>
      </c>
      <c r="Y108" s="526"/>
      <c r="Z108" s="526">
        <f>SUM(T108:X108)</f>
        <v>0</v>
      </c>
      <c r="AA108" s="526"/>
      <c r="AB108" s="537" t="s">
        <v>1612</v>
      </c>
      <c r="AC108" s="526"/>
      <c r="AD108" s="526">
        <v>0</v>
      </c>
      <c r="AE108" s="526"/>
      <c r="AF108" s="526">
        <v>0</v>
      </c>
      <c r="AG108" s="526"/>
      <c r="AH108" s="528"/>
      <c r="AI108" s="526"/>
      <c r="AJ108" s="537" t="s">
        <v>1611</v>
      </c>
      <c r="AK108" s="526"/>
      <c r="AL108" s="527">
        <f>+T108-AD108</f>
        <v>0</v>
      </c>
      <c r="AM108" s="526"/>
      <c r="AN108" s="527">
        <f>+V108-AF108</f>
        <v>0</v>
      </c>
      <c r="AO108" s="526"/>
      <c r="AP108" s="527">
        <f>+X108-AH108</f>
        <v>0</v>
      </c>
      <c r="AQ108" s="526"/>
      <c r="AR108" s="526">
        <f>SUM(AL108:AP108)</f>
        <v>0</v>
      </c>
      <c r="AT108" s="526">
        <v>0</v>
      </c>
      <c r="AU108" s="526"/>
      <c r="AV108" s="526">
        <v>0</v>
      </c>
      <c r="AW108" s="526"/>
      <c r="AX108" s="528"/>
      <c r="AY108" s="526"/>
      <c r="AZ108" s="527">
        <f>+AL108-AT108</f>
        <v>0</v>
      </c>
      <c r="BA108" s="526"/>
      <c r="BB108" s="527">
        <f>+AN108-AV108</f>
        <v>0</v>
      </c>
      <c r="BC108" s="526"/>
      <c r="BD108" s="527">
        <f>+AP108-AX108</f>
        <v>0</v>
      </c>
      <c r="BE108" s="526"/>
      <c r="BF108" s="526">
        <f>SUM(AZ108:BD108)</f>
        <v>0</v>
      </c>
      <c r="BG108" s="526"/>
      <c r="BH108" s="526">
        <f>+BF108*$BH$10</f>
        <v>0</v>
      </c>
      <c r="BJ108" s="525">
        <f>A108</f>
        <v>505</v>
      </c>
    </row>
    <row r="109" spans="1:62" x14ac:dyDescent="0.25">
      <c r="A109" s="525">
        <f>+A108+1</f>
        <v>506</v>
      </c>
      <c r="B109" s="530" t="s">
        <v>1617</v>
      </c>
      <c r="F109" s="536" t="s">
        <v>1614</v>
      </c>
      <c r="H109" s="528"/>
      <c r="J109" s="528"/>
      <c r="K109" s="526"/>
      <c r="L109" s="528"/>
      <c r="M109" s="526"/>
      <c r="N109" s="528"/>
      <c r="O109" s="526"/>
      <c r="R109" s="538" t="s">
        <v>1613</v>
      </c>
      <c r="T109" s="526">
        <v>0</v>
      </c>
      <c r="U109" s="526"/>
      <c r="V109" s="526">
        <v>0</v>
      </c>
      <c r="W109" s="526"/>
      <c r="X109" s="526">
        <f>N109</f>
        <v>0</v>
      </c>
      <c r="Y109" s="526"/>
      <c r="Z109" s="526">
        <f>SUM(T109:X109)</f>
        <v>0</v>
      </c>
      <c r="AA109" s="526"/>
      <c r="AB109" s="537" t="s">
        <v>1612</v>
      </c>
      <c r="AC109" s="526"/>
      <c r="AD109" s="526">
        <v>0</v>
      </c>
      <c r="AE109" s="526"/>
      <c r="AF109" s="526">
        <v>0</v>
      </c>
      <c r="AG109" s="526"/>
      <c r="AH109" s="528"/>
      <c r="AI109" s="526"/>
      <c r="AJ109" s="537" t="s">
        <v>1611</v>
      </c>
      <c r="AK109" s="526"/>
      <c r="AL109" s="527">
        <f>+T109-AD109</f>
        <v>0</v>
      </c>
      <c r="AM109" s="526"/>
      <c r="AN109" s="527">
        <f>+V109-AF109</f>
        <v>0</v>
      </c>
      <c r="AO109" s="526"/>
      <c r="AP109" s="527">
        <f>+X109-AH109</f>
        <v>0</v>
      </c>
      <c r="AQ109" s="526"/>
      <c r="AR109" s="526">
        <f>SUM(AL109:AP109)</f>
        <v>0</v>
      </c>
      <c r="AT109" s="526">
        <v>0</v>
      </c>
      <c r="AU109" s="526"/>
      <c r="AV109" s="526">
        <v>0</v>
      </c>
      <c r="AW109" s="526"/>
      <c r="AX109" s="528"/>
      <c r="AY109" s="526"/>
      <c r="AZ109" s="527">
        <f>+AL109-AT109</f>
        <v>0</v>
      </c>
      <c r="BA109" s="526"/>
      <c r="BB109" s="527">
        <f>+AN109-AV109</f>
        <v>0</v>
      </c>
      <c r="BC109" s="526"/>
      <c r="BD109" s="527">
        <f>+AP109-AX109</f>
        <v>0</v>
      </c>
      <c r="BE109" s="526"/>
      <c r="BF109" s="526">
        <f>SUM(AZ109:BD109)</f>
        <v>0</v>
      </c>
      <c r="BG109" s="526"/>
      <c r="BH109" s="526">
        <f>+BF109*$BH$10</f>
        <v>0</v>
      </c>
      <c r="BJ109" s="525">
        <f>A109</f>
        <v>506</v>
      </c>
    </row>
    <row r="110" spans="1:62" x14ac:dyDescent="0.25">
      <c r="A110" s="525">
        <f>+A109+1</f>
        <v>507</v>
      </c>
      <c r="B110" s="530" t="s">
        <v>1616</v>
      </c>
      <c r="F110" s="536" t="s">
        <v>1614</v>
      </c>
      <c r="H110" s="528"/>
      <c r="J110" s="528"/>
      <c r="K110" s="526"/>
      <c r="L110" s="528"/>
      <c r="M110" s="526"/>
      <c r="N110" s="528"/>
      <c r="O110" s="526"/>
      <c r="R110" s="538" t="s">
        <v>1613</v>
      </c>
      <c r="T110" s="526">
        <v>0</v>
      </c>
      <c r="U110" s="526"/>
      <c r="V110" s="526">
        <v>0</v>
      </c>
      <c r="W110" s="526"/>
      <c r="X110" s="526">
        <f>N110</f>
        <v>0</v>
      </c>
      <c r="Y110" s="526"/>
      <c r="Z110" s="526">
        <f>SUM(T110:X110)</f>
        <v>0</v>
      </c>
      <c r="AA110" s="526"/>
      <c r="AB110" s="537" t="s">
        <v>1612</v>
      </c>
      <c r="AC110" s="526"/>
      <c r="AD110" s="526">
        <v>0</v>
      </c>
      <c r="AE110" s="526"/>
      <c r="AF110" s="526">
        <v>0</v>
      </c>
      <c r="AG110" s="526"/>
      <c r="AH110" s="528"/>
      <c r="AI110" s="526"/>
      <c r="AJ110" s="537" t="s">
        <v>1611</v>
      </c>
      <c r="AK110" s="526"/>
      <c r="AL110" s="527">
        <f>+T110-AD110</f>
        <v>0</v>
      </c>
      <c r="AM110" s="526"/>
      <c r="AN110" s="527">
        <f>+V110-AF110</f>
        <v>0</v>
      </c>
      <c r="AO110" s="526"/>
      <c r="AP110" s="527">
        <f>+X110-AH110</f>
        <v>0</v>
      </c>
      <c r="AQ110" s="526"/>
      <c r="AR110" s="526">
        <f>SUM(AL110:AP110)</f>
        <v>0</v>
      </c>
      <c r="AT110" s="526">
        <v>0</v>
      </c>
      <c r="AU110" s="526"/>
      <c r="AV110" s="526">
        <v>0</v>
      </c>
      <c r="AW110" s="526"/>
      <c r="AX110" s="528"/>
      <c r="AY110" s="526"/>
      <c r="AZ110" s="527">
        <f>+AL110-AT110</f>
        <v>0</v>
      </c>
      <c r="BA110" s="526"/>
      <c r="BB110" s="527">
        <f>+AN110-AV110</f>
        <v>0</v>
      </c>
      <c r="BC110" s="526"/>
      <c r="BD110" s="527">
        <f>+AP110-AX110</f>
        <v>0</v>
      </c>
      <c r="BE110" s="526"/>
      <c r="BF110" s="526">
        <f>SUM(AZ110:BD110)</f>
        <v>0</v>
      </c>
      <c r="BG110" s="526"/>
      <c r="BH110" s="526">
        <f>+BF110*$BH$10</f>
        <v>0</v>
      </c>
      <c r="BJ110" s="525">
        <f>A110</f>
        <v>507</v>
      </c>
    </row>
    <row r="111" spans="1:62" x14ac:dyDescent="0.25">
      <c r="A111" s="525">
        <f>+A110+1</f>
        <v>508</v>
      </c>
      <c r="B111" s="530" t="s">
        <v>1615</v>
      </c>
      <c r="F111" s="536" t="s">
        <v>1614</v>
      </c>
      <c r="H111" s="528"/>
      <c r="J111" s="528"/>
      <c r="K111" s="526"/>
      <c r="L111" s="528"/>
      <c r="M111" s="526"/>
      <c r="N111" s="528"/>
      <c r="O111" s="526"/>
      <c r="R111" s="538" t="s">
        <v>1613</v>
      </c>
      <c r="T111" s="526">
        <v>0</v>
      </c>
      <c r="U111" s="526"/>
      <c r="V111" s="526">
        <v>0</v>
      </c>
      <c r="W111" s="526"/>
      <c r="X111" s="526">
        <f>N111</f>
        <v>0</v>
      </c>
      <c r="Y111" s="526"/>
      <c r="Z111" s="526">
        <f>SUM(T111:X111)</f>
        <v>0</v>
      </c>
      <c r="AA111" s="526"/>
      <c r="AB111" s="537" t="s">
        <v>1612</v>
      </c>
      <c r="AC111" s="526"/>
      <c r="AD111" s="526">
        <v>0</v>
      </c>
      <c r="AE111" s="526"/>
      <c r="AF111" s="526">
        <v>0</v>
      </c>
      <c r="AG111" s="526"/>
      <c r="AH111" s="528"/>
      <c r="AI111" s="526"/>
      <c r="AJ111" s="537" t="s">
        <v>1611</v>
      </c>
      <c r="AK111" s="526"/>
      <c r="AL111" s="527">
        <f>+T111-AD111</f>
        <v>0</v>
      </c>
      <c r="AM111" s="526"/>
      <c r="AN111" s="527">
        <f>+V111-AF111</f>
        <v>0</v>
      </c>
      <c r="AO111" s="526"/>
      <c r="AP111" s="527">
        <f>+X111-AH111</f>
        <v>0</v>
      </c>
      <c r="AQ111" s="526"/>
      <c r="AR111" s="526">
        <f>SUM(AL111:AP111)</f>
        <v>0</v>
      </c>
      <c r="AT111" s="526">
        <v>0</v>
      </c>
      <c r="AU111" s="526"/>
      <c r="AV111" s="526">
        <v>0</v>
      </c>
      <c r="AW111" s="526"/>
      <c r="AX111" s="528"/>
      <c r="AY111" s="526"/>
      <c r="AZ111" s="527">
        <f>+AL111-AT111</f>
        <v>0</v>
      </c>
      <c r="BA111" s="526"/>
      <c r="BB111" s="527">
        <f>+AN111-AV111</f>
        <v>0</v>
      </c>
      <c r="BC111" s="526"/>
      <c r="BD111" s="527">
        <f>+AP111-AX111</f>
        <v>0</v>
      </c>
      <c r="BE111" s="526"/>
      <c r="BF111" s="526">
        <f>SUM(AZ111:BD111)</f>
        <v>0</v>
      </c>
      <c r="BG111" s="526"/>
      <c r="BH111" s="526">
        <f>+BF111*$BH$10</f>
        <v>0</v>
      </c>
      <c r="BJ111" s="525">
        <f>A111</f>
        <v>508</v>
      </c>
    </row>
    <row r="112" spans="1:62" x14ac:dyDescent="0.25">
      <c r="A112" s="525">
        <f>+A111+1</f>
        <v>509</v>
      </c>
      <c r="B112" s="530"/>
      <c r="H112" s="528"/>
      <c r="J112" s="528"/>
      <c r="K112" s="526"/>
      <c r="L112" s="528"/>
      <c r="M112" s="526"/>
      <c r="N112" s="528"/>
      <c r="O112" s="526"/>
      <c r="T112" s="526">
        <v>0</v>
      </c>
      <c r="U112" s="526"/>
      <c r="V112" s="526">
        <v>0</v>
      </c>
      <c r="W112" s="526"/>
      <c r="X112" s="526">
        <f>N112</f>
        <v>0</v>
      </c>
      <c r="Y112" s="526"/>
      <c r="Z112" s="526">
        <f>SUM(T112:X112)</f>
        <v>0</v>
      </c>
      <c r="AA112" s="526"/>
      <c r="AB112" s="526"/>
      <c r="AC112" s="526"/>
      <c r="AD112" s="526">
        <v>0</v>
      </c>
      <c r="AE112" s="526"/>
      <c r="AF112" s="526">
        <v>0</v>
      </c>
      <c r="AG112" s="526"/>
      <c r="AH112" s="528"/>
      <c r="AI112" s="526"/>
      <c r="AJ112" s="526"/>
      <c r="AK112" s="526"/>
      <c r="AL112" s="527">
        <f>+T112-AD112</f>
        <v>0</v>
      </c>
      <c r="AM112" s="526"/>
      <c r="AN112" s="527">
        <f>+V112-AF112</f>
        <v>0</v>
      </c>
      <c r="AO112" s="526"/>
      <c r="AP112" s="527">
        <f>+X112-AH112</f>
        <v>0</v>
      </c>
      <c r="AQ112" s="526"/>
      <c r="AR112" s="526">
        <f>SUM(AL112:AP112)</f>
        <v>0</v>
      </c>
      <c r="AT112" s="526">
        <v>0</v>
      </c>
      <c r="AU112" s="526"/>
      <c r="AV112" s="526">
        <v>0</v>
      </c>
      <c r="AW112" s="526"/>
      <c r="AX112" s="528"/>
      <c r="AY112" s="526"/>
      <c r="AZ112" s="527">
        <f>+AL112-AT112</f>
        <v>0</v>
      </c>
      <c r="BA112" s="526"/>
      <c r="BB112" s="527">
        <f>+AN112-AV112</f>
        <v>0</v>
      </c>
      <c r="BC112" s="526"/>
      <c r="BD112" s="527">
        <f>+AP112-AX112</f>
        <v>0</v>
      </c>
      <c r="BE112" s="526"/>
      <c r="BF112" s="526">
        <f>SUM(AZ112:BD112)</f>
        <v>0</v>
      </c>
      <c r="BG112" s="526"/>
      <c r="BH112" s="526"/>
      <c r="BJ112" s="525">
        <f>A112</f>
        <v>509</v>
      </c>
    </row>
    <row r="113" spans="1:62" x14ac:dyDescent="0.25">
      <c r="A113" s="525">
        <f>+A110+1</f>
        <v>508</v>
      </c>
      <c r="B113" s="530"/>
      <c r="H113" s="528"/>
      <c r="J113" s="528"/>
      <c r="K113" s="526"/>
      <c r="L113" s="528"/>
      <c r="M113" s="526"/>
      <c r="N113" s="528"/>
      <c r="O113" s="526"/>
      <c r="T113" s="526">
        <v>0</v>
      </c>
      <c r="U113" s="526"/>
      <c r="V113" s="526">
        <v>0</v>
      </c>
      <c r="W113" s="526"/>
      <c r="X113" s="526">
        <f>N113</f>
        <v>0</v>
      </c>
      <c r="Y113" s="526"/>
      <c r="Z113" s="526">
        <f>SUM(T113:X113)</f>
        <v>0</v>
      </c>
      <c r="AA113" s="526"/>
      <c r="AB113" s="526"/>
      <c r="AC113" s="526"/>
      <c r="AD113" s="526">
        <v>0</v>
      </c>
      <c r="AE113" s="526"/>
      <c r="AF113" s="526">
        <v>0</v>
      </c>
      <c r="AG113" s="526"/>
      <c r="AH113" s="528"/>
      <c r="AI113" s="526"/>
      <c r="AJ113" s="526"/>
      <c r="AK113" s="526"/>
      <c r="AL113" s="527">
        <f>+T113-AD113</f>
        <v>0</v>
      </c>
      <c r="AM113" s="526"/>
      <c r="AN113" s="527">
        <f>+V113-AF113</f>
        <v>0</v>
      </c>
      <c r="AO113" s="526"/>
      <c r="AP113" s="527">
        <f>+X113-AH113</f>
        <v>0</v>
      </c>
      <c r="AQ113" s="526"/>
      <c r="AR113" s="526">
        <f>SUM(AL113:AP113)</f>
        <v>0</v>
      </c>
      <c r="AT113" s="526">
        <v>0</v>
      </c>
      <c r="AU113" s="526"/>
      <c r="AV113" s="526">
        <v>0</v>
      </c>
      <c r="AW113" s="526"/>
      <c r="AX113" s="528"/>
      <c r="AY113" s="526"/>
      <c r="AZ113" s="527">
        <f>+AL113-AT113</f>
        <v>0</v>
      </c>
      <c r="BA113" s="526"/>
      <c r="BB113" s="527">
        <f>+AN113-AV113</f>
        <v>0</v>
      </c>
      <c r="BC113" s="526"/>
      <c r="BD113" s="527">
        <f>+AP113-AX113</f>
        <v>0</v>
      </c>
      <c r="BE113" s="526"/>
      <c r="BF113" s="526">
        <f>SUM(AZ113:BD113)</f>
        <v>0</v>
      </c>
      <c r="BG113" s="526"/>
      <c r="BH113" s="526"/>
      <c r="BJ113" s="525">
        <f>A113</f>
        <v>508</v>
      </c>
    </row>
    <row r="114" spans="1:62" x14ac:dyDescent="0.25">
      <c r="A114" s="525"/>
      <c r="B114" s="534"/>
      <c r="H114" s="526"/>
      <c r="J114" s="526"/>
      <c r="K114" s="526"/>
      <c r="L114" s="526"/>
      <c r="M114" s="526"/>
      <c r="N114" s="526"/>
      <c r="O114" s="526"/>
      <c r="T114" s="526"/>
      <c r="U114" s="526"/>
      <c r="V114" s="526"/>
      <c r="W114" s="526"/>
      <c r="X114" s="526"/>
      <c r="Y114" s="526"/>
      <c r="Z114" s="526"/>
      <c r="AA114" s="526"/>
      <c r="AB114" s="526"/>
      <c r="AC114" s="526"/>
      <c r="AD114" s="526"/>
      <c r="AE114" s="526"/>
      <c r="AF114" s="526"/>
      <c r="AG114" s="526"/>
      <c r="AH114" s="526"/>
      <c r="AI114" s="526"/>
      <c r="AJ114" s="526"/>
      <c r="AK114" s="526"/>
      <c r="AL114" s="526"/>
      <c r="AM114" s="526"/>
      <c r="AN114" s="526"/>
      <c r="AO114" s="526"/>
      <c r="AP114" s="526"/>
      <c r="AQ114" s="526"/>
      <c r="AR114" s="526"/>
      <c r="AT114" s="526"/>
      <c r="AU114" s="526"/>
      <c r="AV114" s="526"/>
      <c r="AW114" s="526"/>
      <c r="AX114" s="526"/>
      <c r="AY114" s="526"/>
      <c r="AZ114" s="526"/>
      <c r="BA114" s="526"/>
      <c r="BB114" s="526"/>
      <c r="BC114" s="526"/>
      <c r="BD114" s="526"/>
      <c r="BE114" s="526"/>
      <c r="BF114" s="526"/>
      <c r="BG114" s="526"/>
      <c r="BH114" s="526"/>
      <c r="BJ114" s="525"/>
    </row>
    <row r="115" spans="1:62" x14ac:dyDescent="0.25">
      <c r="A115" s="508" t="s">
        <v>106</v>
      </c>
      <c r="BJ115" s="533" t="s">
        <v>106</v>
      </c>
    </row>
    <row r="116" spans="1:62" x14ac:dyDescent="0.25">
      <c r="A116" s="525">
        <v>600</v>
      </c>
      <c r="B116" s="540" t="s">
        <v>1610</v>
      </c>
      <c r="H116" s="531">
        <f>ROUND(SUM(H117:H121),0)</f>
        <v>0</v>
      </c>
      <c r="J116" s="531">
        <f>ROUND(SUM(J117:J121),0)</f>
        <v>0</v>
      </c>
      <c r="K116" s="526"/>
      <c r="L116" s="531">
        <f>ROUND(SUM(L117:L121),0)</f>
        <v>0</v>
      </c>
      <c r="M116" s="526"/>
      <c r="N116" s="531">
        <f>ROUND(SUM(N117:N121),0)</f>
        <v>0</v>
      </c>
      <c r="O116" s="526"/>
      <c r="Q116" s="525"/>
      <c r="R116" s="525"/>
      <c r="S116" s="525"/>
      <c r="T116" s="531">
        <f>ROUND(SUM(T117:T121),0)</f>
        <v>0</v>
      </c>
      <c r="U116" s="526"/>
      <c r="V116" s="531">
        <f>ROUND(SUM(V117:V121),0)</f>
        <v>0</v>
      </c>
      <c r="W116" s="526"/>
      <c r="X116" s="531">
        <f>ROUND(SUM(X117:X121),0)</f>
        <v>0</v>
      </c>
      <c r="Y116" s="526"/>
      <c r="Z116" s="531">
        <f>ROUND(SUM(Z117:Z121),0)</f>
        <v>0</v>
      </c>
      <c r="AA116" s="526"/>
      <c r="AB116" s="526"/>
      <c r="AC116" s="526"/>
      <c r="AD116" s="531">
        <f>SUM(AD117:AD121)</f>
        <v>0</v>
      </c>
      <c r="AE116" s="526"/>
      <c r="AF116" s="531">
        <f>SUM(AF117:AF121)</f>
        <v>0</v>
      </c>
      <c r="AG116" s="526"/>
      <c r="AH116" s="531">
        <f>SUM(AH117:AH121)</f>
        <v>0</v>
      </c>
      <c r="AI116" s="526"/>
      <c r="AJ116" s="526"/>
      <c r="AK116" s="526"/>
      <c r="AL116" s="531">
        <f>SUM(AL117:AL121)</f>
        <v>0</v>
      </c>
      <c r="AM116" s="526"/>
      <c r="AN116" s="531">
        <f>SUM(AN117:AN121)</f>
        <v>0</v>
      </c>
      <c r="AO116" s="526"/>
      <c r="AP116" s="531">
        <f>SUM(AP117:AP121)</f>
        <v>0</v>
      </c>
      <c r="AQ116" s="526"/>
      <c r="AR116" s="531">
        <f>SUM(AR117:AR121)</f>
        <v>0</v>
      </c>
      <c r="AT116" s="531">
        <f>SUM(AT117:AT121)</f>
        <v>0</v>
      </c>
      <c r="AU116" s="526"/>
      <c r="AV116" s="531">
        <f>SUM(AV117:AV121)</f>
        <v>0</v>
      </c>
      <c r="AW116" s="526"/>
      <c r="AX116" s="531">
        <f>SUM(AX117:AX121)</f>
        <v>0</v>
      </c>
      <c r="AY116" s="526"/>
      <c r="AZ116" s="531">
        <f>SUM(AZ117:AZ121)</f>
        <v>0</v>
      </c>
      <c r="BA116" s="526"/>
      <c r="BB116" s="531">
        <f>SUM(BB117:BB121)</f>
        <v>0</v>
      </c>
      <c r="BC116" s="526"/>
      <c r="BD116" s="531">
        <f>SUM(BD117:BD121)</f>
        <v>0</v>
      </c>
      <c r="BE116" s="526"/>
      <c r="BF116" s="531">
        <f>SUM(BF117:BF121)</f>
        <v>0</v>
      </c>
      <c r="BG116" s="526"/>
      <c r="BH116" s="531">
        <f>ROUND(SUM(BH117:BH121),0)</f>
        <v>0</v>
      </c>
      <c r="BJ116" s="525">
        <f>A116</f>
        <v>600</v>
      </c>
    </row>
    <row r="117" spans="1:62" x14ac:dyDescent="0.25">
      <c r="A117" s="525">
        <f>A116+1</f>
        <v>601</v>
      </c>
      <c r="B117" s="539" t="s">
        <v>1609</v>
      </c>
      <c r="F117" s="536" t="s">
        <v>1608</v>
      </c>
      <c r="H117" s="528"/>
      <c r="J117" s="528"/>
      <c r="K117" s="526"/>
      <c r="L117" s="528"/>
      <c r="M117" s="526"/>
      <c r="N117" s="528"/>
      <c r="O117" s="526"/>
      <c r="R117" s="538" t="s">
        <v>1607</v>
      </c>
      <c r="T117" s="526">
        <f>+N117</f>
        <v>0</v>
      </c>
      <c r="U117" s="526"/>
      <c r="V117" s="526">
        <v>0</v>
      </c>
      <c r="W117" s="526"/>
      <c r="X117" s="526">
        <v>0</v>
      </c>
      <c r="Y117" s="526"/>
      <c r="Z117" s="526">
        <f>SUM(T117:X117)</f>
        <v>0</v>
      </c>
      <c r="AA117" s="526"/>
      <c r="AB117" s="537" t="s">
        <v>1606</v>
      </c>
      <c r="AC117" s="526"/>
      <c r="AD117" s="528"/>
      <c r="AE117" s="526"/>
      <c r="AF117" s="526">
        <v>0</v>
      </c>
      <c r="AG117" s="526"/>
      <c r="AH117" s="526">
        <v>0</v>
      </c>
      <c r="AI117" s="526"/>
      <c r="AJ117" s="537" t="s">
        <v>1605</v>
      </c>
      <c r="AK117" s="526"/>
      <c r="AL117" s="527">
        <f>+T117-AD117</f>
        <v>0</v>
      </c>
      <c r="AM117" s="526"/>
      <c r="AN117" s="527">
        <f>+V117-AF117</f>
        <v>0</v>
      </c>
      <c r="AO117" s="526"/>
      <c r="AP117" s="527">
        <f>+X117-AH117</f>
        <v>0</v>
      </c>
      <c r="AQ117" s="526"/>
      <c r="AR117" s="526">
        <f>SUM(AL117:AP117)</f>
        <v>0</v>
      </c>
      <c r="AT117" s="528"/>
      <c r="AU117" s="526"/>
      <c r="AV117" s="526">
        <v>0</v>
      </c>
      <c r="AW117" s="526"/>
      <c r="AX117" s="526">
        <v>0</v>
      </c>
      <c r="AY117" s="526"/>
      <c r="AZ117" s="527">
        <f>+AL117-AT117</f>
        <v>0</v>
      </c>
      <c r="BA117" s="526"/>
      <c r="BB117" s="527">
        <f>+AN117-AV117</f>
        <v>0</v>
      </c>
      <c r="BC117" s="526"/>
      <c r="BD117" s="527">
        <f>+AP117-AX117</f>
        <v>0</v>
      </c>
      <c r="BE117" s="526"/>
      <c r="BF117" s="526">
        <f>SUM(AZ117:BD117)</f>
        <v>0</v>
      </c>
      <c r="BG117" s="526"/>
      <c r="BH117" s="526">
        <f>+BF117*$BH$10</f>
        <v>0</v>
      </c>
      <c r="BJ117" s="525">
        <f>A117</f>
        <v>601</v>
      </c>
    </row>
    <row r="118" spans="1:62" x14ac:dyDescent="0.25">
      <c r="A118" s="525">
        <f>A117+1</f>
        <v>602</v>
      </c>
      <c r="B118" s="539" t="s">
        <v>1754</v>
      </c>
      <c r="F118" s="536" t="s">
        <v>1608</v>
      </c>
      <c r="H118" s="528"/>
      <c r="J118" s="528"/>
      <c r="K118" s="526"/>
      <c r="L118" s="528"/>
      <c r="M118" s="526"/>
      <c r="N118" s="528"/>
      <c r="O118" s="526"/>
      <c r="R118" s="538" t="s">
        <v>1607</v>
      </c>
      <c r="T118" s="526">
        <f>+N118</f>
        <v>0</v>
      </c>
      <c r="U118" s="526"/>
      <c r="V118" s="526">
        <v>0</v>
      </c>
      <c r="W118" s="526"/>
      <c r="X118" s="526">
        <v>0</v>
      </c>
      <c r="Y118" s="526"/>
      <c r="Z118" s="526">
        <f>SUM(T118:X118)</f>
        <v>0</v>
      </c>
      <c r="AA118" s="526"/>
      <c r="AB118" s="537" t="s">
        <v>1606</v>
      </c>
      <c r="AC118" s="526"/>
      <c r="AD118" s="528"/>
      <c r="AE118" s="526"/>
      <c r="AF118" s="526">
        <v>0</v>
      </c>
      <c r="AG118" s="526"/>
      <c r="AH118" s="526">
        <v>0</v>
      </c>
      <c r="AI118" s="526"/>
      <c r="AJ118" s="537" t="s">
        <v>1605</v>
      </c>
      <c r="AK118" s="526"/>
      <c r="AL118" s="527">
        <f>+T118-AD118</f>
        <v>0</v>
      </c>
      <c r="AM118" s="526"/>
      <c r="AN118" s="527">
        <f>+V118-AF118</f>
        <v>0</v>
      </c>
      <c r="AO118" s="526"/>
      <c r="AP118" s="527">
        <f>+X118-AH118</f>
        <v>0</v>
      </c>
      <c r="AQ118" s="526"/>
      <c r="AR118" s="526">
        <f>SUM(AL118:AP118)</f>
        <v>0</v>
      </c>
      <c r="AT118" s="528"/>
      <c r="AU118" s="526"/>
      <c r="AV118" s="526">
        <v>0</v>
      </c>
      <c r="AW118" s="526"/>
      <c r="AX118" s="526">
        <v>0</v>
      </c>
      <c r="AY118" s="526"/>
      <c r="AZ118" s="527">
        <f>+AL118-AT118</f>
        <v>0</v>
      </c>
      <c r="BA118" s="526"/>
      <c r="BB118" s="527">
        <f>+AN118-AV118</f>
        <v>0</v>
      </c>
      <c r="BC118" s="526"/>
      <c r="BD118" s="527">
        <f>+AP118-AX118</f>
        <v>0</v>
      </c>
      <c r="BE118" s="526"/>
      <c r="BF118" s="526">
        <f>SUM(AZ118:BD118)</f>
        <v>0</v>
      </c>
      <c r="BG118" s="526"/>
      <c r="BH118" s="526">
        <f>+BF118*$BH$10</f>
        <v>0</v>
      </c>
      <c r="BJ118" s="525">
        <f>A118</f>
        <v>602</v>
      </c>
    </row>
    <row r="119" spans="1:62" x14ac:dyDescent="0.25">
      <c r="A119" s="525">
        <f>A118+1</f>
        <v>603</v>
      </c>
      <c r="B119" s="535" t="s">
        <v>83</v>
      </c>
      <c r="H119" s="528"/>
      <c r="J119" s="528"/>
      <c r="K119" s="526"/>
      <c r="L119" s="528"/>
      <c r="M119" s="526"/>
      <c r="N119" s="528"/>
      <c r="O119" s="526"/>
      <c r="T119" s="526">
        <f>+N119</f>
        <v>0</v>
      </c>
      <c r="U119" s="526"/>
      <c r="V119" s="526">
        <v>0</v>
      </c>
      <c r="W119" s="526"/>
      <c r="X119" s="526">
        <v>0</v>
      </c>
      <c r="Y119" s="526"/>
      <c r="Z119" s="526">
        <f>SUM(T119:X119)</f>
        <v>0</v>
      </c>
      <c r="AA119" s="526"/>
      <c r="AB119" s="526"/>
      <c r="AC119" s="526"/>
      <c r="AD119" s="528"/>
      <c r="AE119" s="526"/>
      <c r="AF119" s="526">
        <v>0</v>
      </c>
      <c r="AG119" s="526"/>
      <c r="AH119" s="526">
        <v>0</v>
      </c>
      <c r="AI119" s="526"/>
      <c r="AJ119" s="526"/>
      <c r="AK119" s="526"/>
      <c r="AL119" s="527">
        <f>+T119-AD119</f>
        <v>0</v>
      </c>
      <c r="AM119" s="526"/>
      <c r="AN119" s="527">
        <f>+V119-AF119</f>
        <v>0</v>
      </c>
      <c r="AO119" s="526"/>
      <c r="AP119" s="527">
        <f>+X119-AH119</f>
        <v>0</v>
      </c>
      <c r="AQ119" s="526"/>
      <c r="AR119" s="526">
        <f>SUM(AL119:AP119)</f>
        <v>0</v>
      </c>
      <c r="AT119" s="528"/>
      <c r="AU119" s="526"/>
      <c r="AV119" s="526">
        <v>0</v>
      </c>
      <c r="AW119" s="526"/>
      <c r="AX119" s="526">
        <v>0</v>
      </c>
      <c r="AY119" s="526"/>
      <c r="AZ119" s="527">
        <f>+AL119-AT119</f>
        <v>0</v>
      </c>
      <c r="BA119" s="526"/>
      <c r="BB119" s="527">
        <f>+AN119-AV119</f>
        <v>0</v>
      </c>
      <c r="BC119" s="526"/>
      <c r="BD119" s="527">
        <f>+AP119-AX119</f>
        <v>0</v>
      </c>
      <c r="BE119" s="526"/>
      <c r="BF119" s="526">
        <f>SUM(AZ119:BD119)</f>
        <v>0</v>
      </c>
      <c r="BG119" s="526"/>
      <c r="BH119" s="526">
        <f>+BF119*$BH$10</f>
        <v>0</v>
      </c>
      <c r="BJ119" s="525">
        <f>A119</f>
        <v>603</v>
      </c>
    </row>
    <row r="120" spans="1:62" x14ac:dyDescent="0.25">
      <c r="A120" s="525">
        <f>A119+1</f>
        <v>604</v>
      </c>
      <c r="B120" s="535" t="s">
        <v>83</v>
      </c>
      <c r="H120" s="528"/>
      <c r="J120" s="528"/>
      <c r="K120" s="526"/>
      <c r="L120" s="528"/>
      <c r="M120" s="526"/>
      <c r="N120" s="528"/>
      <c r="O120" s="526"/>
      <c r="T120" s="526">
        <f>+N120</f>
        <v>0</v>
      </c>
      <c r="U120" s="526"/>
      <c r="V120" s="526">
        <v>0</v>
      </c>
      <c r="W120" s="526"/>
      <c r="X120" s="526">
        <v>0</v>
      </c>
      <c r="Y120" s="526"/>
      <c r="Z120" s="526">
        <f>SUM(T120:X120)</f>
        <v>0</v>
      </c>
      <c r="AA120" s="526"/>
      <c r="AB120" s="526"/>
      <c r="AC120" s="526"/>
      <c r="AD120" s="528"/>
      <c r="AE120" s="526"/>
      <c r="AF120" s="526">
        <v>0</v>
      </c>
      <c r="AG120" s="526"/>
      <c r="AH120" s="526">
        <v>0</v>
      </c>
      <c r="AI120" s="526"/>
      <c r="AJ120" s="526"/>
      <c r="AK120" s="526"/>
      <c r="AL120" s="527">
        <f>+T120-AD120</f>
        <v>0</v>
      </c>
      <c r="AM120" s="526"/>
      <c r="AN120" s="527">
        <f>+V120-AF120</f>
        <v>0</v>
      </c>
      <c r="AO120" s="526"/>
      <c r="AP120" s="527">
        <f>+X120-AH120</f>
        <v>0</v>
      </c>
      <c r="AQ120" s="526"/>
      <c r="AR120" s="526">
        <f>SUM(AL120:AP120)</f>
        <v>0</v>
      </c>
      <c r="AT120" s="528"/>
      <c r="AU120" s="526"/>
      <c r="AV120" s="526">
        <v>0</v>
      </c>
      <c r="AW120" s="526"/>
      <c r="AX120" s="526">
        <v>0</v>
      </c>
      <c r="AY120" s="526"/>
      <c r="AZ120" s="527">
        <f>+AL120-AT120</f>
        <v>0</v>
      </c>
      <c r="BA120" s="526"/>
      <c r="BB120" s="527">
        <f>+AN120-AV120</f>
        <v>0</v>
      </c>
      <c r="BC120" s="526"/>
      <c r="BD120" s="527">
        <f>+AP120-AX120</f>
        <v>0</v>
      </c>
      <c r="BE120" s="526"/>
      <c r="BF120" s="526">
        <f>SUM(AZ120:BD120)</f>
        <v>0</v>
      </c>
      <c r="BG120" s="526"/>
      <c r="BH120" s="526">
        <f>+BF120*$BH$10</f>
        <v>0</v>
      </c>
      <c r="BJ120" s="525">
        <f>A120</f>
        <v>604</v>
      </c>
    </row>
    <row r="121" spans="1:62" x14ac:dyDescent="0.25">
      <c r="A121" s="525">
        <f>+A120+1</f>
        <v>605</v>
      </c>
      <c r="B121" s="535" t="s">
        <v>83</v>
      </c>
      <c r="H121" s="528"/>
      <c r="J121" s="528"/>
      <c r="K121" s="526"/>
      <c r="L121" s="528"/>
      <c r="M121" s="526"/>
      <c r="N121" s="528"/>
      <c r="O121" s="526"/>
      <c r="T121" s="526">
        <f>+N121</f>
        <v>0</v>
      </c>
      <c r="U121" s="526"/>
      <c r="V121" s="526">
        <v>0</v>
      </c>
      <c r="W121" s="526"/>
      <c r="X121" s="526">
        <v>0</v>
      </c>
      <c r="Y121" s="526"/>
      <c r="Z121" s="526">
        <f>SUM(T121:X121)</f>
        <v>0</v>
      </c>
      <c r="AA121" s="526"/>
      <c r="AB121" s="526"/>
      <c r="AC121" s="526"/>
      <c r="AD121" s="528"/>
      <c r="AE121" s="526"/>
      <c r="AF121" s="526">
        <v>0</v>
      </c>
      <c r="AG121" s="526"/>
      <c r="AH121" s="526">
        <v>0</v>
      </c>
      <c r="AI121" s="526"/>
      <c r="AJ121" s="526"/>
      <c r="AK121" s="526"/>
      <c r="AL121" s="527">
        <f>+T121-AD121</f>
        <v>0</v>
      </c>
      <c r="AM121" s="526"/>
      <c r="AN121" s="527">
        <f>+V121-AF121</f>
        <v>0</v>
      </c>
      <c r="AO121" s="526"/>
      <c r="AP121" s="527">
        <f>+X121-AH121</f>
        <v>0</v>
      </c>
      <c r="AQ121" s="526"/>
      <c r="AR121" s="526">
        <f>SUM(AL121:AP121)</f>
        <v>0</v>
      </c>
      <c r="AT121" s="528"/>
      <c r="AU121" s="526"/>
      <c r="AV121" s="526">
        <v>0</v>
      </c>
      <c r="AW121" s="526"/>
      <c r="AX121" s="526">
        <v>0</v>
      </c>
      <c r="AY121" s="526"/>
      <c r="AZ121" s="527">
        <f>+AL121-AT121</f>
        <v>0</v>
      </c>
      <c r="BA121" s="526"/>
      <c r="BB121" s="527">
        <f>+AN121-AV121</f>
        <v>0</v>
      </c>
      <c r="BC121" s="526"/>
      <c r="BD121" s="527">
        <f>+AP121-AX121</f>
        <v>0</v>
      </c>
      <c r="BE121" s="526"/>
      <c r="BF121" s="526">
        <f>SUM(AZ121:BD121)</f>
        <v>0</v>
      </c>
      <c r="BG121" s="526"/>
      <c r="BH121" s="526">
        <f>+BF121*$BH$10</f>
        <v>0</v>
      </c>
      <c r="BJ121" s="525">
        <f>A121</f>
        <v>605</v>
      </c>
    </row>
    <row r="122" spans="1:62" x14ac:dyDescent="0.25">
      <c r="A122" s="525"/>
      <c r="B122" s="534"/>
      <c r="H122" s="526"/>
      <c r="J122" s="526"/>
      <c r="K122" s="526"/>
      <c r="L122" s="526"/>
      <c r="M122" s="526"/>
      <c r="N122" s="526"/>
      <c r="O122" s="526"/>
      <c r="T122" s="526"/>
      <c r="U122" s="526"/>
      <c r="V122" s="526"/>
      <c r="W122" s="526"/>
      <c r="X122" s="526"/>
      <c r="Y122" s="526"/>
      <c r="Z122" s="526"/>
      <c r="AA122" s="526"/>
      <c r="AB122" s="526"/>
      <c r="AC122" s="526"/>
      <c r="AD122" s="526"/>
      <c r="AE122" s="526"/>
      <c r="AF122" s="526"/>
      <c r="AG122" s="526"/>
      <c r="AH122" s="526"/>
      <c r="AI122" s="526"/>
      <c r="AJ122" s="526"/>
      <c r="AK122" s="526"/>
      <c r="AL122" s="527">
        <f>+T122-AD122</f>
        <v>0</v>
      </c>
      <c r="AM122" s="526"/>
      <c r="AN122" s="527">
        <f>+V122-AF122</f>
        <v>0</v>
      </c>
      <c r="AO122" s="526"/>
      <c r="AP122" s="527">
        <f>+X122-AH122</f>
        <v>0</v>
      </c>
      <c r="AQ122" s="526"/>
      <c r="AR122" s="526">
        <f>SUM(AL122:AP122)</f>
        <v>0</v>
      </c>
      <c r="AT122" s="526"/>
      <c r="AU122" s="526"/>
      <c r="AV122" s="526"/>
      <c r="AW122" s="526"/>
      <c r="AX122" s="526"/>
      <c r="AY122" s="526"/>
      <c r="AZ122" s="527">
        <f>+AL122-AT122</f>
        <v>0</v>
      </c>
      <c r="BA122" s="526"/>
      <c r="BB122" s="527">
        <f>+AN122-AV122</f>
        <v>0</v>
      </c>
      <c r="BC122" s="526"/>
      <c r="BD122" s="527">
        <f>+AP122-AX122</f>
        <v>0</v>
      </c>
      <c r="BE122" s="526"/>
      <c r="BF122" s="526"/>
      <c r="BG122" s="526"/>
      <c r="BH122" s="526"/>
      <c r="BJ122" s="525"/>
    </row>
    <row r="123" spans="1:62" x14ac:dyDescent="0.25">
      <c r="A123" s="508" t="s">
        <v>106</v>
      </c>
      <c r="BJ123" s="533" t="s">
        <v>106</v>
      </c>
    </row>
    <row r="124" spans="1:62" x14ac:dyDescent="0.25">
      <c r="A124" s="525">
        <v>700</v>
      </c>
      <c r="B124" s="532" t="s">
        <v>1604</v>
      </c>
      <c r="H124" s="531">
        <f>SUM(H125:H129)</f>
        <v>0</v>
      </c>
      <c r="J124" s="531">
        <f>SUM(J125:J129)</f>
        <v>0</v>
      </c>
      <c r="K124" s="526"/>
      <c r="L124" s="531">
        <f>SUM(L125:L129)</f>
        <v>0</v>
      </c>
      <c r="M124" s="526"/>
      <c r="N124" s="531">
        <f>SUM(N125:N129)</f>
        <v>0</v>
      </c>
      <c r="O124" s="526"/>
      <c r="Q124" s="525"/>
      <c r="R124" s="525"/>
      <c r="S124" s="525"/>
      <c r="T124" s="531">
        <f>SUM(T125:T129)</f>
        <v>0</v>
      </c>
      <c r="U124" s="526"/>
      <c r="V124" s="531">
        <f>SUM(V125:V129)</f>
        <v>0</v>
      </c>
      <c r="W124" s="526"/>
      <c r="X124" s="531">
        <f>SUM(X125:X129)</f>
        <v>0</v>
      </c>
      <c r="Y124" s="526"/>
      <c r="Z124" s="531">
        <f>SUM(Z125:Z129)</f>
        <v>0</v>
      </c>
      <c r="AA124" s="526"/>
      <c r="AB124" s="526"/>
      <c r="AC124" s="526"/>
      <c r="AD124" s="531">
        <f>SUM(AD125:AD129)</f>
        <v>0</v>
      </c>
      <c r="AE124" s="526"/>
      <c r="AF124" s="531">
        <f>SUM(AF125:AF129)</f>
        <v>0</v>
      </c>
      <c r="AG124" s="526"/>
      <c r="AH124" s="531">
        <f>SUM(AH125:AH129)</f>
        <v>0</v>
      </c>
      <c r="AI124" s="526"/>
      <c r="AJ124" s="526"/>
      <c r="AK124" s="526"/>
      <c r="AL124" s="531">
        <f>SUM(AL125:AL129)</f>
        <v>0</v>
      </c>
      <c r="AM124" s="526"/>
      <c r="AN124" s="531">
        <f>SUM(AN125:AN129)</f>
        <v>0</v>
      </c>
      <c r="AO124" s="526"/>
      <c r="AP124" s="531">
        <f>SUM(AP125:AP129)</f>
        <v>0</v>
      </c>
      <c r="AQ124" s="526"/>
      <c r="AR124" s="531">
        <f>SUM(AR125:AR129)</f>
        <v>0</v>
      </c>
      <c r="AT124" s="531">
        <f>SUM(AT125:AT129)</f>
        <v>0</v>
      </c>
      <c r="AU124" s="526"/>
      <c r="AV124" s="531">
        <f>SUM(AV125:AV129)</f>
        <v>0</v>
      </c>
      <c r="AW124" s="526"/>
      <c r="AX124" s="531">
        <f>SUM(AX125:AX129)</f>
        <v>0</v>
      </c>
      <c r="AY124" s="526"/>
      <c r="AZ124" s="531">
        <f>SUM(AZ125:AZ129)</f>
        <v>0</v>
      </c>
      <c r="BA124" s="526"/>
      <c r="BB124" s="531">
        <f>SUM(BB125:BB129)</f>
        <v>0</v>
      </c>
      <c r="BC124" s="526"/>
      <c r="BD124" s="531">
        <f>SUM(BD125:BD129)</f>
        <v>0</v>
      </c>
      <c r="BE124" s="526"/>
      <c r="BF124" s="531">
        <f>SUM(BF125:BF129)</f>
        <v>0</v>
      </c>
      <c r="BG124" s="526"/>
      <c r="BH124" s="531">
        <f>SUM(BH125:BH129)</f>
        <v>0</v>
      </c>
      <c r="BJ124" s="525">
        <f>A124</f>
        <v>700</v>
      </c>
    </row>
    <row r="125" spans="1:62" x14ac:dyDescent="0.25">
      <c r="A125" s="525">
        <f>A124+1</f>
        <v>701</v>
      </c>
      <c r="B125" s="535" t="s">
        <v>1753</v>
      </c>
      <c r="H125" s="528"/>
      <c r="J125" s="528"/>
      <c r="K125" s="526"/>
      <c r="L125" s="528"/>
      <c r="M125" s="526"/>
      <c r="N125" s="528"/>
      <c r="O125" s="526"/>
      <c r="T125" s="526">
        <v>0</v>
      </c>
      <c r="U125" s="526"/>
      <c r="V125" s="526">
        <v>0</v>
      </c>
      <c r="W125" s="526"/>
      <c r="X125" s="526">
        <v>0</v>
      </c>
      <c r="Y125" s="526"/>
      <c r="Z125" s="526">
        <f>SUM(T125:X125)</f>
        <v>0</v>
      </c>
      <c r="AA125" s="526"/>
      <c r="AB125" s="526"/>
      <c r="AC125" s="526"/>
      <c r="AD125" s="528"/>
      <c r="AE125" s="526"/>
      <c r="AF125" s="528"/>
      <c r="AG125" s="526"/>
      <c r="AH125" s="528"/>
      <c r="AI125" s="526"/>
      <c r="AJ125" s="526"/>
      <c r="AK125" s="526"/>
      <c r="AL125" s="527">
        <f>+T125-AD125</f>
        <v>0</v>
      </c>
      <c r="AM125" s="526"/>
      <c r="AN125" s="527">
        <f>+V125-AF125</f>
        <v>0</v>
      </c>
      <c r="AO125" s="526"/>
      <c r="AP125" s="527">
        <f>+X125-AH125</f>
        <v>0</v>
      </c>
      <c r="AQ125" s="526"/>
      <c r="AR125" s="526">
        <f>SUM(AL125:AP125)</f>
        <v>0</v>
      </c>
      <c r="AT125" s="528"/>
      <c r="AU125" s="526"/>
      <c r="AV125" s="528"/>
      <c r="AW125" s="526"/>
      <c r="AX125" s="528"/>
      <c r="AY125" s="526"/>
      <c r="AZ125" s="527">
        <f>+AL125-AT125</f>
        <v>0</v>
      </c>
      <c r="BA125" s="526"/>
      <c r="BB125" s="527">
        <f>+AN125-AV125</f>
        <v>0</v>
      </c>
      <c r="BC125" s="526"/>
      <c r="BD125" s="527">
        <f>+AP125-AX125</f>
        <v>0</v>
      </c>
      <c r="BE125" s="526"/>
      <c r="BF125" s="526">
        <f>SUM(AZ125:BD125)</f>
        <v>0</v>
      </c>
      <c r="BG125" s="526"/>
      <c r="BH125" s="526">
        <f>+BF125*$BH$10</f>
        <v>0</v>
      </c>
      <c r="BJ125" s="525">
        <f>A125</f>
        <v>701</v>
      </c>
    </row>
    <row r="126" spans="1:62" x14ac:dyDescent="0.25">
      <c r="A126" s="525">
        <f>A125+1</f>
        <v>702</v>
      </c>
      <c r="B126" s="535" t="s">
        <v>83</v>
      </c>
      <c r="H126" s="528"/>
      <c r="J126" s="528"/>
      <c r="K126" s="526"/>
      <c r="L126" s="528"/>
      <c r="M126" s="526"/>
      <c r="N126" s="528"/>
      <c r="O126" s="526"/>
      <c r="T126" s="526">
        <v>0</v>
      </c>
      <c r="U126" s="526"/>
      <c r="V126" s="526">
        <v>0</v>
      </c>
      <c r="W126" s="526"/>
      <c r="X126" s="526">
        <v>0</v>
      </c>
      <c r="Y126" s="526"/>
      <c r="Z126" s="526">
        <f>SUM(T126:X126)</f>
        <v>0</v>
      </c>
      <c r="AA126" s="526"/>
      <c r="AB126" s="526"/>
      <c r="AC126" s="526"/>
      <c r="AD126" s="528"/>
      <c r="AE126" s="526"/>
      <c r="AF126" s="528"/>
      <c r="AG126" s="526"/>
      <c r="AH126" s="528"/>
      <c r="AI126" s="526"/>
      <c r="AJ126" s="526"/>
      <c r="AK126" s="526"/>
      <c r="AL126" s="527">
        <f>+T126-AD126</f>
        <v>0</v>
      </c>
      <c r="AM126" s="526"/>
      <c r="AN126" s="527">
        <f>+V126-AF126</f>
        <v>0</v>
      </c>
      <c r="AO126" s="526"/>
      <c r="AP126" s="527">
        <f>+X126-AH126</f>
        <v>0</v>
      </c>
      <c r="AQ126" s="526"/>
      <c r="AR126" s="526">
        <f>SUM(AL126:AP126)</f>
        <v>0</v>
      </c>
      <c r="AT126" s="528"/>
      <c r="AU126" s="526"/>
      <c r="AV126" s="528"/>
      <c r="AW126" s="526"/>
      <c r="AX126" s="528"/>
      <c r="AY126" s="526"/>
      <c r="AZ126" s="527">
        <f>+AL126-AT126</f>
        <v>0</v>
      </c>
      <c r="BA126" s="526"/>
      <c r="BB126" s="527">
        <f>+AN126-AV126</f>
        <v>0</v>
      </c>
      <c r="BC126" s="526"/>
      <c r="BD126" s="527">
        <f>+AP126-AX126</f>
        <v>0</v>
      </c>
      <c r="BE126" s="526"/>
      <c r="BF126" s="526">
        <f>SUM(AZ126:BD126)</f>
        <v>0</v>
      </c>
      <c r="BG126" s="526"/>
      <c r="BH126" s="526">
        <f>+BF126*$BH$10</f>
        <v>0</v>
      </c>
      <c r="BJ126" s="525">
        <f>A126</f>
        <v>702</v>
      </c>
    </row>
    <row r="127" spans="1:62" x14ac:dyDescent="0.25">
      <c r="A127" s="525">
        <f>A126+1</f>
        <v>703</v>
      </c>
      <c r="B127" s="535" t="s">
        <v>83</v>
      </c>
      <c r="H127" s="528"/>
      <c r="J127" s="528"/>
      <c r="K127" s="526"/>
      <c r="L127" s="528"/>
      <c r="M127" s="526"/>
      <c r="N127" s="528"/>
      <c r="O127" s="526"/>
      <c r="T127" s="526">
        <v>0</v>
      </c>
      <c r="U127" s="526"/>
      <c r="V127" s="526">
        <v>0</v>
      </c>
      <c r="W127" s="526"/>
      <c r="X127" s="526">
        <v>0</v>
      </c>
      <c r="Y127" s="526"/>
      <c r="Z127" s="526">
        <f>SUM(T127:X127)</f>
        <v>0</v>
      </c>
      <c r="AA127" s="526"/>
      <c r="AB127" s="526"/>
      <c r="AC127" s="526"/>
      <c r="AD127" s="528"/>
      <c r="AE127" s="526"/>
      <c r="AF127" s="528"/>
      <c r="AG127" s="526"/>
      <c r="AH127" s="528"/>
      <c r="AI127" s="526"/>
      <c r="AJ127" s="526"/>
      <c r="AK127" s="526"/>
      <c r="AL127" s="527">
        <f>+T127-AD127</f>
        <v>0</v>
      </c>
      <c r="AM127" s="526"/>
      <c r="AN127" s="527">
        <f>+V127-AF127</f>
        <v>0</v>
      </c>
      <c r="AO127" s="526"/>
      <c r="AP127" s="527">
        <f>+X127-AH127</f>
        <v>0</v>
      </c>
      <c r="AQ127" s="526"/>
      <c r="AR127" s="526">
        <f>SUM(AL127:AP127)</f>
        <v>0</v>
      </c>
      <c r="AT127" s="528"/>
      <c r="AU127" s="526"/>
      <c r="AV127" s="528"/>
      <c r="AW127" s="526"/>
      <c r="AX127" s="528"/>
      <c r="AY127" s="526"/>
      <c r="AZ127" s="527">
        <f>+AL127-AT127</f>
        <v>0</v>
      </c>
      <c r="BA127" s="526"/>
      <c r="BB127" s="527">
        <f>+AN127-AV127</f>
        <v>0</v>
      </c>
      <c r="BC127" s="526"/>
      <c r="BD127" s="527">
        <f>+AP127-AX127</f>
        <v>0</v>
      </c>
      <c r="BE127" s="526"/>
      <c r="BF127" s="526">
        <f>SUM(AZ127:BD127)</f>
        <v>0</v>
      </c>
      <c r="BG127" s="526"/>
      <c r="BH127" s="526">
        <f>+BF127*$BH$10</f>
        <v>0</v>
      </c>
      <c r="BJ127" s="525">
        <f>A127</f>
        <v>703</v>
      </c>
    </row>
    <row r="128" spans="1:62" x14ac:dyDescent="0.25">
      <c r="A128" s="525">
        <f>A127+1</f>
        <v>704</v>
      </c>
      <c r="B128" s="535" t="s">
        <v>83</v>
      </c>
      <c r="H128" s="528"/>
      <c r="J128" s="528"/>
      <c r="K128" s="526"/>
      <c r="L128" s="528"/>
      <c r="M128" s="526"/>
      <c r="N128" s="528"/>
      <c r="O128" s="526"/>
      <c r="T128" s="526">
        <v>0</v>
      </c>
      <c r="U128" s="526"/>
      <c r="V128" s="526">
        <v>0</v>
      </c>
      <c r="W128" s="526"/>
      <c r="X128" s="526">
        <v>0</v>
      </c>
      <c r="Y128" s="526"/>
      <c r="Z128" s="526">
        <f>SUM(T128:X128)</f>
        <v>0</v>
      </c>
      <c r="AA128" s="526"/>
      <c r="AB128" s="526"/>
      <c r="AC128" s="526"/>
      <c r="AD128" s="528"/>
      <c r="AE128" s="526"/>
      <c r="AF128" s="528"/>
      <c r="AG128" s="526"/>
      <c r="AH128" s="528"/>
      <c r="AI128" s="526"/>
      <c r="AJ128" s="526"/>
      <c r="AK128" s="526"/>
      <c r="AL128" s="527">
        <f>+T128-AD128</f>
        <v>0</v>
      </c>
      <c r="AM128" s="526"/>
      <c r="AN128" s="527">
        <f>+V128-AF128</f>
        <v>0</v>
      </c>
      <c r="AO128" s="526"/>
      <c r="AP128" s="527">
        <f>+X128-AH128</f>
        <v>0</v>
      </c>
      <c r="AQ128" s="526"/>
      <c r="AR128" s="526">
        <f>SUM(AL128:AP128)</f>
        <v>0</v>
      </c>
      <c r="AT128" s="528"/>
      <c r="AU128" s="526"/>
      <c r="AV128" s="528"/>
      <c r="AW128" s="526"/>
      <c r="AX128" s="528"/>
      <c r="AY128" s="526"/>
      <c r="AZ128" s="527">
        <f>+AL128-AT128</f>
        <v>0</v>
      </c>
      <c r="BA128" s="526"/>
      <c r="BB128" s="527">
        <f>+AN128-AV128</f>
        <v>0</v>
      </c>
      <c r="BC128" s="526"/>
      <c r="BD128" s="527">
        <f>+AP128-AX128</f>
        <v>0</v>
      </c>
      <c r="BE128" s="526"/>
      <c r="BF128" s="526">
        <f>SUM(AZ128:BD128)</f>
        <v>0</v>
      </c>
      <c r="BG128" s="526"/>
      <c r="BH128" s="526">
        <f>+BF128*$BH$10</f>
        <v>0</v>
      </c>
      <c r="BJ128" s="525">
        <f>A128</f>
        <v>704</v>
      </c>
    </row>
    <row r="129" spans="1:62" x14ac:dyDescent="0.25">
      <c r="A129" s="525">
        <f>+A128+1</f>
        <v>705</v>
      </c>
      <c r="B129" s="535" t="s">
        <v>83</v>
      </c>
      <c r="H129" s="528"/>
      <c r="J129" s="528"/>
      <c r="K129" s="526"/>
      <c r="L129" s="528"/>
      <c r="M129" s="526"/>
      <c r="N129" s="528"/>
      <c r="O129" s="526"/>
      <c r="T129" s="526">
        <v>0</v>
      </c>
      <c r="U129" s="526"/>
      <c r="V129" s="526">
        <v>0</v>
      </c>
      <c r="W129" s="526"/>
      <c r="X129" s="526">
        <v>0</v>
      </c>
      <c r="Y129" s="526"/>
      <c r="Z129" s="526">
        <f>SUM(T129:X129)</f>
        <v>0</v>
      </c>
      <c r="AA129" s="526"/>
      <c r="AB129" s="526"/>
      <c r="AC129" s="526"/>
      <c r="AD129" s="528"/>
      <c r="AE129" s="526"/>
      <c r="AF129" s="528"/>
      <c r="AG129" s="526"/>
      <c r="AH129" s="528"/>
      <c r="AI129" s="526"/>
      <c r="AJ129" s="526"/>
      <c r="AK129" s="526"/>
      <c r="AL129" s="527">
        <f>+T129-AD129</f>
        <v>0</v>
      </c>
      <c r="AM129" s="526"/>
      <c r="AN129" s="527">
        <f>+V129-AF129</f>
        <v>0</v>
      </c>
      <c r="AO129" s="526"/>
      <c r="AP129" s="527">
        <f>+X129-AH129</f>
        <v>0</v>
      </c>
      <c r="AQ129" s="526"/>
      <c r="AR129" s="526">
        <f>SUM(AL129:AP129)</f>
        <v>0</v>
      </c>
      <c r="AT129" s="528"/>
      <c r="AU129" s="526"/>
      <c r="AV129" s="528"/>
      <c r="AW129" s="526"/>
      <c r="AX129" s="528"/>
      <c r="AY129" s="526"/>
      <c r="AZ129" s="527">
        <f>+AL129-AT129</f>
        <v>0</v>
      </c>
      <c r="BA129" s="526"/>
      <c r="BB129" s="527">
        <f>+AN129-AV129</f>
        <v>0</v>
      </c>
      <c r="BC129" s="526"/>
      <c r="BD129" s="527">
        <f>+AP129-AX129</f>
        <v>0</v>
      </c>
      <c r="BE129" s="526"/>
      <c r="BF129" s="526">
        <f>SUM(AZ129:BD129)</f>
        <v>0</v>
      </c>
      <c r="BG129" s="526"/>
      <c r="BH129" s="526">
        <f>+BF129*$BH$10</f>
        <v>0</v>
      </c>
      <c r="BJ129" s="525">
        <f>A129</f>
        <v>705</v>
      </c>
    </row>
    <row r="133" spans="1:62" x14ac:dyDescent="0.25">
      <c r="A133" s="521" t="s">
        <v>99</v>
      </c>
      <c r="B133" s="575" t="s">
        <v>1752</v>
      </c>
      <c r="C133" s="575"/>
      <c r="D133" s="575"/>
    </row>
    <row r="134" spans="1:62" ht="24" customHeight="1" x14ac:dyDescent="0.25">
      <c r="A134" s="573" t="s">
        <v>1599</v>
      </c>
      <c r="B134" s="524" t="s">
        <v>1598</v>
      </c>
      <c r="C134" s="524"/>
      <c r="D134" s="524"/>
    </row>
    <row r="135" spans="1:62" x14ac:dyDescent="0.25">
      <c r="A135" s="573" t="s">
        <v>1597</v>
      </c>
      <c r="B135" s="524" t="s">
        <v>1596</v>
      </c>
      <c r="C135" s="524"/>
      <c r="D135" s="524"/>
    </row>
    <row r="136" spans="1:62" x14ac:dyDescent="0.25">
      <c r="A136" s="573" t="s">
        <v>1595</v>
      </c>
      <c r="B136" s="524" t="s">
        <v>1594</v>
      </c>
      <c r="C136" s="524"/>
      <c r="D136" s="524"/>
    </row>
    <row r="137" spans="1:62" x14ac:dyDescent="0.25">
      <c r="A137" s="573" t="s">
        <v>1593</v>
      </c>
      <c r="B137" s="524" t="s">
        <v>1592</v>
      </c>
      <c r="C137" s="524"/>
      <c r="D137" s="524"/>
    </row>
    <row r="138" spans="1:62" x14ac:dyDescent="0.25">
      <c r="A138" s="573" t="s">
        <v>1591</v>
      </c>
      <c r="B138" s="524" t="s">
        <v>1590</v>
      </c>
      <c r="C138" s="524"/>
      <c r="D138" s="524"/>
    </row>
    <row r="139" spans="1:62" ht="12.75" customHeight="1" x14ac:dyDescent="0.25">
      <c r="A139" s="573" t="s">
        <v>1589</v>
      </c>
      <c r="B139" s="524" t="s">
        <v>1588</v>
      </c>
      <c r="C139" s="524"/>
      <c r="D139" s="524"/>
      <c r="E139" s="574"/>
      <c r="F139" s="574"/>
    </row>
    <row r="140" spans="1:62" x14ac:dyDescent="0.25">
      <c r="A140" s="573" t="s">
        <v>1587</v>
      </c>
      <c r="B140" s="524" t="s">
        <v>1586</v>
      </c>
      <c r="C140" s="524"/>
      <c r="D140" s="524"/>
    </row>
    <row r="141" spans="1:62" x14ac:dyDescent="0.25">
      <c r="A141" s="522" t="s">
        <v>1581</v>
      </c>
      <c r="B141" s="522"/>
      <c r="C141" s="522"/>
      <c r="D141" s="522"/>
    </row>
  </sheetData>
  <mergeCells count="12">
    <mergeCell ref="B136:D136"/>
    <mergeCell ref="B137:D137"/>
    <mergeCell ref="B138:D138"/>
    <mergeCell ref="B139:D139"/>
    <mergeCell ref="B140:D140"/>
    <mergeCell ref="B135:D135"/>
    <mergeCell ref="J5:N5"/>
    <mergeCell ref="T5:X5"/>
    <mergeCell ref="AL5:AP5"/>
    <mergeCell ref="AZ5:BD5"/>
    <mergeCell ref="B133:D133"/>
    <mergeCell ref="B134:D134"/>
  </mergeCells>
  <printOptions horizontalCentered="1"/>
  <pageMargins left="1" right="1" top="1" bottom="1" header="0.5" footer="0.5"/>
  <pageSetup scale="15" fitToHeight="0" orientation="landscape" r:id="rId1"/>
  <headerFooter>
    <oddHeader>&amp;R&amp;F</oddHeader>
  </headerFooter>
  <colBreaks count="3" manualBreakCount="3">
    <brk id="17" max="1048575" man="1"/>
    <brk id="37" max="1048575" man="1"/>
    <brk id="51" max="1048575" man="1"/>
  </colBreaks>
  <customProperties>
    <customPr name="_pios_id" r:id="rId2"/>
  </customPropertie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F6E8EB-B7B8-4515-8953-0A61BF2D41E7}">
  <sheetPr>
    <pageSetUpPr fitToPage="1"/>
  </sheetPr>
  <dimension ref="A1:Q46"/>
  <sheetViews>
    <sheetView view="pageBreakPreview" topLeftCell="A6" zoomScale="90" zoomScaleNormal="100" zoomScaleSheetLayoutView="90" workbookViewId="0">
      <pane xSplit="3" ySplit="6" topLeftCell="D30" activePane="bottomRight" state="frozen"/>
      <selection activeCell="Q36" sqref="Q36"/>
      <selection pane="topRight" activeCell="Q36" sqref="Q36"/>
      <selection pane="bottomLeft" activeCell="Q36" sqref="Q36"/>
      <selection pane="bottomRight" activeCell="Q36" sqref="Q36"/>
    </sheetView>
  </sheetViews>
  <sheetFormatPr defaultColWidth="9.140625" defaultRowHeight="15" x14ac:dyDescent="0.25"/>
  <cols>
    <col min="1" max="1" width="7.140625" style="6" bestFit="1" customWidth="1"/>
    <col min="2" max="2" width="8.85546875" style="6" customWidth="1"/>
    <col min="3" max="3" width="37.140625" style="6" customWidth="1"/>
    <col min="4" max="4" width="19.140625" style="6" bestFit="1" customWidth="1"/>
    <col min="5" max="5" width="18.7109375" style="6" bestFit="1" customWidth="1"/>
    <col min="6" max="6" width="19.140625" style="6" bestFit="1" customWidth="1"/>
    <col min="7" max="7" width="16.85546875" style="6" bestFit="1" customWidth="1"/>
    <col min="8" max="8" width="18.28515625" style="6" bestFit="1" customWidth="1"/>
    <col min="9" max="9" width="17.85546875" style="6" bestFit="1" customWidth="1"/>
    <col min="10" max="10" width="16.42578125" style="6" bestFit="1" customWidth="1"/>
    <col min="11" max="12" width="18.140625" style="6" bestFit="1" customWidth="1"/>
    <col min="13" max="13" width="17.85546875" style="6" customWidth="1"/>
    <col min="14" max="14" width="17.140625" style="6" bestFit="1" customWidth="1"/>
    <col min="15" max="15" width="17.42578125" style="6" bestFit="1" customWidth="1"/>
    <col min="16" max="16" width="21.85546875" style="6" bestFit="1" customWidth="1"/>
    <col min="17" max="16384" width="9.140625" style="6"/>
  </cols>
  <sheetData>
    <row r="1" spans="1:17" x14ac:dyDescent="0.25">
      <c r="B1" s="30" t="s">
        <v>1813</v>
      </c>
    </row>
    <row r="2" spans="1:17" x14ac:dyDescent="0.25">
      <c r="B2" s="30" t="s">
        <v>34</v>
      </c>
      <c r="L2" s="76"/>
      <c r="P2" s="76" t="str">
        <f>CONCATENATE("Prior Year: ",'1-BaseTRR'!$G$3)</f>
        <v>Prior Year: 2025</v>
      </c>
    </row>
    <row r="3" spans="1:17" x14ac:dyDescent="0.25">
      <c r="B3" s="77" t="s">
        <v>367</v>
      </c>
      <c r="C3" s="89"/>
      <c r="L3" s="76"/>
      <c r="M3" s="76"/>
    </row>
    <row r="5" spans="1:17" ht="15" customHeight="1" x14ac:dyDescent="0.25">
      <c r="B5" s="30" t="s">
        <v>1812</v>
      </c>
      <c r="C5" s="30"/>
      <c r="D5" s="30"/>
      <c r="F5" s="24">
        <f>P11</f>
        <v>718794370.43350494</v>
      </c>
    </row>
    <row r="6" spans="1:17" x14ac:dyDescent="0.25">
      <c r="A6" s="33"/>
      <c r="I6" s="595"/>
      <c r="N6" s="33"/>
    </row>
    <row r="7" spans="1:17" x14ac:dyDescent="0.25">
      <c r="B7" s="33" t="s">
        <v>492</v>
      </c>
      <c r="C7" s="33" t="s">
        <v>491</v>
      </c>
      <c r="D7" s="33" t="s">
        <v>490</v>
      </c>
      <c r="E7" s="33" t="s">
        <v>489</v>
      </c>
      <c r="F7" s="33" t="s">
        <v>519</v>
      </c>
      <c r="G7" s="33" t="s">
        <v>518</v>
      </c>
      <c r="H7" s="33" t="s">
        <v>517</v>
      </c>
      <c r="I7" s="33" t="s">
        <v>538</v>
      </c>
      <c r="J7" s="33" t="s">
        <v>537</v>
      </c>
      <c r="K7" s="33" t="s">
        <v>770</v>
      </c>
      <c r="L7" s="33" t="s">
        <v>769</v>
      </c>
      <c r="M7" s="33" t="s">
        <v>768</v>
      </c>
      <c r="N7" s="33" t="s">
        <v>767</v>
      </c>
      <c r="O7" s="33" t="s">
        <v>766</v>
      </c>
      <c r="P7" s="33" t="s">
        <v>765</v>
      </c>
      <c r="Q7" s="33"/>
    </row>
    <row r="8" spans="1:17" x14ac:dyDescent="0.25">
      <c r="A8" s="25" t="s">
        <v>154</v>
      </c>
      <c r="B8" s="23"/>
      <c r="C8" s="23"/>
      <c r="D8" s="23" t="s">
        <v>99</v>
      </c>
      <c r="E8" s="23" t="s">
        <v>99</v>
      </c>
      <c r="F8" s="74" t="s">
        <v>1811</v>
      </c>
      <c r="G8" s="23" t="s">
        <v>1810</v>
      </c>
      <c r="H8" s="23" t="s">
        <v>1810</v>
      </c>
      <c r="I8" s="23" t="s">
        <v>1284</v>
      </c>
      <c r="J8" s="23" t="s">
        <v>1809</v>
      </c>
      <c r="K8" s="23" t="s">
        <v>1808</v>
      </c>
      <c r="L8" s="23" t="s">
        <v>1807</v>
      </c>
      <c r="M8" s="23" t="s">
        <v>157</v>
      </c>
      <c r="N8" s="23" t="s">
        <v>1806</v>
      </c>
      <c r="O8" s="23" t="s">
        <v>1805</v>
      </c>
      <c r="P8" s="23" t="s">
        <v>1804</v>
      </c>
    </row>
    <row r="9" spans="1:17" ht="28.5" customHeight="1" x14ac:dyDescent="0.25">
      <c r="B9" s="594" t="s">
        <v>819</v>
      </c>
      <c r="C9" s="593" t="s">
        <v>1803</v>
      </c>
      <c r="D9" s="592" t="s">
        <v>1802</v>
      </c>
      <c r="E9" s="587"/>
      <c r="F9" s="587"/>
      <c r="G9" s="591" t="s">
        <v>816</v>
      </c>
      <c r="H9" s="590"/>
      <c r="I9" s="589"/>
      <c r="J9" s="587" t="s">
        <v>1801</v>
      </c>
      <c r="K9" s="587"/>
      <c r="L9" s="587"/>
      <c r="M9" s="588" t="s">
        <v>1800</v>
      </c>
      <c r="N9" s="587" t="s">
        <v>1799</v>
      </c>
      <c r="O9" s="587"/>
      <c r="P9" s="587"/>
    </row>
    <row r="10" spans="1:17" x14ac:dyDescent="0.25">
      <c r="A10" s="33" t="s">
        <v>106</v>
      </c>
      <c r="B10" s="585"/>
      <c r="C10" s="586"/>
      <c r="D10" s="584" t="s">
        <v>1798</v>
      </c>
      <c r="E10" s="584" t="s">
        <v>1797</v>
      </c>
      <c r="F10" s="584" t="s">
        <v>466</v>
      </c>
      <c r="G10" s="584" t="s">
        <v>1798</v>
      </c>
      <c r="H10" s="584" t="s">
        <v>1797</v>
      </c>
      <c r="I10" s="584" t="s">
        <v>466</v>
      </c>
      <c r="J10" s="584" t="s">
        <v>1798</v>
      </c>
      <c r="K10" s="584" t="s">
        <v>1797</v>
      </c>
      <c r="L10" s="584" t="s">
        <v>466</v>
      </c>
      <c r="M10" s="585"/>
      <c r="N10" s="584" t="s">
        <v>1798</v>
      </c>
      <c r="O10" s="584" t="s">
        <v>1797</v>
      </c>
      <c r="P10" s="584" t="s">
        <v>466</v>
      </c>
      <c r="Q10" s="33" t="s">
        <v>106</v>
      </c>
    </row>
    <row r="11" spans="1:17" ht="15.75" thickBot="1" x14ac:dyDescent="0.3">
      <c r="A11" s="8">
        <v>100</v>
      </c>
      <c r="B11" s="583"/>
      <c r="C11" s="582" t="s">
        <v>1796</v>
      </c>
      <c r="D11" s="581">
        <f>SUM(D12:D36)</f>
        <v>243622831.88</v>
      </c>
      <c r="E11" s="581">
        <f>SUM(E12:E36)</f>
        <v>558800441.47000015</v>
      </c>
      <c r="F11" s="581">
        <f>SUM(F12:F36)</f>
        <v>802423273.35000026</v>
      </c>
      <c r="G11" s="581">
        <f>SUM(G12:G36)</f>
        <v>-3802122.30425</v>
      </c>
      <c r="H11" s="581">
        <f>SUM(H12:H36)</f>
        <v>-40452816.572821431</v>
      </c>
      <c r="I11" s="581">
        <f>SUM(I12:I36)</f>
        <v>-44254938.877071433</v>
      </c>
      <c r="J11" s="581">
        <f>SUM(J12:J36)</f>
        <v>239820709.57574999</v>
      </c>
      <c r="K11" s="581">
        <f>SUM(K12:K36)</f>
        <v>518347624.89717871</v>
      </c>
      <c r="L11" s="581">
        <f>SUM(L12:L36)</f>
        <v>758168334.47292876</v>
      </c>
      <c r="M11" s="581"/>
      <c r="N11" s="581">
        <f>SUM(N12:N36)</f>
        <v>227352557.62690741</v>
      </c>
      <c r="O11" s="581">
        <f>SUM(O12:O36)</f>
        <v>491441812.80659753</v>
      </c>
      <c r="P11" s="581">
        <f>SUM(P12:P36)</f>
        <v>718794370.43350494</v>
      </c>
      <c r="Q11" s="8">
        <f>A11</f>
        <v>100</v>
      </c>
    </row>
    <row r="12" spans="1:17" ht="15.75" thickTop="1" x14ac:dyDescent="0.25">
      <c r="A12" s="8">
        <f>A11+1</f>
        <v>101</v>
      </c>
      <c r="B12" s="265">
        <v>560</v>
      </c>
      <c r="C12" s="71" t="s">
        <v>1795</v>
      </c>
      <c r="D12" s="57">
        <v>12067638.59</v>
      </c>
      <c r="E12" s="57">
        <v>3712287.5699999989</v>
      </c>
      <c r="F12" s="269">
        <f>D12+E12</f>
        <v>15779926.159999998</v>
      </c>
      <c r="G12" s="57">
        <v>0</v>
      </c>
      <c r="H12" s="57">
        <v>0</v>
      </c>
      <c r="I12" s="269">
        <f>G12+H12</f>
        <v>0</v>
      </c>
      <c r="J12" s="269">
        <f>D12+G12</f>
        <v>12067638.59</v>
      </c>
      <c r="K12" s="269">
        <f>E12+H12</f>
        <v>3712287.5699999989</v>
      </c>
      <c r="L12" s="269">
        <f>J12+K12</f>
        <v>15779926.159999998</v>
      </c>
      <c r="M12" s="579">
        <f>'24-Allocators'!$C$38</f>
        <v>0.94801052848647183</v>
      </c>
      <c r="N12" s="578">
        <f>J12*M12</f>
        <v>11440248.437289642</v>
      </c>
      <c r="O12" s="578">
        <f>K12*M12</f>
        <v>3519287.7011294593</v>
      </c>
      <c r="P12" s="578">
        <f>N12+O12</f>
        <v>14959536.138419101</v>
      </c>
      <c r="Q12" s="8">
        <f>A12</f>
        <v>101</v>
      </c>
    </row>
    <row r="13" spans="1:17" x14ac:dyDescent="0.25">
      <c r="A13" s="8">
        <f>A12+1</f>
        <v>102</v>
      </c>
      <c r="B13" s="265">
        <v>561.1</v>
      </c>
      <c r="C13" s="71" t="s">
        <v>1794</v>
      </c>
      <c r="D13" s="57">
        <v>0</v>
      </c>
      <c r="E13" s="57">
        <v>0</v>
      </c>
      <c r="F13" s="269">
        <f>D13+E13</f>
        <v>0</v>
      </c>
      <c r="G13" s="57">
        <v>0</v>
      </c>
      <c r="H13" s="57">
        <v>0</v>
      </c>
      <c r="I13" s="269">
        <f>G13+H13</f>
        <v>0</v>
      </c>
      <c r="J13" s="269">
        <f>D13+G13</f>
        <v>0</v>
      </c>
      <c r="K13" s="269">
        <f>E13+H13</f>
        <v>0</v>
      </c>
      <c r="L13" s="269">
        <f>J13+K13</f>
        <v>0</v>
      </c>
      <c r="M13" s="579">
        <f>'24-Allocators'!$C$38</f>
        <v>0.94801052848647183</v>
      </c>
      <c r="N13" s="578">
        <f>J13*M13</f>
        <v>0</v>
      </c>
      <c r="O13" s="578">
        <f>K13*M13</f>
        <v>0</v>
      </c>
      <c r="P13" s="578">
        <f>N13+O13</f>
        <v>0</v>
      </c>
      <c r="Q13" s="8">
        <f>A13</f>
        <v>102</v>
      </c>
    </row>
    <row r="14" spans="1:17" ht="30" x14ac:dyDescent="0.25">
      <c r="A14" s="8">
        <f>A13+1</f>
        <v>103</v>
      </c>
      <c r="B14" s="265">
        <v>561.20000000000005</v>
      </c>
      <c r="C14" s="71" t="s">
        <v>1793</v>
      </c>
      <c r="D14" s="57">
        <v>21441204.240000002</v>
      </c>
      <c r="E14" s="57">
        <v>8004444.6699999999</v>
      </c>
      <c r="F14" s="269">
        <f>D14+E14</f>
        <v>29445648.910000004</v>
      </c>
      <c r="G14" s="57">
        <v>0</v>
      </c>
      <c r="H14" s="57">
        <v>0</v>
      </c>
      <c r="I14" s="269">
        <f>G14+H14</f>
        <v>0</v>
      </c>
      <c r="J14" s="269">
        <f>D14+G14</f>
        <v>21441204.240000002</v>
      </c>
      <c r="K14" s="269">
        <f>E14+H14</f>
        <v>8004444.6699999999</v>
      </c>
      <c r="L14" s="269">
        <f>J14+K14</f>
        <v>29445648.910000004</v>
      </c>
      <c r="M14" s="579">
        <f>'24-Allocators'!$C$38</f>
        <v>0.94801052848647183</v>
      </c>
      <c r="N14" s="578">
        <f>J14*M14</f>
        <v>20326487.362948783</v>
      </c>
      <c r="O14" s="578">
        <f>K14*M14</f>
        <v>7588297.821847422</v>
      </c>
      <c r="P14" s="578">
        <f>N14+O14</f>
        <v>27914785.184796207</v>
      </c>
      <c r="Q14" s="8">
        <f>A14</f>
        <v>103</v>
      </c>
    </row>
    <row r="15" spans="1:17" ht="30" x14ac:dyDescent="0.25">
      <c r="A15" s="8">
        <f>A14+1</f>
        <v>104</v>
      </c>
      <c r="B15" s="265">
        <v>561.30000000000007</v>
      </c>
      <c r="C15" s="71" t="s">
        <v>1792</v>
      </c>
      <c r="D15" s="57">
        <v>0</v>
      </c>
      <c r="E15" s="57">
        <v>0</v>
      </c>
      <c r="F15" s="269">
        <f>D15+E15</f>
        <v>0</v>
      </c>
      <c r="G15" s="57">
        <v>0</v>
      </c>
      <c r="H15" s="57">
        <v>0</v>
      </c>
      <c r="I15" s="269">
        <f>G15+H15</f>
        <v>0</v>
      </c>
      <c r="J15" s="269">
        <f>D15+G15</f>
        <v>0</v>
      </c>
      <c r="K15" s="269">
        <f>E15+H15</f>
        <v>0</v>
      </c>
      <c r="L15" s="269">
        <f>J15+K15</f>
        <v>0</v>
      </c>
      <c r="M15" s="579">
        <f>'24-Allocators'!$C$38</f>
        <v>0.94801052848647183</v>
      </c>
      <c r="N15" s="578">
        <f>J15*M15</f>
        <v>0</v>
      </c>
      <c r="O15" s="578">
        <f>K15*M15</f>
        <v>0</v>
      </c>
      <c r="P15" s="578">
        <f>N15+O15</f>
        <v>0</v>
      </c>
      <c r="Q15" s="8">
        <f>A15</f>
        <v>104</v>
      </c>
    </row>
    <row r="16" spans="1:17" ht="30" x14ac:dyDescent="0.25">
      <c r="A16" s="8">
        <f>A15+1</f>
        <v>105</v>
      </c>
      <c r="B16" s="265">
        <v>561.40000000000009</v>
      </c>
      <c r="C16" s="71" t="s">
        <v>1791</v>
      </c>
      <c r="D16" s="57">
        <v>0</v>
      </c>
      <c r="E16" s="57">
        <v>16416900.800000003</v>
      </c>
      <c r="F16" s="269">
        <f>D16+E16</f>
        <v>16416900.800000003</v>
      </c>
      <c r="G16" s="57">
        <v>0</v>
      </c>
      <c r="H16" s="57">
        <v>-16416900.800000003</v>
      </c>
      <c r="I16" s="269">
        <f>G16+H16</f>
        <v>-16416900.800000003</v>
      </c>
      <c r="J16" s="269">
        <f>D16+G16</f>
        <v>0</v>
      </c>
      <c r="K16" s="269">
        <f>E16+H16</f>
        <v>0</v>
      </c>
      <c r="L16" s="269">
        <f>J16+K16</f>
        <v>0</v>
      </c>
      <c r="M16" s="579">
        <f>'24-Allocators'!$C$38</f>
        <v>0.94801052848647183</v>
      </c>
      <c r="N16" s="578">
        <f>J16*M16</f>
        <v>0</v>
      </c>
      <c r="O16" s="578">
        <f>K16*M16</f>
        <v>0</v>
      </c>
      <c r="P16" s="578">
        <f>N16+O16</f>
        <v>0</v>
      </c>
      <c r="Q16" s="8">
        <f>A16</f>
        <v>105</v>
      </c>
    </row>
    <row r="17" spans="1:17" ht="30" x14ac:dyDescent="0.25">
      <c r="A17" s="8">
        <f>A16+1</f>
        <v>106</v>
      </c>
      <c r="B17" s="265">
        <v>561.50000000000011</v>
      </c>
      <c r="C17" s="71" t="s">
        <v>1790</v>
      </c>
      <c r="D17" s="57">
        <v>0</v>
      </c>
      <c r="E17" s="57">
        <v>0</v>
      </c>
      <c r="F17" s="269">
        <f>D17+E17</f>
        <v>0</v>
      </c>
      <c r="G17" s="57">
        <v>0</v>
      </c>
      <c r="H17" s="57">
        <v>0</v>
      </c>
      <c r="I17" s="269">
        <f>G17+H17</f>
        <v>0</v>
      </c>
      <c r="J17" s="269">
        <f>D17+G17</f>
        <v>0</v>
      </c>
      <c r="K17" s="269">
        <f>E17+H17</f>
        <v>0</v>
      </c>
      <c r="L17" s="269">
        <f>J17+K17</f>
        <v>0</v>
      </c>
      <c r="M17" s="579">
        <f>'24-Allocators'!$C$38</f>
        <v>0.94801052848647183</v>
      </c>
      <c r="N17" s="578">
        <f>J17*M17</f>
        <v>0</v>
      </c>
      <c r="O17" s="578">
        <f>K17*M17</f>
        <v>0</v>
      </c>
      <c r="P17" s="578">
        <f>N17+O17</f>
        <v>0</v>
      </c>
      <c r="Q17" s="8">
        <f>A17</f>
        <v>106</v>
      </c>
    </row>
    <row r="18" spans="1:17" x14ac:dyDescent="0.25">
      <c r="A18" s="8">
        <f>A17+1</f>
        <v>107</v>
      </c>
      <c r="B18" s="265">
        <v>561.60000000000014</v>
      </c>
      <c r="C18" s="71" t="s">
        <v>1789</v>
      </c>
      <c r="D18" s="57">
        <v>0</v>
      </c>
      <c r="E18" s="57">
        <v>0</v>
      </c>
      <c r="F18" s="269">
        <f>D18+E18</f>
        <v>0</v>
      </c>
      <c r="G18" s="57">
        <v>0</v>
      </c>
      <c r="H18" s="57">
        <v>0</v>
      </c>
      <c r="I18" s="269">
        <f>G18+H18</f>
        <v>0</v>
      </c>
      <c r="J18" s="269">
        <f>D18+G18</f>
        <v>0</v>
      </c>
      <c r="K18" s="269">
        <f>E18+H18</f>
        <v>0</v>
      </c>
      <c r="L18" s="269">
        <f>J18+K18</f>
        <v>0</v>
      </c>
      <c r="M18" s="579">
        <f>'24-Allocators'!$C$38</f>
        <v>0.94801052848647183</v>
      </c>
      <c r="N18" s="578">
        <f>J18*M18</f>
        <v>0</v>
      </c>
      <c r="O18" s="578">
        <f>K18*M18</f>
        <v>0</v>
      </c>
      <c r="P18" s="578">
        <f>N18+O18</f>
        <v>0</v>
      </c>
      <c r="Q18" s="8">
        <f>A18</f>
        <v>107</v>
      </c>
    </row>
    <row r="19" spans="1:17" x14ac:dyDescent="0.25">
      <c r="A19" s="8">
        <f>A18+1</f>
        <v>108</v>
      </c>
      <c r="B19" s="265">
        <v>561.70000000000016</v>
      </c>
      <c r="C19" s="71" t="s">
        <v>1788</v>
      </c>
      <c r="D19" s="57">
        <v>0</v>
      </c>
      <c r="E19" s="57">
        <v>0</v>
      </c>
      <c r="F19" s="269">
        <f>D19+E19</f>
        <v>0</v>
      </c>
      <c r="G19" s="57">
        <v>0</v>
      </c>
      <c r="H19" s="57">
        <v>0</v>
      </c>
      <c r="I19" s="269">
        <f>G19+H19</f>
        <v>0</v>
      </c>
      <c r="J19" s="269">
        <f>D19+G19</f>
        <v>0</v>
      </c>
      <c r="K19" s="269">
        <f>E19+H19</f>
        <v>0</v>
      </c>
      <c r="L19" s="269">
        <f>J19+K19</f>
        <v>0</v>
      </c>
      <c r="M19" s="579">
        <f>'24-Allocators'!$C$38</f>
        <v>0.94801052848647183</v>
      </c>
      <c r="N19" s="578">
        <f>J19*M19</f>
        <v>0</v>
      </c>
      <c r="O19" s="578">
        <f>K19*M19</f>
        <v>0</v>
      </c>
      <c r="P19" s="578">
        <f>N19+O19</f>
        <v>0</v>
      </c>
      <c r="Q19" s="8">
        <f>A19</f>
        <v>108</v>
      </c>
    </row>
    <row r="20" spans="1:17" ht="30" x14ac:dyDescent="0.25">
      <c r="A20" s="8">
        <f>A19+1</f>
        <v>109</v>
      </c>
      <c r="B20" s="265">
        <v>561.80000000000018</v>
      </c>
      <c r="C20" s="71" t="s">
        <v>1787</v>
      </c>
      <c r="D20" s="57">
        <v>0</v>
      </c>
      <c r="E20" s="57">
        <v>7134076.5999999996</v>
      </c>
      <c r="F20" s="269">
        <f>D20+E20</f>
        <v>7134076.5999999996</v>
      </c>
      <c r="G20" s="57">
        <v>0</v>
      </c>
      <c r="H20" s="57">
        <v>-7134076.5999999996</v>
      </c>
      <c r="I20" s="269">
        <f>G20+H20</f>
        <v>-7134076.5999999996</v>
      </c>
      <c r="J20" s="269">
        <f>D20+G20</f>
        <v>0</v>
      </c>
      <c r="K20" s="269">
        <f>E20+H20</f>
        <v>0</v>
      </c>
      <c r="L20" s="269">
        <f>J20+K20</f>
        <v>0</v>
      </c>
      <c r="M20" s="579">
        <f>'24-Allocators'!$C$38</f>
        <v>0.94801052848647183</v>
      </c>
      <c r="N20" s="578">
        <f>J20*M20</f>
        <v>0</v>
      </c>
      <c r="O20" s="578">
        <f>K20*M20</f>
        <v>0</v>
      </c>
      <c r="P20" s="578">
        <f>N20+O20</f>
        <v>0</v>
      </c>
      <c r="Q20" s="8">
        <f>A20</f>
        <v>109</v>
      </c>
    </row>
    <row r="21" spans="1:17" x14ac:dyDescent="0.25">
      <c r="A21" s="8">
        <f>A20+1</f>
        <v>110</v>
      </c>
      <c r="B21" s="265">
        <v>562</v>
      </c>
      <c r="C21" s="71" t="s">
        <v>1786</v>
      </c>
      <c r="D21" s="57">
        <v>9816872.3000000007</v>
      </c>
      <c r="E21" s="57">
        <v>4046125.61</v>
      </c>
      <c r="F21" s="269">
        <f>D21+E21</f>
        <v>13862997.91</v>
      </c>
      <c r="G21" s="57">
        <v>0</v>
      </c>
      <c r="H21" s="57">
        <v>0</v>
      </c>
      <c r="I21" s="269">
        <f>G21+H21</f>
        <v>0</v>
      </c>
      <c r="J21" s="269">
        <f>D21+G21</f>
        <v>9816872.3000000007</v>
      </c>
      <c r="K21" s="269">
        <f>E21+H21</f>
        <v>4046125.61</v>
      </c>
      <c r="L21" s="269">
        <f>J21+K21</f>
        <v>13862997.91</v>
      </c>
      <c r="M21" s="579">
        <f>'24-Allocators'!$C$38</f>
        <v>0.94801052848647183</v>
      </c>
      <c r="N21" s="578">
        <f>J21*M21</f>
        <v>9306498.2972072065</v>
      </c>
      <c r="O21" s="578">
        <f>K21*M21</f>
        <v>3835769.677858748</v>
      </c>
      <c r="P21" s="578">
        <f>N21+O21</f>
        <v>13142267.975065954</v>
      </c>
      <c r="Q21" s="8">
        <f>A21</f>
        <v>110</v>
      </c>
    </row>
    <row r="22" spans="1:17" x14ac:dyDescent="0.25">
      <c r="A22" s="8">
        <f>A21+1</f>
        <v>111</v>
      </c>
      <c r="B22" s="265">
        <v>563</v>
      </c>
      <c r="C22" s="71" t="s">
        <v>1785</v>
      </c>
      <c r="D22" s="57">
        <v>15953475.810000002</v>
      </c>
      <c r="E22" s="57">
        <v>51012485.419999987</v>
      </c>
      <c r="F22" s="269">
        <f>D22+E22</f>
        <v>66965961.229999989</v>
      </c>
      <c r="G22" s="57">
        <v>218.6</v>
      </c>
      <c r="H22" s="57">
        <v>1.86</v>
      </c>
      <c r="I22" s="269">
        <f>G22+H22</f>
        <v>220.46</v>
      </c>
      <c r="J22" s="269">
        <f>D22+G22</f>
        <v>15953694.410000002</v>
      </c>
      <c r="K22" s="269">
        <f>E22+H22</f>
        <v>51012487.279999986</v>
      </c>
      <c r="L22" s="269">
        <f>J22+K22</f>
        <v>66966181.68999999</v>
      </c>
      <c r="M22" s="579">
        <f>'24-Allocators'!$C$38</f>
        <v>0.94801052848647183</v>
      </c>
      <c r="N22" s="578">
        <f>J22*M22</f>
        <v>15124270.268935774</v>
      </c>
      <c r="O22" s="578">
        <f>K22*M22</f>
        <v>48360375.025722206</v>
      </c>
      <c r="P22" s="578">
        <f>N22+O22</f>
        <v>63484645.294657975</v>
      </c>
      <c r="Q22" s="8">
        <f>A22</f>
        <v>111</v>
      </c>
    </row>
    <row r="23" spans="1:17" x14ac:dyDescent="0.25">
      <c r="A23" s="8">
        <f>A22+1</f>
        <v>112</v>
      </c>
      <c r="B23" s="265">
        <v>564</v>
      </c>
      <c r="C23" s="71" t="s">
        <v>1784</v>
      </c>
      <c r="D23" s="57">
        <v>425951.43</v>
      </c>
      <c r="E23" s="57">
        <v>18294.099999999999</v>
      </c>
      <c r="F23" s="269">
        <f>D23+E23</f>
        <v>444245.52999999997</v>
      </c>
      <c r="G23" s="57">
        <v>142148.53</v>
      </c>
      <c r="H23" s="57">
        <v>2610.62</v>
      </c>
      <c r="I23" s="269">
        <f>G23+H23</f>
        <v>144759.15</v>
      </c>
      <c r="J23" s="269">
        <f>D23+G23</f>
        <v>568099.96</v>
      </c>
      <c r="K23" s="269">
        <f>E23+H23</f>
        <v>20904.719999999998</v>
      </c>
      <c r="L23" s="269">
        <f>J23+K23</f>
        <v>589004.67999999993</v>
      </c>
      <c r="M23" s="579">
        <f>'24-Allocators'!$C$38</f>
        <v>0.94801052848647183</v>
      </c>
      <c r="N23" s="578">
        <f>J23*M23</f>
        <v>538564.74331274349</v>
      </c>
      <c r="O23" s="578">
        <f>K23*M23</f>
        <v>19817.894655061715</v>
      </c>
      <c r="P23" s="578">
        <f>N23+O23</f>
        <v>558382.63796780526</v>
      </c>
      <c r="Q23" s="8">
        <f>A23</f>
        <v>112</v>
      </c>
    </row>
    <row r="24" spans="1:17" x14ac:dyDescent="0.25">
      <c r="A24" s="8">
        <f>A23+1</f>
        <v>113</v>
      </c>
      <c r="B24" s="265">
        <v>565</v>
      </c>
      <c r="C24" s="71" t="s">
        <v>1783</v>
      </c>
      <c r="D24" s="57">
        <v>0</v>
      </c>
      <c r="E24" s="57">
        <v>823378.02</v>
      </c>
      <c r="F24" s="269">
        <f>D24+E24</f>
        <v>823378.02</v>
      </c>
      <c r="G24" s="57">
        <v>0</v>
      </c>
      <c r="H24" s="57">
        <v>0</v>
      </c>
      <c r="I24" s="269">
        <f>G24+H24</f>
        <v>0</v>
      </c>
      <c r="J24" s="269">
        <f>D24+G24</f>
        <v>0</v>
      </c>
      <c r="K24" s="269">
        <f>E24+H24</f>
        <v>823378.02</v>
      </c>
      <c r="L24" s="269">
        <f>J24+K24</f>
        <v>823378.02</v>
      </c>
      <c r="M24" s="580">
        <v>1</v>
      </c>
      <c r="N24" s="578">
        <f>J24*M24</f>
        <v>0</v>
      </c>
      <c r="O24" s="578">
        <f>K24*M24</f>
        <v>823378.02</v>
      </c>
      <c r="P24" s="578">
        <f>N24+O24</f>
        <v>823378.02</v>
      </c>
      <c r="Q24" s="8">
        <f>A24</f>
        <v>113</v>
      </c>
    </row>
    <row r="25" spans="1:17" x14ac:dyDescent="0.25">
      <c r="A25" s="8">
        <f>A24+1</f>
        <v>114</v>
      </c>
      <c r="B25" s="265">
        <v>566</v>
      </c>
      <c r="C25" s="71" t="s">
        <v>1782</v>
      </c>
      <c r="D25" s="57">
        <v>109566759.38</v>
      </c>
      <c r="E25" s="57">
        <v>156988354.97</v>
      </c>
      <c r="F25" s="269">
        <f>D25+E25</f>
        <v>266555114.34999999</v>
      </c>
      <c r="G25" s="57">
        <v>-3944489.4342499999</v>
      </c>
      <c r="H25" s="57">
        <v>-18588162.912821427</v>
      </c>
      <c r="I25" s="269">
        <f>G25+H25</f>
        <v>-22532652.347071428</v>
      </c>
      <c r="J25" s="269">
        <f>D25+G25</f>
        <v>105622269.94575</v>
      </c>
      <c r="K25" s="269">
        <f>E25+H25</f>
        <v>138400192.05717856</v>
      </c>
      <c r="L25" s="269">
        <f>J25+K25</f>
        <v>244022462.00292856</v>
      </c>
      <c r="M25" s="579">
        <f>'24-Allocators'!$C$38</f>
        <v>0.94801052848647183</v>
      </c>
      <c r="N25" s="578">
        <f>J25*M25</f>
        <v>100131023.95121124</v>
      </c>
      <c r="O25" s="578">
        <f>K25*M25</f>
        <v>131204839.21475504</v>
      </c>
      <c r="P25" s="578">
        <f>N25+O25</f>
        <v>231335863.16596627</v>
      </c>
      <c r="Q25" s="8">
        <f>A25</f>
        <v>114</v>
      </c>
    </row>
    <row r="26" spans="1:17" x14ac:dyDescent="0.25">
      <c r="A26" s="8">
        <f>A25+1</f>
        <v>115</v>
      </c>
      <c r="B26" s="265">
        <v>567</v>
      </c>
      <c r="C26" s="71" t="s">
        <v>1781</v>
      </c>
      <c r="D26" s="57">
        <v>0</v>
      </c>
      <c r="E26" s="57">
        <v>0</v>
      </c>
      <c r="F26" s="269">
        <f>D26+E26</f>
        <v>0</v>
      </c>
      <c r="G26" s="57">
        <v>0</v>
      </c>
      <c r="H26" s="57">
        <v>0</v>
      </c>
      <c r="I26" s="269">
        <f>G26+H26</f>
        <v>0</v>
      </c>
      <c r="J26" s="269">
        <f>D26+G26</f>
        <v>0</v>
      </c>
      <c r="K26" s="269">
        <f>E26+H26</f>
        <v>0</v>
      </c>
      <c r="L26" s="269">
        <f>J26+K26</f>
        <v>0</v>
      </c>
      <c r="M26" s="579">
        <f>'24-Allocators'!$C$38</f>
        <v>0.94801052848647183</v>
      </c>
      <c r="N26" s="578">
        <f>J26*M26</f>
        <v>0</v>
      </c>
      <c r="O26" s="578">
        <f>K26*M26</f>
        <v>0</v>
      </c>
      <c r="P26" s="578">
        <f>N26+O26</f>
        <v>0</v>
      </c>
      <c r="Q26" s="8">
        <f>A26</f>
        <v>115</v>
      </c>
    </row>
    <row r="27" spans="1:17" ht="30" x14ac:dyDescent="0.25">
      <c r="A27" s="8">
        <f>A26+1</f>
        <v>116</v>
      </c>
      <c r="B27" s="265">
        <v>568</v>
      </c>
      <c r="C27" s="71" t="s">
        <v>1780</v>
      </c>
      <c r="D27" s="57">
        <v>2252611.7600000007</v>
      </c>
      <c r="E27" s="57">
        <v>1428651.2000000002</v>
      </c>
      <c r="F27" s="269">
        <f>D27+E27</f>
        <v>3681262.9600000009</v>
      </c>
      <c r="G27" s="57">
        <v>0</v>
      </c>
      <c r="H27" s="57">
        <v>0</v>
      </c>
      <c r="I27" s="269">
        <f>G27+H27</f>
        <v>0</v>
      </c>
      <c r="J27" s="269">
        <f>D27+G27</f>
        <v>2252611.7600000007</v>
      </c>
      <c r="K27" s="269">
        <f>E27+H27</f>
        <v>1428651.2000000002</v>
      </c>
      <c r="L27" s="269">
        <f>J27+K27</f>
        <v>3681262.9600000009</v>
      </c>
      <c r="M27" s="579">
        <f>'24-Allocators'!$C$38</f>
        <v>0.94801052848647183</v>
      </c>
      <c r="N27" s="578">
        <f>J27*M27</f>
        <v>2135499.665072442</v>
      </c>
      <c r="O27" s="578">
        <f>K27*M27</f>
        <v>1354376.3791348324</v>
      </c>
      <c r="P27" s="578">
        <f>N27+O27</f>
        <v>3489876.0442072744</v>
      </c>
      <c r="Q27" s="8">
        <f>A27</f>
        <v>116</v>
      </c>
    </row>
    <row r="28" spans="1:17" x14ac:dyDescent="0.25">
      <c r="A28" s="8">
        <f>A27+1</f>
        <v>117</v>
      </c>
      <c r="B28" s="265">
        <v>569</v>
      </c>
      <c r="C28" s="71" t="s">
        <v>1779</v>
      </c>
      <c r="D28" s="57">
        <v>316604.23</v>
      </c>
      <c r="E28" s="57">
        <v>2393691.12</v>
      </c>
      <c r="F28" s="269">
        <f>D28+E28</f>
        <v>2710295.35</v>
      </c>
      <c r="G28" s="57">
        <v>0</v>
      </c>
      <c r="H28" s="57">
        <v>0</v>
      </c>
      <c r="I28" s="269">
        <f>G28+H28</f>
        <v>0</v>
      </c>
      <c r="J28" s="269">
        <f>D28+G28</f>
        <v>316604.23</v>
      </c>
      <c r="K28" s="269">
        <f>E28+H28</f>
        <v>2393691.12</v>
      </c>
      <c r="L28" s="269">
        <f>J28+K28</f>
        <v>2710295.35</v>
      </c>
      <c r="M28" s="579">
        <f>'24-Allocators'!$C$38</f>
        <v>0.94801052848647183</v>
      </c>
      <c r="N28" s="578">
        <f>J28*M28</f>
        <v>300144.14340335247</v>
      </c>
      <c r="O28" s="578">
        <f>K28*M28</f>
        <v>2269244.3837045748</v>
      </c>
      <c r="P28" s="578">
        <f>N28+O28</f>
        <v>2569388.527107927</v>
      </c>
      <c r="Q28" s="8">
        <f>A28</f>
        <v>117</v>
      </c>
    </row>
    <row r="29" spans="1:17" x14ac:dyDescent="0.25">
      <c r="A29" s="8">
        <f>A28+1</f>
        <v>118</v>
      </c>
      <c r="B29" s="265">
        <f>B28+0.1</f>
        <v>569.1</v>
      </c>
      <c r="C29" s="71" t="s">
        <v>1778</v>
      </c>
      <c r="D29" s="57">
        <v>69244.800000000003</v>
      </c>
      <c r="E29" s="57">
        <v>-90638.77</v>
      </c>
      <c r="F29" s="269">
        <f>D29+E29</f>
        <v>-21393.97</v>
      </c>
      <c r="G29" s="57">
        <v>0</v>
      </c>
      <c r="H29" s="57">
        <v>0</v>
      </c>
      <c r="I29" s="269">
        <f>G29+H29</f>
        <v>0</v>
      </c>
      <c r="J29" s="269">
        <f>D29+G29</f>
        <v>69244.800000000003</v>
      </c>
      <c r="K29" s="269">
        <f>E29+H29</f>
        <v>-90638.77</v>
      </c>
      <c r="L29" s="269">
        <f>J29+K29</f>
        <v>-21393.97</v>
      </c>
      <c r="M29" s="579">
        <f>'24-Allocators'!$C$38</f>
        <v>0.94801052848647183</v>
      </c>
      <c r="N29" s="578">
        <f>J29*M29</f>
        <v>65644.799442940042</v>
      </c>
      <c r="O29" s="578">
        <f>K29*M29</f>
        <v>-85926.508249063772</v>
      </c>
      <c r="P29" s="578">
        <f>N29+O29</f>
        <v>-20281.70880612373</v>
      </c>
      <c r="Q29" s="8">
        <f>A29</f>
        <v>118</v>
      </c>
    </row>
    <row r="30" spans="1:17" x14ac:dyDescent="0.25">
      <c r="A30" s="8">
        <f>A29+1</f>
        <v>119</v>
      </c>
      <c r="B30" s="265">
        <f>B29+0.1</f>
        <v>569.20000000000005</v>
      </c>
      <c r="C30" s="71" t="s">
        <v>1777</v>
      </c>
      <c r="D30" s="57">
        <v>14352.7</v>
      </c>
      <c r="E30" s="57">
        <v>428052.14999999997</v>
      </c>
      <c r="F30" s="269">
        <f>D30+E30</f>
        <v>442404.85</v>
      </c>
      <c r="G30" s="57">
        <v>0</v>
      </c>
      <c r="H30" s="57">
        <v>0</v>
      </c>
      <c r="I30" s="269">
        <f>G30+H30</f>
        <v>0</v>
      </c>
      <c r="J30" s="269">
        <f>D30+G30</f>
        <v>14352.7</v>
      </c>
      <c r="K30" s="269">
        <f>E30+H30</f>
        <v>428052.14999999997</v>
      </c>
      <c r="L30" s="269">
        <f>J30+K30</f>
        <v>442404.85</v>
      </c>
      <c r="M30" s="579">
        <f>'24-Allocators'!$C$38</f>
        <v>0.94801052848647183</v>
      </c>
      <c r="N30" s="578">
        <f>J30*M30</f>
        <v>13606.510712207784</v>
      </c>
      <c r="O30" s="578">
        <f>K30*M30</f>
        <v>405797.94494127046</v>
      </c>
      <c r="P30" s="578">
        <f>N30+O30</f>
        <v>419404.45565347822</v>
      </c>
      <c r="Q30" s="8">
        <f>A30</f>
        <v>119</v>
      </c>
    </row>
    <row r="31" spans="1:17" ht="30" x14ac:dyDescent="0.25">
      <c r="A31" s="8">
        <f>A30+1</f>
        <v>120</v>
      </c>
      <c r="B31" s="265">
        <f>B30+0.1</f>
        <v>569.30000000000007</v>
      </c>
      <c r="C31" s="71" t="s">
        <v>1776</v>
      </c>
      <c r="D31" s="57">
        <v>22712</v>
      </c>
      <c r="E31" s="57">
        <v>1341419.0900000001</v>
      </c>
      <c r="F31" s="269">
        <f>D31+E31</f>
        <v>1364131.09</v>
      </c>
      <c r="G31" s="57">
        <v>0</v>
      </c>
      <c r="H31" s="57">
        <v>0</v>
      </c>
      <c r="I31" s="269">
        <f>G31+H31</f>
        <v>0</v>
      </c>
      <c r="J31" s="269">
        <f>D31+G31</f>
        <v>22712</v>
      </c>
      <c r="K31" s="269">
        <f>E31+H31</f>
        <v>1341419.0900000001</v>
      </c>
      <c r="L31" s="269">
        <f>J31+K31</f>
        <v>1364131.09</v>
      </c>
      <c r="M31" s="579">
        <f>'24-Allocators'!$C$38</f>
        <v>0.94801052848647183</v>
      </c>
      <c r="N31" s="578">
        <f>J31*M31</f>
        <v>21531.215122984748</v>
      </c>
      <c r="O31" s="578">
        <f>K31*M31</f>
        <v>1271679.4204327422</v>
      </c>
      <c r="P31" s="578">
        <f>N31+O31</f>
        <v>1293210.6355557269</v>
      </c>
      <c r="Q31" s="8">
        <f>A31</f>
        <v>120</v>
      </c>
    </row>
    <row r="32" spans="1:17" ht="30" x14ac:dyDescent="0.25">
      <c r="A32" s="8">
        <f>A31+1</f>
        <v>121</v>
      </c>
      <c r="B32" s="265">
        <f>B31+0.1</f>
        <v>569.40000000000009</v>
      </c>
      <c r="C32" s="71" t="s">
        <v>1775</v>
      </c>
      <c r="D32" s="57">
        <v>0</v>
      </c>
      <c r="E32" s="57">
        <v>0</v>
      </c>
      <c r="F32" s="269">
        <f>D32+E32</f>
        <v>0</v>
      </c>
      <c r="G32" s="57">
        <v>0</v>
      </c>
      <c r="H32" s="57">
        <v>0</v>
      </c>
      <c r="I32" s="269">
        <f>G32+H32</f>
        <v>0</v>
      </c>
      <c r="J32" s="269">
        <f>D32+G32</f>
        <v>0</v>
      </c>
      <c r="K32" s="269">
        <f>E32+H32</f>
        <v>0</v>
      </c>
      <c r="L32" s="269">
        <f>J32+K32</f>
        <v>0</v>
      </c>
      <c r="M32" s="579">
        <f>'24-Allocators'!$C$38</f>
        <v>0.94801052848647183</v>
      </c>
      <c r="N32" s="578">
        <f>J32*M32</f>
        <v>0</v>
      </c>
      <c r="O32" s="578">
        <f>K32*M32</f>
        <v>0</v>
      </c>
      <c r="P32" s="578">
        <f>N32+O32</f>
        <v>0</v>
      </c>
      <c r="Q32" s="8">
        <f>A32</f>
        <v>121</v>
      </c>
    </row>
    <row r="33" spans="1:17" x14ac:dyDescent="0.25">
      <c r="A33" s="8">
        <f>A32+1</f>
        <v>122</v>
      </c>
      <c r="B33" s="265">
        <v>570</v>
      </c>
      <c r="C33" s="71" t="s">
        <v>1774</v>
      </c>
      <c r="D33" s="57">
        <v>27148875.779999997</v>
      </c>
      <c r="E33" s="57">
        <v>27814579.409999993</v>
      </c>
      <c r="F33" s="269">
        <f>D33+E33</f>
        <v>54963455.18999999</v>
      </c>
      <c r="G33" s="57">
        <v>0</v>
      </c>
      <c r="H33" s="57">
        <v>0</v>
      </c>
      <c r="I33" s="269">
        <f>G33+H33</f>
        <v>0</v>
      </c>
      <c r="J33" s="269">
        <f>D33+G33</f>
        <v>27148875.779999997</v>
      </c>
      <c r="K33" s="269">
        <f>E33+H33</f>
        <v>27814579.409999993</v>
      </c>
      <c r="L33" s="269">
        <f>J33+K33</f>
        <v>54963455.18999999</v>
      </c>
      <c r="M33" s="579">
        <f>'24-Allocators'!$C$38</f>
        <v>0.94801052848647183</v>
      </c>
      <c r="N33" s="578">
        <f>J33*M33</f>
        <v>25737420.076011371</v>
      </c>
      <c r="O33" s="578">
        <f>K33*M33</f>
        <v>26368514.126103032</v>
      </c>
      <c r="P33" s="578">
        <f>N33+O33</f>
        <v>52105934.202114403</v>
      </c>
      <c r="Q33" s="8">
        <f>A33</f>
        <v>122</v>
      </c>
    </row>
    <row r="34" spans="1:17" x14ac:dyDescent="0.25">
      <c r="A34" s="8">
        <f>A33+1</f>
        <v>123</v>
      </c>
      <c r="B34" s="265">
        <v>571</v>
      </c>
      <c r="C34" s="71" t="s">
        <v>1773</v>
      </c>
      <c r="D34" s="57">
        <v>43403820.920000002</v>
      </c>
      <c r="E34" s="57">
        <v>274989712.87000018</v>
      </c>
      <c r="F34" s="269">
        <f>D34+E34</f>
        <v>318393533.7900002</v>
      </c>
      <c r="G34" s="57">
        <v>0</v>
      </c>
      <c r="H34" s="57">
        <v>1709245.6199999999</v>
      </c>
      <c r="I34" s="269">
        <f>G34+H34</f>
        <v>1709245.6199999999</v>
      </c>
      <c r="J34" s="269">
        <f>D34+G34</f>
        <v>43403820.920000002</v>
      </c>
      <c r="K34" s="269">
        <f>E34+H34</f>
        <v>276698958.49000019</v>
      </c>
      <c r="L34" s="269">
        <f>J34+K34</f>
        <v>320102779.41000021</v>
      </c>
      <c r="M34" s="579">
        <f>'24-Allocators'!$C$38</f>
        <v>0.94801052848647183</v>
      </c>
      <c r="N34" s="578">
        <f>J34*M34</f>
        <v>41147279.208701387</v>
      </c>
      <c r="O34" s="578">
        <f>K34*M34</f>
        <v>262313525.86976141</v>
      </c>
      <c r="P34" s="578">
        <f>N34+O34</f>
        <v>303460805.07846278</v>
      </c>
      <c r="Q34" s="8">
        <f>A34</f>
        <v>123</v>
      </c>
    </row>
    <row r="35" spans="1:17" x14ac:dyDescent="0.25">
      <c r="A35" s="8">
        <f>A34+1</f>
        <v>124</v>
      </c>
      <c r="B35" s="265">
        <v>572</v>
      </c>
      <c r="C35" s="71" t="s">
        <v>1772</v>
      </c>
      <c r="D35" s="57">
        <v>1028333.48</v>
      </c>
      <c r="E35" s="57">
        <v>754325.23</v>
      </c>
      <c r="F35" s="269">
        <f>D35+E35</f>
        <v>1782658.71</v>
      </c>
      <c r="G35" s="57">
        <v>0</v>
      </c>
      <c r="H35" s="57">
        <v>0</v>
      </c>
      <c r="I35" s="269">
        <f>G35+H35</f>
        <v>0</v>
      </c>
      <c r="J35" s="269">
        <f>D35+G35</f>
        <v>1028333.48</v>
      </c>
      <c r="K35" s="269">
        <f>E35+H35</f>
        <v>754325.23</v>
      </c>
      <c r="L35" s="269">
        <f>J35+K35</f>
        <v>1782658.71</v>
      </c>
      <c r="M35" s="579">
        <f>'24-Allocators'!$C$38</f>
        <v>0.94801052848647183</v>
      </c>
      <c r="N35" s="578">
        <f>J35*M35</f>
        <v>974870.96583513264</v>
      </c>
      <c r="O35" s="578">
        <f>K35*M35</f>
        <v>715108.25994297944</v>
      </c>
      <c r="P35" s="578">
        <f>N35+O35</f>
        <v>1689979.2257781122</v>
      </c>
      <c r="Q35" s="8">
        <f>A35</f>
        <v>124</v>
      </c>
    </row>
    <row r="36" spans="1:17" ht="30" x14ac:dyDescent="0.25">
      <c r="A36" s="8">
        <f>A35+1</f>
        <v>125</v>
      </c>
      <c r="B36" s="265">
        <v>573</v>
      </c>
      <c r="C36" s="71" t="s">
        <v>1771</v>
      </c>
      <c r="D36" s="57">
        <v>94374.46</v>
      </c>
      <c r="E36" s="57">
        <v>1584301.4100000001</v>
      </c>
      <c r="F36" s="269">
        <f>D36+E36</f>
        <v>1678675.87</v>
      </c>
      <c r="G36" s="57">
        <v>0</v>
      </c>
      <c r="H36" s="57">
        <v>-25534.36</v>
      </c>
      <c r="I36" s="269">
        <f>G36+H36</f>
        <v>-25534.36</v>
      </c>
      <c r="J36" s="269">
        <f>D36+G36</f>
        <v>94374.46</v>
      </c>
      <c r="K36" s="269">
        <f>E36+H36</f>
        <v>1558767.05</v>
      </c>
      <c r="L36" s="269">
        <f>J36+K36</f>
        <v>1653141.51</v>
      </c>
      <c r="M36" s="579">
        <f>'24-Allocators'!$C$38</f>
        <v>0.94801052848647183</v>
      </c>
      <c r="N36" s="578">
        <f>J36*M36</f>
        <v>89467.981700225399</v>
      </c>
      <c r="O36" s="578">
        <f>K36*M36</f>
        <v>1477727.5748577986</v>
      </c>
      <c r="P36" s="578">
        <f>N36+O36</f>
        <v>1567195.5565580241</v>
      </c>
      <c r="Q36" s="8">
        <f>A36</f>
        <v>125</v>
      </c>
    </row>
    <row r="37" spans="1:17" x14ac:dyDescent="0.25">
      <c r="C37" s="30"/>
      <c r="D37" s="70"/>
      <c r="E37" s="70"/>
      <c r="F37" s="577"/>
      <c r="G37" s="70"/>
      <c r="H37" s="70"/>
      <c r="I37" s="70"/>
      <c r="J37" s="70"/>
      <c r="K37" s="70"/>
      <c r="L37" s="70"/>
      <c r="M37" s="8"/>
    </row>
    <row r="38" spans="1:17" x14ac:dyDescent="0.25">
      <c r="C38" s="30"/>
      <c r="D38" s="70"/>
      <c r="E38" s="70"/>
      <c r="F38" s="577"/>
      <c r="G38" s="70"/>
      <c r="H38" s="70"/>
      <c r="I38" s="70"/>
      <c r="J38" s="70"/>
      <c r="K38" s="70"/>
      <c r="L38" s="70"/>
      <c r="M38" s="8"/>
    </row>
    <row r="39" spans="1:17" x14ac:dyDescent="0.25">
      <c r="C39" s="30"/>
      <c r="D39" s="70"/>
      <c r="E39" s="70"/>
      <c r="F39" s="577"/>
      <c r="G39" s="70"/>
      <c r="H39" s="70"/>
      <c r="I39" s="70"/>
      <c r="J39" s="70"/>
      <c r="K39" s="70"/>
      <c r="L39" s="70"/>
      <c r="M39" s="8"/>
    </row>
    <row r="40" spans="1:17" x14ac:dyDescent="0.25">
      <c r="B40" s="25" t="s">
        <v>145</v>
      </c>
      <c r="G40" s="49"/>
    </row>
    <row r="41" spans="1:17" x14ac:dyDescent="0.25">
      <c r="B41" s="6" t="s">
        <v>1770</v>
      </c>
    </row>
    <row r="42" spans="1:17" x14ac:dyDescent="0.25">
      <c r="B42" s="6" t="s">
        <v>1769</v>
      </c>
    </row>
    <row r="43" spans="1:17" x14ac:dyDescent="0.25">
      <c r="B43" s="430"/>
      <c r="C43" s="430"/>
      <c r="D43" s="430"/>
      <c r="E43" s="430"/>
      <c r="F43" s="430"/>
      <c r="G43" s="430"/>
      <c r="H43" s="430"/>
      <c r="I43" s="430"/>
      <c r="J43" s="430"/>
      <c r="K43" s="430"/>
      <c r="L43" s="430"/>
    </row>
    <row r="44" spans="1:17" x14ac:dyDescent="0.25">
      <c r="B44" s="430"/>
      <c r="C44" s="430"/>
      <c r="D44" s="430"/>
      <c r="E44" s="430"/>
      <c r="F44" s="430"/>
      <c r="G44" s="430"/>
      <c r="H44" s="430"/>
      <c r="I44" s="430"/>
      <c r="J44" s="430"/>
      <c r="K44" s="430"/>
      <c r="L44" s="430"/>
    </row>
    <row r="45" spans="1:17" x14ac:dyDescent="0.25">
      <c r="B45" s="6" t="s">
        <v>1768</v>
      </c>
    </row>
    <row r="46" spans="1:17" x14ac:dyDescent="0.25">
      <c r="B46" s="89" t="s">
        <v>83</v>
      </c>
      <c r="C46" s="89"/>
      <c r="D46" s="89"/>
      <c r="E46" s="89"/>
      <c r="F46" s="89"/>
      <c r="G46" s="89"/>
      <c r="H46" s="89"/>
      <c r="I46" s="89"/>
      <c r="J46" s="89"/>
      <c r="K46" s="89"/>
      <c r="L46" s="89"/>
    </row>
  </sheetData>
  <printOptions horizontalCentered="1"/>
  <pageMargins left="1" right="1" top="1" bottom="1" header="0.5" footer="0.5"/>
  <pageSetup scale="38" fitToHeight="0" orientation="landscape" r:id="rId1"/>
  <headerFooter>
    <oddHeader>&amp;R&amp;F</oddHeader>
  </headerFooter>
  <customProperties>
    <customPr name="_pios_id" r:id="rId2"/>
  </customPropertie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76B57B-6C93-4420-82D8-72F1F6218663}">
  <sheetPr>
    <pageSetUpPr fitToPage="1"/>
  </sheetPr>
  <dimension ref="A1:AB97"/>
  <sheetViews>
    <sheetView view="pageBreakPreview" topLeftCell="A76" zoomScale="90" zoomScaleNormal="69" zoomScaleSheetLayoutView="90" workbookViewId="0">
      <selection activeCell="Q36" sqref="Q36"/>
    </sheetView>
  </sheetViews>
  <sheetFormatPr defaultColWidth="9.140625" defaultRowHeight="15" x14ac:dyDescent="0.25"/>
  <cols>
    <col min="1" max="1" width="7.140625" style="121" bestFit="1" customWidth="1"/>
    <col min="2" max="2" width="2.85546875" style="121" customWidth="1"/>
    <col min="3" max="3" width="14" style="121" customWidth="1"/>
    <col min="4" max="4" width="61.85546875" style="121" customWidth="1"/>
    <col min="5" max="5" width="22.42578125" style="121" customWidth="1"/>
    <col min="6" max="6" width="25.140625" style="121" customWidth="1"/>
    <col min="7" max="7" width="23.42578125" style="121" customWidth="1"/>
    <col min="8" max="8" width="26" style="121" customWidth="1"/>
    <col min="9" max="9" width="23" style="225" customWidth="1"/>
    <col min="10" max="10" width="21.85546875" style="121" customWidth="1"/>
    <col min="11" max="11" width="24.42578125" style="121" customWidth="1"/>
    <col min="12" max="12" width="25" style="121" bestFit="1" customWidth="1"/>
    <col min="13" max="13" width="25" style="121" customWidth="1"/>
    <col min="14" max="14" width="15.140625" style="121" bestFit="1" customWidth="1"/>
    <col min="15" max="15" width="8.28515625" style="121" customWidth="1"/>
    <col min="16" max="16" width="10.85546875" style="121" bestFit="1" customWidth="1"/>
    <col min="17" max="16384" width="9.140625" style="121"/>
  </cols>
  <sheetData>
    <row r="1" spans="1:28" x14ac:dyDescent="0.25">
      <c r="B1" s="125" t="s">
        <v>1928</v>
      </c>
    </row>
    <row r="2" spans="1:28" x14ac:dyDescent="0.25">
      <c r="A2" s="125"/>
      <c r="B2" s="125" t="s">
        <v>32</v>
      </c>
      <c r="N2" s="76" t="s">
        <v>1927</v>
      </c>
      <c r="O2" s="125"/>
    </row>
    <row r="3" spans="1:28" x14ac:dyDescent="0.25">
      <c r="A3" s="125"/>
      <c r="B3" s="651" t="s">
        <v>1926</v>
      </c>
      <c r="C3" s="230"/>
      <c r="D3" s="230"/>
      <c r="K3" s="124"/>
      <c r="L3" s="149"/>
      <c r="M3" s="149"/>
      <c r="O3" s="125"/>
    </row>
    <row r="4" spans="1:28" x14ac:dyDescent="0.25">
      <c r="A4" s="125"/>
      <c r="K4" s="149"/>
      <c r="L4" s="149"/>
      <c r="M4" s="149"/>
      <c r="O4" s="125"/>
    </row>
    <row r="5" spans="1:28" x14ac:dyDescent="0.25">
      <c r="A5" s="226" t="s">
        <v>1266</v>
      </c>
      <c r="K5" s="149"/>
      <c r="L5" s="149"/>
      <c r="M5" s="149"/>
      <c r="O5" s="226" t="s">
        <v>1266</v>
      </c>
    </row>
    <row r="6" spans="1:28" x14ac:dyDescent="0.25">
      <c r="A6" s="124">
        <v>100</v>
      </c>
      <c r="C6" s="125" t="s">
        <v>1925</v>
      </c>
      <c r="E6" s="229" t="s">
        <v>492</v>
      </c>
      <c r="F6" s="229" t="s">
        <v>491</v>
      </c>
      <c r="G6" s="226" t="s">
        <v>490</v>
      </c>
      <c r="H6" s="226" t="s">
        <v>489</v>
      </c>
      <c r="I6" s="226" t="s">
        <v>1924</v>
      </c>
      <c r="O6" s="124">
        <f>A6</f>
        <v>100</v>
      </c>
    </row>
    <row r="7" spans="1:28" x14ac:dyDescent="0.25">
      <c r="A7" s="124">
        <f>A6+1</f>
        <v>101</v>
      </c>
      <c r="G7" s="124" t="s">
        <v>1332</v>
      </c>
      <c r="I7" s="121"/>
      <c r="O7" s="124">
        <f>A7</f>
        <v>101</v>
      </c>
    </row>
    <row r="8" spans="1:28" x14ac:dyDescent="0.25">
      <c r="A8" s="124">
        <f>A7+1</f>
        <v>102</v>
      </c>
      <c r="E8" s="124" t="s">
        <v>821</v>
      </c>
      <c r="F8" s="124" t="s">
        <v>1923</v>
      </c>
      <c r="G8" s="124" t="s">
        <v>1922</v>
      </c>
      <c r="I8" s="124" t="s">
        <v>1921</v>
      </c>
      <c r="O8" s="124">
        <f>A8</f>
        <v>102</v>
      </c>
    </row>
    <row r="9" spans="1:28" x14ac:dyDescent="0.25">
      <c r="A9" s="124">
        <f>A8+1</f>
        <v>103</v>
      </c>
      <c r="B9" s="226"/>
      <c r="C9" s="226" t="s">
        <v>1920</v>
      </c>
      <c r="D9" s="226" t="s">
        <v>79</v>
      </c>
      <c r="E9" s="226" t="s">
        <v>672</v>
      </c>
      <c r="F9" s="226" t="s">
        <v>154</v>
      </c>
      <c r="G9" s="226" t="s">
        <v>1919</v>
      </c>
      <c r="H9" s="226" t="s">
        <v>671</v>
      </c>
      <c r="I9" s="226" t="s">
        <v>202</v>
      </c>
      <c r="O9" s="124">
        <f>A9</f>
        <v>103</v>
      </c>
      <c r="P9" s="226"/>
      <c r="Q9" s="226"/>
      <c r="R9" s="226"/>
      <c r="S9" s="226"/>
      <c r="T9" s="226"/>
      <c r="U9" s="226"/>
      <c r="V9" s="226"/>
      <c r="W9" s="226"/>
      <c r="X9" s="226"/>
      <c r="Y9" s="226"/>
      <c r="Z9" s="226"/>
      <c r="AA9" s="226"/>
      <c r="AB9" s="226"/>
    </row>
    <row r="10" spans="1:28" x14ac:dyDescent="0.25">
      <c r="A10" s="124">
        <f>A9+1</f>
        <v>104</v>
      </c>
      <c r="C10" s="149">
        <v>920</v>
      </c>
      <c r="D10" s="121" t="s">
        <v>1842</v>
      </c>
      <c r="E10" s="464">
        <v>506897365</v>
      </c>
      <c r="F10" s="149" t="s">
        <v>1918</v>
      </c>
      <c r="G10" s="464">
        <v>7799403.2387979124</v>
      </c>
      <c r="H10" s="121" t="s">
        <v>1917</v>
      </c>
      <c r="I10" s="131">
        <f>E10-G10</f>
        <v>499097961.7612021</v>
      </c>
      <c r="O10" s="124">
        <f>A10</f>
        <v>104</v>
      </c>
    </row>
    <row r="11" spans="1:28" x14ac:dyDescent="0.25">
      <c r="A11" s="124">
        <f>A10+1</f>
        <v>105</v>
      </c>
      <c r="C11" s="149">
        <v>921</v>
      </c>
      <c r="D11" s="121" t="s">
        <v>1841</v>
      </c>
      <c r="E11" s="464">
        <v>38268856</v>
      </c>
      <c r="F11" s="149" t="s">
        <v>1916</v>
      </c>
      <c r="G11" s="464">
        <v>12592784.075394727</v>
      </c>
      <c r="H11" s="121" t="s">
        <v>1915</v>
      </c>
      <c r="I11" s="131">
        <f>E11-G11</f>
        <v>25676071.924605273</v>
      </c>
      <c r="O11" s="124">
        <f>A11</f>
        <v>105</v>
      </c>
    </row>
    <row r="12" spans="1:28" x14ac:dyDescent="0.25">
      <c r="A12" s="124">
        <f>A11+1</f>
        <v>106</v>
      </c>
      <c r="C12" s="149">
        <v>922</v>
      </c>
      <c r="D12" s="121" t="s">
        <v>1840</v>
      </c>
      <c r="E12" s="464">
        <v>-155206832</v>
      </c>
      <c r="F12" s="149" t="s">
        <v>1914</v>
      </c>
      <c r="G12" s="464">
        <v>0</v>
      </c>
      <c r="H12" s="121" t="s">
        <v>1913</v>
      </c>
      <c r="I12" s="131">
        <f>E12-G12</f>
        <v>-155206832</v>
      </c>
      <c r="O12" s="124">
        <f>A12</f>
        <v>106</v>
      </c>
    </row>
    <row r="13" spans="1:28" x14ac:dyDescent="0.25">
      <c r="A13" s="124">
        <f>A12+1</f>
        <v>107</v>
      </c>
      <c r="B13" s="124"/>
      <c r="C13" s="149">
        <v>923</v>
      </c>
      <c r="D13" s="121" t="s">
        <v>1839</v>
      </c>
      <c r="E13" s="464">
        <v>282159023</v>
      </c>
      <c r="F13" s="149" t="s">
        <v>1912</v>
      </c>
      <c r="G13" s="464">
        <v>60943704.753223971</v>
      </c>
      <c r="H13" s="121" t="s">
        <v>1911</v>
      </c>
      <c r="I13" s="131">
        <f>E13-G13</f>
        <v>221215318.24677604</v>
      </c>
      <c r="O13" s="124">
        <f>A13</f>
        <v>107</v>
      </c>
    </row>
    <row r="14" spans="1:28" x14ac:dyDescent="0.25">
      <c r="A14" s="124">
        <f>A13+1</f>
        <v>108</v>
      </c>
      <c r="B14" s="124"/>
      <c r="C14" s="149">
        <v>924</v>
      </c>
      <c r="D14" s="121" t="s">
        <v>1252</v>
      </c>
      <c r="E14" s="464">
        <v>21740562</v>
      </c>
      <c r="F14" s="149" t="s">
        <v>1910</v>
      </c>
      <c r="G14" s="464">
        <v>-286724.52999999997</v>
      </c>
      <c r="H14" s="121" t="s">
        <v>1909</v>
      </c>
      <c r="I14" s="131">
        <f>E14-G14</f>
        <v>22027286.530000001</v>
      </c>
      <c r="O14" s="124">
        <f>A14</f>
        <v>108</v>
      </c>
    </row>
    <row r="15" spans="1:28" x14ac:dyDescent="0.25">
      <c r="A15" s="124">
        <f>A14+1</f>
        <v>109</v>
      </c>
      <c r="B15" s="124"/>
      <c r="C15" s="149">
        <v>925</v>
      </c>
      <c r="D15" s="121" t="s">
        <v>1405</v>
      </c>
      <c r="E15" s="464">
        <v>378481107</v>
      </c>
      <c r="F15" s="149" t="s">
        <v>1908</v>
      </c>
      <c r="G15" s="464">
        <v>658188404.23199999</v>
      </c>
      <c r="H15" s="121" t="s">
        <v>1907</v>
      </c>
      <c r="I15" s="131">
        <f>E15-G15</f>
        <v>-279707297.23199999</v>
      </c>
      <c r="O15" s="124">
        <f>A15</f>
        <v>109</v>
      </c>
    </row>
    <row r="16" spans="1:28" x14ac:dyDescent="0.25">
      <c r="A16" s="124">
        <f>A15+1</f>
        <v>110</v>
      </c>
      <c r="B16" s="124"/>
      <c r="C16" s="149">
        <v>926</v>
      </c>
      <c r="D16" s="121" t="s">
        <v>1838</v>
      </c>
      <c r="E16" s="464">
        <v>434692521</v>
      </c>
      <c r="F16" s="149" t="s">
        <v>1906</v>
      </c>
      <c r="G16" s="464">
        <v>2567666.9966113642</v>
      </c>
      <c r="H16" s="121" t="s">
        <v>1905</v>
      </c>
      <c r="I16" s="131">
        <f>E16-G16</f>
        <v>432124854.00338864</v>
      </c>
      <c r="O16" s="124">
        <f>A16</f>
        <v>110</v>
      </c>
    </row>
    <row r="17" spans="1:15" x14ac:dyDescent="0.25">
      <c r="A17" s="124">
        <f>A16+1</f>
        <v>111</v>
      </c>
      <c r="B17" s="124"/>
      <c r="C17" s="149">
        <v>927</v>
      </c>
      <c r="D17" s="121" t="s">
        <v>1837</v>
      </c>
      <c r="E17" s="464">
        <v>130079982</v>
      </c>
      <c r="F17" s="149" t="s">
        <v>1904</v>
      </c>
      <c r="G17" s="464">
        <v>130079982.28</v>
      </c>
      <c r="H17" s="121" t="s">
        <v>1903</v>
      </c>
      <c r="I17" s="131">
        <f>E17-G17</f>
        <v>-0.2800000011920929</v>
      </c>
      <c r="O17" s="124">
        <f>A17</f>
        <v>111</v>
      </c>
    </row>
    <row r="18" spans="1:15" x14ac:dyDescent="0.25">
      <c r="A18" s="124">
        <f>A17+1</f>
        <v>112</v>
      </c>
      <c r="B18" s="124"/>
      <c r="C18" s="149">
        <v>928</v>
      </c>
      <c r="D18" s="121" t="s">
        <v>1836</v>
      </c>
      <c r="E18" s="464">
        <v>3202582</v>
      </c>
      <c r="F18" s="149" t="s">
        <v>1902</v>
      </c>
      <c r="G18" s="464">
        <v>2712866.88</v>
      </c>
      <c r="H18" s="121" t="s">
        <v>1901</v>
      </c>
      <c r="I18" s="131">
        <f>E18-G18</f>
        <v>489715.12000000011</v>
      </c>
      <c r="O18" s="124">
        <f>A18</f>
        <v>112</v>
      </c>
    </row>
    <row r="19" spans="1:15" x14ac:dyDescent="0.25">
      <c r="A19" s="124">
        <f>A18+1</f>
        <v>113</v>
      </c>
      <c r="B19" s="124"/>
      <c r="C19" s="149">
        <v>929</v>
      </c>
      <c r="D19" s="121" t="s">
        <v>1835</v>
      </c>
      <c r="E19" s="464">
        <v>0</v>
      </c>
      <c r="F19" s="149" t="s">
        <v>1900</v>
      </c>
      <c r="G19" s="464">
        <v>0</v>
      </c>
      <c r="H19" s="651" t="s">
        <v>1331</v>
      </c>
      <c r="I19" s="131">
        <f>E19-G19</f>
        <v>0</v>
      </c>
      <c r="O19" s="124">
        <f>A19</f>
        <v>113</v>
      </c>
    </row>
    <row r="20" spans="1:15" x14ac:dyDescent="0.25">
      <c r="A20" s="124">
        <f>A19+1</f>
        <v>114</v>
      </c>
      <c r="B20" s="124"/>
      <c r="C20" s="149">
        <v>930.1</v>
      </c>
      <c r="D20" s="121" t="s">
        <v>1834</v>
      </c>
      <c r="E20" s="464">
        <v>0</v>
      </c>
      <c r="F20" s="149" t="s">
        <v>1899</v>
      </c>
      <c r="G20" s="464">
        <v>0</v>
      </c>
      <c r="H20" s="121" t="s">
        <v>1897</v>
      </c>
      <c r="I20" s="131">
        <f>E20-G20</f>
        <v>0</v>
      </c>
      <c r="O20" s="124">
        <f>A20</f>
        <v>114</v>
      </c>
    </row>
    <row r="21" spans="1:15" x14ac:dyDescent="0.25">
      <c r="A21" s="124">
        <f>A20+1</f>
        <v>115</v>
      </c>
      <c r="B21" s="124"/>
      <c r="C21" s="149">
        <v>930.2</v>
      </c>
      <c r="D21" s="121" t="s">
        <v>1833</v>
      </c>
      <c r="E21" s="464">
        <v>-5234716</v>
      </c>
      <c r="F21" s="149" t="s">
        <v>1898</v>
      </c>
      <c r="G21" s="464">
        <v>-4607661.7200000351</v>
      </c>
      <c r="H21" s="121" t="s">
        <v>1897</v>
      </c>
      <c r="I21" s="131">
        <f>E21-G21</f>
        <v>-627054.27999996487</v>
      </c>
      <c r="O21" s="124">
        <f>A21</f>
        <v>115</v>
      </c>
    </row>
    <row r="22" spans="1:15" x14ac:dyDescent="0.25">
      <c r="A22" s="124">
        <f>A21+1</f>
        <v>116</v>
      </c>
      <c r="B22" s="124"/>
      <c r="C22" s="149">
        <v>931</v>
      </c>
      <c r="D22" s="121" t="s">
        <v>1781</v>
      </c>
      <c r="E22" s="464">
        <v>33114692</v>
      </c>
      <c r="F22" s="149" t="s">
        <v>1896</v>
      </c>
      <c r="G22" s="650">
        <v>-966647.12999999989</v>
      </c>
      <c r="H22" s="121" t="s">
        <v>1895</v>
      </c>
      <c r="I22" s="131">
        <f>E22-G22</f>
        <v>34081339.130000003</v>
      </c>
      <c r="O22" s="124">
        <f>A22</f>
        <v>116</v>
      </c>
    </row>
    <row r="23" spans="1:15" x14ac:dyDescent="0.25">
      <c r="A23" s="124">
        <f>A22+1</f>
        <v>117</v>
      </c>
      <c r="B23" s="124"/>
      <c r="C23" s="149">
        <v>935</v>
      </c>
      <c r="D23" s="121" t="s">
        <v>1832</v>
      </c>
      <c r="E23" s="464">
        <v>4303233</v>
      </c>
      <c r="F23" s="149" t="s">
        <v>1894</v>
      </c>
      <c r="G23" s="464">
        <v>-7.0499999999999989</v>
      </c>
      <c r="H23" s="121" t="s">
        <v>1893</v>
      </c>
      <c r="I23" s="131">
        <f>E23-G23</f>
        <v>4303240.05</v>
      </c>
      <c r="O23" s="124">
        <f>A23</f>
        <v>117</v>
      </c>
    </row>
    <row r="24" spans="1:15" x14ac:dyDescent="0.25">
      <c r="A24" s="124">
        <f>A23+1</f>
        <v>118</v>
      </c>
      <c r="B24" s="124"/>
      <c r="C24" s="149">
        <v>935.1</v>
      </c>
      <c r="D24" s="121" t="s">
        <v>1778</v>
      </c>
      <c r="E24" s="464">
        <v>0</v>
      </c>
      <c r="F24" s="149" t="s">
        <v>1892</v>
      </c>
      <c r="G24" s="464">
        <v>0</v>
      </c>
      <c r="H24" s="121" t="s">
        <v>1891</v>
      </c>
      <c r="I24" s="131">
        <f>E24-G24</f>
        <v>0</v>
      </c>
      <c r="O24" s="124">
        <f>A24</f>
        <v>118</v>
      </c>
    </row>
    <row r="25" spans="1:15" x14ac:dyDescent="0.25">
      <c r="A25" s="124">
        <f>A24+1</f>
        <v>119</v>
      </c>
      <c r="B25" s="124"/>
      <c r="C25" s="149">
        <v>935.2</v>
      </c>
      <c r="D25" s="121" t="s">
        <v>1777</v>
      </c>
      <c r="E25" s="464">
        <v>93093455</v>
      </c>
      <c r="F25" s="149" t="s">
        <v>1890</v>
      </c>
      <c r="G25" s="464">
        <v>598280.16</v>
      </c>
      <c r="H25" s="121" t="s">
        <v>1889</v>
      </c>
      <c r="I25" s="131">
        <f>E25-G25</f>
        <v>92495174.840000004</v>
      </c>
      <c r="O25" s="124">
        <f>A25</f>
        <v>119</v>
      </c>
    </row>
    <row r="26" spans="1:15" x14ac:dyDescent="0.25">
      <c r="A26" s="124">
        <f>A25+1</f>
        <v>120</v>
      </c>
      <c r="B26" s="124"/>
      <c r="C26" s="149">
        <v>935.3</v>
      </c>
      <c r="D26" s="121" t="s">
        <v>1776</v>
      </c>
      <c r="E26" s="649">
        <v>0</v>
      </c>
      <c r="F26" s="149" t="s">
        <v>1888</v>
      </c>
      <c r="G26" s="649">
        <v>0</v>
      </c>
      <c r="H26" s="121" t="s">
        <v>1887</v>
      </c>
      <c r="I26" s="648">
        <f>E26-G26</f>
        <v>0</v>
      </c>
      <c r="O26" s="124">
        <f>A26</f>
        <v>120</v>
      </c>
    </row>
    <row r="27" spans="1:15" s="125" customFormat="1" x14ac:dyDescent="0.25">
      <c r="A27" s="124">
        <f>A26+1</f>
        <v>121</v>
      </c>
      <c r="D27" s="647" t="s">
        <v>1886</v>
      </c>
      <c r="E27" s="624">
        <f>SUM(E10:E26)</f>
        <v>1765591830</v>
      </c>
      <c r="F27" s="149" t="s">
        <v>1885</v>
      </c>
      <c r="G27" s="646">
        <f>SUM(G10:G26)</f>
        <v>869622052.18602788</v>
      </c>
      <c r="I27" s="624">
        <f>SUM(I10:I26)</f>
        <v>895969777.813972</v>
      </c>
      <c r="O27" s="124">
        <f>A27</f>
        <v>121</v>
      </c>
    </row>
    <row r="28" spans="1:15" x14ac:dyDescent="0.25">
      <c r="A28" s="124"/>
      <c r="I28" s="613"/>
      <c r="O28" s="124"/>
    </row>
    <row r="29" spans="1:15" x14ac:dyDescent="0.25">
      <c r="A29" s="124">
        <v>200</v>
      </c>
      <c r="C29" s="125" t="s">
        <v>1884</v>
      </c>
      <c r="I29" s="613"/>
      <c r="O29" s="124">
        <f>A29</f>
        <v>200</v>
      </c>
    </row>
    <row r="30" spans="1:15" x14ac:dyDescent="0.25">
      <c r="A30" s="124">
        <f>A29+1</f>
        <v>201</v>
      </c>
      <c r="D30" s="638" t="s">
        <v>1883</v>
      </c>
      <c r="E30" s="645"/>
      <c r="F30" s="644" t="s">
        <v>672</v>
      </c>
      <c r="G30" s="644" t="s">
        <v>154</v>
      </c>
      <c r="H30" s="643"/>
      <c r="I30" s="642"/>
      <c r="K30" s="126"/>
      <c r="O30" s="124">
        <f>A30</f>
        <v>201</v>
      </c>
    </row>
    <row r="31" spans="1:15" x14ac:dyDescent="0.25">
      <c r="A31" s="124">
        <f>A30+1</f>
        <v>202</v>
      </c>
      <c r="D31" s="625"/>
      <c r="E31" s="225" t="s">
        <v>1882</v>
      </c>
      <c r="F31" s="131">
        <f>I27</f>
        <v>895969777.813972</v>
      </c>
      <c r="G31" s="122" t="s">
        <v>1881</v>
      </c>
      <c r="H31" s="623"/>
      <c r="I31" s="613"/>
      <c r="O31" s="124">
        <f>A31</f>
        <v>202</v>
      </c>
    </row>
    <row r="32" spans="1:15" x14ac:dyDescent="0.25">
      <c r="A32" s="124">
        <f>A31+1</f>
        <v>203</v>
      </c>
      <c r="D32" s="625"/>
      <c r="E32" s="225" t="s">
        <v>1880</v>
      </c>
      <c r="F32" s="131">
        <f>I14</f>
        <v>22027286.530000001</v>
      </c>
      <c r="G32" s="122" t="s">
        <v>1879</v>
      </c>
      <c r="H32" s="632"/>
      <c r="I32" s="626"/>
      <c r="J32" s="48"/>
      <c r="O32" s="124">
        <f>A32</f>
        <v>203</v>
      </c>
    </row>
    <row r="33" spans="1:15" x14ac:dyDescent="0.25">
      <c r="A33" s="124">
        <f>A32+1</f>
        <v>204</v>
      </c>
      <c r="D33" s="641"/>
      <c r="E33" s="641" t="s">
        <v>1878</v>
      </c>
      <c r="F33" s="464">
        <v>-302934940.03200006</v>
      </c>
      <c r="G33" s="122" t="s">
        <v>1877</v>
      </c>
      <c r="H33" s="632"/>
      <c r="I33" s="626"/>
      <c r="O33" s="124">
        <f>A33</f>
        <v>204</v>
      </c>
    </row>
    <row r="34" spans="1:15" x14ac:dyDescent="0.25">
      <c r="A34" s="124">
        <f>A33+1</f>
        <v>205</v>
      </c>
      <c r="D34" s="625"/>
      <c r="E34" s="225" t="s">
        <v>1876</v>
      </c>
      <c r="F34" s="640">
        <f>F31-F32-F33</f>
        <v>1176877431.3159721</v>
      </c>
      <c r="G34" s="122" t="s">
        <v>1875</v>
      </c>
      <c r="H34" s="623"/>
      <c r="I34" s="613"/>
      <c r="O34" s="124">
        <f>A34</f>
        <v>205</v>
      </c>
    </row>
    <row r="35" spans="1:15" x14ac:dyDescent="0.25">
      <c r="A35" s="124">
        <f>A34+1</f>
        <v>206</v>
      </c>
      <c r="D35" s="625"/>
      <c r="E35" s="225" t="s">
        <v>1874</v>
      </c>
      <c r="F35" s="50">
        <f>'24-Allocators'!C24</f>
        <v>0.13186927386932037</v>
      </c>
      <c r="G35" s="122" t="s">
        <v>269</v>
      </c>
      <c r="H35" s="623"/>
      <c r="I35" s="633"/>
      <c r="O35" s="124">
        <f>A35</f>
        <v>206</v>
      </c>
    </row>
    <row r="36" spans="1:15" x14ac:dyDescent="0.25">
      <c r="A36" s="124">
        <f>A35+1</f>
        <v>207</v>
      </c>
      <c r="D36" s="618"/>
      <c r="E36" s="617" t="s">
        <v>1873</v>
      </c>
      <c r="F36" s="639">
        <f>F34*F35</f>
        <v>155193972.30082819</v>
      </c>
      <c r="G36" s="615" t="s">
        <v>1872</v>
      </c>
      <c r="H36" s="614"/>
      <c r="I36" s="613"/>
      <c r="O36" s="124">
        <f>A36</f>
        <v>207</v>
      </c>
    </row>
    <row r="37" spans="1:15" x14ac:dyDescent="0.25">
      <c r="A37" s="124">
        <f>A36+1</f>
        <v>208</v>
      </c>
      <c r="D37" s="638" t="s">
        <v>1871</v>
      </c>
      <c r="E37" s="630"/>
      <c r="F37" s="629"/>
      <c r="G37" s="628"/>
      <c r="H37" s="637"/>
      <c r="I37" s="613"/>
      <c r="O37" s="124">
        <f>A37</f>
        <v>208</v>
      </c>
    </row>
    <row r="38" spans="1:15" x14ac:dyDescent="0.25">
      <c r="A38" s="124">
        <f>A37+1</f>
        <v>209</v>
      </c>
      <c r="D38" s="625"/>
      <c r="E38" s="225" t="s">
        <v>1870</v>
      </c>
      <c r="F38" s="131">
        <f>F32</f>
        <v>22027286.530000001</v>
      </c>
      <c r="G38" s="122" t="s">
        <v>1869</v>
      </c>
      <c r="H38" s="632"/>
      <c r="I38" s="626"/>
      <c r="O38" s="124">
        <f>A38</f>
        <v>209</v>
      </c>
    </row>
    <row r="39" spans="1:15" x14ac:dyDescent="0.25">
      <c r="A39" s="124">
        <f>A38+1</f>
        <v>210</v>
      </c>
      <c r="D39" s="625"/>
      <c r="E39" s="225" t="s">
        <v>1868</v>
      </c>
      <c r="F39" s="50">
        <f>'24-Allocators'!C34</f>
        <v>0.20526315623584498</v>
      </c>
      <c r="G39" s="122" t="s">
        <v>1867</v>
      </c>
      <c r="H39" s="634"/>
      <c r="I39" s="633"/>
      <c r="O39" s="124">
        <f>A39</f>
        <v>210</v>
      </c>
    </row>
    <row r="40" spans="1:15" x14ac:dyDescent="0.25">
      <c r="A40" s="124">
        <f>A39+1</f>
        <v>211</v>
      </c>
      <c r="D40" s="618"/>
      <c r="E40" s="617" t="s">
        <v>1866</v>
      </c>
      <c r="F40" s="616">
        <f>F39*F38</f>
        <v>4521390.3564591138</v>
      </c>
      <c r="G40" s="615" t="str">
        <f>"Line "&amp;A38&amp;" * Line "&amp;A39&amp;""</f>
        <v>Line 209 * Line 210</v>
      </c>
      <c r="H40" s="636"/>
      <c r="I40" s="626"/>
      <c r="O40" s="124">
        <f>A40</f>
        <v>211</v>
      </c>
    </row>
    <row r="41" spans="1:15" x14ac:dyDescent="0.25">
      <c r="A41" s="124">
        <f>A40+1</f>
        <v>212</v>
      </c>
      <c r="D41" s="635" t="s">
        <v>1865</v>
      </c>
      <c r="E41" s="225"/>
      <c r="F41" s="132"/>
      <c r="G41" s="122"/>
      <c r="H41" s="632"/>
      <c r="I41" s="626"/>
      <c r="J41" s="131"/>
      <c r="O41" s="124">
        <f>A41</f>
        <v>212</v>
      </c>
    </row>
    <row r="42" spans="1:15" x14ac:dyDescent="0.25">
      <c r="A42" s="124">
        <f>A41+1</f>
        <v>213</v>
      </c>
      <c r="D42" s="625"/>
      <c r="E42" s="225" t="s">
        <v>1864</v>
      </c>
      <c r="F42" s="624">
        <f>F33</f>
        <v>-302934940.03200006</v>
      </c>
      <c r="G42" s="122" t="s">
        <v>1863</v>
      </c>
      <c r="H42" s="632"/>
      <c r="I42" s="626"/>
      <c r="O42" s="124">
        <f>A42</f>
        <v>213</v>
      </c>
    </row>
    <row r="43" spans="1:15" x14ac:dyDescent="0.25">
      <c r="A43" s="124">
        <f>A42+1</f>
        <v>214</v>
      </c>
      <c r="D43" s="625"/>
      <c r="E43" s="225" t="s">
        <v>1862</v>
      </c>
      <c r="F43" s="50">
        <f>'24-Allocators'!C58</f>
        <v>0.16856621505258268</v>
      </c>
      <c r="G43" s="122" t="s">
        <v>1861</v>
      </c>
      <c r="H43" s="634"/>
      <c r="I43" s="633"/>
      <c r="O43" s="124">
        <f>A43</f>
        <v>214</v>
      </c>
    </row>
    <row r="44" spans="1:15" x14ac:dyDescent="0.25">
      <c r="A44" s="124">
        <f>A43+1</f>
        <v>215</v>
      </c>
      <c r="D44" s="625"/>
      <c r="E44" s="617" t="s">
        <v>1860</v>
      </c>
      <c r="F44" s="616">
        <f>F42*F43</f>
        <v>-51064596.248375364</v>
      </c>
      <c r="G44" s="615" t="str">
        <f>"Line "&amp;A42&amp;" * Line "&amp;A43&amp;""</f>
        <v>Line 213 * Line 214</v>
      </c>
      <c r="H44" s="632"/>
      <c r="I44" s="626"/>
      <c r="O44" s="124">
        <f>A44</f>
        <v>215</v>
      </c>
    </row>
    <row r="45" spans="1:15" x14ac:dyDescent="0.25">
      <c r="A45" s="124">
        <f>A44+1</f>
        <v>216</v>
      </c>
      <c r="D45" s="631"/>
      <c r="E45" s="630"/>
      <c r="F45" s="629"/>
      <c r="G45" s="628"/>
      <c r="H45" s="627"/>
      <c r="I45" s="626"/>
      <c r="O45" s="124">
        <f>A45</f>
        <v>216</v>
      </c>
    </row>
    <row r="46" spans="1:15" x14ac:dyDescent="0.25">
      <c r="A46" s="124">
        <f>A45+1</f>
        <v>217</v>
      </c>
      <c r="D46" s="625"/>
      <c r="E46" s="225" t="s">
        <v>1859</v>
      </c>
      <c r="F46" s="624">
        <f>F44+F40+F36</f>
        <v>108650766.40891194</v>
      </c>
      <c r="G46" s="122" t="str">
        <f>"Line "&amp;A36&amp;" + Line "&amp;A40&amp;" + Line "&amp;A44&amp;""</f>
        <v>Line 207 + Line 211 + Line 215</v>
      </c>
      <c r="H46" s="623"/>
      <c r="I46" s="613"/>
      <c r="O46" s="124">
        <f>A46</f>
        <v>217</v>
      </c>
    </row>
    <row r="47" spans="1:15" ht="14.45" customHeight="1" x14ac:dyDescent="0.25">
      <c r="A47" s="124" t="s">
        <v>1858</v>
      </c>
      <c r="D47" s="622"/>
      <c r="E47" s="622" t="s">
        <v>1857</v>
      </c>
      <c r="F47" s="178">
        <v>0</v>
      </c>
      <c r="G47" s="621"/>
      <c r="H47" s="619" t="s">
        <v>514</v>
      </c>
      <c r="I47" s="613"/>
      <c r="O47" s="124" t="str">
        <f>A47</f>
        <v>218a</v>
      </c>
    </row>
    <row r="48" spans="1:15" ht="21.95" customHeight="1" x14ac:dyDescent="0.25">
      <c r="A48" s="124" t="s">
        <v>1856</v>
      </c>
      <c r="D48" s="620"/>
      <c r="E48" s="225" t="s">
        <v>1855</v>
      </c>
      <c r="F48" s="178">
        <v>-4368614.957606582</v>
      </c>
      <c r="G48" s="23" t="s">
        <v>1854</v>
      </c>
      <c r="H48" s="619" t="s">
        <v>515</v>
      </c>
      <c r="I48" s="613"/>
      <c r="O48" s="124" t="str">
        <f>A48</f>
        <v>218b</v>
      </c>
    </row>
    <row r="49" spans="1:16" ht="12.6" customHeight="1" x14ac:dyDescent="0.25">
      <c r="A49" s="124">
        <v>219</v>
      </c>
      <c r="D49" s="618"/>
      <c r="E49" s="617"/>
      <c r="F49" s="616">
        <f>F46+F47+F48</f>
        <v>104282151.45130536</v>
      </c>
      <c r="G49" s="615" t="str">
        <f>"Line "&amp;A46&amp;" + Line "&amp;A47&amp;" + Line "&amp;A48&amp;""</f>
        <v>Line 217 + Line 218a + Line 218b</v>
      </c>
      <c r="H49" s="614"/>
      <c r="I49" s="613"/>
      <c r="K49" s="131"/>
      <c r="O49" s="124">
        <f>A49</f>
        <v>219</v>
      </c>
    </row>
    <row r="50" spans="1:16" x14ac:dyDescent="0.25">
      <c r="A50" s="124"/>
      <c r="O50" s="124"/>
    </row>
    <row r="51" spans="1:16" s="6" customFormat="1" x14ac:dyDescent="0.25">
      <c r="A51" s="8">
        <v>300</v>
      </c>
      <c r="C51" s="25" t="s">
        <v>1853</v>
      </c>
      <c r="I51" s="185"/>
      <c r="O51" s="124">
        <f>A51</f>
        <v>300</v>
      </c>
    </row>
    <row r="52" spans="1:16" s="6" customFormat="1" x14ac:dyDescent="0.25">
      <c r="A52" s="8">
        <f>A51+1</f>
        <v>301</v>
      </c>
      <c r="E52" s="8"/>
      <c r="F52" s="611" t="s">
        <v>157</v>
      </c>
      <c r="G52" s="611" t="s">
        <v>350</v>
      </c>
      <c r="H52" s="611" t="s">
        <v>536</v>
      </c>
      <c r="I52" s="611" t="s">
        <v>535</v>
      </c>
      <c r="J52" s="611" t="s">
        <v>534</v>
      </c>
      <c r="K52" s="612" t="s">
        <v>533</v>
      </c>
      <c r="L52" s="611" t="s">
        <v>516</v>
      </c>
      <c r="M52" s="611" t="s">
        <v>488</v>
      </c>
      <c r="N52" s="611" t="s">
        <v>487</v>
      </c>
      <c r="O52" s="124">
        <f>A52</f>
        <v>301</v>
      </c>
    </row>
    <row r="53" spans="1:16" s="6" customFormat="1" ht="45" x14ac:dyDescent="0.25">
      <c r="A53" s="608">
        <f>A52+1</f>
        <v>302</v>
      </c>
      <c r="E53" s="610" t="s">
        <v>1852</v>
      </c>
      <c r="F53" s="609" t="s">
        <v>1851</v>
      </c>
      <c r="G53" s="609" t="s">
        <v>1850</v>
      </c>
      <c r="H53" s="609" t="s">
        <v>1849</v>
      </c>
      <c r="I53" s="609" t="s">
        <v>1848</v>
      </c>
      <c r="J53" s="609" t="s">
        <v>1847</v>
      </c>
      <c r="K53" s="609" t="s">
        <v>1846</v>
      </c>
      <c r="L53" s="609" t="s">
        <v>1845</v>
      </c>
      <c r="M53" s="609" t="s">
        <v>1844</v>
      </c>
      <c r="N53" s="609" t="s">
        <v>1843</v>
      </c>
      <c r="O53" s="608">
        <f>A53</f>
        <v>302</v>
      </c>
    </row>
    <row r="54" spans="1:16" s="6" customFormat="1" x14ac:dyDescent="0.25">
      <c r="A54" s="8">
        <f>A53+1</f>
        <v>303</v>
      </c>
      <c r="C54" s="23">
        <v>920</v>
      </c>
      <c r="D54" s="6" t="s">
        <v>1842</v>
      </c>
      <c r="E54" s="24">
        <f>SUM(F54:N54)</f>
        <v>-7799403.2387979124</v>
      </c>
      <c r="F54" s="178">
        <v>-2807189.6</v>
      </c>
      <c r="G54" s="178">
        <v>-3767759.58</v>
      </c>
      <c r="H54" s="178">
        <v>0</v>
      </c>
      <c r="I54" s="178">
        <v>-3753453.4699999895</v>
      </c>
      <c r="J54" s="178">
        <v>2942265.9718682594</v>
      </c>
      <c r="K54" s="178">
        <v>-413266.56066618301</v>
      </c>
      <c r="L54" s="178">
        <v>0</v>
      </c>
      <c r="M54" s="178">
        <v>0</v>
      </c>
      <c r="N54" s="178">
        <v>0</v>
      </c>
      <c r="O54" s="124">
        <f>A54</f>
        <v>303</v>
      </c>
      <c r="P54" s="607"/>
    </row>
    <row r="55" spans="1:16" s="6" customFormat="1" x14ac:dyDescent="0.25">
      <c r="A55" s="8">
        <f>A54+1</f>
        <v>304</v>
      </c>
      <c r="C55" s="23">
        <v>921</v>
      </c>
      <c r="D55" s="6" t="s">
        <v>1841</v>
      </c>
      <c r="E55" s="24">
        <f>SUM(F55:N55)</f>
        <v>-12592784.075394729</v>
      </c>
      <c r="F55" s="178">
        <v>0</v>
      </c>
      <c r="G55" s="178">
        <v>-96564.64</v>
      </c>
      <c r="H55" s="178">
        <v>0</v>
      </c>
      <c r="I55" s="178">
        <v>-1942556.5700000022</v>
      </c>
      <c r="J55" s="178">
        <v>-10545777.53637938</v>
      </c>
      <c r="K55" s="178">
        <v>-7885.329015346595</v>
      </c>
      <c r="L55" s="178">
        <v>0</v>
      </c>
      <c r="M55" s="178">
        <v>0</v>
      </c>
      <c r="N55" s="178">
        <v>0</v>
      </c>
      <c r="O55" s="124">
        <f>A55</f>
        <v>304</v>
      </c>
      <c r="P55" s="607"/>
    </row>
    <row r="56" spans="1:16" s="6" customFormat="1" x14ac:dyDescent="0.25">
      <c r="A56" s="8">
        <f>A55+1</f>
        <v>305</v>
      </c>
      <c r="C56" s="23">
        <v>922</v>
      </c>
      <c r="D56" s="6" t="s">
        <v>1840</v>
      </c>
      <c r="E56" s="24">
        <f>SUM(F56:N56)</f>
        <v>0</v>
      </c>
      <c r="F56" s="178">
        <v>0</v>
      </c>
      <c r="G56" s="178">
        <v>0</v>
      </c>
      <c r="H56" s="178">
        <v>0</v>
      </c>
      <c r="I56" s="178">
        <v>0</v>
      </c>
      <c r="J56" s="178">
        <v>0</v>
      </c>
      <c r="K56" s="178">
        <v>0</v>
      </c>
      <c r="L56" s="178">
        <v>0</v>
      </c>
      <c r="M56" s="178">
        <v>0</v>
      </c>
      <c r="N56" s="178">
        <v>0</v>
      </c>
      <c r="O56" s="124">
        <f>A56</f>
        <v>305</v>
      </c>
      <c r="P56" s="607"/>
    </row>
    <row r="57" spans="1:16" s="6" customFormat="1" x14ac:dyDescent="0.25">
      <c r="A57" s="8">
        <f>A56+1</f>
        <v>306</v>
      </c>
      <c r="C57" s="23">
        <v>923</v>
      </c>
      <c r="D57" s="6" t="s">
        <v>1839</v>
      </c>
      <c r="E57" s="24">
        <f>SUM(F57:N57)</f>
        <v>-60943704.753223985</v>
      </c>
      <c r="F57" s="178">
        <v>-3412173.935653667</v>
      </c>
      <c r="G57" s="178">
        <v>-3469211.6212703758</v>
      </c>
      <c r="H57" s="178">
        <v>-111837.19518211065</v>
      </c>
      <c r="I57" s="178">
        <v>-54892923.664275974</v>
      </c>
      <c r="J57" s="178">
        <v>7775143.656178087</v>
      </c>
      <c r="K57" s="178">
        <v>-9376.8302977487947</v>
      </c>
      <c r="L57" s="178">
        <v>143075.03227780311</v>
      </c>
      <c r="M57" s="178">
        <v>-6966400.1949999994</v>
      </c>
      <c r="N57" s="178">
        <v>0</v>
      </c>
      <c r="O57" s="124">
        <f>A57</f>
        <v>306</v>
      </c>
      <c r="P57" s="607"/>
    </row>
    <row r="58" spans="1:16" s="6" customFormat="1" x14ac:dyDescent="0.25">
      <c r="A58" s="8">
        <f>A57+1</f>
        <v>307</v>
      </c>
      <c r="C58" s="23">
        <v>924</v>
      </c>
      <c r="D58" s="6" t="s">
        <v>1252</v>
      </c>
      <c r="E58" s="24">
        <f>SUM(F58:N58)</f>
        <v>286724.52999999997</v>
      </c>
      <c r="F58" s="178">
        <v>0</v>
      </c>
      <c r="G58" s="178">
        <v>0</v>
      </c>
      <c r="H58" s="178">
        <v>0</v>
      </c>
      <c r="I58" s="178">
        <v>286724.52999999997</v>
      </c>
      <c r="J58" s="178">
        <v>0</v>
      </c>
      <c r="K58" s="178">
        <v>0</v>
      </c>
      <c r="L58" s="178">
        <v>0</v>
      </c>
      <c r="M58" s="178">
        <v>0</v>
      </c>
      <c r="N58" s="178">
        <v>0</v>
      </c>
      <c r="O58" s="124">
        <f>A58</f>
        <v>307</v>
      </c>
      <c r="P58" s="607"/>
    </row>
    <row r="59" spans="1:16" s="6" customFormat="1" x14ac:dyDescent="0.25">
      <c r="A59" s="8">
        <f>A58+1</f>
        <v>308</v>
      </c>
      <c r="C59" s="23">
        <v>925</v>
      </c>
      <c r="D59" s="6" t="s">
        <v>1405</v>
      </c>
      <c r="E59" s="24">
        <f>SUM(F59:N59)</f>
        <v>-658188404.23199999</v>
      </c>
      <c r="F59" s="178">
        <v>0</v>
      </c>
      <c r="G59" s="178">
        <v>0</v>
      </c>
      <c r="H59" s="178">
        <v>795645.89</v>
      </c>
      <c r="I59" s="178">
        <v>139579283.54000008</v>
      </c>
      <c r="J59" s="178">
        <v>-3542477.75</v>
      </c>
      <c r="K59" s="178">
        <v>0</v>
      </c>
      <c r="L59" s="178">
        <v>0</v>
      </c>
      <c r="M59" s="178">
        <v>-73649189.271999985</v>
      </c>
      <c r="N59" s="178">
        <v>-721371666.6400001</v>
      </c>
      <c r="O59" s="124">
        <f>A59</f>
        <v>308</v>
      </c>
      <c r="P59" s="607"/>
    </row>
    <row r="60" spans="1:16" s="6" customFormat="1" x14ac:dyDescent="0.25">
      <c r="A60" s="8">
        <f>A59+1</f>
        <v>309</v>
      </c>
      <c r="C60" s="23">
        <v>926</v>
      </c>
      <c r="D60" s="6" t="s">
        <v>1838</v>
      </c>
      <c r="E60" s="24">
        <f>SUM(F60:N60)</f>
        <v>-2567666.9966113642</v>
      </c>
      <c r="F60" s="178">
        <v>0</v>
      </c>
      <c r="G60" s="178">
        <v>-746739.98230820952</v>
      </c>
      <c r="H60" s="178">
        <v>-1253451.0733676143</v>
      </c>
      <c r="I60" s="178">
        <v>383396.44</v>
      </c>
      <c r="J60" s="178">
        <v>-4.99</v>
      </c>
      <c r="K60" s="178">
        <v>-618307.25170729693</v>
      </c>
      <c r="L60" s="178">
        <v>-332560.13922824332</v>
      </c>
      <c r="M60" s="178">
        <v>0</v>
      </c>
      <c r="N60" s="178">
        <v>0</v>
      </c>
      <c r="O60" s="124">
        <f>A60</f>
        <v>309</v>
      </c>
      <c r="P60" s="607"/>
    </row>
    <row r="61" spans="1:16" s="6" customFormat="1" x14ac:dyDescent="0.25">
      <c r="A61" s="8">
        <f>A60+1</f>
        <v>310</v>
      </c>
      <c r="C61" s="23">
        <v>927</v>
      </c>
      <c r="D61" s="6" t="s">
        <v>1837</v>
      </c>
      <c r="E61" s="24">
        <f>SUM(F61:N61)</f>
        <v>-130079982.28</v>
      </c>
      <c r="F61" s="178">
        <v>0</v>
      </c>
      <c r="G61" s="178">
        <v>0</v>
      </c>
      <c r="H61" s="178">
        <v>0</v>
      </c>
      <c r="I61" s="178">
        <v>-130079982.28</v>
      </c>
      <c r="J61" s="178">
        <v>0</v>
      </c>
      <c r="K61" s="178">
        <v>0</v>
      </c>
      <c r="L61" s="178">
        <v>0</v>
      </c>
      <c r="M61" s="178">
        <v>0</v>
      </c>
      <c r="N61" s="178">
        <v>0</v>
      </c>
      <c r="O61" s="124">
        <f>A61</f>
        <v>310</v>
      </c>
      <c r="P61" s="607"/>
    </row>
    <row r="62" spans="1:16" s="6" customFormat="1" x14ac:dyDescent="0.25">
      <c r="A62" s="8">
        <f>A61+1</f>
        <v>311</v>
      </c>
      <c r="C62" s="23">
        <v>928</v>
      </c>
      <c r="D62" s="6" t="s">
        <v>1836</v>
      </c>
      <c r="E62" s="24">
        <f>SUM(F62:N62)</f>
        <v>-2712866.88</v>
      </c>
      <c r="F62" s="178">
        <v>0</v>
      </c>
      <c r="G62" s="178">
        <v>0</v>
      </c>
      <c r="H62" s="178">
        <v>0</v>
      </c>
      <c r="I62" s="178">
        <v>-2712866.88</v>
      </c>
      <c r="J62" s="178">
        <v>0</v>
      </c>
      <c r="K62" s="178">
        <v>0</v>
      </c>
      <c r="L62" s="178">
        <v>0</v>
      </c>
      <c r="M62" s="178">
        <v>0</v>
      </c>
      <c r="N62" s="178">
        <v>0</v>
      </c>
      <c r="O62" s="124">
        <f>A62</f>
        <v>311</v>
      </c>
      <c r="P62" s="607"/>
    </row>
    <row r="63" spans="1:16" s="6" customFormat="1" x14ac:dyDescent="0.25">
      <c r="A63" s="8">
        <f>A62+1</f>
        <v>312</v>
      </c>
      <c r="C63" s="23">
        <v>929</v>
      </c>
      <c r="D63" s="6" t="s">
        <v>1835</v>
      </c>
      <c r="E63" s="24">
        <f>SUM(F63:N63)</f>
        <v>0</v>
      </c>
      <c r="F63" s="178">
        <v>0</v>
      </c>
      <c r="G63" s="178">
        <v>0</v>
      </c>
      <c r="H63" s="178">
        <v>0</v>
      </c>
      <c r="I63" s="178">
        <v>0</v>
      </c>
      <c r="J63" s="178">
        <v>0</v>
      </c>
      <c r="K63" s="178">
        <v>0</v>
      </c>
      <c r="L63" s="178">
        <v>0</v>
      </c>
      <c r="M63" s="178">
        <v>0</v>
      </c>
      <c r="N63" s="178">
        <v>0</v>
      </c>
      <c r="O63" s="124">
        <f>A63</f>
        <v>312</v>
      </c>
      <c r="P63" s="607"/>
    </row>
    <row r="64" spans="1:16" s="6" customFormat="1" x14ac:dyDescent="0.25">
      <c r="A64" s="8">
        <f>A63+1</f>
        <v>313</v>
      </c>
      <c r="C64" s="23">
        <v>930.1</v>
      </c>
      <c r="D64" s="6" t="s">
        <v>1834</v>
      </c>
      <c r="E64" s="24">
        <f>SUM(F64:N64)</f>
        <v>0</v>
      </c>
      <c r="F64" s="178">
        <v>0</v>
      </c>
      <c r="G64" s="178">
        <v>0</v>
      </c>
      <c r="H64" s="178">
        <v>0</v>
      </c>
      <c r="I64" s="178">
        <v>0</v>
      </c>
      <c r="J64" s="178">
        <v>0</v>
      </c>
      <c r="K64" s="178">
        <v>0</v>
      </c>
      <c r="L64" s="178">
        <v>0</v>
      </c>
      <c r="M64" s="178">
        <v>0</v>
      </c>
      <c r="N64" s="178">
        <v>0</v>
      </c>
      <c r="O64" s="124">
        <f>A64</f>
        <v>313</v>
      </c>
      <c r="P64" s="607"/>
    </row>
    <row r="65" spans="1:16" s="6" customFormat="1" x14ac:dyDescent="0.25">
      <c r="A65" s="8">
        <f>A64+1</f>
        <v>314</v>
      </c>
      <c r="C65" s="23">
        <v>930.2</v>
      </c>
      <c r="D65" s="6" t="s">
        <v>1833</v>
      </c>
      <c r="E65" s="24">
        <f>SUM(F65:N65)</f>
        <v>4607661.7200000361</v>
      </c>
      <c r="F65" s="178">
        <v>0</v>
      </c>
      <c r="G65" s="178">
        <v>0</v>
      </c>
      <c r="H65" s="178">
        <v>0</v>
      </c>
      <c r="I65" s="178">
        <v>211479.25000003621</v>
      </c>
      <c r="J65" s="178">
        <v>4396182.47</v>
      </c>
      <c r="K65" s="178">
        <v>0</v>
      </c>
      <c r="L65" s="178">
        <v>0</v>
      </c>
      <c r="M65" s="178">
        <v>0</v>
      </c>
      <c r="N65" s="178">
        <v>0</v>
      </c>
      <c r="O65" s="124">
        <f>A65</f>
        <v>314</v>
      </c>
      <c r="P65" s="607"/>
    </row>
    <row r="66" spans="1:16" s="6" customFormat="1" x14ac:dyDescent="0.25">
      <c r="A66" s="8">
        <f>A65+1</f>
        <v>315</v>
      </c>
      <c r="C66" s="23">
        <v>931</v>
      </c>
      <c r="D66" s="6" t="s">
        <v>1781</v>
      </c>
      <c r="E66" s="24">
        <f>SUM(F66:N66)</f>
        <v>966647.12999999989</v>
      </c>
      <c r="F66" s="178">
        <v>0</v>
      </c>
      <c r="G66" s="178">
        <v>0</v>
      </c>
      <c r="H66" s="178">
        <v>0</v>
      </c>
      <c r="I66" s="178">
        <v>0</v>
      </c>
      <c r="J66" s="178">
        <v>966647.12999999989</v>
      </c>
      <c r="K66" s="178">
        <v>0</v>
      </c>
      <c r="L66" s="178">
        <v>0</v>
      </c>
      <c r="M66" s="178">
        <v>0</v>
      </c>
      <c r="N66" s="178">
        <v>0</v>
      </c>
      <c r="O66" s="124">
        <f>A66</f>
        <v>315</v>
      </c>
      <c r="P66" s="607"/>
    </row>
    <row r="67" spans="1:16" s="6" customFormat="1" x14ac:dyDescent="0.25">
      <c r="A67" s="8">
        <f>A66+1</f>
        <v>316</v>
      </c>
      <c r="C67" s="23">
        <v>935</v>
      </c>
      <c r="D67" s="6" t="s">
        <v>1832</v>
      </c>
      <c r="E67" s="24">
        <f>SUM(F67:N67)</f>
        <v>7.0499999999999989</v>
      </c>
      <c r="F67" s="178">
        <v>0</v>
      </c>
      <c r="G67" s="178">
        <v>0</v>
      </c>
      <c r="H67" s="178">
        <v>0</v>
      </c>
      <c r="I67" s="178">
        <v>0</v>
      </c>
      <c r="J67" s="178">
        <v>7.0499999999999989</v>
      </c>
      <c r="K67" s="178">
        <v>0</v>
      </c>
      <c r="L67" s="178">
        <v>0</v>
      </c>
      <c r="M67" s="178">
        <v>0</v>
      </c>
      <c r="N67" s="178">
        <v>0</v>
      </c>
      <c r="O67" s="124">
        <f>A67</f>
        <v>316</v>
      </c>
      <c r="P67" s="607"/>
    </row>
    <row r="68" spans="1:16" s="6" customFormat="1" x14ac:dyDescent="0.25">
      <c r="A68" s="8">
        <f>A67+1</f>
        <v>317</v>
      </c>
      <c r="C68" s="149">
        <v>935.1</v>
      </c>
      <c r="D68" s="121" t="s">
        <v>1831</v>
      </c>
      <c r="E68" s="24">
        <f>SUM(F68:N68)</f>
        <v>0</v>
      </c>
      <c r="F68" s="178">
        <v>0</v>
      </c>
      <c r="G68" s="178">
        <v>0</v>
      </c>
      <c r="H68" s="178">
        <v>0</v>
      </c>
      <c r="I68" s="178">
        <v>0</v>
      </c>
      <c r="J68" s="178">
        <v>0</v>
      </c>
      <c r="K68" s="178">
        <v>0</v>
      </c>
      <c r="L68" s="178">
        <v>0</v>
      </c>
      <c r="M68" s="178">
        <v>0</v>
      </c>
      <c r="N68" s="178">
        <v>0</v>
      </c>
      <c r="O68" s="124">
        <f>A68</f>
        <v>317</v>
      </c>
      <c r="P68" s="607"/>
    </row>
    <row r="69" spans="1:16" s="6" customFormat="1" x14ac:dyDescent="0.25">
      <c r="A69" s="8">
        <f>A68+1</f>
        <v>318</v>
      </c>
      <c r="C69" s="149">
        <v>935.2</v>
      </c>
      <c r="D69" s="121" t="s">
        <v>1830</v>
      </c>
      <c r="E69" s="24">
        <f>SUM(F69:N69)</f>
        <v>-598280.16</v>
      </c>
      <c r="F69" s="178">
        <v>0</v>
      </c>
      <c r="G69" s="178">
        <v>0</v>
      </c>
      <c r="H69" s="178">
        <v>0</v>
      </c>
      <c r="I69" s="178">
        <v>0</v>
      </c>
      <c r="J69" s="178">
        <v>-598280.16</v>
      </c>
      <c r="K69" s="178">
        <v>0</v>
      </c>
      <c r="L69" s="178">
        <v>0</v>
      </c>
      <c r="M69" s="178">
        <v>0</v>
      </c>
      <c r="N69" s="178">
        <v>0</v>
      </c>
      <c r="O69" s="124">
        <f>A69</f>
        <v>318</v>
      </c>
      <c r="P69" s="607"/>
    </row>
    <row r="70" spans="1:16" s="6" customFormat="1" x14ac:dyDescent="0.25">
      <c r="A70" s="8">
        <f>A69+1</f>
        <v>319</v>
      </c>
      <c r="C70" s="149">
        <v>935.3</v>
      </c>
      <c r="D70" s="121" t="s">
        <v>1829</v>
      </c>
      <c r="E70" s="263">
        <f>SUM(F70:N70)</f>
        <v>0</v>
      </c>
      <c r="F70" s="178">
        <v>0</v>
      </c>
      <c r="G70" s="178">
        <v>0</v>
      </c>
      <c r="H70" s="178">
        <v>0</v>
      </c>
      <c r="I70" s="178">
        <v>0</v>
      </c>
      <c r="J70" s="178">
        <v>0</v>
      </c>
      <c r="K70" s="178">
        <v>0</v>
      </c>
      <c r="L70" s="178">
        <v>0</v>
      </c>
      <c r="M70" s="178">
        <v>0</v>
      </c>
      <c r="N70" s="178">
        <v>0</v>
      </c>
      <c r="O70" s="124">
        <f>A70</f>
        <v>319</v>
      </c>
      <c r="P70" s="607"/>
    </row>
    <row r="71" spans="1:16" s="6" customFormat="1" x14ac:dyDescent="0.25">
      <c r="A71" s="8">
        <f>A70+1</f>
        <v>320</v>
      </c>
      <c r="D71" s="30" t="s">
        <v>1828</v>
      </c>
      <c r="E71" s="606">
        <f>SUM(E54:E70)</f>
        <v>-869622052.18602788</v>
      </c>
      <c r="F71" s="606">
        <f>SUM(F54:F70)</f>
        <v>-6219363.5356536675</v>
      </c>
      <c r="G71" s="606">
        <f>SUM(G54:G70)</f>
        <v>-8080275.8235785859</v>
      </c>
      <c r="H71" s="606">
        <f>SUM(H54:H70)</f>
        <v>-569642.37854972493</v>
      </c>
      <c r="I71" s="606">
        <f>SUM(I54:I70)</f>
        <v>-52920899.104275852</v>
      </c>
      <c r="J71" s="606">
        <f>SUM(J54:J70)</f>
        <v>1393705.8416669662</v>
      </c>
      <c r="K71" s="606">
        <f>SUM(K54:K70)</f>
        <v>-1048835.9716865753</v>
      </c>
      <c r="L71" s="606">
        <f>SUM(L54:L70)</f>
        <v>-189485.10695044021</v>
      </c>
      <c r="M71" s="606">
        <f>SUM(M54:M70)</f>
        <v>-80615589.466999978</v>
      </c>
      <c r="N71" s="606">
        <f>SUM(N54:N70)</f>
        <v>-721371666.6400001</v>
      </c>
      <c r="O71" s="124">
        <f>A71</f>
        <v>320</v>
      </c>
    </row>
    <row r="72" spans="1:16" s="6" customFormat="1" x14ac:dyDescent="0.25">
      <c r="A72" s="8"/>
      <c r="E72" s="260"/>
      <c r="F72" s="260"/>
      <c r="G72" s="260"/>
      <c r="H72" s="260"/>
      <c r="I72" s="605"/>
      <c r="J72" s="260"/>
      <c r="K72" s="260"/>
      <c r="O72" s="8"/>
    </row>
    <row r="73" spans="1:16" s="6" customFormat="1" x14ac:dyDescent="0.25">
      <c r="A73" s="8"/>
      <c r="I73" s="185"/>
      <c r="O73" s="8"/>
    </row>
    <row r="74" spans="1:16" s="6" customFormat="1" x14ac:dyDescent="0.25">
      <c r="A74" s="8"/>
      <c r="C74" s="30" t="s">
        <v>145</v>
      </c>
      <c r="I74" s="185"/>
      <c r="O74" s="8"/>
    </row>
    <row r="75" spans="1:16" x14ac:dyDescent="0.25">
      <c r="C75" s="124">
        <v>1</v>
      </c>
      <c r="D75" s="121" t="s">
        <v>1827</v>
      </c>
      <c r="E75" s="604"/>
      <c r="I75" s="121"/>
    </row>
    <row r="76" spans="1:16" x14ac:dyDescent="0.25">
      <c r="C76" s="603">
        <v>2</v>
      </c>
      <c r="D76" s="602" t="s">
        <v>1826</v>
      </c>
      <c r="E76" s="601"/>
      <c r="F76" s="601"/>
      <c r="G76" s="601"/>
      <c r="H76" s="601"/>
      <c r="I76" s="601"/>
      <c r="J76" s="601"/>
      <c r="K76" s="601"/>
      <c r="L76" s="601"/>
      <c r="M76" s="230"/>
      <c r="N76" s="230"/>
    </row>
    <row r="77" spans="1:16" s="6" customFormat="1" x14ac:dyDescent="0.25">
      <c r="A77" s="8"/>
      <c r="C77" s="598">
        <v>3</v>
      </c>
      <c r="D77" s="597" t="s">
        <v>1825</v>
      </c>
      <c r="E77" s="89"/>
      <c r="F77" s="89"/>
      <c r="G77" s="89"/>
      <c r="H77" s="89"/>
      <c r="I77" s="600"/>
      <c r="J77" s="89"/>
      <c r="K77" s="89"/>
      <c r="L77" s="89"/>
      <c r="M77" s="89"/>
      <c r="N77" s="89"/>
      <c r="O77" s="8"/>
    </row>
    <row r="78" spans="1:16" s="6" customFormat="1" x14ac:dyDescent="0.25">
      <c r="A78" s="8"/>
      <c r="C78" s="598">
        <v>4</v>
      </c>
      <c r="D78" s="597" t="s">
        <v>1824</v>
      </c>
      <c r="E78" s="89"/>
      <c r="F78" s="89"/>
      <c r="G78" s="89"/>
      <c r="H78" s="89"/>
      <c r="I78" s="600"/>
      <c r="J78" s="89"/>
      <c r="K78" s="89"/>
      <c r="L78" s="89"/>
      <c r="M78" s="89"/>
      <c r="N78" s="89"/>
      <c r="O78" s="8"/>
    </row>
    <row r="79" spans="1:16" s="6" customFormat="1" x14ac:dyDescent="0.25">
      <c r="A79" s="8"/>
      <c r="C79" s="598">
        <v>5</v>
      </c>
      <c r="D79" s="597" t="s">
        <v>1823</v>
      </c>
      <c r="E79" s="89"/>
      <c r="F79" s="89"/>
      <c r="G79" s="89"/>
      <c r="H79" s="89"/>
      <c r="I79" s="600"/>
      <c r="J79" s="89"/>
      <c r="K79" s="89"/>
      <c r="L79" s="89"/>
      <c r="M79" s="89"/>
      <c r="N79" s="89"/>
      <c r="O79" s="8"/>
    </row>
    <row r="80" spans="1:16" s="6" customFormat="1" x14ac:dyDescent="0.25">
      <c r="A80" s="8"/>
      <c r="C80" s="598">
        <v>6</v>
      </c>
      <c r="D80" s="597" t="s">
        <v>1822</v>
      </c>
      <c r="E80" s="89"/>
      <c r="F80" s="89"/>
      <c r="G80" s="89"/>
      <c r="H80" s="89"/>
      <c r="I80" s="600"/>
      <c r="J80" s="89"/>
      <c r="K80" s="89"/>
      <c r="L80" s="89"/>
      <c r="M80" s="89"/>
      <c r="N80" s="89"/>
      <c r="O80" s="8"/>
    </row>
    <row r="81" spans="1:15" s="6" customFormat="1" x14ac:dyDescent="0.25">
      <c r="A81" s="8"/>
      <c r="C81" s="598">
        <v>7</v>
      </c>
      <c r="D81" s="597" t="s">
        <v>1821</v>
      </c>
      <c r="E81" s="89"/>
      <c r="F81" s="89"/>
      <c r="G81" s="89"/>
      <c r="H81" s="89"/>
      <c r="I81" s="600"/>
      <c r="J81" s="89"/>
      <c r="K81" s="89"/>
      <c r="L81" s="89"/>
      <c r="M81" s="89"/>
      <c r="N81" s="89"/>
      <c r="O81" s="8"/>
    </row>
    <row r="82" spans="1:15" s="6" customFormat="1" x14ac:dyDescent="0.25">
      <c r="A82" s="8"/>
      <c r="C82" s="598">
        <v>8</v>
      </c>
      <c r="D82" s="597" t="s">
        <v>1820</v>
      </c>
      <c r="E82" s="89"/>
      <c r="F82" s="89"/>
      <c r="G82" s="89"/>
      <c r="H82" s="89"/>
      <c r="I82" s="600"/>
      <c r="J82" s="89"/>
      <c r="K82" s="89"/>
      <c r="L82" s="89"/>
      <c r="M82" s="89"/>
      <c r="N82" s="89"/>
      <c r="O82" s="8"/>
    </row>
    <row r="83" spans="1:15" s="6" customFormat="1" x14ac:dyDescent="0.25">
      <c r="A83" s="8"/>
      <c r="C83" s="598">
        <v>9</v>
      </c>
      <c r="D83" s="597" t="s">
        <v>1819</v>
      </c>
      <c r="E83" s="89"/>
      <c r="F83" s="89"/>
      <c r="G83" s="89"/>
      <c r="H83" s="89"/>
      <c r="I83" s="89"/>
      <c r="J83" s="89"/>
      <c r="K83" s="89"/>
      <c r="L83" s="89"/>
      <c r="M83" s="89"/>
      <c r="N83" s="89"/>
      <c r="O83" s="8"/>
    </row>
    <row r="84" spans="1:15" s="6" customFormat="1" x14ac:dyDescent="0.25">
      <c r="A84" s="8"/>
      <c r="C84" s="8">
        <v>10</v>
      </c>
      <c r="D84" s="6" t="s">
        <v>1818</v>
      </c>
      <c r="O84" s="8"/>
    </row>
    <row r="85" spans="1:15" s="6" customFormat="1" x14ac:dyDescent="0.25">
      <c r="A85" s="8"/>
      <c r="C85" s="8">
        <v>11</v>
      </c>
      <c r="D85" s="6" t="s">
        <v>1817</v>
      </c>
      <c r="O85" s="8"/>
    </row>
    <row r="86" spans="1:15" s="6" customFormat="1" x14ac:dyDescent="0.25">
      <c r="A86" s="8"/>
      <c r="C86" s="599"/>
      <c r="D86" s="597" t="s">
        <v>1816</v>
      </c>
      <c r="E86" s="596"/>
      <c r="F86" s="596"/>
      <c r="G86" s="89"/>
      <c r="H86" s="89"/>
      <c r="I86" s="89"/>
      <c r="J86" s="89"/>
      <c r="K86" s="89"/>
      <c r="L86" s="89"/>
      <c r="M86" s="89"/>
      <c r="N86" s="89"/>
      <c r="O86" s="8"/>
    </row>
    <row r="87" spans="1:15" s="6" customFormat="1" x14ac:dyDescent="0.25">
      <c r="A87" s="8"/>
      <c r="C87" s="598">
        <v>12</v>
      </c>
      <c r="D87" s="597" t="s">
        <v>1815</v>
      </c>
      <c r="E87" s="596"/>
      <c r="F87" s="596"/>
      <c r="G87" s="89"/>
      <c r="H87" s="89"/>
      <c r="I87" s="89"/>
      <c r="J87" s="89"/>
      <c r="K87" s="89"/>
      <c r="L87" s="89"/>
      <c r="M87" s="89"/>
      <c r="N87" s="89"/>
      <c r="O87" s="8"/>
    </row>
    <row r="88" spans="1:15" s="6" customFormat="1" x14ac:dyDescent="0.25">
      <c r="A88" s="8"/>
      <c r="C88" s="598">
        <v>13</v>
      </c>
      <c r="D88" s="597" t="s">
        <v>1814</v>
      </c>
      <c r="E88" s="596"/>
      <c r="F88" s="596"/>
      <c r="G88" s="89"/>
      <c r="H88" s="89"/>
      <c r="I88" s="89"/>
      <c r="J88" s="89"/>
      <c r="K88" s="89"/>
      <c r="L88" s="89"/>
      <c r="M88" s="89"/>
      <c r="N88" s="89"/>
      <c r="O88" s="8"/>
    </row>
    <row r="89" spans="1:15" x14ac:dyDescent="0.25">
      <c r="C89" s="8"/>
    </row>
    <row r="90" spans="1:15" x14ac:dyDescent="0.25">
      <c r="C90" s="8"/>
    </row>
    <row r="91" spans="1:15" x14ac:dyDescent="0.25">
      <c r="C91" s="8"/>
      <c r="D91" s="6"/>
    </row>
    <row r="92" spans="1:15" x14ac:dyDescent="0.25">
      <c r="C92" s="8"/>
      <c r="D92" s="6"/>
    </row>
    <row r="93" spans="1:15" x14ac:dyDescent="0.25">
      <c r="C93" s="8"/>
      <c r="D93" s="6"/>
    </row>
    <row r="94" spans="1:15" x14ac:dyDescent="0.25">
      <c r="C94" s="8"/>
      <c r="D94" s="6"/>
    </row>
    <row r="95" spans="1:15" x14ac:dyDescent="0.25">
      <c r="C95" s="8"/>
      <c r="D95" s="6"/>
    </row>
    <row r="96" spans="1:15" x14ac:dyDescent="0.25">
      <c r="C96" s="8"/>
      <c r="D96" s="6"/>
    </row>
    <row r="97" spans="3:4" x14ac:dyDescent="0.25">
      <c r="C97" s="8"/>
      <c r="D97" s="6"/>
    </row>
  </sheetData>
  <printOptions horizontalCentered="1"/>
  <pageMargins left="1" right="1" top="1" bottom="1" header="0.5" footer="0.5"/>
  <pageSetup scale="34" orientation="landscape" r:id="rId1"/>
  <headerFooter>
    <oddHeader>&amp;R&amp;F</oddHeader>
  </headerFooter>
  <customProperties>
    <customPr name="_pios_id" r:id="rId2"/>
  </customPropertie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148567-4183-4AAA-8B59-4413EF4C13BF}">
  <sheetPr>
    <pageSetUpPr fitToPage="1"/>
  </sheetPr>
  <dimension ref="A1:M109"/>
  <sheetViews>
    <sheetView view="pageBreakPreview" topLeftCell="D12" zoomScale="85" zoomScaleNormal="77" zoomScaleSheetLayoutView="85" workbookViewId="0">
      <selection activeCell="Q36" sqref="Q36"/>
    </sheetView>
  </sheetViews>
  <sheetFormatPr defaultColWidth="9.140625" defaultRowHeight="15" x14ac:dyDescent="0.25"/>
  <cols>
    <col min="1" max="1" width="6.85546875" style="6" bestFit="1" customWidth="1"/>
    <col min="2" max="2" width="10.42578125" style="6" bestFit="1" customWidth="1"/>
    <col min="3" max="3" width="10.85546875" style="6" customWidth="1"/>
    <col min="4" max="4" width="65.42578125" style="6" bestFit="1" customWidth="1"/>
    <col min="5" max="5" width="19.140625" style="6" bestFit="1" customWidth="1"/>
    <col min="6" max="6" width="16.42578125" style="6" bestFit="1" customWidth="1"/>
    <col min="7" max="7" width="15.85546875" style="6" bestFit="1" customWidth="1"/>
    <col min="8" max="8" width="16.85546875" style="6" bestFit="1" customWidth="1"/>
    <col min="9" max="9" width="17.140625" style="6" bestFit="1" customWidth="1"/>
    <col min="10" max="10" width="38.42578125" style="6" customWidth="1"/>
    <col min="11" max="11" width="6.85546875" style="6" bestFit="1" customWidth="1"/>
    <col min="12" max="12" width="12.140625" style="6" bestFit="1" customWidth="1"/>
    <col min="13" max="13" width="15.140625" style="6" customWidth="1"/>
    <col min="14" max="16384" width="9.140625" style="6"/>
  </cols>
  <sheetData>
    <row r="1" spans="1:11" x14ac:dyDescent="0.25">
      <c r="B1" s="30" t="s">
        <v>2024</v>
      </c>
    </row>
    <row r="2" spans="1:11" x14ac:dyDescent="0.25">
      <c r="B2" s="30" t="s">
        <v>2023</v>
      </c>
      <c r="I2" s="76"/>
      <c r="J2" s="76" t="str">
        <f>CONCATENATE("Prior Year: ",'1-BaseTRR'!$G$3)</f>
        <v>Prior Year: 2025</v>
      </c>
    </row>
    <row r="3" spans="1:11" x14ac:dyDescent="0.25">
      <c r="B3" s="77" t="s">
        <v>367</v>
      </c>
      <c r="C3" s="89"/>
      <c r="I3" s="76"/>
      <c r="J3" s="76" t="str">
        <f>CONCATENATE("Rate Year: ",'1-BaseTRR'!$G$2)</f>
        <v>Rate Year: 2027</v>
      </c>
    </row>
    <row r="4" spans="1:11" x14ac:dyDescent="0.25">
      <c r="A4" s="30"/>
      <c r="B4" s="30"/>
      <c r="J4" s="76"/>
      <c r="K4" s="30"/>
    </row>
    <row r="5" spans="1:11" x14ac:dyDescent="0.25">
      <c r="A5" s="30"/>
      <c r="B5" s="658" t="s">
        <v>2022</v>
      </c>
      <c r="C5" s="657"/>
      <c r="D5" s="657"/>
      <c r="E5" s="657"/>
      <c r="F5" s="657"/>
      <c r="G5" s="657"/>
      <c r="H5" s="657"/>
      <c r="I5" s="657"/>
      <c r="J5" s="657"/>
      <c r="K5" s="30"/>
    </row>
    <row r="6" spans="1:11" x14ac:dyDescent="0.25">
      <c r="B6" s="25" t="s">
        <v>413</v>
      </c>
      <c r="D6" s="500"/>
    </row>
    <row r="7" spans="1:11" x14ac:dyDescent="0.25">
      <c r="B7" s="6" t="s">
        <v>2021</v>
      </c>
    </row>
    <row r="9" spans="1:11" x14ac:dyDescent="0.25">
      <c r="B9" s="33" t="s">
        <v>492</v>
      </c>
      <c r="C9" s="33" t="s">
        <v>491</v>
      </c>
      <c r="D9" s="33" t="s">
        <v>490</v>
      </c>
      <c r="E9" s="33" t="s">
        <v>489</v>
      </c>
      <c r="F9" s="33" t="s">
        <v>519</v>
      </c>
      <c r="G9" s="33" t="s">
        <v>518</v>
      </c>
      <c r="H9" s="33" t="s">
        <v>517</v>
      </c>
      <c r="I9" s="33" t="s">
        <v>538</v>
      </c>
      <c r="J9" s="33" t="s">
        <v>537</v>
      </c>
    </row>
    <row r="10" spans="1:11" x14ac:dyDescent="0.25">
      <c r="B10" s="8"/>
      <c r="C10" s="8"/>
      <c r="D10" s="8"/>
      <c r="E10" s="8"/>
      <c r="F10" s="8"/>
      <c r="G10" s="8"/>
      <c r="H10" s="8" t="s">
        <v>2020</v>
      </c>
      <c r="I10" s="8"/>
      <c r="J10" s="8"/>
    </row>
    <row r="11" spans="1:11" ht="30" x14ac:dyDescent="0.25">
      <c r="A11" s="33" t="s">
        <v>106</v>
      </c>
      <c r="B11" s="33" t="s">
        <v>2019</v>
      </c>
      <c r="C11" s="110" t="s">
        <v>2018</v>
      </c>
      <c r="D11" s="33" t="s">
        <v>2017</v>
      </c>
      <c r="E11" s="33" t="s">
        <v>2016</v>
      </c>
      <c r="F11" s="110" t="s">
        <v>2015</v>
      </c>
      <c r="G11" s="110" t="s">
        <v>2014</v>
      </c>
      <c r="H11" s="110" t="s">
        <v>2013</v>
      </c>
      <c r="I11" s="110" t="s">
        <v>2012</v>
      </c>
      <c r="J11" s="110" t="s">
        <v>153</v>
      </c>
      <c r="K11" s="33" t="str">
        <f>A11</f>
        <v>Line</v>
      </c>
    </row>
    <row r="12" spans="1:11" ht="30" x14ac:dyDescent="0.25">
      <c r="A12" s="8">
        <v>100</v>
      </c>
      <c r="D12" s="76" t="s">
        <v>918</v>
      </c>
      <c r="E12" s="94">
        <f>E15+E21+E31+E37+E45+E71+E76+E81</f>
        <v>240956377.87999964</v>
      </c>
      <c r="F12" s="94">
        <f>F15+F21+F31+F37+F45+F71+F76+F81</f>
        <v>13355356.641365524</v>
      </c>
      <c r="G12" s="94">
        <f>G15+G21+G31+G37+G45+G71+G76+G81</f>
        <v>13098758.797128707</v>
      </c>
      <c r="H12" s="94">
        <f>H15+H21+H31+H37+H45+H71+H76+H81</f>
        <v>26454115.438494232</v>
      </c>
      <c r="I12" s="94">
        <f>I15+I21+I31+I37+I45+I71+I76+I81</f>
        <v>57556342.840000004</v>
      </c>
      <c r="J12" s="71" t="s">
        <v>2011</v>
      </c>
      <c r="K12" s="8">
        <f>A12</f>
        <v>100</v>
      </c>
    </row>
    <row r="13" spans="1:11" x14ac:dyDescent="0.25">
      <c r="A13" s="33"/>
      <c r="B13" s="36" t="s">
        <v>2008</v>
      </c>
      <c r="C13" s="657"/>
      <c r="D13" s="657"/>
      <c r="E13" s="657"/>
      <c r="F13" s="35"/>
      <c r="G13" s="35"/>
      <c r="H13" s="35"/>
      <c r="I13" s="35"/>
      <c r="J13" s="35"/>
    </row>
    <row r="14" spans="1:11" x14ac:dyDescent="0.25">
      <c r="A14" s="8">
        <v>200</v>
      </c>
      <c r="B14" s="23"/>
      <c r="D14" s="76" t="s">
        <v>2010</v>
      </c>
      <c r="E14" s="655">
        <v>281091</v>
      </c>
      <c r="F14" s="70"/>
      <c r="G14" s="70"/>
      <c r="H14" s="70"/>
      <c r="I14" s="70"/>
      <c r="J14" s="70"/>
      <c r="K14" s="8">
        <f>A14</f>
        <v>200</v>
      </c>
    </row>
    <row r="15" spans="1:11" x14ac:dyDescent="0.25">
      <c r="A15" s="8">
        <f>A14+1</f>
        <v>201</v>
      </c>
      <c r="B15" s="23"/>
      <c r="D15" s="76" t="s">
        <v>2009</v>
      </c>
      <c r="E15" s="94">
        <f>SUM(E16:E18)</f>
        <v>281090.5</v>
      </c>
      <c r="F15" s="94">
        <f>SUM(F16:F18)</f>
        <v>0</v>
      </c>
      <c r="G15" s="94">
        <f>SUM(G16:G18)</f>
        <v>0</v>
      </c>
      <c r="H15" s="94">
        <f>SUM(F15:G15)</f>
        <v>0</v>
      </c>
      <c r="I15" s="94">
        <f>SUM(I16:I18)</f>
        <v>0</v>
      </c>
      <c r="J15" s="70"/>
      <c r="K15" s="8">
        <f>A15</f>
        <v>201</v>
      </c>
    </row>
    <row r="16" spans="1:11" x14ac:dyDescent="0.25">
      <c r="A16" s="8">
        <f>A15+1</f>
        <v>202</v>
      </c>
      <c r="B16" s="23">
        <v>450</v>
      </c>
      <c r="C16" s="6">
        <v>4500000</v>
      </c>
      <c r="D16" s="6" t="s">
        <v>2008</v>
      </c>
      <c r="E16" s="655">
        <v>281090.5</v>
      </c>
      <c r="F16" s="178"/>
      <c r="G16" s="178"/>
      <c r="H16" s="24">
        <f>SUM(F16:G16)</f>
        <v>0</v>
      </c>
      <c r="I16" s="178"/>
      <c r="J16" s="70" t="s">
        <v>183</v>
      </c>
      <c r="K16" s="8">
        <f>A16</f>
        <v>202</v>
      </c>
    </row>
    <row r="17" spans="1:13" x14ac:dyDescent="0.25">
      <c r="A17" s="8">
        <f>A16+1</f>
        <v>203</v>
      </c>
      <c r="B17" s="167"/>
      <c r="C17" s="89"/>
      <c r="D17" s="89"/>
      <c r="E17" s="178"/>
      <c r="F17" s="178"/>
      <c r="G17" s="178"/>
      <c r="H17" s="24">
        <f>SUM(F17:G17)</f>
        <v>0</v>
      </c>
      <c r="I17" s="178"/>
      <c r="J17" s="655"/>
      <c r="K17" s="8">
        <f>A17</f>
        <v>203</v>
      </c>
    </row>
    <row r="18" spans="1:13" x14ac:dyDescent="0.25">
      <c r="A18" s="8">
        <f>A17+1</f>
        <v>204</v>
      </c>
      <c r="B18" s="164" t="s">
        <v>83</v>
      </c>
      <c r="C18" s="89"/>
      <c r="D18" s="89"/>
      <c r="E18" s="178"/>
      <c r="F18" s="178"/>
      <c r="G18" s="178"/>
      <c r="H18" s="24">
        <f>SUM(F18:G18)</f>
        <v>0</v>
      </c>
      <c r="I18" s="178"/>
      <c r="J18" s="655"/>
      <c r="K18" s="8">
        <f>A18</f>
        <v>204</v>
      </c>
    </row>
    <row r="19" spans="1:13" x14ac:dyDescent="0.25">
      <c r="A19" s="8"/>
      <c r="B19" s="83" t="s">
        <v>2005</v>
      </c>
      <c r="C19" s="35"/>
      <c r="D19" s="35"/>
      <c r="E19" s="35"/>
      <c r="F19" s="35"/>
      <c r="G19" s="35"/>
      <c r="H19" s="35"/>
      <c r="I19" s="35"/>
      <c r="J19" s="35"/>
      <c r="K19" s="8"/>
    </row>
    <row r="20" spans="1:13" x14ac:dyDescent="0.25">
      <c r="A20" s="8">
        <v>300</v>
      </c>
      <c r="B20" s="23"/>
      <c r="D20" s="76" t="s">
        <v>2007</v>
      </c>
      <c r="E20" s="654">
        <v>11092109</v>
      </c>
      <c r="F20" s="94"/>
      <c r="G20" s="94"/>
      <c r="H20" s="94"/>
      <c r="I20" s="24"/>
      <c r="J20" s="70"/>
      <c r="K20" s="8">
        <f>A20</f>
        <v>300</v>
      </c>
    </row>
    <row r="21" spans="1:13" x14ac:dyDescent="0.25">
      <c r="A21" s="8">
        <f>A20+1</f>
        <v>301</v>
      </c>
      <c r="B21" s="23"/>
      <c r="D21" s="76" t="s">
        <v>2006</v>
      </c>
      <c r="E21" s="94">
        <f>SUM(E22:E28)</f>
        <v>11092109.690000001</v>
      </c>
      <c r="F21" s="94">
        <f>SUM(F22:F28)</f>
        <v>0</v>
      </c>
      <c r="G21" s="94">
        <f>SUM(G22:G28)</f>
        <v>0</v>
      </c>
      <c r="H21" s="94">
        <f>SUM(F21:G21)</f>
        <v>0</v>
      </c>
      <c r="I21" s="94">
        <f>SUM(I22:I28)</f>
        <v>138559.48000000001</v>
      </c>
      <c r="J21" s="70"/>
      <c r="K21" s="8">
        <f>A21</f>
        <v>301</v>
      </c>
    </row>
    <row r="22" spans="1:13" x14ac:dyDescent="0.25">
      <c r="A22" s="8">
        <f>A21+1</f>
        <v>302</v>
      </c>
      <c r="B22" s="23">
        <v>451</v>
      </c>
      <c r="C22" s="6">
        <v>4510000</v>
      </c>
      <c r="D22" s="6" t="s">
        <v>2005</v>
      </c>
      <c r="E22" s="655">
        <v>2179019.14</v>
      </c>
      <c r="F22" s="178"/>
      <c r="G22" s="178"/>
      <c r="H22" s="24">
        <f>SUM(F22:G22)</f>
        <v>0</v>
      </c>
      <c r="I22" s="178"/>
      <c r="J22" s="70" t="s">
        <v>183</v>
      </c>
      <c r="K22" s="8">
        <f>A22</f>
        <v>302</v>
      </c>
    </row>
    <row r="23" spans="1:13" x14ac:dyDescent="0.25">
      <c r="A23" s="8">
        <f>A22+1</f>
        <v>303</v>
      </c>
      <c r="B23" s="23">
        <v>451</v>
      </c>
      <c r="C23" s="6">
        <v>4510007</v>
      </c>
      <c r="D23" s="6" t="s">
        <v>2004</v>
      </c>
      <c r="E23" s="655">
        <v>192354.84999999998</v>
      </c>
      <c r="F23" s="178"/>
      <c r="G23" s="178"/>
      <c r="H23" s="24">
        <f>SUM(F23:G23)</f>
        <v>0</v>
      </c>
      <c r="I23" s="655">
        <v>138559.48000000001</v>
      </c>
      <c r="J23" s="70" t="s">
        <v>183</v>
      </c>
      <c r="K23" s="8">
        <f>A23</f>
        <v>303</v>
      </c>
      <c r="L23" s="28"/>
      <c r="M23" s="356"/>
    </row>
    <row r="24" spans="1:13" x14ac:dyDescent="0.25">
      <c r="A24" s="8">
        <f>A23+1</f>
        <v>304</v>
      </c>
      <c r="B24" s="23">
        <v>451</v>
      </c>
      <c r="C24" s="6">
        <v>4510040</v>
      </c>
      <c r="D24" s="6" t="s">
        <v>2003</v>
      </c>
      <c r="E24" s="655">
        <v>5719167.0600000005</v>
      </c>
      <c r="F24" s="178"/>
      <c r="G24" s="178"/>
      <c r="H24" s="24">
        <f>SUM(F24:G24)</f>
        <v>0</v>
      </c>
      <c r="I24" s="178"/>
      <c r="J24" s="70" t="s">
        <v>183</v>
      </c>
      <c r="K24" s="8">
        <f>A24</f>
        <v>304</v>
      </c>
    </row>
    <row r="25" spans="1:13" x14ac:dyDescent="0.25">
      <c r="A25" s="8">
        <f>A24+1</f>
        <v>305</v>
      </c>
      <c r="B25" s="23">
        <v>451</v>
      </c>
      <c r="C25" s="6">
        <v>4510041</v>
      </c>
      <c r="D25" s="6" t="s">
        <v>2002</v>
      </c>
      <c r="E25" s="655">
        <v>1679057.15</v>
      </c>
      <c r="F25" s="178"/>
      <c r="G25" s="178"/>
      <c r="H25" s="24">
        <f>SUM(F25:G25)</f>
        <v>0</v>
      </c>
      <c r="I25" s="178"/>
      <c r="J25" s="70" t="s">
        <v>183</v>
      </c>
      <c r="K25" s="8">
        <f>A25</f>
        <v>305</v>
      </c>
    </row>
    <row r="26" spans="1:13" x14ac:dyDescent="0.25">
      <c r="A26" s="8">
        <f>A25+1</f>
        <v>306</v>
      </c>
      <c r="B26" s="23">
        <v>451</v>
      </c>
      <c r="C26" s="6">
        <v>4510043</v>
      </c>
      <c r="D26" s="6" t="s">
        <v>2001</v>
      </c>
      <c r="E26" s="655">
        <v>1322511.4900000002</v>
      </c>
      <c r="F26" s="178"/>
      <c r="G26" s="178"/>
      <c r="H26" s="24">
        <f>SUM(F26:G26)</f>
        <v>0</v>
      </c>
      <c r="I26" s="178"/>
      <c r="J26" s="70" t="s">
        <v>183</v>
      </c>
      <c r="K26" s="8">
        <f>A26</f>
        <v>306</v>
      </c>
    </row>
    <row r="27" spans="1:13" x14ac:dyDescent="0.25">
      <c r="A27" s="8">
        <f>A26+1</f>
        <v>307</v>
      </c>
      <c r="B27" s="167"/>
      <c r="C27" s="89"/>
      <c r="D27" s="89"/>
      <c r="E27" s="178"/>
      <c r="F27" s="178"/>
      <c r="G27" s="178"/>
      <c r="H27" s="24">
        <f>SUM(F27:G27)</f>
        <v>0</v>
      </c>
      <c r="I27" s="178"/>
      <c r="J27" s="655"/>
      <c r="K27" s="8">
        <f>A27</f>
        <v>307</v>
      </c>
    </row>
    <row r="28" spans="1:13" x14ac:dyDescent="0.25">
      <c r="A28" s="8">
        <f>A27+1</f>
        <v>308</v>
      </c>
      <c r="B28" s="164" t="s">
        <v>83</v>
      </c>
      <c r="C28" s="89"/>
      <c r="D28" s="89"/>
      <c r="E28" s="178"/>
      <c r="F28" s="178"/>
      <c r="G28" s="178"/>
      <c r="H28" s="24">
        <f>SUM(F28:G28)</f>
        <v>0</v>
      </c>
      <c r="I28" s="178"/>
      <c r="J28" s="655"/>
      <c r="K28" s="8">
        <f>A28</f>
        <v>308</v>
      </c>
    </row>
    <row r="29" spans="1:13" x14ac:dyDescent="0.25">
      <c r="A29" s="8"/>
      <c r="B29" s="83" t="s">
        <v>1998</v>
      </c>
      <c r="C29" s="35"/>
      <c r="D29" s="35"/>
      <c r="E29" s="35"/>
      <c r="F29" s="35"/>
      <c r="G29" s="35"/>
      <c r="H29" s="35"/>
      <c r="I29" s="35"/>
      <c r="J29" s="35"/>
      <c r="K29" s="8"/>
    </row>
    <row r="30" spans="1:13" x14ac:dyDescent="0.25">
      <c r="A30" s="8">
        <v>400</v>
      </c>
      <c r="B30" s="23"/>
      <c r="D30" s="76" t="s">
        <v>2000</v>
      </c>
      <c r="E30" s="654">
        <v>98335</v>
      </c>
      <c r="F30" s="94"/>
      <c r="G30" s="94"/>
      <c r="H30" s="94"/>
      <c r="I30" s="24"/>
      <c r="J30" s="70"/>
      <c r="K30" s="8">
        <f>A30</f>
        <v>400</v>
      </c>
    </row>
    <row r="31" spans="1:13" x14ac:dyDescent="0.25">
      <c r="A31" s="8">
        <f>A30+1</f>
        <v>401</v>
      </c>
      <c r="B31" s="23"/>
      <c r="D31" s="76" t="s">
        <v>1999</v>
      </c>
      <c r="E31" s="94">
        <f>SUM(E32:E34)</f>
        <v>98334.98</v>
      </c>
      <c r="F31" s="94">
        <f>SUM(F32:F34)</f>
        <v>0</v>
      </c>
      <c r="G31" s="94">
        <f>SUM(G32:G34)</f>
        <v>0</v>
      </c>
      <c r="H31" s="94">
        <f>SUM(F31:G31)</f>
        <v>0</v>
      </c>
      <c r="I31" s="94">
        <f>SUM(I32:I34)</f>
        <v>0</v>
      </c>
      <c r="J31" s="70"/>
      <c r="K31" s="8">
        <f>A31</f>
        <v>401</v>
      </c>
    </row>
    <row r="32" spans="1:13" x14ac:dyDescent="0.25">
      <c r="A32" s="8">
        <f>A31+1</f>
        <v>402</v>
      </c>
      <c r="B32" s="23">
        <v>453</v>
      </c>
      <c r="C32" s="6">
        <v>4530000</v>
      </c>
      <c r="D32" s="6" t="s">
        <v>1998</v>
      </c>
      <c r="E32" s="655">
        <v>98334.98</v>
      </c>
      <c r="F32" s="178"/>
      <c r="G32" s="178"/>
      <c r="H32" s="24">
        <f>SUM(F32:G32)</f>
        <v>0</v>
      </c>
      <c r="I32" s="178"/>
      <c r="J32" s="70" t="s">
        <v>183</v>
      </c>
      <c r="K32" s="8">
        <f>A32</f>
        <v>402</v>
      </c>
    </row>
    <row r="33" spans="1:13" x14ac:dyDescent="0.25">
      <c r="A33" s="8">
        <f>A32+1</f>
        <v>403</v>
      </c>
      <c r="B33" s="167"/>
      <c r="C33" s="89"/>
      <c r="D33" s="89"/>
      <c r="E33" s="178"/>
      <c r="F33" s="178"/>
      <c r="G33" s="178"/>
      <c r="H33" s="24">
        <f>SUM(F33:G33)</f>
        <v>0</v>
      </c>
      <c r="I33" s="178"/>
      <c r="J33" s="655"/>
      <c r="K33" s="8">
        <f>A33</f>
        <v>403</v>
      </c>
    </row>
    <row r="34" spans="1:13" x14ac:dyDescent="0.25">
      <c r="A34" s="8">
        <f>A33+1</f>
        <v>404</v>
      </c>
      <c r="B34" s="164" t="s">
        <v>83</v>
      </c>
      <c r="C34" s="89"/>
      <c r="D34" s="89"/>
      <c r="E34" s="178"/>
      <c r="F34" s="178"/>
      <c r="G34" s="178"/>
      <c r="H34" s="24">
        <f>SUM(F34:G34)</f>
        <v>0</v>
      </c>
      <c r="I34" s="178"/>
      <c r="J34" s="655"/>
      <c r="K34" s="8">
        <f>A34</f>
        <v>404</v>
      </c>
    </row>
    <row r="35" spans="1:13" x14ac:dyDescent="0.25">
      <c r="A35" s="8"/>
      <c r="B35" s="83" t="s">
        <v>1781</v>
      </c>
      <c r="C35" s="35"/>
      <c r="D35" s="35"/>
      <c r="E35" s="35"/>
      <c r="F35" s="35"/>
      <c r="G35" s="35"/>
      <c r="H35" s="35"/>
      <c r="I35" s="35"/>
      <c r="J35" s="35"/>
      <c r="K35" s="8"/>
    </row>
    <row r="36" spans="1:13" x14ac:dyDescent="0.25">
      <c r="A36" s="8">
        <v>500</v>
      </c>
      <c r="B36" s="23"/>
      <c r="D36" s="76" t="s">
        <v>1997</v>
      </c>
      <c r="E36" s="654">
        <v>76330562</v>
      </c>
      <c r="F36" s="94"/>
      <c r="G36" s="94"/>
      <c r="H36" s="94"/>
      <c r="I36" s="24"/>
      <c r="J36" s="70"/>
      <c r="K36" s="8">
        <f>A36</f>
        <v>500</v>
      </c>
    </row>
    <row r="37" spans="1:13" x14ac:dyDescent="0.25">
      <c r="A37" s="8">
        <f>A36+1</f>
        <v>501</v>
      </c>
      <c r="B37" s="23"/>
      <c r="D37" s="76" t="s">
        <v>1996</v>
      </c>
      <c r="E37" s="94">
        <f>SUM(E38:E42)</f>
        <v>76373670.800000012</v>
      </c>
      <c r="F37" s="94">
        <f>SUM(F38:F42)</f>
        <v>8114072.727765101</v>
      </c>
      <c r="G37" s="94">
        <f>SUM(G38:G42)</f>
        <v>9359381.2231349386</v>
      </c>
      <c r="H37" s="94">
        <f>SUM(F37:G37)</f>
        <v>17473453.950900041</v>
      </c>
      <c r="I37" s="94">
        <f>SUM(I38:I42)</f>
        <v>10855183.539999999</v>
      </c>
      <c r="J37" s="70"/>
      <c r="K37" s="8">
        <f>A37</f>
        <v>501</v>
      </c>
    </row>
    <row r="38" spans="1:13" x14ac:dyDescent="0.25">
      <c r="A38" s="8">
        <f>A37+1</f>
        <v>502</v>
      </c>
      <c r="B38" s="23">
        <v>454</v>
      </c>
      <c r="C38" s="6">
        <v>4540010</v>
      </c>
      <c r="D38" s="6" t="s">
        <v>1995</v>
      </c>
      <c r="E38" s="655">
        <v>58837230.280000001</v>
      </c>
      <c r="F38" s="655">
        <v>8114072.727765101</v>
      </c>
      <c r="G38" s="655">
        <v>9359381.2231349386</v>
      </c>
      <c r="H38" s="24">
        <f>SUM(F38:G38)</f>
        <v>17473453.950900041</v>
      </c>
      <c r="I38" s="178"/>
      <c r="J38" s="70" t="s">
        <v>1994</v>
      </c>
      <c r="K38" s="8">
        <f>A38</f>
        <v>502</v>
      </c>
    </row>
    <row r="39" spans="1:13" x14ac:dyDescent="0.25">
      <c r="A39" s="8">
        <f>A38+1</f>
        <v>503</v>
      </c>
      <c r="B39" s="23">
        <v>454</v>
      </c>
      <c r="C39" s="6">
        <v>4540012</v>
      </c>
      <c r="D39" s="6" t="s">
        <v>1993</v>
      </c>
      <c r="E39" s="655">
        <v>14423793.210000001</v>
      </c>
      <c r="F39" s="178"/>
      <c r="G39" s="178"/>
      <c r="H39" s="24">
        <f>SUM(F39:G39)</f>
        <v>0</v>
      </c>
      <c r="I39" s="655">
        <f>8321547.18</f>
        <v>8321547.1799999997</v>
      </c>
      <c r="J39" s="70" t="s">
        <v>183</v>
      </c>
      <c r="K39" s="8">
        <f>A39</f>
        <v>503</v>
      </c>
      <c r="L39" s="28"/>
      <c r="M39" s="356"/>
    </row>
    <row r="40" spans="1:13" x14ac:dyDescent="0.25">
      <c r="A40" s="8">
        <f>A39+1</f>
        <v>504</v>
      </c>
      <c r="B40" s="23">
        <v>454</v>
      </c>
      <c r="C40" s="6">
        <v>4540013</v>
      </c>
      <c r="D40" s="6" t="s">
        <v>1992</v>
      </c>
      <c r="E40" s="655">
        <v>3069538.6500000004</v>
      </c>
      <c r="F40" s="178"/>
      <c r="G40" s="178"/>
      <c r="H40" s="24">
        <f>SUM(F40:G40)</f>
        <v>0</v>
      </c>
      <c r="I40" s="655">
        <v>2490527.7000000002</v>
      </c>
      <c r="J40" s="70" t="s">
        <v>183</v>
      </c>
      <c r="K40" s="8">
        <f>A40</f>
        <v>504</v>
      </c>
      <c r="L40" s="28"/>
      <c r="M40" s="356"/>
    </row>
    <row r="41" spans="1:13" x14ac:dyDescent="0.25">
      <c r="A41" s="8">
        <f>A40+1</f>
        <v>505</v>
      </c>
      <c r="B41" s="167">
        <v>454</v>
      </c>
      <c r="C41" s="89">
        <v>4540012</v>
      </c>
      <c r="D41" s="89" t="s">
        <v>1991</v>
      </c>
      <c r="E41" s="178">
        <v>43108.66</v>
      </c>
      <c r="F41" s="178"/>
      <c r="G41" s="178"/>
      <c r="H41" s="24">
        <f>SUM(F41:G41)</f>
        <v>0</v>
      </c>
      <c r="I41" s="178">
        <v>43108.66</v>
      </c>
      <c r="J41" s="655" t="s">
        <v>533</v>
      </c>
      <c r="K41" s="8">
        <f>A41</f>
        <v>505</v>
      </c>
    </row>
    <row r="42" spans="1:13" x14ac:dyDescent="0.25">
      <c r="A42" s="8">
        <f>A41+1</f>
        <v>506</v>
      </c>
      <c r="B42" s="164" t="s">
        <v>83</v>
      </c>
      <c r="C42" s="89"/>
      <c r="D42" s="89"/>
      <c r="E42" s="178"/>
      <c r="F42" s="178"/>
      <c r="G42" s="178"/>
      <c r="H42" s="24">
        <f>SUM(F42:G42)</f>
        <v>0</v>
      </c>
      <c r="I42" s="178"/>
      <c r="J42" s="655"/>
      <c r="K42" s="8">
        <f>A42</f>
        <v>506</v>
      </c>
    </row>
    <row r="43" spans="1:13" x14ac:dyDescent="0.25">
      <c r="A43" s="8"/>
      <c r="B43" s="83" t="s">
        <v>1990</v>
      </c>
      <c r="C43" s="35"/>
      <c r="D43" s="35"/>
      <c r="E43" s="35"/>
      <c r="F43" s="35"/>
      <c r="G43" s="35"/>
      <c r="H43" s="35"/>
      <c r="I43" s="35"/>
      <c r="J43" s="35"/>
      <c r="K43" s="8"/>
    </row>
    <row r="44" spans="1:13" x14ac:dyDescent="0.25">
      <c r="A44" s="8">
        <v>600</v>
      </c>
      <c r="B44" s="23"/>
      <c r="D44" s="76" t="s">
        <v>1989</v>
      </c>
      <c r="E44" s="656">
        <v>153111170</v>
      </c>
      <c r="F44" s="94"/>
      <c r="G44" s="94"/>
      <c r="H44" s="94"/>
      <c r="I44" s="24"/>
      <c r="K44" s="8">
        <f>A44</f>
        <v>600</v>
      </c>
    </row>
    <row r="45" spans="1:13" x14ac:dyDescent="0.25">
      <c r="A45" s="8">
        <f>A44+1</f>
        <v>601</v>
      </c>
      <c r="B45" s="23"/>
      <c r="D45" s="76" t="s">
        <v>1988</v>
      </c>
      <c r="E45" s="94">
        <f>SUM(E46:E68)</f>
        <v>153111171.90999961</v>
      </c>
      <c r="F45" s="94">
        <f>SUM(F46:F68)</f>
        <v>5241283.9136004243</v>
      </c>
      <c r="G45" s="94">
        <f>SUM(G46:G68)</f>
        <v>3739377.5739937676</v>
      </c>
      <c r="H45" s="94">
        <f>SUM(F45:G45)</f>
        <v>8980661.487594191</v>
      </c>
      <c r="I45" s="94">
        <f>SUM(I46:I68)</f>
        <v>46562599.82</v>
      </c>
      <c r="J45" s="70"/>
      <c r="K45" s="8">
        <f>A45</f>
        <v>601</v>
      </c>
    </row>
    <row r="46" spans="1:13" x14ac:dyDescent="0.25">
      <c r="A46" s="8">
        <f>A45+1</f>
        <v>602</v>
      </c>
      <c r="B46" s="23">
        <v>456</v>
      </c>
      <c r="C46" s="6">
        <v>4560099</v>
      </c>
      <c r="D46" s="6" t="s">
        <v>1969</v>
      </c>
      <c r="E46" s="655">
        <v>137590856.90000001</v>
      </c>
      <c r="F46" s="178">
        <v>358235.59393077425</v>
      </c>
      <c r="G46" s="178">
        <v>665017.2637777325</v>
      </c>
      <c r="H46" s="24">
        <f>SUM(F46:G46)</f>
        <v>1023252.8577085068</v>
      </c>
      <c r="I46" s="178"/>
      <c r="J46" s="70" t="s">
        <v>183</v>
      </c>
      <c r="K46" s="8">
        <f>A46</f>
        <v>602</v>
      </c>
    </row>
    <row r="47" spans="1:13" x14ac:dyDescent="0.25">
      <c r="A47" s="8">
        <f>A46+1</f>
        <v>603</v>
      </c>
      <c r="B47" s="23">
        <v>456</v>
      </c>
      <c r="D47" s="6" t="s">
        <v>1987</v>
      </c>
      <c r="E47" s="655">
        <v>420004.48</v>
      </c>
      <c r="F47" s="178"/>
      <c r="G47" s="178"/>
      <c r="H47" s="24">
        <f>SUM(F47:G47)</f>
        <v>0</v>
      </c>
      <c r="I47" s="178"/>
      <c r="J47" s="70" t="s">
        <v>183</v>
      </c>
      <c r="K47" s="8">
        <f>A47</f>
        <v>603</v>
      </c>
    </row>
    <row r="48" spans="1:13" x14ac:dyDescent="0.25">
      <c r="A48" s="8">
        <f>A47+1</f>
        <v>604</v>
      </c>
      <c r="B48" s="23">
        <v>456</v>
      </c>
      <c r="C48" s="6">
        <v>4560050</v>
      </c>
      <c r="D48" s="6" t="s">
        <v>1986</v>
      </c>
      <c r="E48" s="655">
        <v>1327173.45</v>
      </c>
      <c r="F48" s="178"/>
      <c r="G48" s="178"/>
      <c r="H48" s="24">
        <f>SUM(F48:G48)</f>
        <v>0</v>
      </c>
      <c r="I48" s="178"/>
      <c r="J48" s="70" t="s">
        <v>183</v>
      </c>
      <c r="K48" s="8">
        <f>A48</f>
        <v>604</v>
      </c>
    </row>
    <row r="49" spans="1:13" x14ac:dyDescent="0.25">
      <c r="A49" s="8">
        <f>A48+1</f>
        <v>605</v>
      </c>
      <c r="B49" s="23">
        <v>456</v>
      </c>
      <c r="C49" s="6">
        <v>4560070</v>
      </c>
      <c r="D49" s="6" t="s">
        <v>1985</v>
      </c>
      <c r="E49" s="655">
        <v>0</v>
      </c>
      <c r="F49" s="178"/>
      <c r="G49" s="178"/>
      <c r="H49" s="24">
        <f>SUM(F49:G49)</f>
        <v>0</v>
      </c>
      <c r="I49" s="178"/>
      <c r="J49" s="70" t="s">
        <v>183</v>
      </c>
      <c r="K49" s="8">
        <f>A49</f>
        <v>605</v>
      </c>
    </row>
    <row r="50" spans="1:13" x14ac:dyDescent="0.25">
      <c r="A50" s="8">
        <f>A49+1</f>
        <v>606</v>
      </c>
      <c r="B50" s="23">
        <v>456</v>
      </c>
      <c r="C50" s="6">
        <v>4560014</v>
      </c>
      <c r="D50" s="6" t="s">
        <v>1984</v>
      </c>
      <c r="E50" s="655">
        <v>0</v>
      </c>
      <c r="F50" s="178"/>
      <c r="G50" s="178"/>
      <c r="H50" s="24">
        <f>SUM(F50:G50)</f>
        <v>0</v>
      </c>
      <c r="I50" s="178"/>
      <c r="J50" s="70" t="s">
        <v>183</v>
      </c>
      <c r="K50" s="8">
        <f>A50</f>
        <v>606</v>
      </c>
    </row>
    <row r="51" spans="1:13" x14ac:dyDescent="0.25">
      <c r="A51" s="8">
        <f>A50+1</f>
        <v>607</v>
      </c>
      <c r="B51" s="23">
        <v>456</v>
      </c>
      <c r="C51" s="6">
        <v>4560022</v>
      </c>
      <c r="D51" s="6" t="s">
        <v>1983</v>
      </c>
      <c r="E51" s="655">
        <v>1762905.6999999997</v>
      </c>
      <c r="F51" s="178">
        <v>27517.803300997584</v>
      </c>
      <c r="G51" s="178">
        <v>51083.182593909238</v>
      </c>
      <c r="H51" s="24">
        <f>SUM(F51:G51)</f>
        <v>78600.985894906829</v>
      </c>
      <c r="I51" s="178"/>
      <c r="J51" s="70" t="s">
        <v>183</v>
      </c>
      <c r="K51" s="8">
        <f>A51</f>
        <v>607</v>
      </c>
    </row>
    <row r="52" spans="1:13" x14ac:dyDescent="0.25">
      <c r="A52" s="8">
        <f>A51+1</f>
        <v>608</v>
      </c>
      <c r="B52" s="23">
        <v>456</v>
      </c>
      <c r="C52" s="6">
        <v>4560093</v>
      </c>
      <c r="D52" s="6" t="s">
        <v>1982</v>
      </c>
      <c r="E52" s="655">
        <v>6857.46</v>
      </c>
      <c r="F52" s="178"/>
      <c r="G52" s="178"/>
      <c r="H52" s="24">
        <f>SUM(F52:G52)</f>
        <v>0</v>
      </c>
      <c r="I52" s="178"/>
      <c r="J52" s="70" t="s">
        <v>183</v>
      </c>
      <c r="K52" s="8">
        <f>A52</f>
        <v>608</v>
      </c>
    </row>
    <row r="53" spans="1:13" x14ac:dyDescent="0.25">
      <c r="A53" s="8">
        <f>A52+1</f>
        <v>609</v>
      </c>
      <c r="B53" s="23">
        <v>456</v>
      </c>
      <c r="C53" s="6">
        <v>4560091</v>
      </c>
      <c r="D53" s="6" t="s">
        <v>1981</v>
      </c>
      <c r="E53" s="655">
        <v>50982127.479999997</v>
      </c>
      <c r="F53" s="178"/>
      <c r="G53" s="178"/>
      <c r="H53" s="24">
        <f>SUM(F53:G53)</f>
        <v>0</v>
      </c>
      <c r="I53" s="178"/>
      <c r="J53" s="70" t="s">
        <v>183</v>
      </c>
      <c r="K53" s="8">
        <f>A53</f>
        <v>609</v>
      </c>
    </row>
    <row r="54" spans="1:13" x14ac:dyDescent="0.25">
      <c r="A54" s="8">
        <f>A53+1</f>
        <v>610</v>
      </c>
      <c r="B54" s="23">
        <v>456</v>
      </c>
      <c r="C54" s="6">
        <v>4560098</v>
      </c>
      <c r="D54" s="6" t="s">
        <v>1980</v>
      </c>
      <c r="E54" s="655">
        <v>10076967.919999987</v>
      </c>
      <c r="F54" s="178"/>
      <c r="G54" s="178"/>
      <c r="H54" s="24">
        <f>SUM(F54:G54)</f>
        <v>0</v>
      </c>
      <c r="I54" s="655">
        <v>12407556.92</v>
      </c>
      <c r="J54" s="70" t="s">
        <v>183</v>
      </c>
      <c r="K54" s="8">
        <f>A54</f>
        <v>610</v>
      </c>
      <c r="L54" s="28"/>
      <c r="M54" s="356"/>
    </row>
    <row r="55" spans="1:13" x14ac:dyDescent="0.25">
      <c r="A55" s="8">
        <f>A54+1</f>
        <v>611</v>
      </c>
      <c r="B55" s="23">
        <v>456</v>
      </c>
      <c r="C55" s="6">
        <v>4560000</v>
      </c>
      <c r="D55" s="6" t="s">
        <v>1979</v>
      </c>
      <c r="E55" s="178">
        <v>-93665849</v>
      </c>
      <c r="F55" s="178"/>
      <c r="G55" s="178"/>
      <c r="H55" s="24">
        <f>SUM(F55:G55)</f>
        <v>0</v>
      </c>
      <c r="I55" s="178"/>
      <c r="J55" s="70" t="s">
        <v>183</v>
      </c>
      <c r="K55" s="8">
        <f>A55</f>
        <v>611</v>
      </c>
    </row>
    <row r="56" spans="1:13" x14ac:dyDescent="0.25">
      <c r="A56" s="8">
        <f>A55+1</f>
        <v>612</v>
      </c>
      <c r="B56" s="23">
        <v>456</v>
      </c>
      <c r="C56" s="6">
        <v>4560001</v>
      </c>
      <c r="D56" s="6" t="s">
        <v>1978</v>
      </c>
      <c r="E56" s="178">
        <v>97341683.249999672</v>
      </c>
      <c r="F56" s="655">
        <v>1628597.5363686527</v>
      </c>
      <c r="G56" s="655">
        <v>3023277.1276221257</v>
      </c>
      <c r="H56" s="24">
        <f>SUM(F56:G56)</f>
        <v>4651874.6639907788</v>
      </c>
      <c r="I56" s="178"/>
      <c r="J56" s="70" t="s">
        <v>1977</v>
      </c>
      <c r="K56" s="8">
        <f>A56</f>
        <v>612</v>
      </c>
    </row>
    <row r="57" spans="1:13" x14ac:dyDescent="0.25">
      <c r="A57" s="8">
        <f>A56+1</f>
        <v>613</v>
      </c>
      <c r="B57" s="23">
        <v>456</v>
      </c>
      <c r="C57" s="6">
        <v>4560002</v>
      </c>
      <c r="D57" s="6" t="s">
        <v>1976</v>
      </c>
      <c r="E57" s="178">
        <v>36012</v>
      </c>
      <c r="F57" s="89"/>
      <c r="G57" s="89"/>
      <c r="H57" s="24">
        <f>SUM(F57:G57)</f>
        <v>0</v>
      </c>
      <c r="I57" s="178"/>
      <c r="J57" s="70" t="s">
        <v>183</v>
      </c>
      <c r="K57" s="8">
        <f>A57</f>
        <v>613</v>
      </c>
    </row>
    <row r="58" spans="1:13" x14ac:dyDescent="0.25">
      <c r="A58" s="8">
        <f>A57+1</f>
        <v>614</v>
      </c>
      <c r="B58" s="23">
        <v>456</v>
      </c>
      <c r="C58" s="6">
        <v>4560003</v>
      </c>
      <c r="D58" s="6" t="s">
        <v>1975</v>
      </c>
      <c r="E58" s="178">
        <v>15579878.870000001</v>
      </c>
      <c r="F58" s="89"/>
      <c r="G58" s="89"/>
      <c r="H58" s="24">
        <f>SUM(F58:G58)</f>
        <v>0</v>
      </c>
      <c r="I58" s="178"/>
      <c r="J58" s="70" t="s">
        <v>183</v>
      </c>
      <c r="K58" s="8">
        <f>A58</f>
        <v>614</v>
      </c>
    </row>
    <row r="59" spans="1:13" x14ac:dyDescent="0.25">
      <c r="A59" s="8">
        <f>A58+1</f>
        <v>615</v>
      </c>
      <c r="B59" s="23">
        <v>456</v>
      </c>
      <c r="C59" s="6">
        <v>4560095</v>
      </c>
      <c r="D59" s="6" t="s">
        <v>1974</v>
      </c>
      <c r="E59" s="178">
        <v>-419747093.57999998</v>
      </c>
      <c r="F59" s="89"/>
      <c r="G59" s="89"/>
      <c r="H59" s="24">
        <f>SUM(F59:G59)</f>
        <v>0</v>
      </c>
      <c r="I59" s="178"/>
      <c r="J59" s="70" t="s">
        <v>183</v>
      </c>
      <c r="K59" s="8">
        <f>A59</f>
        <v>615</v>
      </c>
    </row>
    <row r="60" spans="1:13" x14ac:dyDescent="0.25">
      <c r="A60" s="8">
        <f>A59+1</f>
        <v>616</v>
      </c>
      <c r="B60" s="23">
        <v>456</v>
      </c>
      <c r="C60" s="6">
        <v>4560005</v>
      </c>
      <c r="D60" s="6" t="s">
        <v>1973</v>
      </c>
      <c r="E60" s="178">
        <v>-58213028.920000002</v>
      </c>
      <c r="F60" s="89"/>
      <c r="G60" s="89"/>
      <c r="H60" s="24">
        <f>SUM(F60:G60)</f>
        <v>0</v>
      </c>
      <c r="I60" s="178"/>
      <c r="J60" s="70" t="s">
        <v>183</v>
      </c>
      <c r="K60" s="8">
        <f>A60</f>
        <v>616</v>
      </c>
    </row>
    <row r="61" spans="1:13" x14ac:dyDescent="0.25">
      <c r="A61" s="8">
        <f>A60+1</f>
        <v>617</v>
      </c>
      <c r="B61" s="23">
        <v>456</v>
      </c>
      <c r="C61" s="6">
        <v>9414000</v>
      </c>
      <c r="D61" s="6" t="s">
        <v>1972</v>
      </c>
      <c r="E61" s="655">
        <v>0</v>
      </c>
      <c r="F61" s="89"/>
      <c r="G61" s="89"/>
      <c r="H61" s="24">
        <f>SUM(F61:G61)</f>
        <v>0</v>
      </c>
      <c r="I61" s="178"/>
      <c r="J61" s="70" t="s">
        <v>183</v>
      </c>
      <c r="K61" s="8">
        <f>A61</f>
        <v>617</v>
      </c>
    </row>
    <row r="62" spans="1:13" x14ac:dyDescent="0.25">
      <c r="A62" s="8">
        <f>A61+1</f>
        <v>618</v>
      </c>
      <c r="B62" s="23">
        <v>456.1</v>
      </c>
      <c r="C62" s="6">
        <v>4561000</v>
      </c>
      <c r="D62" s="6" t="s">
        <v>1971</v>
      </c>
      <c r="E62" s="655">
        <v>3226932.98</v>
      </c>
      <c r="F62" s="655">
        <v>3226932.98</v>
      </c>
      <c r="G62" s="89"/>
      <c r="H62" s="24">
        <f>SUM(F62:G62)</f>
        <v>3226932.98</v>
      </c>
      <c r="I62" s="178"/>
      <c r="J62" s="70" t="s">
        <v>1970</v>
      </c>
      <c r="K62" s="8">
        <f>A62</f>
        <v>618</v>
      </c>
    </row>
    <row r="63" spans="1:13" x14ac:dyDescent="0.25">
      <c r="A63" s="8">
        <f>A62+1</f>
        <v>619</v>
      </c>
      <c r="B63" s="23">
        <v>456</v>
      </c>
      <c r="C63" s="6">
        <v>4560052</v>
      </c>
      <c r="D63" s="6" t="s">
        <v>1969</v>
      </c>
      <c r="E63" s="655">
        <v>68030042.939999998</v>
      </c>
      <c r="F63" s="178"/>
      <c r="G63" s="178"/>
      <c r="H63" s="24">
        <f>SUM(F63:G63)</f>
        <v>0</v>
      </c>
      <c r="I63" s="178">
        <v>34155042.899999999</v>
      </c>
      <c r="J63" s="70" t="s">
        <v>535</v>
      </c>
      <c r="K63" s="8">
        <f>A63</f>
        <v>619</v>
      </c>
    </row>
    <row r="64" spans="1:13" x14ac:dyDescent="0.25">
      <c r="A64" s="8">
        <f>A63+1</f>
        <v>620</v>
      </c>
      <c r="B64" s="167">
        <v>456</v>
      </c>
      <c r="C64" s="89">
        <v>4560051</v>
      </c>
      <c r="D64" s="89" t="s">
        <v>1968</v>
      </c>
      <c r="E64" s="178">
        <v>-40168474.029999971</v>
      </c>
      <c r="F64" s="178"/>
      <c r="G64" s="178"/>
      <c r="H64" s="24"/>
      <c r="I64" s="178"/>
      <c r="J64" s="89" t="s">
        <v>534</v>
      </c>
      <c r="K64" s="8">
        <f>A64</f>
        <v>620</v>
      </c>
    </row>
    <row r="65" spans="1:11" x14ac:dyDescent="0.25">
      <c r="A65" s="8">
        <f>A64+1</f>
        <v>621</v>
      </c>
      <c r="B65" s="167">
        <v>456</v>
      </c>
      <c r="C65" s="89">
        <v>4560055</v>
      </c>
      <c r="D65" s="89" t="s">
        <v>1967</v>
      </c>
      <c r="E65" s="655">
        <v>40168885.389999993</v>
      </c>
      <c r="F65" s="178"/>
      <c r="G65" s="178"/>
      <c r="H65" s="24"/>
      <c r="I65" s="178"/>
      <c r="J65" s="89" t="s">
        <v>534</v>
      </c>
      <c r="K65" s="8">
        <f>A65</f>
        <v>621</v>
      </c>
    </row>
    <row r="66" spans="1:11" x14ac:dyDescent="0.25">
      <c r="A66" s="8">
        <f>A65+1</f>
        <v>622</v>
      </c>
      <c r="B66" s="167">
        <v>456</v>
      </c>
      <c r="C66" s="89">
        <v>4561001</v>
      </c>
      <c r="D66" s="89" t="s">
        <v>1966</v>
      </c>
      <c r="E66" s="655">
        <v>338296057.07999998</v>
      </c>
      <c r="F66" s="178"/>
      <c r="G66" s="178"/>
      <c r="H66" s="24"/>
      <c r="I66" s="178"/>
      <c r="J66" s="89" t="s">
        <v>183</v>
      </c>
      <c r="K66" s="8">
        <f>A66</f>
        <v>622</v>
      </c>
    </row>
    <row r="67" spans="1:11" x14ac:dyDescent="0.25">
      <c r="A67" s="8">
        <f>A66+1</f>
        <v>623</v>
      </c>
      <c r="B67" s="167">
        <v>456</v>
      </c>
      <c r="C67" s="89"/>
      <c r="D67" s="89" t="s">
        <v>1965</v>
      </c>
      <c r="E67" s="655">
        <v>59231.54</v>
      </c>
      <c r="F67" s="178"/>
      <c r="G67" s="178"/>
      <c r="H67" s="24"/>
      <c r="I67" s="178"/>
      <c r="J67" s="89" t="s">
        <v>516</v>
      </c>
      <c r="K67" s="8">
        <f>A67</f>
        <v>623</v>
      </c>
    </row>
    <row r="68" spans="1:11" x14ac:dyDescent="0.25">
      <c r="A68" s="8">
        <f>A67+1</f>
        <v>624</v>
      </c>
      <c r="B68" s="164" t="s">
        <v>83</v>
      </c>
      <c r="C68" s="89"/>
      <c r="D68" s="89"/>
      <c r="E68" s="178"/>
      <c r="F68" s="178"/>
      <c r="G68" s="178"/>
      <c r="H68" s="24"/>
      <c r="I68" s="178"/>
      <c r="J68" s="655"/>
      <c r="K68" s="8">
        <f>A68</f>
        <v>624</v>
      </c>
    </row>
    <row r="69" spans="1:11" x14ac:dyDescent="0.25">
      <c r="A69" s="8"/>
      <c r="B69" s="83" t="s">
        <v>1964</v>
      </c>
      <c r="C69" s="35"/>
      <c r="D69" s="35"/>
      <c r="E69" s="35"/>
      <c r="F69" s="35"/>
      <c r="G69" s="35"/>
      <c r="H69" s="35"/>
      <c r="I69" s="35"/>
      <c r="J69" s="35"/>
      <c r="K69" s="8"/>
    </row>
    <row r="70" spans="1:11" x14ac:dyDescent="0.25">
      <c r="A70" s="8">
        <v>700</v>
      </c>
      <c r="B70" s="23"/>
      <c r="D70" s="76" t="s">
        <v>1963</v>
      </c>
      <c r="E70" s="654">
        <v>0</v>
      </c>
      <c r="F70" s="94"/>
      <c r="G70" s="94"/>
      <c r="H70" s="94"/>
      <c r="I70" s="24"/>
      <c r="K70" s="8">
        <f>A70</f>
        <v>700</v>
      </c>
    </row>
    <row r="71" spans="1:11" x14ac:dyDescent="0.25">
      <c r="A71" s="8">
        <f>A70+1</f>
        <v>701</v>
      </c>
      <c r="B71" s="23"/>
      <c r="D71" s="76" t="s">
        <v>1962</v>
      </c>
      <c r="E71" s="94">
        <f>SUM(E72:E73)</f>
        <v>0</v>
      </c>
      <c r="F71" s="94">
        <f>SUM(F72:F73)</f>
        <v>0</v>
      </c>
      <c r="G71" s="94">
        <f>SUM(G72:G73)</f>
        <v>0</v>
      </c>
      <c r="H71" s="94">
        <f>SUM(F71:G71)</f>
        <v>0</v>
      </c>
      <c r="I71" s="94">
        <f>SUM(I72:I73)</f>
        <v>0</v>
      </c>
      <c r="J71" s="89"/>
      <c r="K71" s="8">
        <f>A71</f>
        <v>701</v>
      </c>
    </row>
    <row r="72" spans="1:11" x14ac:dyDescent="0.25">
      <c r="A72" s="8">
        <f>A71+1</f>
        <v>702</v>
      </c>
      <c r="B72" s="164" t="s">
        <v>83</v>
      </c>
      <c r="C72" s="89"/>
      <c r="D72" s="89"/>
      <c r="E72" s="178"/>
      <c r="F72" s="178"/>
      <c r="G72" s="178"/>
      <c r="H72" s="94">
        <f>SUM(F72:G72)</f>
        <v>0</v>
      </c>
      <c r="I72" s="178"/>
      <c r="J72" s="89"/>
      <c r="K72" s="8">
        <f>A72</f>
        <v>702</v>
      </c>
    </row>
    <row r="73" spans="1:11" x14ac:dyDescent="0.25">
      <c r="A73" s="8">
        <f>A72+1</f>
        <v>703</v>
      </c>
      <c r="B73" s="164" t="s">
        <v>83</v>
      </c>
      <c r="C73" s="89"/>
      <c r="D73" s="89"/>
      <c r="E73" s="178"/>
      <c r="F73" s="178"/>
      <c r="G73" s="178"/>
      <c r="H73" s="94">
        <f>SUM(F73:G73)</f>
        <v>0</v>
      </c>
      <c r="I73" s="178"/>
      <c r="J73" s="89"/>
      <c r="K73" s="8">
        <f>A73</f>
        <v>703</v>
      </c>
    </row>
    <row r="74" spans="1:11" x14ac:dyDescent="0.25">
      <c r="A74" s="8"/>
      <c r="B74" s="83" t="s">
        <v>1961</v>
      </c>
      <c r="C74" s="35"/>
      <c r="D74" s="35"/>
      <c r="E74" s="35"/>
      <c r="F74" s="35"/>
      <c r="G74" s="35"/>
      <c r="H74" s="35"/>
      <c r="I74" s="35"/>
      <c r="J74" s="35"/>
      <c r="K74" s="8"/>
    </row>
    <row r="75" spans="1:11" x14ac:dyDescent="0.25">
      <c r="A75" s="8">
        <v>800</v>
      </c>
      <c r="B75" s="23"/>
      <c r="D75" s="76" t="s">
        <v>1960</v>
      </c>
      <c r="E75" s="654">
        <v>0</v>
      </c>
      <c r="F75" s="94"/>
      <c r="G75" s="94"/>
      <c r="H75" s="94"/>
      <c r="I75" s="24"/>
      <c r="K75" s="8">
        <f>A75</f>
        <v>800</v>
      </c>
    </row>
    <row r="76" spans="1:11" x14ac:dyDescent="0.25">
      <c r="A76" s="8">
        <f>A75+1</f>
        <v>801</v>
      </c>
      <c r="B76" s="23"/>
      <c r="D76" s="76" t="s">
        <v>1959</v>
      </c>
      <c r="E76" s="94">
        <f>SUM(E77:E78)</f>
        <v>0</v>
      </c>
      <c r="F76" s="94">
        <f>SUM(F77:F78)</f>
        <v>0</v>
      </c>
      <c r="G76" s="94">
        <f>SUM(G77:G78)</f>
        <v>0</v>
      </c>
      <c r="H76" s="94">
        <f>SUM(F76:G76)</f>
        <v>0</v>
      </c>
      <c r="I76" s="94">
        <f>SUM(I77:I78)</f>
        <v>0</v>
      </c>
      <c r="J76" s="89"/>
      <c r="K76" s="8">
        <f>A76</f>
        <v>801</v>
      </c>
    </row>
    <row r="77" spans="1:11" x14ac:dyDescent="0.25">
      <c r="A77" s="8">
        <f>A76+1</f>
        <v>802</v>
      </c>
      <c r="B77" s="164" t="s">
        <v>83</v>
      </c>
      <c r="C77" s="89"/>
      <c r="D77" s="89"/>
      <c r="E77" s="178"/>
      <c r="F77" s="178"/>
      <c r="G77" s="178"/>
      <c r="H77" s="94">
        <f>SUM(F77:G77)</f>
        <v>0</v>
      </c>
      <c r="I77" s="178"/>
      <c r="J77" s="89"/>
      <c r="K77" s="8">
        <f>A77</f>
        <v>802</v>
      </c>
    </row>
    <row r="78" spans="1:11" x14ac:dyDescent="0.25">
      <c r="A78" s="8">
        <f>A77+1</f>
        <v>803</v>
      </c>
      <c r="B78" s="164" t="s">
        <v>83</v>
      </c>
      <c r="C78" s="89"/>
      <c r="D78" s="89"/>
      <c r="E78" s="178"/>
      <c r="F78" s="178"/>
      <c r="G78" s="178"/>
      <c r="H78" s="94">
        <f>SUM(F78:G78)</f>
        <v>0</v>
      </c>
      <c r="I78" s="178"/>
      <c r="J78" s="89"/>
      <c r="K78" s="8">
        <f>A78</f>
        <v>803</v>
      </c>
    </row>
    <row r="79" spans="1:11" x14ac:dyDescent="0.25">
      <c r="A79" s="8"/>
      <c r="B79" s="83" t="s">
        <v>1958</v>
      </c>
      <c r="C79" s="35"/>
      <c r="D79" s="35"/>
      <c r="E79" s="35"/>
      <c r="F79" s="35"/>
      <c r="G79" s="35"/>
      <c r="H79" s="35"/>
      <c r="I79" s="35"/>
      <c r="J79" s="35"/>
      <c r="K79" s="8"/>
    </row>
    <row r="80" spans="1:11" x14ac:dyDescent="0.25">
      <c r="A80" s="8">
        <v>900</v>
      </c>
      <c r="B80" s="23"/>
      <c r="D80" s="76" t="s">
        <v>1957</v>
      </c>
      <c r="E80" s="654">
        <v>0</v>
      </c>
      <c r="F80" s="94"/>
      <c r="G80" s="94"/>
      <c r="H80" s="94"/>
      <c r="I80" s="24"/>
      <c r="K80" s="8">
        <f>A80</f>
        <v>900</v>
      </c>
    </row>
    <row r="81" spans="1:11" x14ac:dyDescent="0.25">
      <c r="A81" s="8">
        <f>A80+1</f>
        <v>901</v>
      </c>
      <c r="B81" s="23"/>
      <c r="D81" s="76" t="s">
        <v>1956</v>
      </c>
      <c r="E81" s="94">
        <f>SUM(E82:E83)</f>
        <v>0</v>
      </c>
      <c r="F81" s="94">
        <f>SUM(F82:F83)</f>
        <v>0</v>
      </c>
      <c r="G81" s="94">
        <f>SUM(G82:G83)</f>
        <v>0</v>
      </c>
      <c r="H81" s="94">
        <f>SUM(F81:G81)</f>
        <v>0</v>
      </c>
      <c r="I81" s="94">
        <f>SUM(I82:I83)</f>
        <v>0</v>
      </c>
      <c r="J81" s="89"/>
      <c r="K81" s="8">
        <f>A81</f>
        <v>901</v>
      </c>
    </row>
    <row r="82" spans="1:11" x14ac:dyDescent="0.25">
      <c r="A82" s="8">
        <f>A81+1</f>
        <v>902</v>
      </c>
      <c r="B82" s="164" t="s">
        <v>83</v>
      </c>
      <c r="C82" s="89"/>
      <c r="D82" s="89"/>
      <c r="E82" s="178"/>
      <c r="F82" s="178"/>
      <c r="G82" s="178"/>
      <c r="H82" s="94">
        <f>SUM(F82:G82)</f>
        <v>0</v>
      </c>
      <c r="I82" s="178"/>
      <c r="J82" s="89"/>
      <c r="K82" s="8">
        <f>A82</f>
        <v>902</v>
      </c>
    </row>
    <row r="83" spans="1:11" x14ac:dyDescent="0.25">
      <c r="A83" s="8">
        <f>A82+1</f>
        <v>903</v>
      </c>
      <c r="B83" s="164" t="s">
        <v>83</v>
      </c>
      <c r="C83" s="89"/>
      <c r="D83" s="89"/>
      <c r="E83" s="178"/>
      <c r="F83" s="178"/>
      <c r="G83" s="178"/>
      <c r="H83" s="94">
        <f>SUM(F83:G83)</f>
        <v>0</v>
      </c>
      <c r="I83" s="178"/>
      <c r="J83" s="89"/>
      <c r="K83" s="8">
        <f>A83</f>
        <v>903</v>
      </c>
    </row>
    <row r="86" spans="1:11" x14ac:dyDescent="0.25">
      <c r="B86" s="83" t="s">
        <v>1955</v>
      </c>
      <c r="C86" s="35"/>
      <c r="D86" s="35"/>
      <c r="E86" s="35"/>
      <c r="F86" s="35"/>
      <c r="G86" s="35"/>
      <c r="H86" s="35"/>
      <c r="I86" s="35"/>
      <c r="J86" s="89"/>
    </row>
    <row r="87" spans="1:11" x14ac:dyDescent="0.25">
      <c r="B87" s="38" t="s">
        <v>1954</v>
      </c>
    </row>
    <row r="88" spans="1:11" s="23" customFormat="1" x14ac:dyDescent="0.25">
      <c r="D88" s="23" t="s">
        <v>492</v>
      </c>
      <c r="E88" s="23" t="s">
        <v>491</v>
      </c>
      <c r="F88" s="23" t="s">
        <v>490</v>
      </c>
      <c r="G88" s="23" t="s">
        <v>489</v>
      </c>
      <c r="H88" s="23" t="s">
        <v>519</v>
      </c>
      <c r="I88" s="23" t="s">
        <v>518</v>
      </c>
      <c r="J88" s="23" t="s">
        <v>517</v>
      </c>
    </row>
    <row r="89" spans="1:11" ht="75" x14ac:dyDescent="0.25">
      <c r="A89" s="33" t="s">
        <v>106</v>
      </c>
      <c r="B89" s="38"/>
      <c r="D89" s="33" t="s">
        <v>79</v>
      </c>
      <c r="E89" s="33" t="s">
        <v>1953</v>
      </c>
      <c r="F89" s="110" t="s">
        <v>1952</v>
      </c>
      <c r="G89" s="110" t="s">
        <v>1951</v>
      </c>
      <c r="H89" s="110" t="s">
        <v>1950</v>
      </c>
      <c r="I89" s="110" t="s">
        <v>154</v>
      </c>
      <c r="J89" s="110" t="s">
        <v>153</v>
      </c>
      <c r="K89" s="33" t="s">
        <v>106</v>
      </c>
    </row>
    <row r="90" spans="1:11" ht="30" x14ac:dyDescent="0.25">
      <c r="A90" s="8">
        <v>1000</v>
      </c>
      <c r="B90" s="38"/>
      <c r="D90" s="38" t="s">
        <v>1949</v>
      </c>
      <c r="E90" s="23"/>
      <c r="F90" s="653">
        <f>'24-Allocators'!C53</f>
        <v>0.35467658079034448</v>
      </c>
      <c r="G90" s="653">
        <f>'24-Allocators'!C54</f>
        <v>0.64532341920965552</v>
      </c>
      <c r="H90" s="74"/>
      <c r="I90" s="243" t="s">
        <v>1948</v>
      </c>
      <c r="J90" s="74"/>
      <c r="K90" s="8">
        <f>A90</f>
        <v>1000</v>
      </c>
    </row>
    <row r="91" spans="1:11" ht="105" x14ac:dyDescent="0.25">
      <c r="A91" s="8">
        <f>A90+1</f>
        <v>1001</v>
      </c>
      <c r="B91" s="23"/>
      <c r="D91" s="6" t="s">
        <v>1947</v>
      </c>
      <c r="E91" s="23">
        <v>253</v>
      </c>
      <c r="F91" s="24">
        <f>H91*F90</f>
        <v>0</v>
      </c>
      <c r="G91" s="24">
        <f>H91*G90</f>
        <v>0</v>
      </c>
      <c r="H91" s="178">
        <v>0</v>
      </c>
      <c r="I91" s="652" t="s">
        <v>1946</v>
      </c>
      <c r="J91" s="71" t="s">
        <v>1945</v>
      </c>
      <c r="K91" s="8">
        <f>A91</f>
        <v>1001</v>
      </c>
    </row>
    <row r="92" spans="1:11" ht="60" x14ac:dyDescent="0.25">
      <c r="A92" s="8">
        <f>A91+1</f>
        <v>1002</v>
      </c>
      <c r="B92" s="23"/>
      <c r="D92" s="6" t="s">
        <v>1944</v>
      </c>
      <c r="E92" s="23">
        <v>421.1</v>
      </c>
      <c r="F92" s="178">
        <v>0</v>
      </c>
      <c r="G92" s="178">
        <v>0</v>
      </c>
      <c r="H92" s="178">
        <v>0</v>
      </c>
      <c r="I92" s="652" t="s">
        <v>1943</v>
      </c>
      <c r="J92" s="71" t="s">
        <v>1942</v>
      </c>
      <c r="K92" s="8">
        <f>A92</f>
        <v>1002</v>
      </c>
    </row>
    <row r="95" spans="1:11" x14ac:dyDescent="0.25">
      <c r="A95" s="8"/>
      <c r="B95" s="25" t="s">
        <v>145</v>
      </c>
      <c r="E95" s="70"/>
      <c r="K95" s="8"/>
    </row>
    <row r="96" spans="1:11" x14ac:dyDescent="0.25">
      <c r="A96" s="8"/>
      <c r="B96" s="6" t="s">
        <v>1941</v>
      </c>
      <c r="K96" s="8"/>
    </row>
    <row r="97" spans="1:11" x14ac:dyDescent="0.25">
      <c r="A97" s="8"/>
      <c r="B97" s="6" t="s">
        <v>1940</v>
      </c>
      <c r="K97" s="8"/>
    </row>
    <row r="98" spans="1:11" x14ac:dyDescent="0.25">
      <c r="A98" s="8"/>
      <c r="B98" s="6" t="s">
        <v>1939</v>
      </c>
      <c r="K98" s="8"/>
    </row>
    <row r="99" spans="1:11" x14ac:dyDescent="0.25">
      <c r="B99" s="6" t="s">
        <v>1938</v>
      </c>
    </row>
    <row r="100" spans="1:11" x14ac:dyDescent="0.25">
      <c r="B100" s="6" t="s">
        <v>1937</v>
      </c>
    </row>
    <row r="101" spans="1:11" x14ac:dyDescent="0.25">
      <c r="B101" s="6" t="s">
        <v>1936</v>
      </c>
    </row>
    <row r="102" spans="1:11" x14ac:dyDescent="0.25">
      <c r="B102" s="6" t="s">
        <v>1935</v>
      </c>
    </row>
    <row r="103" spans="1:11" x14ac:dyDescent="0.25">
      <c r="B103" s="6" t="s">
        <v>1934</v>
      </c>
    </row>
    <row r="104" spans="1:11" ht="14.45" customHeight="1" x14ac:dyDescent="0.25">
      <c r="B104" s="6" t="s">
        <v>1933</v>
      </c>
    </row>
    <row r="105" spans="1:11" x14ac:dyDescent="0.25">
      <c r="B105" s="597" t="s">
        <v>1932</v>
      </c>
      <c r="C105" s="597"/>
      <c r="D105" s="597"/>
      <c r="E105" s="597"/>
      <c r="F105" s="597"/>
      <c r="G105" s="597"/>
      <c r="H105" s="597"/>
      <c r="I105" s="597"/>
      <c r="J105" s="597"/>
      <c r="K105" s="597"/>
    </row>
    <row r="106" spans="1:11" x14ac:dyDescent="0.25">
      <c r="B106" s="597" t="s">
        <v>1931</v>
      </c>
      <c r="C106" s="597"/>
      <c r="D106" s="597"/>
      <c r="E106" s="597"/>
      <c r="F106" s="597"/>
      <c r="G106" s="597"/>
      <c r="H106" s="597"/>
      <c r="I106" s="597"/>
      <c r="J106" s="597"/>
      <c r="K106" s="597"/>
    </row>
    <row r="107" spans="1:11" x14ac:dyDescent="0.25">
      <c r="B107" s="597" t="s">
        <v>1930</v>
      </c>
      <c r="C107" s="597"/>
      <c r="D107" s="597"/>
      <c r="E107" s="597"/>
      <c r="F107" s="597"/>
      <c r="G107" s="597"/>
      <c r="H107" s="597"/>
      <c r="I107" s="597"/>
      <c r="J107" s="597"/>
      <c r="K107" s="597"/>
    </row>
    <row r="108" spans="1:11" x14ac:dyDescent="0.25">
      <c r="B108" s="597" t="s">
        <v>1929</v>
      </c>
      <c r="C108" s="597"/>
      <c r="D108" s="597"/>
      <c r="E108" s="597"/>
      <c r="F108" s="597"/>
      <c r="G108" s="597"/>
      <c r="H108" s="597"/>
      <c r="I108" s="597"/>
      <c r="J108" s="597"/>
      <c r="K108" s="597"/>
    </row>
    <row r="109" spans="1:11" x14ac:dyDescent="0.25">
      <c r="B109" s="597" t="s">
        <v>83</v>
      </c>
      <c r="C109" s="597"/>
      <c r="D109" s="597"/>
      <c r="E109" s="597"/>
      <c r="F109" s="597"/>
      <c r="G109" s="597"/>
      <c r="H109" s="597"/>
      <c r="I109" s="597"/>
      <c r="J109" s="597"/>
      <c r="K109" s="597"/>
    </row>
  </sheetData>
  <printOptions horizontalCentered="1"/>
  <pageMargins left="1" right="1" top="1" bottom="1" header="0.5" footer="0.5"/>
  <pageSetup scale="51" fitToHeight="0" orientation="landscape" r:id="rId1"/>
  <headerFooter>
    <oddHeader>&amp;R&amp;F</oddHeader>
  </headerFooter>
  <rowBreaks count="1" manualBreakCount="1">
    <brk id="60" max="10" man="1"/>
  </rowBreaks>
  <customProperties>
    <customPr name="_pios_id" r:id="rId2"/>
    <customPr name="EpmWorksheetKeyString_GUID" r:id="rId3"/>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F9470B-D6B2-4FEE-9BFF-D863B612E861}">
  <sheetPr>
    <pageSetUpPr fitToPage="1"/>
  </sheetPr>
  <dimension ref="A1:B46"/>
  <sheetViews>
    <sheetView view="pageBreakPreview" topLeftCell="A31" zoomScale="60" zoomScaleNormal="100" workbookViewId="0">
      <selection activeCell="Q36" sqref="Q36"/>
    </sheetView>
  </sheetViews>
  <sheetFormatPr defaultColWidth="9.140625" defaultRowHeight="15" x14ac:dyDescent="0.25"/>
  <cols>
    <col min="1" max="1" width="30.140625" style="6" bestFit="1" customWidth="1"/>
    <col min="2" max="2" width="100.5703125" style="6" bestFit="1" customWidth="1"/>
    <col min="3" max="16384" width="9.140625" style="6"/>
  </cols>
  <sheetData>
    <row r="1" spans="1:2" x14ac:dyDescent="0.25">
      <c r="A1" s="9" t="s">
        <v>3</v>
      </c>
      <c r="B1" s="9"/>
    </row>
    <row r="2" spans="1:2" x14ac:dyDescent="0.25">
      <c r="A2" s="9" t="s">
        <v>2</v>
      </c>
      <c r="B2" s="9"/>
    </row>
    <row r="3" spans="1:2" x14ac:dyDescent="0.25">
      <c r="A3" s="9" t="s">
        <v>1</v>
      </c>
      <c r="B3" s="9"/>
    </row>
    <row r="4" spans="1:2" x14ac:dyDescent="0.25">
      <c r="A4" s="9" t="s">
        <v>0</v>
      </c>
      <c r="B4" s="9"/>
    </row>
    <row r="6" spans="1:2" x14ac:dyDescent="0.25">
      <c r="A6" s="9" t="s">
        <v>81</v>
      </c>
      <c r="B6" s="9"/>
    </row>
    <row r="8" spans="1:2" x14ac:dyDescent="0.25">
      <c r="A8" s="8" t="s">
        <v>80</v>
      </c>
      <c r="B8" s="8" t="s">
        <v>79</v>
      </c>
    </row>
    <row r="9" spans="1:2" x14ac:dyDescent="0.25">
      <c r="A9" s="6" t="s">
        <v>78</v>
      </c>
      <c r="B9" s="6" t="s">
        <v>77</v>
      </c>
    </row>
    <row r="10" spans="1:2" x14ac:dyDescent="0.25">
      <c r="A10" s="6" t="s">
        <v>76</v>
      </c>
      <c r="B10" s="6" t="s">
        <v>75</v>
      </c>
    </row>
    <row r="11" spans="1:2" x14ac:dyDescent="0.25">
      <c r="A11" s="6" t="s">
        <v>74</v>
      </c>
      <c r="B11" s="6" t="s">
        <v>73</v>
      </c>
    </row>
    <row r="12" spans="1:2" x14ac:dyDescent="0.25">
      <c r="A12" s="6" t="s">
        <v>72</v>
      </c>
      <c r="B12" s="6" t="s">
        <v>71</v>
      </c>
    </row>
    <row r="13" spans="1:2" x14ac:dyDescent="0.25">
      <c r="A13" s="6" t="s">
        <v>70</v>
      </c>
      <c r="B13" s="6" t="s">
        <v>69</v>
      </c>
    </row>
    <row r="14" spans="1:2" x14ac:dyDescent="0.25">
      <c r="A14" s="6" t="s">
        <v>68</v>
      </c>
      <c r="B14" s="7" t="s">
        <v>67</v>
      </c>
    </row>
    <row r="15" spans="1:2" x14ac:dyDescent="0.25">
      <c r="A15" s="6" t="s">
        <v>66</v>
      </c>
      <c r="B15" s="6" t="s">
        <v>65</v>
      </c>
    </row>
    <row r="16" spans="1:2" x14ac:dyDescent="0.25">
      <c r="A16" s="6" t="s">
        <v>64</v>
      </c>
      <c r="B16" s="6" t="s">
        <v>63</v>
      </c>
    </row>
    <row r="17" spans="1:2" x14ac:dyDescent="0.25">
      <c r="A17" s="6" t="s">
        <v>62</v>
      </c>
      <c r="B17" s="6" t="s">
        <v>61</v>
      </c>
    </row>
    <row r="18" spans="1:2" x14ac:dyDescent="0.25">
      <c r="A18" s="6" t="s">
        <v>60</v>
      </c>
      <c r="B18" s="6" t="s">
        <v>59</v>
      </c>
    </row>
    <row r="19" spans="1:2" x14ac:dyDescent="0.25">
      <c r="A19" s="6" t="s">
        <v>58</v>
      </c>
      <c r="B19" s="6" t="s">
        <v>57</v>
      </c>
    </row>
    <row r="20" spans="1:2" x14ac:dyDescent="0.25">
      <c r="A20" s="6" t="s">
        <v>56</v>
      </c>
      <c r="B20" s="6" t="s">
        <v>55</v>
      </c>
    </row>
    <row r="21" spans="1:2" x14ac:dyDescent="0.25">
      <c r="A21" s="6" t="s">
        <v>54</v>
      </c>
      <c r="B21" s="6" t="s">
        <v>53</v>
      </c>
    </row>
    <row r="22" spans="1:2" x14ac:dyDescent="0.25">
      <c r="A22" s="6" t="s">
        <v>52</v>
      </c>
      <c r="B22" s="6" t="s">
        <v>51</v>
      </c>
    </row>
    <row r="23" spans="1:2" x14ac:dyDescent="0.25">
      <c r="A23" s="6" t="s">
        <v>50</v>
      </c>
      <c r="B23" s="6" t="s">
        <v>49</v>
      </c>
    </row>
    <row r="24" spans="1:2" x14ac:dyDescent="0.25">
      <c r="A24" s="6" t="s">
        <v>48</v>
      </c>
      <c r="B24" s="6" t="s">
        <v>47</v>
      </c>
    </row>
    <row r="25" spans="1:2" x14ac:dyDescent="0.25">
      <c r="A25" s="6" t="s">
        <v>46</v>
      </c>
      <c r="B25" s="6" t="s">
        <v>45</v>
      </c>
    </row>
    <row r="26" spans="1:2" x14ac:dyDescent="0.25">
      <c r="A26" s="6" t="s">
        <v>44</v>
      </c>
      <c r="B26" s="6" t="s">
        <v>43</v>
      </c>
    </row>
    <row r="27" spans="1:2" x14ac:dyDescent="0.25">
      <c r="A27" s="6" t="s">
        <v>42</v>
      </c>
      <c r="B27" s="6" t="s">
        <v>41</v>
      </c>
    </row>
    <row r="28" spans="1:2" x14ac:dyDescent="0.25">
      <c r="A28" s="6" t="s">
        <v>40</v>
      </c>
      <c r="B28" s="6" t="s">
        <v>39</v>
      </c>
    </row>
    <row r="29" spans="1:2" x14ac:dyDescent="0.25">
      <c r="A29" s="6" t="s">
        <v>38</v>
      </c>
      <c r="B29" s="6" t="s">
        <v>36</v>
      </c>
    </row>
    <row r="30" spans="1:2" x14ac:dyDescent="0.25">
      <c r="A30" s="6" t="s">
        <v>37</v>
      </c>
      <c r="B30" s="6" t="s">
        <v>36</v>
      </c>
    </row>
    <row r="31" spans="1:2" x14ac:dyDescent="0.25">
      <c r="A31" s="6" t="s">
        <v>35</v>
      </c>
      <c r="B31" s="6" t="s">
        <v>34</v>
      </c>
    </row>
    <row r="32" spans="1:2" x14ac:dyDescent="0.25">
      <c r="A32" s="6" t="s">
        <v>33</v>
      </c>
      <c r="B32" s="6" t="s">
        <v>32</v>
      </c>
    </row>
    <row r="33" spans="1:2" x14ac:dyDescent="0.25">
      <c r="A33" s="6" t="s">
        <v>31</v>
      </c>
      <c r="B33" s="6" t="s">
        <v>30</v>
      </c>
    </row>
    <row r="34" spans="1:2" x14ac:dyDescent="0.25">
      <c r="A34" s="6" t="s">
        <v>29</v>
      </c>
      <c r="B34" s="6" t="s">
        <v>28</v>
      </c>
    </row>
    <row r="35" spans="1:2" x14ac:dyDescent="0.25">
      <c r="A35" s="6" t="s">
        <v>27</v>
      </c>
      <c r="B35" s="6" t="s">
        <v>26</v>
      </c>
    </row>
    <row r="36" spans="1:2" x14ac:dyDescent="0.25">
      <c r="A36" s="6" t="s">
        <v>25</v>
      </c>
      <c r="B36" s="6" t="s">
        <v>24</v>
      </c>
    </row>
    <row r="37" spans="1:2" x14ac:dyDescent="0.25">
      <c r="A37" s="6" t="s">
        <v>23</v>
      </c>
      <c r="B37" s="6" t="s">
        <v>22</v>
      </c>
    </row>
    <row r="38" spans="1:2" x14ac:dyDescent="0.25">
      <c r="A38" s="6" t="s">
        <v>21</v>
      </c>
      <c r="B38" s="6" t="s">
        <v>20</v>
      </c>
    </row>
    <row r="39" spans="1:2" x14ac:dyDescent="0.25">
      <c r="A39" s="6" t="s">
        <v>19</v>
      </c>
      <c r="B39" s="6" t="s">
        <v>18</v>
      </c>
    </row>
    <row r="40" spans="1:2" x14ac:dyDescent="0.25">
      <c r="A40" s="6" t="s">
        <v>17</v>
      </c>
      <c r="B40" s="6" t="s">
        <v>16</v>
      </c>
    </row>
    <row r="41" spans="1:2" x14ac:dyDescent="0.25">
      <c r="A41" s="6" t="s">
        <v>15</v>
      </c>
      <c r="B41" s="6" t="s">
        <v>14</v>
      </c>
    </row>
    <row r="42" spans="1:2" x14ac:dyDescent="0.25">
      <c r="A42" s="6" t="s">
        <v>13</v>
      </c>
      <c r="B42" s="6" t="s">
        <v>12</v>
      </c>
    </row>
    <row r="43" spans="1:2" x14ac:dyDescent="0.25">
      <c r="A43" s="6" t="s">
        <v>11</v>
      </c>
      <c r="B43" s="6" t="s">
        <v>10</v>
      </c>
    </row>
    <row r="44" spans="1:2" x14ac:dyDescent="0.25">
      <c r="A44" s="6" t="s">
        <v>9</v>
      </c>
      <c r="B44" s="6" t="s">
        <v>8</v>
      </c>
    </row>
    <row r="45" spans="1:2" x14ac:dyDescent="0.25">
      <c r="A45" s="6" t="s">
        <v>7</v>
      </c>
      <c r="B45" s="6" t="s">
        <v>6</v>
      </c>
    </row>
    <row r="46" spans="1:2" x14ac:dyDescent="0.25">
      <c r="A46" s="6" t="s">
        <v>5</v>
      </c>
      <c r="B46" s="6" t="s">
        <v>4</v>
      </c>
    </row>
  </sheetData>
  <mergeCells count="5">
    <mergeCell ref="A6:B6"/>
    <mergeCell ref="A1:B1"/>
    <mergeCell ref="A2:B2"/>
    <mergeCell ref="A3:B3"/>
    <mergeCell ref="A4:B4"/>
  </mergeCells>
  <printOptions horizontalCentered="1"/>
  <pageMargins left="1" right="1" top="1" bottom="1" header="0.5" footer="0.5"/>
  <pageSetup scale="66" orientation="landscape" r:id="rId1"/>
  <customProperties>
    <customPr name="_pios_id" r:id="rId2"/>
  </customPropertie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5B3684-6002-4BAC-9D7A-73658825B3C4}">
  <sheetPr>
    <pageSetUpPr fitToPage="1"/>
  </sheetPr>
  <dimension ref="A1:G45"/>
  <sheetViews>
    <sheetView topLeftCell="A4" zoomScaleNormal="100" workbookViewId="0">
      <selection activeCell="Q36" sqref="Q36"/>
    </sheetView>
  </sheetViews>
  <sheetFormatPr defaultColWidth="9.140625" defaultRowHeight="15" x14ac:dyDescent="0.25"/>
  <cols>
    <col min="1" max="1" width="5.140625" style="6" bestFit="1" customWidth="1"/>
    <col min="2" max="2" width="72.5703125" style="6" customWidth="1"/>
    <col min="3" max="4" width="14.140625" style="6" customWidth="1"/>
    <col min="5" max="5" width="15.42578125" style="6" customWidth="1"/>
    <col min="6" max="6" width="16.5703125" style="6" customWidth="1"/>
    <col min="7" max="7" width="4.85546875" style="6" bestFit="1" customWidth="1"/>
    <col min="8" max="16384" width="9.140625" style="6"/>
  </cols>
  <sheetData>
    <row r="1" spans="1:7" x14ac:dyDescent="0.25">
      <c r="B1" s="30" t="s">
        <v>2058</v>
      </c>
    </row>
    <row r="2" spans="1:7" x14ac:dyDescent="0.25">
      <c r="B2" s="30" t="s">
        <v>28</v>
      </c>
      <c r="C2" s="76"/>
      <c r="F2" s="76" t="str">
        <f>CONCATENATE("Prior Year: ",'1-BaseTRR'!$G$3)</f>
        <v>Prior Year: 2025</v>
      </c>
    </row>
    <row r="3" spans="1:7" x14ac:dyDescent="0.25">
      <c r="B3" s="77" t="s">
        <v>367</v>
      </c>
      <c r="C3" s="76"/>
      <c r="D3" s="76"/>
      <c r="E3" s="76"/>
      <c r="F3" s="76"/>
    </row>
    <row r="4" spans="1:7" x14ac:dyDescent="0.25">
      <c r="B4" s="30"/>
    </row>
    <row r="5" spans="1:7" x14ac:dyDescent="0.25">
      <c r="A5" s="33"/>
      <c r="B5" s="658" t="s">
        <v>2057</v>
      </c>
      <c r="C5" s="657"/>
      <c r="D5" s="657"/>
      <c r="E5" s="657"/>
      <c r="F5" s="657"/>
      <c r="G5" s="33"/>
    </row>
    <row r="6" spans="1:7" x14ac:dyDescent="0.25">
      <c r="A6" s="33" t="s">
        <v>106</v>
      </c>
      <c r="B6" s="33" t="s">
        <v>79</v>
      </c>
      <c r="C6" s="33" t="s">
        <v>155</v>
      </c>
      <c r="D6" s="33" t="s">
        <v>154</v>
      </c>
      <c r="E6" s="33"/>
      <c r="F6" s="33"/>
      <c r="G6" s="33" t="str">
        <f>A6</f>
        <v>Line</v>
      </c>
    </row>
    <row r="7" spans="1:7" x14ac:dyDescent="0.25">
      <c r="A7" s="8">
        <v>100</v>
      </c>
      <c r="B7" s="6" t="s">
        <v>2056</v>
      </c>
      <c r="C7" s="88">
        <f>'20-RevenueCredits'!I12</f>
        <v>57556342.840000004</v>
      </c>
      <c r="D7" s="38" t="s">
        <v>2055</v>
      </c>
      <c r="G7" s="8">
        <f>A7</f>
        <v>100</v>
      </c>
    </row>
    <row r="8" spans="1:7" x14ac:dyDescent="0.25">
      <c r="A8" s="8"/>
      <c r="C8" s="24"/>
      <c r="G8" s="8"/>
    </row>
    <row r="9" spans="1:7" x14ac:dyDescent="0.25">
      <c r="A9" s="8">
        <f>A7+1</f>
        <v>101</v>
      </c>
      <c r="B9" s="6" t="s">
        <v>2054</v>
      </c>
      <c r="C9" s="90">
        <v>14170316.660000004</v>
      </c>
      <c r="D9" s="38" t="s">
        <v>2053</v>
      </c>
      <c r="E9" s="38"/>
      <c r="F9" s="38"/>
      <c r="G9" s="8">
        <f>A9</f>
        <v>101</v>
      </c>
    </row>
    <row r="10" spans="1:7" x14ac:dyDescent="0.25">
      <c r="A10" s="8">
        <f>A9+1</f>
        <v>102</v>
      </c>
      <c r="B10" s="6" t="s">
        <v>2052</v>
      </c>
      <c r="C10" s="318">
        <v>462471.29321912432</v>
      </c>
      <c r="D10" s="38" t="s">
        <v>2051</v>
      </c>
      <c r="E10" s="38"/>
      <c r="F10" s="38"/>
      <c r="G10" s="8">
        <f>A10</f>
        <v>102</v>
      </c>
    </row>
    <row r="11" spans="1:7" x14ac:dyDescent="0.25">
      <c r="A11" s="8">
        <f>A10+1</f>
        <v>103</v>
      </c>
      <c r="B11" s="30" t="s">
        <v>2050</v>
      </c>
      <c r="C11" s="87">
        <f>C9+C10</f>
        <v>14632787.953219129</v>
      </c>
      <c r="D11" s="6" t="str">
        <f>"Line "&amp;A9&amp;" + Line "&amp;A10&amp;""</f>
        <v>Line 101 + Line 102</v>
      </c>
      <c r="G11" s="8">
        <f>A11</f>
        <v>103</v>
      </c>
    </row>
    <row r="12" spans="1:7" x14ac:dyDescent="0.25">
      <c r="A12" s="8"/>
      <c r="C12" s="156"/>
      <c r="G12" s="8"/>
    </row>
    <row r="13" spans="1:7" x14ac:dyDescent="0.25">
      <c r="A13" s="8"/>
      <c r="B13" s="658" t="s">
        <v>2049</v>
      </c>
      <c r="C13" s="657"/>
      <c r="D13" s="657"/>
      <c r="E13" s="657"/>
      <c r="F13" s="657"/>
      <c r="G13" s="33"/>
    </row>
    <row r="14" spans="1:7" x14ac:dyDescent="0.25">
      <c r="A14" s="8"/>
      <c r="B14" s="354"/>
      <c r="C14" s="33" t="s">
        <v>492</v>
      </c>
      <c r="D14" s="33" t="s">
        <v>491</v>
      </c>
      <c r="E14" s="33" t="s">
        <v>490</v>
      </c>
      <c r="F14" s="33" t="s">
        <v>489</v>
      </c>
      <c r="G14" s="33"/>
    </row>
    <row r="15" spans="1:7" x14ac:dyDescent="0.25">
      <c r="A15" s="8"/>
      <c r="B15" s="354"/>
      <c r="C15" s="23" t="s">
        <v>99</v>
      </c>
      <c r="D15" s="23" t="s">
        <v>183</v>
      </c>
      <c r="E15" s="23" t="s">
        <v>1743</v>
      </c>
      <c r="F15" s="23" t="s">
        <v>157</v>
      </c>
      <c r="G15" s="33"/>
    </row>
    <row r="16" spans="1:7" x14ac:dyDescent="0.25">
      <c r="A16" s="8"/>
      <c r="B16" s="354"/>
      <c r="C16" s="33"/>
      <c r="D16" s="33"/>
      <c r="E16" s="33"/>
      <c r="F16" s="8" t="s">
        <v>2048</v>
      </c>
      <c r="G16" s="33"/>
    </row>
    <row r="17" spans="1:7" x14ac:dyDescent="0.25">
      <c r="A17" s="33" t="s">
        <v>106</v>
      </c>
      <c r="B17" s="33" t="s">
        <v>2047</v>
      </c>
      <c r="C17" s="33" t="s">
        <v>524</v>
      </c>
      <c r="D17" s="33" t="s">
        <v>1051</v>
      </c>
      <c r="E17" s="33" t="s">
        <v>2046</v>
      </c>
      <c r="F17" s="33" t="s">
        <v>2046</v>
      </c>
      <c r="G17" s="33" t="s">
        <v>106</v>
      </c>
    </row>
    <row r="18" spans="1:7" x14ac:dyDescent="0.25">
      <c r="A18" s="8">
        <v>200</v>
      </c>
      <c r="B18" s="39" t="s">
        <v>466</v>
      </c>
      <c r="C18" s="60">
        <f>SUM(C19:C24)</f>
        <v>57556342.839999996</v>
      </c>
      <c r="D18" s="60">
        <f>SUM(D19:D24)</f>
        <v>14632786.523219125</v>
      </c>
      <c r="E18" s="60">
        <f>SUM(E19:E25)</f>
        <v>42923556.316780873</v>
      </c>
      <c r="F18" s="60">
        <f>SUM(F19:F25)</f>
        <v>42923556.316780873</v>
      </c>
      <c r="G18" s="8">
        <f>A18</f>
        <v>200</v>
      </c>
    </row>
    <row r="19" spans="1:7" x14ac:dyDescent="0.25">
      <c r="A19" s="8">
        <f>A18+1</f>
        <v>201</v>
      </c>
      <c r="B19" s="6" t="s">
        <v>2045</v>
      </c>
      <c r="C19" s="90">
        <v>8195752.54</v>
      </c>
      <c r="D19" s="90">
        <v>733400.01925653988</v>
      </c>
      <c r="E19" s="32">
        <f>C19-D19</f>
        <v>7462352.5207434604</v>
      </c>
      <c r="F19" s="32">
        <f>IF(E19&gt;0,E19,0)</f>
        <v>7462352.5207434604</v>
      </c>
      <c r="G19" s="8">
        <f>A19</f>
        <v>201</v>
      </c>
    </row>
    <row r="20" spans="1:7" x14ac:dyDescent="0.25">
      <c r="A20" s="8">
        <f>A19+1</f>
        <v>202</v>
      </c>
      <c r="B20" s="6" t="s">
        <v>2044</v>
      </c>
      <c r="C20" s="90">
        <v>13459981.52</v>
      </c>
      <c r="D20" s="90">
        <v>12298096.325495025</v>
      </c>
      <c r="E20" s="32">
        <f>C20-D20</f>
        <v>1161885.1945049744</v>
      </c>
      <c r="F20" s="32">
        <f>IF(E20&gt;0,E20,0)</f>
        <v>1161885.1945049744</v>
      </c>
      <c r="G20" s="8">
        <f>A20</f>
        <v>202</v>
      </c>
    </row>
    <row r="21" spans="1:7" x14ac:dyDescent="0.25">
      <c r="A21" s="8">
        <f>A20+1</f>
        <v>203</v>
      </c>
      <c r="B21" s="6" t="s">
        <v>2043</v>
      </c>
      <c r="C21" s="90">
        <v>0</v>
      </c>
      <c r="D21" s="90">
        <v>0</v>
      </c>
      <c r="E21" s="32">
        <f>C21-D21</f>
        <v>0</v>
      </c>
      <c r="F21" s="32">
        <f>IF(E21&gt;0,E21,0)</f>
        <v>0</v>
      </c>
      <c r="G21" s="8">
        <f>A21</f>
        <v>203</v>
      </c>
    </row>
    <row r="22" spans="1:7" x14ac:dyDescent="0.25">
      <c r="A22" s="8">
        <f>A21+1</f>
        <v>204</v>
      </c>
      <c r="B22" s="6" t="s">
        <v>2042</v>
      </c>
      <c r="C22" s="90">
        <v>0</v>
      </c>
      <c r="D22" s="90">
        <v>0</v>
      </c>
      <c r="E22" s="32">
        <f>C22-D22</f>
        <v>0</v>
      </c>
      <c r="F22" s="32">
        <f>IF(E22&gt;0,E22,0)</f>
        <v>0</v>
      </c>
      <c r="G22" s="8">
        <f>A22</f>
        <v>204</v>
      </c>
    </row>
    <row r="23" spans="1:7" x14ac:dyDescent="0.25">
      <c r="A23" s="8">
        <f>A22+1</f>
        <v>205</v>
      </c>
      <c r="B23" s="6" t="s">
        <v>2041</v>
      </c>
      <c r="C23" s="90">
        <v>1745565.88</v>
      </c>
      <c r="D23" s="90">
        <v>1601290.1784675603</v>
      </c>
      <c r="E23" s="32">
        <f>C23-D23</f>
        <v>144275.70153243956</v>
      </c>
      <c r="F23" s="32">
        <f>IF(E23&gt;0,E23,0)</f>
        <v>144275.70153243956</v>
      </c>
      <c r="G23" s="8">
        <f>A23</f>
        <v>205</v>
      </c>
    </row>
    <row r="24" spans="1:7" x14ac:dyDescent="0.25">
      <c r="A24" s="8">
        <f>A23+1</f>
        <v>206</v>
      </c>
      <c r="B24" s="210" t="s">
        <v>2040</v>
      </c>
      <c r="C24" s="663">
        <v>34155042.899999999</v>
      </c>
      <c r="D24" s="661">
        <v>0</v>
      </c>
      <c r="E24" s="48">
        <f>C24-D24</f>
        <v>34155042.899999999</v>
      </c>
      <c r="F24" s="32">
        <f>IF(E24&gt;0,E24,0)</f>
        <v>34155042.899999999</v>
      </c>
      <c r="G24" s="8">
        <f>A24</f>
        <v>206</v>
      </c>
    </row>
    <row r="25" spans="1:7" x14ac:dyDescent="0.25">
      <c r="A25" s="8">
        <f>A24+1</f>
        <v>207</v>
      </c>
      <c r="B25" s="662" t="s">
        <v>83</v>
      </c>
      <c r="C25" s="661"/>
      <c r="D25" s="661"/>
      <c r="E25" s="660"/>
      <c r="F25" s="40"/>
      <c r="G25" s="8">
        <f>A25</f>
        <v>207</v>
      </c>
    </row>
    <row r="26" spans="1:7" x14ac:dyDescent="0.25">
      <c r="A26" s="8"/>
      <c r="B26" s="33"/>
      <c r="C26" s="33"/>
      <c r="D26" s="33"/>
      <c r="E26" s="33"/>
      <c r="F26" s="33"/>
      <c r="G26" s="33"/>
    </row>
    <row r="27" spans="1:7" x14ac:dyDescent="0.25">
      <c r="A27" s="8"/>
      <c r="B27" s="659" t="s">
        <v>2039</v>
      </c>
      <c r="C27" s="35"/>
      <c r="D27" s="35"/>
      <c r="E27" s="35"/>
      <c r="F27" s="35"/>
      <c r="G27" s="23"/>
    </row>
    <row r="28" spans="1:7" x14ac:dyDescent="0.25">
      <c r="A28" s="33" t="s">
        <v>106</v>
      </c>
      <c r="B28" s="33" t="s">
        <v>79</v>
      </c>
      <c r="C28" s="33" t="s">
        <v>155</v>
      </c>
      <c r="D28" s="33" t="s">
        <v>154</v>
      </c>
      <c r="E28" s="33"/>
      <c r="F28" s="33"/>
      <c r="G28" s="33" t="str">
        <f>A28</f>
        <v>Line</v>
      </c>
    </row>
    <row r="29" spans="1:7" x14ac:dyDescent="0.25">
      <c r="A29" s="8">
        <v>300</v>
      </c>
      <c r="B29" s="6" t="s">
        <v>2038</v>
      </c>
      <c r="C29" s="32">
        <f>F18</f>
        <v>42923556.316780873</v>
      </c>
      <c r="D29" s="6" t="str">
        <f>"Line "&amp;A18&amp;", col 4"</f>
        <v>Line 200, col 4</v>
      </c>
      <c r="G29" s="8">
        <f>A29</f>
        <v>300</v>
      </c>
    </row>
    <row r="30" spans="1:7" x14ac:dyDescent="0.25">
      <c r="A30" s="8">
        <f>A29+1</f>
        <v>301</v>
      </c>
      <c r="B30" s="6" t="s">
        <v>2037</v>
      </c>
      <c r="C30" s="49">
        <f>'1-BaseTRR'!E101</f>
        <v>0.27983599999999997</v>
      </c>
      <c r="D30" s="6" t="str">
        <f>"1-BaseTRR, L. "&amp;'1-BaseTRR'!A101&amp;""</f>
        <v>1-BaseTRR, L. 402</v>
      </c>
      <c r="G30" s="8">
        <f>A30</f>
        <v>301</v>
      </c>
    </row>
    <row r="31" spans="1:7" x14ac:dyDescent="0.25">
      <c r="A31" s="8">
        <f>A30+1</f>
        <v>302</v>
      </c>
      <c r="B31" s="6" t="s">
        <v>2036</v>
      </c>
      <c r="C31" s="6">
        <v>1</v>
      </c>
      <c r="D31" s="51" t="s">
        <v>2035</v>
      </c>
      <c r="E31" s="51"/>
      <c r="F31" s="51"/>
      <c r="G31" s="8">
        <f>A31</f>
        <v>302</v>
      </c>
    </row>
    <row r="32" spans="1:7" x14ac:dyDescent="0.25">
      <c r="A32" s="8">
        <f>A31+1</f>
        <v>303</v>
      </c>
      <c r="B32" s="6" t="s">
        <v>2034</v>
      </c>
      <c r="C32" s="49">
        <f>1/(1+C31-C31*C30)</f>
        <v>0.58133991875193292</v>
      </c>
      <c r="D32" s="6" t="str">
        <f>"1 / [1 + Line "&amp;A31&amp;" - (Line "&amp;A31&amp;" * Line "&amp;A30&amp;")]"</f>
        <v>1 / [1 + Line 302 - (Line 302 * Line 301)]</v>
      </c>
      <c r="G32" s="8">
        <f>A32</f>
        <v>303</v>
      </c>
    </row>
    <row r="33" spans="1:7" x14ac:dyDescent="0.25">
      <c r="A33" s="8">
        <f>A32+1</f>
        <v>304</v>
      </c>
      <c r="B33" s="6" t="s">
        <v>2033</v>
      </c>
      <c r="C33" s="49">
        <f>1-C32</f>
        <v>0.41866008124806708</v>
      </c>
      <c r="D33" s="6" t="str">
        <f>"1 - Line "&amp;A32&amp;""</f>
        <v>1 - Line 303</v>
      </c>
      <c r="G33" s="8">
        <f>A33</f>
        <v>304</v>
      </c>
    </row>
    <row r="34" spans="1:7" x14ac:dyDescent="0.25">
      <c r="A34" s="8"/>
      <c r="G34" s="8"/>
    </row>
    <row r="35" spans="1:7" x14ac:dyDescent="0.25">
      <c r="A35" s="8"/>
      <c r="B35" s="659" t="s">
        <v>2032</v>
      </c>
      <c r="C35" s="35"/>
      <c r="D35" s="35"/>
      <c r="E35" s="35"/>
      <c r="F35" s="35"/>
      <c r="G35" s="8"/>
    </row>
    <row r="36" spans="1:7" x14ac:dyDescent="0.25">
      <c r="A36" s="33" t="s">
        <v>106</v>
      </c>
      <c r="B36" s="33" t="s">
        <v>79</v>
      </c>
      <c r="C36" s="33" t="s">
        <v>155</v>
      </c>
      <c r="D36" s="33" t="s">
        <v>154</v>
      </c>
      <c r="E36" s="33"/>
      <c r="F36" s="33"/>
      <c r="G36" s="33" t="str">
        <f>A36</f>
        <v>Line</v>
      </c>
    </row>
    <row r="37" spans="1:7" x14ac:dyDescent="0.25">
      <c r="A37" s="8">
        <v>400</v>
      </c>
      <c r="B37" s="6" t="s">
        <v>2031</v>
      </c>
      <c r="C37" s="32">
        <f>C32*C29</f>
        <v>24953176.741741408</v>
      </c>
      <c r="D37" s="6" t="str">
        <f>"Line "&amp;A29&amp;" * Line "&amp;A32&amp;""</f>
        <v>Line 300 * Line 303</v>
      </c>
      <c r="G37" s="8">
        <f>A37</f>
        <v>400</v>
      </c>
    </row>
    <row r="38" spans="1:7" x14ac:dyDescent="0.25">
      <c r="A38" s="8">
        <f>A37+1</f>
        <v>401</v>
      </c>
      <c r="B38" s="6" t="s">
        <v>2030</v>
      </c>
      <c r="C38" s="32">
        <f>C37*C30</f>
        <v>6982797.1667019483</v>
      </c>
      <c r="D38" s="6" t="str">
        <f>"Line "&amp;A37&amp;" * Line "&amp;A30&amp;""</f>
        <v>Line 400 * Line 301</v>
      </c>
      <c r="G38" s="8">
        <f>A38</f>
        <v>401</v>
      </c>
    </row>
    <row r="39" spans="1:7" x14ac:dyDescent="0.25">
      <c r="A39" s="8">
        <f>A38+1</f>
        <v>402</v>
      </c>
      <c r="B39" s="6" t="s">
        <v>2029</v>
      </c>
      <c r="C39" s="32">
        <f>C37-C38</f>
        <v>17970379.575039461</v>
      </c>
      <c r="D39" s="6" t="str">
        <f>"Line "&amp;A37&amp;" - Line "&amp;A38&amp;""</f>
        <v>Line 400 - Line 401</v>
      </c>
      <c r="G39" s="8">
        <f>A39</f>
        <v>402</v>
      </c>
    </row>
    <row r="40" spans="1:7" x14ac:dyDescent="0.25">
      <c r="A40" s="8">
        <f>A39+1</f>
        <v>403</v>
      </c>
      <c r="B40" s="6" t="s">
        <v>2028</v>
      </c>
      <c r="C40" s="32">
        <f>C33*C29</f>
        <v>17970379.575039465</v>
      </c>
      <c r="D40" s="6" t="str">
        <f>"Line "&amp;A33&amp;" * Line "&amp;A29&amp;""</f>
        <v>Line 304 * Line 300</v>
      </c>
      <c r="G40" s="8">
        <f>A40</f>
        <v>403</v>
      </c>
    </row>
    <row r="42" spans="1:7" x14ac:dyDescent="0.25">
      <c r="B42" s="25" t="s">
        <v>145</v>
      </c>
    </row>
    <row r="43" spans="1:7" x14ac:dyDescent="0.25">
      <c r="B43" s="6" t="s">
        <v>2027</v>
      </c>
    </row>
    <row r="44" spans="1:7" x14ac:dyDescent="0.25">
      <c r="B44" s="6" t="s">
        <v>2026</v>
      </c>
    </row>
    <row r="45" spans="1:7" x14ac:dyDescent="0.25">
      <c r="B45" s="6" t="s">
        <v>2025</v>
      </c>
    </row>
  </sheetData>
  <printOptions horizontalCentered="1"/>
  <pageMargins left="1" right="1" top="1" bottom="1" header="0.5" footer="0.5"/>
  <pageSetup scale="80" fitToHeight="0" orientation="landscape" r:id="rId1"/>
  <headerFooter>
    <oddHeader>&amp;R&amp;F</oddHeader>
  </headerFooter>
  <customProperties>
    <customPr name="_pios_id" r:id="rId2"/>
  </customPropertie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FFB36B-B404-4831-A592-D243165871DC}">
  <sheetPr>
    <pageSetUpPr fitToPage="1"/>
  </sheetPr>
  <dimension ref="A1:F21"/>
  <sheetViews>
    <sheetView view="pageBreakPreview" zoomScale="60" zoomScaleNormal="83" workbookViewId="0">
      <selection activeCell="Q36" sqref="Q36"/>
    </sheetView>
  </sheetViews>
  <sheetFormatPr defaultColWidth="9.140625" defaultRowHeight="15" x14ac:dyDescent="0.25"/>
  <cols>
    <col min="1" max="1" width="7" style="6" bestFit="1" customWidth="1"/>
    <col min="2" max="2" width="34.85546875" style="6" bestFit="1" customWidth="1"/>
    <col min="3" max="3" width="15.42578125" style="6" customWidth="1"/>
    <col min="4" max="4" width="46" style="6" customWidth="1"/>
    <col min="5" max="5" width="46.140625" style="6" customWidth="1"/>
    <col min="6" max="6" width="7" style="6" bestFit="1" customWidth="1"/>
    <col min="7" max="16384" width="9.140625" style="6"/>
  </cols>
  <sheetData>
    <row r="1" spans="1:6" x14ac:dyDescent="0.25">
      <c r="B1" s="30" t="s">
        <v>2071</v>
      </c>
    </row>
    <row r="2" spans="1:6" x14ac:dyDescent="0.25">
      <c r="B2" s="30" t="s">
        <v>26</v>
      </c>
      <c r="D2" s="39"/>
      <c r="E2" s="76" t="str">
        <f>CONCATENATE("Prior Year: ",'1-BaseTRR'!$G$3)</f>
        <v>Prior Year: 2025</v>
      </c>
    </row>
    <row r="3" spans="1:6" x14ac:dyDescent="0.25">
      <c r="B3" s="77" t="s">
        <v>367</v>
      </c>
      <c r="D3" s="39"/>
      <c r="E3" s="76" t="str">
        <f>CONCATENATE("Rate Year: ",'1-BaseTRR'!$G$2)</f>
        <v>Rate Year: 2027</v>
      </c>
    </row>
    <row r="4" spans="1:6" x14ac:dyDescent="0.25">
      <c r="B4" s="30"/>
    </row>
    <row r="5" spans="1:6" x14ac:dyDescent="0.25">
      <c r="B5" s="83" t="s">
        <v>2070</v>
      </c>
      <c r="C5" s="35"/>
      <c r="D5" s="35"/>
      <c r="E5" s="35"/>
    </row>
    <row r="6" spans="1:6" x14ac:dyDescent="0.25">
      <c r="A6" s="33" t="s">
        <v>106</v>
      </c>
      <c r="B6" s="33" t="s">
        <v>79</v>
      </c>
      <c r="C6" s="33" t="s">
        <v>1539</v>
      </c>
      <c r="D6" s="33" t="s">
        <v>671</v>
      </c>
      <c r="E6" s="33" t="s">
        <v>153</v>
      </c>
      <c r="F6" s="33" t="str">
        <f>A6</f>
        <v>Line</v>
      </c>
    </row>
    <row r="7" spans="1:6" x14ac:dyDescent="0.25">
      <c r="A7" s="8">
        <v>100</v>
      </c>
      <c r="B7" s="6" t="s">
        <v>265</v>
      </c>
      <c r="C7" s="93">
        <v>0.21</v>
      </c>
      <c r="D7" s="38" t="s">
        <v>2066</v>
      </c>
      <c r="E7" s="89"/>
      <c r="F7" s="8">
        <f>A7</f>
        <v>100</v>
      </c>
    </row>
    <row r="8" spans="1:6" x14ac:dyDescent="0.25">
      <c r="A8" s="8">
        <f>A7+1</f>
        <v>101</v>
      </c>
      <c r="B8" s="6" t="s">
        <v>2065</v>
      </c>
      <c r="C8" s="93">
        <v>8.8400000000000006E-2</v>
      </c>
      <c r="D8" s="6" t="s">
        <v>2064</v>
      </c>
      <c r="E8" s="89"/>
      <c r="F8" s="8">
        <f>A8</f>
        <v>101</v>
      </c>
    </row>
    <row r="9" spans="1:6" ht="30.75" customHeight="1" x14ac:dyDescent="0.25">
      <c r="A9" s="8">
        <v>102</v>
      </c>
      <c r="B9" s="6" t="s">
        <v>2063</v>
      </c>
      <c r="C9" s="55">
        <f>-C7*C8</f>
        <v>-1.8564000000000001E-2</v>
      </c>
      <c r="D9" s="71" t="s">
        <v>2069</v>
      </c>
      <c r="E9" s="71" t="s">
        <v>2061</v>
      </c>
      <c r="F9" s="8">
        <v>102</v>
      </c>
    </row>
    <row r="10" spans="1:6" x14ac:dyDescent="0.25">
      <c r="A10" s="8">
        <v>103</v>
      </c>
      <c r="B10" s="30" t="s">
        <v>2060</v>
      </c>
      <c r="C10" s="664">
        <f>SUM(C7:C9)</f>
        <v>0.27983599999999997</v>
      </c>
      <c r="D10" s="6" t="s">
        <v>2068</v>
      </c>
      <c r="F10" s="8">
        <v>103</v>
      </c>
    </row>
    <row r="11" spans="1:6" x14ac:dyDescent="0.25">
      <c r="A11" s="8"/>
      <c r="B11" s="30"/>
      <c r="C11" s="62"/>
      <c r="F11" s="8"/>
    </row>
    <row r="12" spans="1:6" x14ac:dyDescent="0.25">
      <c r="A12" s="8"/>
      <c r="B12" s="83" t="s">
        <v>2067</v>
      </c>
      <c r="C12" s="35"/>
      <c r="D12" s="35"/>
      <c r="E12" s="35"/>
    </row>
    <row r="13" spans="1:6" x14ac:dyDescent="0.25">
      <c r="A13" s="33" t="s">
        <v>106</v>
      </c>
      <c r="B13" s="33" t="s">
        <v>79</v>
      </c>
      <c r="C13" s="33" t="s">
        <v>1539</v>
      </c>
      <c r="D13" s="33" t="s">
        <v>671</v>
      </c>
      <c r="E13" s="33" t="s">
        <v>153</v>
      </c>
      <c r="F13" s="33" t="str">
        <f>A13</f>
        <v>Line</v>
      </c>
    </row>
    <row r="14" spans="1:6" x14ac:dyDescent="0.25">
      <c r="A14" s="8">
        <v>200</v>
      </c>
      <c r="B14" s="6" t="s">
        <v>265</v>
      </c>
      <c r="C14" s="93">
        <v>0.21</v>
      </c>
      <c r="D14" s="38" t="s">
        <v>2066</v>
      </c>
      <c r="E14" s="89"/>
      <c r="F14" s="8">
        <f>A14</f>
        <v>200</v>
      </c>
    </row>
    <row r="15" spans="1:6" x14ac:dyDescent="0.25">
      <c r="A15" s="8">
        <f>A14+1</f>
        <v>201</v>
      </c>
      <c r="B15" s="6" t="s">
        <v>2065</v>
      </c>
      <c r="C15" s="93">
        <v>8.8400000000000006E-2</v>
      </c>
      <c r="D15" s="6" t="s">
        <v>2064</v>
      </c>
      <c r="E15" s="89"/>
      <c r="F15" s="8">
        <f>A15</f>
        <v>201</v>
      </c>
    </row>
    <row r="16" spans="1:6" ht="30" x14ac:dyDescent="0.25">
      <c r="A16" s="8">
        <f>A15+1</f>
        <v>202</v>
      </c>
      <c r="B16" s="6" t="s">
        <v>2063</v>
      </c>
      <c r="C16" s="55">
        <f>-C14*C15</f>
        <v>-1.8564000000000001E-2</v>
      </c>
      <c r="D16" s="71" t="s">
        <v>2062</v>
      </c>
      <c r="E16" s="71" t="s">
        <v>2061</v>
      </c>
      <c r="F16" s="8">
        <f>A16</f>
        <v>202</v>
      </c>
    </row>
    <row r="17" spans="1:6" x14ac:dyDescent="0.25">
      <c r="A17" s="8">
        <f>A16+1</f>
        <v>203</v>
      </c>
      <c r="B17" s="30" t="s">
        <v>2060</v>
      </c>
      <c r="C17" s="664">
        <f>SUM(C14:C16)</f>
        <v>0.27983599999999997</v>
      </c>
      <c r="D17" s="6" t="s">
        <v>2059</v>
      </c>
      <c r="F17" s="8">
        <f>A17</f>
        <v>203</v>
      </c>
    </row>
    <row r="20" spans="1:6" x14ac:dyDescent="0.25">
      <c r="B20" s="25" t="s">
        <v>145</v>
      </c>
    </row>
    <row r="21" spans="1:6" x14ac:dyDescent="0.25">
      <c r="B21" s="89" t="s">
        <v>83</v>
      </c>
      <c r="C21" s="89"/>
      <c r="D21" s="89"/>
      <c r="E21" s="89"/>
    </row>
  </sheetData>
  <printOptions horizontalCentered="1"/>
  <pageMargins left="1" right="1" top="1" bottom="1" header="0.5" footer="0.5"/>
  <pageSetup scale="73" fitToHeight="0" orientation="landscape" r:id="rId1"/>
  <headerFooter>
    <oddHeader>&amp;R&amp;F</oddHeader>
  </headerFooter>
  <customProperties>
    <customPr name="_pios_id" r:id="rId2"/>
  </customPropertie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4DC0A8-1B0B-4184-8A60-673E80A12992}">
  <sheetPr>
    <pageSetUpPr fitToPage="1"/>
  </sheetPr>
  <dimension ref="A1:K70"/>
  <sheetViews>
    <sheetView view="pageBreakPreview" topLeftCell="A48" zoomScale="89" zoomScaleNormal="81" zoomScaleSheetLayoutView="89" workbookViewId="0">
      <selection activeCell="Q36" sqref="Q36"/>
    </sheetView>
  </sheetViews>
  <sheetFormatPr defaultColWidth="9.140625" defaultRowHeight="15" x14ac:dyDescent="0.25"/>
  <cols>
    <col min="1" max="1" width="7" style="6" bestFit="1" customWidth="1"/>
    <col min="2" max="2" width="43" style="6" customWidth="1"/>
    <col min="3" max="3" width="14.85546875" style="6" bestFit="1" customWidth="1"/>
    <col min="4" max="5" width="12.85546875" style="6" customWidth="1"/>
    <col min="6" max="6" width="40.5703125" style="6" customWidth="1"/>
    <col min="7" max="7" width="15.140625" style="6" bestFit="1" customWidth="1"/>
    <col min="8" max="9" width="17.42578125" style="6" customWidth="1"/>
    <col min="10" max="10" width="19.5703125" style="6" bestFit="1" customWidth="1"/>
    <col min="11" max="11" width="7" style="6" bestFit="1" customWidth="1"/>
    <col min="12" max="16384" width="9.140625" style="6"/>
  </cols>
  <sheetData>
    <row r="1" spans="1:11" x14ac:dyDescent="0.25">
      <c r="B1" s="30" t="s">
        <v>2101</v>
      </c>
    </row>
    <row r="2" spans="1:11" x14ac:dyDescent="0.25">
      <c r="A2" s="8"/>
      <c r="B2" s="39" t="s">
        <v>24</v>
      </c>
      <c r="E2" s="76"/>
      <c r="J2" s="76" t="str">
        <f>CONCATENATE("Prior Year: ",'1-BaseTRR'!$G$3)</f>
        <v>Prior Year: 2025</v>
      </c>
    </row>
    <row r="3" spans="1:11" x14ac:dyDescent="0.25">
      <c r="A3" s="8"/>
      <c r="B3" s="77" t="s">
        <v>367</v>
      </c>
      <c r="E3" s="76"/>
      <c r="I3" s="76"/>
    </row>
    <row r="4" spans="1:11" x14ac:dyDescent="0.25">
      <c r="A4" s="39"/>
    </row>
    <row r="5" spans="1:11" x14ac:dyDescent="0.25">
      <c r="A5" s="8"/>
      <c r="B5" s="36" t="s">
        <v>2100</v>
      </c>
      <c r="C5" s="75"/>
      <c r="D5" s="35"/>
      <c r="E5" s="35"/>
      <c r="F5" s="35"/>
      <c r="G5" s="35"/>
      <c r="H5" s="35"/>
      <c r="I5" s="35"/>
      <c r="J5" s="35"/>
    </row>
    <row r="6" spans="1:11" x14ac:dyDescent="0.25">
      <c r="A6" s="8"/>
      <c r="B6" s="175" t="s">
        <v>492</v>
      </c>
      <c r="C6" s="175" t="s">
        <v>491</v>
      </c>
      <c r="D6" s="175" t="s">
        <v>490</v>
      </c>
      <c r="E6" s="175" t="s">
        <v>489</v>
      </c>
      <c r="F6" s="175" t="s">
        <v>519</v>
      </c>
      <c r="G6" s="175" t="s">
        <v>518</v>
      </c>
    </row>
    <row r="7" spans="1:11" ht="60" x14ac:dyDescent="0.25">
      <c r="A7" s="33" t="s">
        <v>106</v>
      </c>
      <c r="B7" s="33" t="s">
        <v>79</v>
      </c>
      <c r="D7" s="110" t="s">
        <v>2099</v>
      </c>
      <c r="E7" s="110" t="s">
        <v>2098</v>
      </c>
      <c r="F7" s="33" t="s">
        <v>154</v>
      </c>
      <c r="G7" s="33" t="s">
        <v>153</v>
      </c>
      <c r="K7" s="33" t="str">
        <f>A7</f>
        <v>Line</v>
      </c>
    </row>
    <row r="8" spans="1:11" x14ac:dyDescent="0.25">
      <c r="A8" s="8">
        <v>100</v>
      </c>
      <c r="B8" s="39" t="s">
        <v>2097</v>
      </c>
      <c r="C8" s="39"/>
      <c r="D8" s="178">
        <v>15152073</v>
      </c>
      <c r="E8" s="178">
        <v>15152073</v>
      </c>
      <c r="F8" s="6" t="s">
        <v>2092</v>
      </c>
      <c r="G8" s="6" t="s">
        <v>99</v>
      </c>
      <c r="K8" s="8">
        <f>A8</f>
        <v>100</v>
      </c>
    </row>
    <row r="9" spans="1:11" ht="15.75" thickBot="1" x14ac:dyDescent="0.3">
      <c r="A9" s="8">
        <f>A8+1</f>
        <v>101</v>
      </c>
      <c r="B9" s="39" t="s">
        <v>2096</v>
      </c>
      <c r="E9" s="178">
        <v>17029509</v>
      </c>
      <c r="F9" s="6" t="s">
        <v>2092</v>
      </c>
      <c r="G9" s="96" t="s">
        <v>183</v>
      </c>
      <c r="K9" s="8">
        <f>A9</f>
        <v>101</v>
      </c>
    </row>
    <row r="10" spans="1:11" ht="15.75" thickBot="1" x14ac:dyDescent="0.3">
      <c r="A10" s="8">
        <f>A9+1</f>
        <v>102</v>
      </c>
      <c r="B10" s="39" t="s">
        <v>2095</v>
      </c>
      <c r="D10" s="676"/>
      <c r="E10" s="675">
        <f>+J61</f>
        <v>16164945.435616437</v>
      </c>
      <c r="F10" s="38" t="str">
        <f>CONCATENATE("Line ",A61,", ","col 9")</f>
        <v>Line 414, col 9</v>
      </c>
      <c r="G10" s="96"/>
      <c r="K10" s="8">
        <f>A10</f>
        <v>102</v>
      </c>
    </row>
    <row r="11" spans="1:11" x14ac:dyDescent="0.25">
      <c r="A11" s="8"/>
      <c r="B11" s="39"/>
      <c r="C11" s="39"/>
      <c r="D11" s="32"/>
      <c r="E11" s="32"/>
      <c r="K11" s="8"/>
    </row>
    <row r="12" spans="1:11" x14ac:dyDescent="0.25">
      <c r="A12" s="8"/>
      <c r="B12" s="36" t="s">
        <v>2094</v>
      </c>
      <c r="C12" s="35"/>
      <c r="D12" s="35"/>
      <c r="E12" s="35"/>
      <c r="F12" s="35"/>
      <c r="G12" s="35"/>
      <c r="H12" s="35"/>
      <c r="I12" s="35"/>
      <c r="J12" s="35"/>
      <c r="K12" s="8"/>
    </row>
    <row r="13" spans="1:11" x14ac:dyDescent="0.25">
      <c r="A13" s="33" t="s">
        <v>106</v>
      </c>
      <c r="B13" s="33" t="s">
        <v>79</v>
      </c>
      <c r="D13" s="33"/>
      <c r="E13" s="33"/>
      <c r="F13" s="33" t="s">
        <v>154</v>
      </c>
      <c r="G13" s="33" t="s">
        <v>153</v>
      </c>
      <c r="K13" s="33" t="str">
        <f>A13</f>
        <v>Line</v>
      </c>
    </row>
    <row r="14" spans="1:11" x14ac:dyDescent="0.25">
      <c r="A14" s="8">
        <v>200</v>
      </c>
      <c r="B14" s="6" t="s">
        <v>265</v>
      </c>
      <c r="D14" s="50">
        <f>'22-TaxRates'!C7</f>
        <v>0.21</v>
      </c>
      <c r="E14" s="50">
        <f>'22-TaxRates'!C7</f>
        <v>0.21</v>
      </c>
      <c r="F14" s="6" t="s">
        <v>264</v>
      </c>
      <c r="K14" s="8">
        <f>A14</f>
        <v>200</v>
      </c>
    </row>
    <row r="15" spans="1:11" x14ac:dyDescent="0.25">
      <c r="A15" s="8">
        <f>A14+1</f>
        <v>201</v>
      </c>
      <c r="B15" s="6" t="s">
        <v>263</v>
      </c>
      <c r="D15" s="63">
        <f>'22-TaxRates'!C8</f>
        <v>8.8400000000000006E-2</v>
      </c>
      <c r="E15" s="63">
        <f>'22-TaxRates'!C8</f>
        <v>8.8400000000000006E-2</v>
      </c>
      <c r="F15" s="6" t="s">
        <v>262</v>
      </c>
      <c r="K15" s="8">
        <f>A15</f>
        <v>201</v>
      </c>
    </row>
    <row r="16" spans="1:11" x14ac:dyDescent="0.25">
      <c r="A16" s="8">
        <f>A15+1</f>
        <v>202</v>
      </c>
      <c r="B16" s="30" t="s">
        <v>261</v>
      </c>
      <c r="C16" s="30"/>
      <c r="D16" s="674">
        <f>(D14+D15)-(D14*D15)</f>
        <v>0.27983599999999997</v>
      </c>
      <c r="E16" s="674">
        <f>(E14+E15)-(E14*E15)</f>
        <v>0.27983599999999997</v>
      </c>
      <c r="F16" s="6" t="str">
        <f>"(Line "&amp;A14&amp;" + Line "&amp;A15&amp;") - (Line "&amp;A14&amp;" * Line "&amp;A15&amp;")"</f>
        <v>(Line 200 + Line 201) - (Line 200 * Line 201)</v>
      </c>
      <c r="K16" s="8">
        <f>A16</f>
        <v>202</v>
      </c>
    </row>
    <row r="17" spans="1:11" x14ac:dyDescent="0.25">
      <c r="A17" s="8"/>
      <c r="K17" s="8"/>
    </row>
    <row r="18" spans="1:11" x14ac:dyDescent="0.25">
      <c r="A18" s="8">
        <f>A16+1</f>
        <v>203</v>
      </c>
      <c r="B18" s="30" t="s">
        <v>215</v>
      </c>
      <c r="D18" s="673">
        <f>(((D23*D24)+D27)*(D25/(1-D25)))+D26/(1-D25)</f>
        <v>2913503.4014732558</v>
      </c>
      <c r="E18" s="673">
        <f>(((E23*E24)+E27)*(E25/(1-E25)))+E26/(1-E25)</f>
        <v>2933995.106530067</v>
      </c>
      <c r="K18" s="8">
        <f>A18</f>
        <v>203</v>
      </c>
    </row>
    <row r="19" spans="1:11" x14ac:dyDescent="0.25">
      <c r="A19" s="8"/>
      <c r="K19" s="8"/>
    </row>
    <row r="20" spans="1:11" x14ac:dyDescent="0.25">
      <c r="A20" s="8"/>
      <c r="B20" s="6" t="s">
        <v>2093</v>
      </c>
      <c r="K20" s="8"/>
    </row>
    <row r="21" spans="1:11" x14ac:dyDescent="0.25">
      <c r="A21" s="8"/>
      <c r="K21" s="8"/>
    </row>
    <row r="22" spans="1:11" x14ac:dyDescent="0.25">
      <c r="A22" s="8"/>
      <c r="B22" s="6" t="s">
        <v>213</v>
      </c>
      <c r="K22" s="8"/>
    </row>
    <row r="23" spans="1:11" x14ac:dyDescent="0.25">
      <c r="A23" s="8">
        <f>A18+1</f>
        <v>204</v>
      </c>
      <c r="B23" s="47" t="s">
        <v>212</v>
      </c>
      <c r="C23" s="47"/>
      <c r="D23" s="24">
        <f>D8</f>
        <v>15152073</v>
      </c>
      <c r="E23" s="24">
        <f>+E10</f>
        <v>16164945.435616437</v>
      </c>
      <c r="F23" s="38" t="str">
        <f>CONCATENATE("Line ",A8," or ",A10)</f>
        <v>Line 100 or 102</v>
      </c>
      <c r="K23" s="8">
        <f>A23</f>
        <v>204</v>
      </c>
    </row>
    <row r="24" spans="1:11" x14ac:dyDescent="0.25">
      <c r="A24" s="8">
        <f>A23+1</f>
        <v>205</v>
      </c>
      <c r="B24" s="47" t="s">
        <v>211</v>
      </c>
      <c r="C24" s="47"/>
      <c r="D24" s="50">
        <f>D33+D34</f>
        <v>5.2065634752124806E-2</v>
      </c>
      <c r="E24" s="50">
        <f>D33+D34</f>
        <v>5.2065634752124806E-2</v>
      </c>
      <c r="F24" s="38" t="str">
        <f>CONCATENATE("Line ",A33," + ","Line ",A34)</f>
        <v>Line 301 + Line 302</v>
      </c>
      <c r="K24" s="8">
        <f>A24</f>
        <v>205</v>
      </c>
    </row>
    <row r="25" spans="1:11" x14ac:dyDescent="0.25">
      <c r="A25" s="8">
        <f>A24+1</f>
        <v>206</v>
      </c>
      <c r="B25" s="47" t="s">
        <v>210</v>
      </c>
      <c r="C25" s="47"/>
      <c r="D25" s="49">
        <f>+D16</f>
        <v>0.27983599999999997</v>
      </c>
      <c r="E25" s="49">
        <f>+D16</f>
        <v>0.27983599999999997</v>
      </c>
      <c r="F25" s="38" t="str">
        <f>CONCATENATE("Line ",A16)</f>
        <v>Line 202</v>
      </c>
      <c r="K25" s="8">
        <f>A25</f>
        <v>206</v>
      </c>
    </row>
    <row r="26" spans="1:11" x14ac:dyDescent="0.25">
      <c r="A26" s="8">
        <f>A25+1</f>
        <v>207</v>
      </c>
      <c r="B26" s="47" t="s">
        <v>209</v>
      </c>
      <c r="C26" s="47"/>
      <c r="D26" s="178">
        <v>1877437</v>
      </c>
      <c r="E26" s="178">
        <v>1877437</v>
      </c>
      <c r="F26" s="6" t="s">
        <v>2092</v>
      </c>
      <c r="G26" s="6" t="s">
        <v>157</v>
      </c>
      <c r="K26" s="8">
        <f>A26</f>
        <v>207</v>
      </c>
    </row>
    <row r="27" spans="1:11" x14ac:dyDescent="0.25">
      <c r="A27" s="8">
        <f>A26+1</f>
        <v>208</v>
      </c>
      <c r="B27" s="47" t="s">
        <v>208</v>
      </c>
      <c r="C27" s="47"/>
      <c r="D27" s="260">
        <v>0</v>
      </c>
      <c r="E27" s="260">
        <v>0</v>
      </c>
      <c r="K27" s="8">
        <f>A27</f>
        <v>208</v>
      </c>
    </row>
    <row r="28" spans="1:11" x14ac:dyDescent="0.25">
      <c r="A28" s="8"/>
      <c r="B28" s="47"/>
      <c r="C28" s="47"/>
      <c r="D28" s="260"/>
      <c r="E28" s="260"/>
      <c r="K28" s="8"/>
    </row>
    <row r="29" spans="1:11" x14ac:dyDescent="0.25">
      <c r="A29" s="8"/>
      <c r="B29" s="36" t="s">
        <v>2091</v>
      </c>
      <c r="C29" s="35"/>
      <c r="D29" s="35"/>
      <c r="E29" s="35"/>
      <c r="F29" s="35"/>
      <c r="G29" s="35"/>
      <c r="H29" s="35"/>
      <c r="I29" s="35"/>
      <c r="J29" s="35"/>
      <c r="K29" s="8"/>
    </row>
    <row r="30" spans="1:11" ht="45" x14ac:dyDescent="0.25">
      <c r="A30" s="33" t="s">
        <v>106</v>
      </c>
      <c r="B30" s="33" t="s">
        <v>79</v>
      </c>
      <c r="D30" s="110" t="s">
        <v>2090</v>
      </c>
      <c r="E30" s="110" t="s">
        <v>2089</v>
      </c>
      <c r="F30" s="33" t="s">
        <v>154</v>
      </c>
      <c r="G30" s="33" t="s">
        <v>153</v>
      </c>
      <c r="K30" s="33" t="str">
        <f>A30</f>
        <v>Line</v>
      </c>
    </row>
    <row r="31" spans="1:11" x14ac:dyDescent="0.25">
      <c r="A31" s="8"/>
      <c r="B31" s="44" t="s">
        <v>300</v>
      </c>
      <c r="C31" s="44"/>
      <c r="K31" s="8"/>
    </row>
    <row r="32" spans="1:11" x14ac:dyDescent="0.25">
      <c r="A32" s="8">
        <v>300</v>
      </c>
      <c r="B32" s="6" t="s">
        <v>299</v>
      </c>
      <c r="D32" s="49">
        <f>'1-BaseTRR'!E65</f>
        <v>2.3408700000000001E-2</v>
      </c>
      <c r="E32" s="67">
        <f>'3-True-upTRR'!E42</f>
        <v>2.3408700000000001E-2</v>
      </c>
      <c r="F32" s="6" t="s">
        <v>2088</v>
      </c>
      <c r="K32" s="8">
        <f>A32</f>
        <v>300</v>
      </c>
    </row>
    <row r="33" spans="1:11" x14ac:dyDescent="0.25">
      <c r="A33" s="8">
        <f>A32+1</f>
        <v>301</v>
      </c>
      <c r="B33" s="6" t="s">
        <v>298</v>
      </c>
      <c r="D33" s="49">
        <f>'1-BaseTRR'!E66</f>
        <v>1.6563475212480797E-4</v>
      </c>
      <c r="E33" s="67">
        <f>'3-True-upTRR'!E43</f>
        <v>1.6563475212480797E-4</v>
      </c>
      <c r="F33" s="6" t="s">
        <v>2087</v>
      </c>
      <c r="K33" s="8">
        <f>A33</f>
        <v>301</v>
      </c>
    </row>
    <row r="34" spans="1:11" x14ac:dyDescent="0.25">
      <c r="A34" s="8">
        <f>A33+1</f>
        <v>302</v>
      </c>
      <c r="B34" s="6" t="s">
        <v>297</v>
      </c>
      <c r="D34" s="63">
        <f>'1-BaseTRR'!E67</f>
        <v>5.1900000000000002E-2</v>
      </c>
      <c r="E34" s="66">
        <f>'3-True-upTRR'!E44</f>
        <v>5.1900000000000002E-2</v>
      </c>
      <c r="F34" s="6" t="s">
        <v>2086</v>
      </c>
      <c r="K34" s="8">
        <f>A34</f>
        <v>302</v>
      </c>
    </row>
    <row r="35" spans="1:11" x14ac:dyDescent="0.25">
      <c r="A35" s="8">
        <f>A34+1</f>
        <v>303</v>
      </c>
      <c r="B35" s="30" t="s">
        <v>296</v>
      </c>
      <c r="C35" s="30"/>
      <c r="D35" s="50">
        <f>SUM(D32:D34)</f>
        <v>7.5474334752124811E-2</v>
      </c>
      <c r="E35" s="50">
        <f>SUM(E32:E34)</f>
        <v>7.5474334752124811E-2</v>
      </c>
      <c r="F35" s="38" t="str">
        <f>"Sum of Lines "&amp;A32&amp;" to "&amp;A34&amp;""</f>
        <v>Sum of Lines 300 to 302</v>
      </c>
      <c r="K35" s="8">
        <f>A35</f>
        <v>303</v>
      </c>
    </row>
    <row r="36" spans="1:11" x14ac:dyDescent="0.25">
      <c r="A36" s="8"/>
      <c r="K36" s="8"/>
    </row>
    <row r="37" spans="1:11" x14ac:dyDescent="0.25">
      <c r="A37" s="8">
        <f>A35+1</f>
        <v>304</v>
      </c>
      <c r="B37" s="30" t="s">
        <v>293</v>
      </c>
      <c r="C37" s="30"/>
      <c r="D37" s="673">
        <f>+D8*D35</f>
        <v>1143592.6297906321</v>
      </c>
      <c r="E37" s="673">
        <f>+E10*E35</f>
        <v>1220038.5030575469</v>
      </c>
      <c r="F37" s="6" t="str">
        <f>CONCATENATE("Line ",A8," or ",A10," * ","Line ",A35)</f>
        <v>Line 100 or 102 * Line 303</v>
      </c>
      <c r="K37" s="8">
        <f>A37</f>
        <v>304</v>
      </c>
    </row>
    <row r="38" spans="1:11" x14ac:dyDescent="0.25">
      <c r="A38" s="8"/>
      <c r="H38" s="424"/>
      <c r="I38" s="47"/>
      <c r="K38" s="8"/>
    </row>
    <row r="39" spans="1:11" ht="15.75" thickBot="1" x14ac:dyDescent="0.3">
      <c r="A39" s="8">
        <f>A37+1</f>
        <v>305</v>
      </c>
      <c r="B39" s="30" t="s">
        <v>2085</v>
      </c>
      <c r="D39" s="672">
        <f>+D18+D37</f>
        <v>4057096.0312638879</v>
      </c>
      <c r="E39" s="672">
        <f>+E18+E37</f>
        <v>4154033.609587614</v>
      </c>
      <c r="F39" s="38" t="str">
        <f>CONCATENATE("Line ",A37," + ","Line ",A18)</f>
        <v>Line 304 + Line 203</v>
      </c>
      <c r="H39" s="424"/>
      <c r="I39" s="47"/>
      <c r="K39" s="8">
        <f>A39</f>
        <v>305</v>
      </c>
    </row>
    <row r="40" spans="1:11" ht="15.75" thickTop="1" x14ac:dyDescent="0.25">
      <c r="A40" s="8"/>
      <c r="E40" s="24"/>
      <c r="H40" s="429"/>
      <c r="I40" s="157"/>
      <c r="J40" s="8"/>
    </row>
    <row r="41" spans="1:11" x14ac:dyDescent="0.25">
      <c r="A41" s="8"/>
      <c r="B41" s="83" t="s">
        <v>2084</v>
      </c>
      <c r="C41" s="301"/>
      <c r="D41" s="437"/>
      <c r="E41" s="437"/>
      <c r="F41" s="436"/>
      <c r="G41" s="436"/>
      <c r="H41" s="671"/>
      <c r="I41" s="670"/>
      <c r="J41" s="670"/>
    </row>
    <row r="42" spans="1:11" x14ac:dyDescent="0.25">
      <c r="A42" s="8"/>
      <c r="B42" s="175" t="s">
        <v>492</v>
      </c>
      <c r="C42" s="175" t="s">
        <v>491</v>
      </c>
      <c r="D42" s="175" t="s">
        <v>490</v>
      </c>
      <c r="E42" s="175" t="s">
        <v>489</v>
      </c>
      <c r="F42" s="175" t="s">
        <v>519</v>
      </c>
      <c r="G42" s="175" t="s">
        <v>518</v>
      </c>
      <c r="H42" s="175" t="s">
        <v>517</v>
      </c>
      <c r="I42" s="175" t="s">
        <v>538</v>
      </c>
      <c r="J42" s="33" t="s">
        <v>537</v>
      </c>
      <c r="K42" s="8"/>
    </row>
    <row r="43" spans="1:11" ht="30" customHeight="1" x14ac:dyDescent="0.25">
      <c r="A43" s="8"/>
      <c r="B43" s="284"/>
      <c r="C43" s="284"/>
      <c r="D43" s="420" t="s">
        <v>2083</v>
      </c>
      <c r="E43" s="420" t="s">
        <v>2082</v>
      </c>
      <c r="F43" s="424"/>
      <c r="G43" s="424"/>
      <c r="H43" s="433" t="s">
        <v>2081</v>
      </c>
      <c r="I43" s="434" t="s">
        <v>2080</v>
      </c>
      <c r="J43" s="669" t="s">
        <v>2079</v>
      </c>
      <c r="K43" s="8"/>
    </row>
    <row r="44" spans="1:11" x14ac:dyDescent="0.25">
      <c r="A44" s="8"/>
      <c r="B44" s="284"/>
      <c r="C44" s="284"/>
      <c r="D44" s="425"/>
      <c r="E44" s="425"/>
      <c r="F44" s="424"/>
      <c r="G44" s="424"/>
      <c r="H44" s="424"/>
      <c r="I44" s="47"/>
      <c r="K44" s="8"/>
    </row>
    <row r="45" spans="1:11" x14ac:dyDescent="0.25">
      <c r="A45" s="8"/>
      <c r="B45" s="297"/>
      <c r="C45" s="297"/>
      <c r="D45" s="433" t="s">
        <v>1327</v>
      </c>
      <c r="E45" s="433" t="s">
        <v>1326</v>
      </c>
      <c r="F45" s="433"/>
      <c r="G45" s="433" t="s">
        <v>1325</v>
      </c>
      <c r="H45" s="433" t="s">
        <v>1307</v>
      </c>
      <c r="I45" s="8" t="s">
        <v>1323</v>
      </c>
      <c r="J45" s="8" t="s">
        <v>1322</v>
      </c>
      <c r="K45" s="8"/>
    </row>
    <row r="46" spans="1:11" x14ac:dyDescent="0.25">
      <c r="A46" s="33" t="s">
        <v>106</v>
      </c>
      <c r="B46" s="297" t="s">
        <v>1321</v>
      </c>
      <c r="C46" s="297" t="s">
        <v>510</v>
      </c>
      <c r="D46" s="432" t="s">
        <v>1320</v>
      </c>
      <c r="E46" s="432" t="s">
        <v>1319</v>
      </c>
      <c r="F46" s="432" t="s">
        <v>1318</v>
      </c>
      <c r="G46" s="432" t="s">
        <v>1317</v>
      </c>
      <c r="H46" s="432" t="s">
        <v>1304</v>
      </c>
      <c r="I46" s="33" t="s">
        <v>1316</v>
      </c>
      <c r="J46" s="33" t="s">
        <v>1315</v>
      </c>
      <c r="K46" s="33" t="str">
        <f>A46</f>
        <v>Line</v>
      </c>
    </row>
    <row r="47" spans="1:11" x14ac:dyDescent="0.25">
      <c r="A47" s="8">
        <v>400</v>
      </c>
      <c r="B47" s="71" t="s">
        <v>2078</v>
      </c>
      <c r="C47" s="71"/>
      <c r="D47" s="668"/>
      <c r="E47" s="276">
        <f>+E9</f>
        <v>17029509</v>
      </c>
      <c r="F47" s="424"/>
      <c r="G47" s="667">
        <v>365</v>
      </c>
      <c r="H47" s="429">
        <f>1</f>
        <v>1</v>
      </c>
      <c r="I47" s="157"/>
      <c r="J47" s="24">
        <f>+E47</f>
        <v>17029509</v>
      </c>
      <c r="K47" s="8">
        <f>A47</f>
        <v>400</v>
      </c>
    </row>
    <row r="48" spans="1:11" x14ac:dyDescent="0.25">
      <c r="A48" s="8">
        <f>A47+1</f>
        <v>401</v>
      </c>
      <c r="B48" s="71" t="s">
        <v>478</v>
      </c>
      <c r="C48" s="74">
        <f>'1-BaseTRR'!$G$3</f>
        <v>2025</v>
      </c>
      <c r="D48" s="276">
        <f>($D$8-$E$9)/12</f>
        <v>-156453</v>
      </c>
      <c r="E48" s="276">
        <f>E47+D48</f>
        <v>16873056</v>
      </c>
      <c r="F48" s="71">
        <v>31</v>
      </c>
      <c r="G48" s="71">
        <f>+G47-F48</f>
        <v>334</v>
      </c>
      <c r="H48" s="429">
        <f>G48/G47</f>
        <v>0.91506849315068495</v>
      </c>
      <c r="I48" s="269">
        <f>D48*H48</f>
        <v>-143165.21095890412</v>
      </c>
      <c r="J48" s="24">
        <f>J47+I48</f>
        <v>16886343.789041094</v>
      </c>
      <c r="K48" s="8">
        <f>A48</f>
        <v>401</v>
      </c>
    </row>
    <row r="49" spans="1:11" x14ac:dyDescent="0.25">
      <c r="A49" s="8">
        <f>A48+1</f>
        <v>402</v>
      </c>
      <c r="B49" s="71" t="s">
        <v>477</v>
      </c>
      <c r="C49" s="74">
        <f>'1-BaseTRR'!$G$3</f>
        <v>2025</v>
      </c>
      <c r="D49" s="276">
        <f>($D$8-$E$9)/12</f>
        <v>-156453</v>
      </c>
      <c r="E49" s="276">
        <f>E48+D49</f>
        <v>16716603</v>
      </c>
      <c r="F49" s="430">
        <v>28</v>
      </c>
      <c r="G49" s="71">
        <f>+G48-F49</f>
        <v>306</v>
      </c>
      <c r="H49" s="429">
        <f>G49/G47</f>
        <v>0.83835616438356164</v>
      </c>
      <c r="I49" s="269">
        <f>D49*H49</f>
        <v>-131163.33698630138</v>
      </c>
      <c r="J49" s="24">
        <f>J48+I49</f>
        <v>16755180.452054793</v>
      </c>
      <c r="K49" s="8">
        <f>A49</f>
        <v>402</v>
      </c>
    </row>
    <row r="50" spans="1:11" x14ac:dyDescent="0.25">
      <c r="A50" s="8">
        <f>A49+1</f>
        <v>403</v>
      </c>
      <c r="B50" s="71" t="s">
        <v>476</v>
      </c>
      <c r="C50" s="74">
        <f>'1-BaseTRR'!$G$3</f>
        <v>2025</v>
      </c>
      <c r="D50" s="276">
        <f>($D$8-$E$9)/12</f>
        <v>-156453</v>
      </c>
      <c r="E50" s="276">
        <f>E49+D50</f>
        <v>16560150</v>
      </c>
      <c r="F50" s="71">
        <v>31</v>
      </c>
      <c r="G50" s="71">
        <f>+G49-F50</f>
        <v>275</v>
      </c>
      <c r="H50" s="429">
        <f>G50/G47</f>
        <v>0.75342465753424659</v>
      </c>
      <c r="I50" s="269">
        <f>D50*H50</f>
        <v>-117875.54794520549</v>
      </c>
      <c r="J50" s="24">
        <f>J49+I50</f>
        <v>16637304.904109588</v>
      </c>
      <c r="K50" s="8">
        <f>A50</f>
        <v>403</v>
      </c>
    </row>
    <row r="51" spans="1:11" x14ac:dyDescent="0.25">
      <c r="A51" s="8">
        <f>A50+1</f>
        <v>404</v>
      </c>
      <c r="B51" s="71" t="s">
        <v>475</v>
      </c>
      <c r="C51" s="74">
        <f>'1-BaseTRR'!$G$3</f>
        <v>2025</v>
      </c>
      <c r="D51" s="276">
        <f>($D$8-$E$9)/12</f>
        <v>-156453</v>
      </c>
      <c r="E51" s="276">
        <f>E50+D51</f>
        <v>16403697</v>
      </c>
      <c r="F51" s="71">
        <v>30</v>
      </c>
      <c r="G51" s="71">
        <f>+G50-F51</f>
        <v>245</v>
      </c>
      <c r="H51" s="429">
        <f>G51/G47</f>
        <v>0.67123287671232879</v>
      </c>
      <c r="I51" s="269">
        <f>D51*H51</f>
        <v>-105016.39726027398</v>
      </c>
      <c r="J51" s="24">
        <f>J50+I51</f>
        <v>16532288.506849313</v>
      </c>
      <c r="K51" s="8">
        <f>A51</f>
        <v>404</v>
      </c>
    </row>
    <row r="52" spans="1:11" x14ac:dyDescent="0.25">
      <c r="A52" s="8">
        <f>A51+1</f>
        <v>405</v>
      </c>
      <c r="B52" s="71" t="s">
        <v>474</v>
      </c>
      <c r="C52" s="74">
        <f>'1-BaseTRR'!$G$3</f>
        <v>2025</v>
      </c>
      <c r="D52" s="276">
        <f>($D$8-$E$9)/12</f>
        <v>-156453</v>
      </c>
      <c r="E52" s="276">
        <f>E51+D52</f>
        <v>16247244</v>
      </c>
      <c r="F52" s="71">
        <v>31</v>
      </c>
      <c r="G52" s="71">
        <f>+G51-F52</f>
        <v>214</v>
      </c>
      <c r="H52" s="429">
        <f>G52/G47</f>
        <v>0.58630136986301373</v>
      </c>
      <c r="I52" s="269">
        <f>D52*H52</f>
        <v>-91728.608219178088</v>
      </c>
      <c r="J52" s="24">
        <f>J51+I52</f>
        <v>16440559.898630135</v>
      </c>
      <c r="K52" s="8">
        <f>A52</f>
        <v>405</v>
      </c>
    </row>
    <row r="53" spans="1:11" x14ac:dyDescent="0.25">
      <c r="A53" s="8">
        <f>A52+1</f>
        <v>406</v>
      </c>
      <c r="B53" s="71" t="s">
        <v>763</v>
      </c>
      <c r="C53" s="74">
        <f>'1-BaseTRR'!$G$3</f>
        <v>2025</v>
      </c>
      <c r="D53" s="276">
        <f>($D$8-$E$9)/12</f>
        <v>-156453</v>
      </c>
      <c r="E53" s="276">
        <f>E52+D53</f>
        <v>16090791</v>
      </c>
      <c r="F53" s="71">
        <v>30</v>
      </c>
      <c r="G53" s="71">
        <f>+G52-F53</f>
        <v>184</v>
      </c>
      <c r="H53" s="429">
        <f>G53/G47</f>
        <v>0.50410958904109593</v>
      </c>
      <c r="I53" s="269">
        <f>D53*H53</f>
        <v>-78869.457534246583</v>
      </c>
      <c r="J53" s="24">
        <f>J52+I53</f>
        <v>16361690.441095889</v>
      </c>
      <c r="K53" s="8">
        <f>A53</f>
        <v>406</v>
      </c>
    </row>
    <row r="54" spans="1:11" x14ac:dyDescent="0.25">
      <c r="A54" s="8">
        <f>A53+1</f>
        <v>407</v>
      </c>
      <c r="B54" s="71" t="s">
        <v>472</v>
      </c>
      <c r="C54" s="74">
        <f>'1-BaseTRR'!$G$3</f>
        <v>2025</v>
      </c>
      <c r="D54" s="276">
        <f>($D$8-$E$9)/12</f>
        <v>-156453</v>
      </c>
      <c r="E54" s="276">
        <f>E53+D54</f>
        <v>15934338</v>
      </c>
      <c r="F54" s="71">
        <v>31</v>
      </c>
      <c r="G54" s="71">
        <f>+G53-F54</f>
        <v>153</v>
      </c>
      <c r="H54" s="429">
        <f>G54/G47</f>
        <v>0.41917808219178082</v>
      </c>
      <c r="I54" s="269">
        <f>D54*H54</f>
        <v>-65581.66849315069</v>
      </c>
      <c r="J54" s="24">
        <f>J53+I54</f>
        <v>16296108.772602739</v>
      </c>
      <c r="K54" s="8">
        <f>A54</f>
        <v>407</v>
      </c>
    </row>
    <row r="55" spans="1:11" x14ac:dyDescent="0.25">
      <c r="A55" s="8">
        <f>A54+1</f>
        <v>408</v>
      </c>
      <c r="B55" s="71" t="s">
        <v>471</v>
      </c>
      <c r="C55" s="74">
        <f>'1-BaseTRR'!$G$3</f>
        <v>2025</v>
      </c>
      <c r="D55" s="276">
        <f>($D$8-$E$9)/12</f>
        <v>-156453</v>
      </c>
      <c r="E55" s="276">
        <f>E54+D55</f>
        <v>15777885</v>
      </c>
      <c r="F55" s="71">
        <v>31</v>
      </c>
      <c r="G55" s="71">
        <f>+G54-F55</f>
        <v>122</v>
      </c>
      <c r="H55" s="429">
        <f>G55/G47</f>
        <v>0.33424657534246577</v>
      </c>
      <c r="I55" s="269">
        <f>D55*H55</f>
        <v>-52293.879452054796</v>
      </c>
      <c r="J55" s="24">
        <f>J54+I55</f>
        <v>16243814.893150683</v>
      </c>
      <c r="K55" s="8">
        <f>A55</f>
        <v>408</v>
      </c>
    </row>
    <row r="56" spans="1:11" x14ac:dyDescent="0.25">
      <c r="A56" s="8">
        <f>A55+1</f>
        <v>409</v>
      </c>
      <c r="B56" s="71" t="s">
        <v>470</v>
      </c>
      <c r="C56" s="74">
        <f>'1-BaseTRR'!$G$3</f>
        <v>2025</v>
      </c>
      <c r="D56" s="276">
        <f>($D$8-$E$9)/12</f>
        <v>-156453</v>
      </c>
      <c r="E56" s="276">
        <f>E55+D56</f>
        <v>15621432</v>
      </c>
      <c r="F56" s="71">
        <v>30</v>
      </c>
      <c r="G56" s="71">
        <f>+G55-F56</f>
        <v>92</v>
      </c>
      <c r="H56" s="429">
        <f>G56/G47</f>
        <v>0.25205479452054796</v>
      </c>
      <c r="I56" s="269">
        <f>D56*H56</f>
        <v>-39434.728767123292</v>
      </c>
      <c r="J56" s="24">
        <f>J55+I56</f>
        <v>16204380.16438356</v>
      </c>
      <c r="K56" s="8">
        <f>A56</f>
        <v>409</v>
      </c>
    </row>
    <row r="57" spans="1:11" x14ac:dyDescent="0.25">
      <c r="A57" s="8">
        <f>A56+1</f>
        <v>410</v>
      </c>
      <c r="B57" s="71" t="s">
        <v>469</v>
      </c>
      <c r="C57" s="74">
        <f>'1-BaseTRR'!$G$3</f>
        <v>2025</v>
      </c>
      <c r="D57" s="276">
        <f>($D$8-$E$9)/12</f>
        <v>-156453</v>
      </c>
      <c r="E57" s="276">
        <f>E56+D57</f>
        <v>15464979</v>
      </c>
      <c r="F57" s="71">
        <v>31</v>
      </c>
      <c r="G57" s="71">
        <f>+G56-F57</f>
        <v>61</v>
      </c>
      <c r="H57" s="429">
        <f>G57/G47</f>
        <v>0.16712328767123288</v>
      </c>
      <c r="I57" s="269">
        <f>D57*H57</f>
        <v>-26146.939726027398</v>
      </c>
      <c r="J57" s="24">
        <f>J56+I57</f>
        <v>16178233.224657534</v>
      </c>
      <c r="K57" s="8">
        <f>A57</f>
        <v>410</v>
      </c>
    </row>
    <row r="58" spans="1:11" x14ac:dyDescent="0.25">
      <c r="A58" s="8">
        <f>A57+1</f>
        <v>411</v>
      </c>
      <c r="B58" s="71" t="s">
        <v>468</v>
      </c>
      <c r="C58" s="74">
        <f>'1-BaseTRR'!$G$3</f>
        <v>2025</v>
      </c>
      <c r="D58" s="276">
        <f>($D$8-$E$9)/12</f>
        <v>-156453</v>
      </c>
      <c r="E58" s="276">
        <f>E57+D58</f>
        <v>15308526</v>
      </c>
      <c r="F58" s="71">
        <v>30</v>
      </c>
      <c r="G58" s="71">
        <f>+G57-F58</f>
        <v>31</v>
      </c>
      <c r="H58" s="429">
        <f>G58/G47</f>
        <v>8.4931506849315067E-2</v>
      </c>
      <c r="I58" s="269">
        <f>D58*H58</f>
        <v>-13287.78904109589</v>
      </c>
      <c r="J58" s="24">
        <f>J57+I58</f>
        <v>16164945.435616437</v>
      </c>
      <c r="K58" s="8">
        <f>A58</f>
        <v>411</v>
      </c>
    </row>
    <row r="59" spans="1:11" x14ac:dyDescent="0.25">
      <c r="A59" s="8">
        <f>A58+1</f>
        <v>412</v>
      </c>
      <c r="B59" s="71" t="s">
        <v>467</v>
      </c>
      <c r="C59" s="74">
        <f>'1-BaseTRR'!$G$3</f>
        <v>2025</v>
      </c>
      <c r="D59" s="276">
        <f>($D$8-$E$9)/12</f>
        <v>-156453</v>
      </c>
      <c r="E59" s="276">
        <f>E58+D59</f>
        <v>15152073</v>
      </c>
      <c r="F59" s="71">
        <v>31</v>
      </c>
      <c r="G59" s="71">
        <f>+G58-F59</f>
        <v>0</v>
      </c>
      <c r="H59" s="429">
        <f>G59/G47</f>
        <v>0</v>
      </c>
      <c r="I59" s="269">
        <f>D59*H59</f>
        <v>0</v>
      </c>
      <c r="J59" s="186">
        <f>J58+I59</f>
        <v>16164945.435616437</v>
      </c>
      <c r="K59" s="8">
        <f>A59</f>
        <v>412</v>
      </c>
    </row>
    <row r="60" spans="1:11" x14ac:dyDescent="0.25">
      <c r="A60" s="8">
        <f>A59+1</f>
        <v>413</v>
      </c>
      <c r="B60" s="71" t="s">
        <v>2077</v>
      </c>
      <c r="C60" s="71"/>
      <c r="D60" s="666"/>
      <c r="E60" s="276">
        <f>+D8</f>
        <v>15152073</v>
      </c>
      <c r="F60" s="424"/>
      <c r="G60" s="424"/>
      <c r="H60" s="424"/>
      <c r="I60" s="47"/>
      <c r="J60" s="310"/>
      <c r="K60" s="8">
        <f>A60</f>
        <v>413</v>
      </c>
    </row>
    <row r="61" spans="1:11" x14ac:dyDescent="0.25">
      <c r="A61" s="8">
        <f>A60+1</f>
        <v>414</v>
      </c>
      <c r="B61" s="284"/>
      <c r="C61" s="284"/>
      <c r="D61" s="425"/>
      <c r="E61" s="425"/>
      <c r="F61" s="424"/>
      <c r="G61" s="424"/>
      <c r="H61" s="424"/>
      <c r="I61" s="665" t="s">
        <v>1313</v>
      </c>
      <c r="J61" s="428">
        <f>+J59</f>
        <v>16164945.435616437</v>
      </c>
      <c r="K61" s="8">
        <f>A61</f>
        <v>414</v>
      </c>
    </row>
    <row r="62" spans="1:11" x14ac:dyDescent="0.25">
      <c r="A62" s="8"/>
      <c r="B62" s="284"/>
      <c r="C62" s="284"/>
      <c r="D62" s="425"/>
      <c r="E62" s="425"/>
      <c r="F62" s="424"/>
      <c r="G62" s="424"/>
      <c r="H62" s="424"/>
      <c r="I62" s="423"/>
      <c r="J62" s="315"/>
      <c r="K62" s="8"/>
    </row>
    <row r="63" spans="1:11" x14ac:dyDescent="0.25">
      <c r="A63" s="8"/>
      <c r="C63" s="284"/>
      <c r="D63" s="497"/>
      <c r="E63" s="497"/>
      <c r="F63" s="457"/>
      <c r="G63" s="457"/>
      <c r="H63" s="418"/>
      <c r="I63" s="157"/>
      <c r="J63" s="8"/>
    </row>
    <row r="64" spans="1:11" x14ac:dyDescent="0.25">
      <c r="B64" s="25" t="s">
        <v>145</v>
      </c>
    </row>
    <row r="65" spans="2:10" x14ac:dyDescent="0.25">
      <c r="B65" s="6" t="s">
        <v>2076</v>
      </c>
    </row>
    <row r="66" spans="2:10" x14ac:dyDescent="0.25">
      <c r="B66" s="6" t="s">
        <v>2075</v>
      </c>
    </row>
    <row r="67" spans="2:10" x14ac:dyDescent="0.25">
      <c r="B67" s="6" t="s">
        <v>2074</v>
      </c>
    </row>
    <row r="68" spans="2:10" x14ac:dyDescent="0.25">
      <c r="B68" s="6" t="s">
        <v>2073</v>
      </c>
    </row>
    <row r="69" spans="2:10" x14ac:dyDescent="0.25">
      <c r="B69" s="6" t="s">
        <v>2072</v>
      </c>
    </row>
    <row r="70" spans="2:10" x14ac:dyDescent="0.25">
      <c r="B70" s="89" t="s">
        <v>83</v>
      </c>
      <c r="C70" s="89"/>
      <c r="D70" s="89"/>
      <c r="E70" s="89"/>
      <c r="F70" s="89"/>
      <c r="G70" s="89"/>
      <c r="H70" s="89"/>
      <c r="I70" s="89"/>
      <c r="J70" s="89"/>
    </row>
  </sheetData>
  <protectedRanges>
    <protectedRange password="F1C4" sqref="B9:C10 D10:E10" name="AAReport1_23_1_1_2"/>
    <protectedRange password="F1C4" sqref="E9" name="AAReport1_23_1_1_1_1_1"/>
    <protectedRange password="F1C4" sqref="F10 F23:F25 F39" name="AAReport1_23_1_1_2_3"/>
  </protectedRanges>
  <printOptions horizontalCentered="1"/>
  <pageMargins left="1" right="1" top="1" bottom="1" header="0.5" footer="0.5"/>
  <pageSetup scale="55" fitToHeight="0" orientation="landscape" r:id="rId1"/>
  <headerFooter>
    <oddHeader>&amp;R&amp;F</oddHeader>
  </headerFooter>
  <rowBreaks count="1" manualBreakCount="1">
    <brk id="40" max="10" man="1"/>
  </rowBreaks>
  <customProperties>
    <customPr name="_pios_id" r:id="rId2"/>
  </customPropertie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43E42D-80A7-4ABA-94B3-123FF8F49367}">
  <sheetPr>
    <pageSetUpPr fitToPage="1"/>
  </sheetPr>
  <dimension ref="A1:H68"/>
  <sheetViews>
    <sheetView topLeftCell="A22" zoomScale="106" zoomScaleNormal="106" zoomScaleSheetLayoutView="89" workbookViewId="0">
      <selection activeCell="Q36" sqref="Q36"/>
    </sheetView>
  </sheetViews>
  <sheetFormatPr defaultColWidth="9.140625" defaultRowHeight="15" x14ac:dyDescent="0.25"/>
  <cols>
    <col min="1" max="1" width="7" style="6" bestFit="1" customWidth="1"/>
    <col min="2" max="2" width="83.5703125" style="6" customWidth="1"/>
    <col min="3" max="3" width="18.85546875" style="6" customWidth="1"/>
    <col min="4" max="4" width="55.42578125" style="6" bestFit="1" customWidth="1"/>
    <col min="5" max="5" width="19.140625" style="6" bestFit="1" customWidth="1"/>
    <col min="6" max="6" width="7" style="6" bestFit="1" customWidth="1"/>
    <col min="7" max="7" width="19.140625" style="6" bestFit="1" customWidth="1"/>
    <col min="8" max="8" width="13.85546875" style="6" bestFit="1" customWidth="1"/>
    <col min="9" max="9" width="10.140625" style="6" bestFit="1" customWidth="1"/>
    <col min="10" max="10" width="9.42578125" style="6" bestFit="1" customWidth="1"/>
    <col min="11" max="16384" width="9.140625" style="6"/>
  </cols>
  <sheetData>
    <row r="1" spans="1:6" x14ac:dyDescent="0.25">
      <c r="B1" s="30" t="s">
        <v>2167</v>
      </c>
      <c r="C1" s="24"/>
    </row>
    <row r="2" spans="1:6" x14ac:dyDescent="0.25">
      <c r="B2" s="30" t="s">
        <v>22</v>
      </c>
      <c r="D2" s="492"/>
      <c r="E2" s="76" t="str">
        <f>CONCATENATE("Prior Year: ",'1-BaseTRR'!$G$3)</f>
        <v>Prior Year: 2025</v>
      </c>
    </row>
    <row r="3" spans="1:6" x14ac:dyDescent="0.25">
      <c r="B3" s="77" t="s">
        <v>367</v>
      </c>
      <c r="D3" s="682"/>
      <c r="E3" s="76" t="str">
        <f>CONCATENATE("Rate Year: ",'1-BaseTRR'!$G$2)</f>
        <v>Rate Year: 2027</v>
      </c>
    </row>
    <row r="5" spans="1:6" x14ac:dyDescent="0.25">
      <c r="A5" s="33" t="s">
        <v>106</v>
      </c>
      <c r="B5" s="33" t="s">
        <v>79</v>
      </c>
      <c r="C5" s="33" t="s">
        <v>1539</v>
      </c>
      <c r="D5" s="33" t="s">
        <v>671</v>
      </c>
      <c r="E5" s="33" t="s">
        <v>153</v>
      </c>
      <c r="F5" s="33" t="str">
        <f>A5</f>
        <v>Line</v>
      </c>
    </row>
    <row r="6" spans="1:6" x14ac:dyDescent="0.25">
      <c r="B6" s="83" t="s">
        <v>2166</v>
      </c>
      <c r="C6" s="35"/>
      <c r="D6" s="35"/>
      <c r="E6" s="35"/>
    </row>
    <row r="7" spans="1:6" x14ac:dyDescent="0.25">
      <c r="A7" s="8">
        <v>100</v>
      </c>
      <c r="B7" s="6" t="s">
        <v>2165</v>
      </c>
      <c r="C7" s="178">
        <v>3107260400</v>
      </c>
      <c r="D7" s="38" t="s">
        <v>2164</v>
      </c>
      <c r="F7" s="8">
        <f>A7</f>
        <v>100</v>
      </c>
    </row>
    <row r="8" spans="1:6" x14ac:dyDescent="0.25">
      <c r="A8" s="8">
        <f>A7+1</f>
        <v>101</v>
      </c>
      <c r="B8" s="6" t="s">
        <v>2163</v>
      </c>
      <c r="C8" s="178">
        <v>500087610</v>
      </c>
      <c r="D8" s="38" t="s">
        <v>2162</v>
      </c>
      <c r="F8" s="8">
        <f>A8</f>
        <v>101</v>
      </c>
    </row>
    <row r="9" spans="1:6" x14ac:dyDescent="0.25">
      <c r="A9" s="8">
        <f>A8+1</f>
        <v>102</v>
      </c>
      <c r="B9" s="6" t="s">
        <v>2161</v>
      </c>
      <c r="C9" s="178">
        <v>240919109</v>
      </c>
      <c r="D9" s="38" t="s">
        <v>2160</v>
      </c>
      <c r="F9" s="8">
        <f>A9</f>
        <v>102</v>
      </c>
    </row>
    <row r="10" spans="1:6" x14ac:dyDescent="0.25">
      <c r="A10" s="8">
        <f>A9+1</f>
        <v>103</v>
      </c>
      <c r="B10" s="6" t="s">
        <v>2153</v>
      </c>
      <c r="C10" s="681">
        <v>-63727073.294249997</v>
      </c>
      <c r="D10" s="38" t="s">
        <v>2159</v>
      </c>
      <c r="F10" s="8">
        <f>A10</f>
        <v>103</v>
      </c>
    </row>
    <row r="11" spans="1:6" x14ac:dyDescent="0.25">
      <c r="A11" s="8">
        <f>A10+1</f>
        <v>104</v>
      </c>
      <c r="B11" s="30" t="s">
        <v>2158</v>
      </c>
      <c r="C11" s="94">
        <f>(C7+C10)-(+C8+C9)</f>
        <v>2302526607.70575</v>
      </c>
      <c r="D11" s="38" t="s">
        <v>2157</v>
      </c>
      <c r="F11" s="8">
        <f>A11</f>
        <v>104</v>
      </c>
    </row>
    <row r="12" spans="1:6" x14ac:dyDescent="0.25">
      <c r="A12" s="8"/>
      <c r="C12" s="24"/>
      <c r="D12" s="38"/>
      <c r="F12" s="8"/>
    </row>
    <row r="13" spans="1:6" x14ac:dyDescent="0.25">
      <c r="A13" s="8">
        <f>A11+1</f>
        <v>105</v>
      </c>
      <c r="B13" s="6" t="s">
        <v>2156</v>
      </c>
      <c r="C13" s="178">
        <v>2282687617</v>
      </c>
      <c r="D13" s="38" t="s">
        <v>2155</v>
      </c>
      <c r="F13" s="8">
        <f>A13</f>
        <v>105</v>
      </c>
    </row>
    <row r="14" spans="1:6" x14ac:dyDescent="0.25">
      <c r="A14" s="8">
        <f>A13+1</f>
        <v>106</v>
      </c>
      <c r="B14" s="6" t="s">
        <v>2154</v>
      </c>
      <c r="C14" s="24">
        <f>C8</f>
        <v>500087610</v>
      </c>
      <c r="D14" s="38" t="str">
        <f>"Line "&amp;A8&amp;""</f>
        <v>Line 101</v>
      </c>
      <c r="F14" s="8">
        <f>A14</f>
        <v>106</v>
      </c>
    </row>
    <row r="15" spans="1:6" x14ac:dyDescent="0.25">
      <c r="A15" s="8">
        <f>A14+1</f>
        <v>107</v>
      </c>
      <c r="B15" s="6" t="s">
        <v>2153</v>
      </c>
      <c r="C15" s="681">
        <v>-58524709.124250002</v>
      </c>
      <c r="D15" s="38" t="s">
        <v>2152</v>
      </c>
      <c r="F15" s="8">
        <f>A15</f>
        <v>107</v>
      </c>
    </row>
    <row r="16" spans="1:6" x14ac:dyDescent="0.25">
      <c r="A16" s="8">
        <f>A15+1</f>
        <v>108</v>
      </c>
      <c r="B16" s="30" t="s">
        <v>2151</v>
      </c>
      <c r="C16" s="94">
        <f>C13-C14+C15</f>
        <v>1724075297.8757501</v>
      </c>
      <c r="D16" s="38" t="s">
        <v>2150</v>
      </c>
      <c r="F16" s="8">
        <f>A16</f>
        <v>108</v>
      </c>
    </row>
    <row r="17" spans="1:6" x14ac:dyDescent="0.25">
      <c r="A17" s="8"/>
      <c r="D17" s="38"/>
      <c r="F17" s="8"/>
    </row>
    <row r="18" spans="1:6" x14ac:dyDescent="0.25">
      <c r="A18" s="8">
        <f>A16+1</f>
        <v>109</v>
      </c>
      <c r="B18" s="30" t="s">
        <v>2149</v>
      </c>
      <c r="C18" s="677">
        <f>C16/C11</f>
        <v>0.74877540702716483</v>
      </c>
      <c r="D18" s="38" t="str">
        <f>"Line "&amp;A16&amp;" / Line "&amp;A11&amp;""</f>
        <v>Line 108 / Line 104</v>
      </c>
      <c r="F18" s="8">
        <f>A18</f>
        <v>109</v>
      </c>
    </row>
    <row r="19" spans="1:6" x14ac:dyDescent="0.25">
      <c r="F19" s="8"/>
    </row>
    <row r="20" spans="1:6" x14ac:dyDescent="0.25">
      <c r="B20" s="83" t="s">
        <v>2148</v>
      </c>
      <c r="C20" s="35"/>
      <c r="D20" s="35"/>
      <c r="E20" s="35"/>
      <c r="F20" s="8"/>
    </row>
    <row r="21" spans="1:6" x14ac:dyDescent="0.25">
      <c r="A21" s="8">
        <f>A18+1</f>
        <v>110</v>
      </c>
      <c r="B21" s="6" t="s">
        <v>2147</v>
      </c>
      <c r="C21" s="24">
        <f>C16</f>
        <v>1724075297.8757501</v>
      </c>
      <c r="D21" s="38" t="str">
        <f>"Line "&amp;A16&amp;""</f>
        <v>Line 108</v>
      </c>
      <c r="F21" s="8">
        <f>A21</f>
        <v>110</v>
      </c>
    </row>
    <row r="22" spans="1:6" x14ac:dyDescent="0.25">
      <c r="A22" s="8">
        <f>A21+1</f>
        <v>111</v>
      </c>
      <c r="B22" s="6" t="s">
        <v>2146</v>
      </c>
      <c r="C22" s="24">
        <f>'18-OandM'!N11</f>
        <v>227352557.62690741</v>
      </c>
      <c r="D22" s="38" t="s">
        <v>2145</v>
      </c>
      <c r="F22" s="8">
        <f>A22</f>
        <v>111</v>
      </c>
    </row>
    <row r="23" spans="1:6" x14ac:dyDescent="0.25">
      <c r="A23" s="8"/>
      <c r="D23" s="38"/>
      <c r="F23" s="8"/>
    </row>
    <row r="24" spans="1:6" x14ac:dyDescent="0.25">
      <c r="A24" s="8">
        <f>A22+1</f>
        <v>112</v>
      </c>
      <c r="B24" s="30" t="s">
        <v>2144</v>
      </c>
      <c r="C24" s="677">
        <f>C22/C21</f>
        <v>0.13186927386932037</v>
      </c>
      <c r="D24" s="38" t="str">
        <f>"Line "&amp;A22&amp;" / Line "&amp;A21&amp;""</f>
        <v>Line 111 / Line 110</v>
      </c>
      <c r="F24" s="8">
        <f>A24</f>
        <v>112</v>
      </c>
    </row>
    <row r="25" spans="1:6" x14ac:dyDescent="0.25">
      <c r="A25" s="8">
        <f>+A24+1</f>
        <v>113</v>
      </c>
      <c r="B25" s="30" t="s">
        <v>2143</v>
      </c>
      <c r="C25" s="677">
        <f>C22/C11</f>
        <v>9.874046921587705E-2</v>
      </c>
      <c r="D25" s="38" t="str">
        <f>"Line "&amp;A22&amp;" / Line "&amp;A11&amp;""</f>
        <v>Line 111 / Line 104</v>
      </c>
      <c r="F25" s="8">
        <f>A25</f>
        <v>113</v>
      </c>
    </row>
    <row r="26" spans="1:6" x14ac:dyDescent="0.25">
      <c r="A26" s="8"/>
      <c r="B26" s="30"/>
      <c r="C26" s="677"/>
      <c r="F26" s="8"/>
    </row>
    <row r="27" spans="1:6" x14ac:dyDescent="0.25">
      <c r="B27" s="83" t="s">
        <v>2142</v>
      </c>
      <c r="C27" s="35"/>
      <c r="D27" s="35"/>
      <c r="E27" s="35"/>
      <c r="F27" s="680"/>
    </row>
    <row r="28" spans="1:6" x14ac:dyDescent="0.25">
      <c r="A28" s="8">
        <f>A25+1</f>
        <v>114</v>
      </c>
      <c r="B28" s="6" t="s">
        <v>2139</v>
      </c>
      <c r="C28" s="24">
        <f>+'7-PlantInService'!$AC$25+'7-PlantInService'!$F$92</f>
        <v>20977853868.82225</v>
      </c>
      <c r="D28" s="308" t="s">
        <v>2138</v>
      </c>
      <c r="E28" s="679" t="s">
        <v>2127</v>
      </c>
      <c r="F28" s="8">
        <f>+A28</f>
        <v>114</v>
      </c>
    </row>
    <row r="29" spans="1:6" x14ac:dyDescent="0.25">
      <c r="A29" s="8">
        <f>+A28+1</f>
        <v>115</v>
      </c>
      <c r="B29" s="6" t="s">
        <v>2141</v>
      </c>
      <c r="C29" s="178">
        <v>134063709348.96436</v>
      </c>
      <c r="D29" s="38" t="s">
        <v>2140</v>
      </c>
      <c r="E29" s="679" t="s">
        <v>2127</v>
      </c>
      <c r="F29" s="8">
        <f>+A29</f>
        <v>115</v>
      </c>
    </row>
    <row r="30" spans="1:6" x14ac:dyDescent="0.25">
      <c r="A30" s="8">
        <f>+A29+1</f>
        <v>116</v>
      </c>
      <c r="B30" s="30" t="s">
        <v>234</v>
      </c>
      <c r="C30" s="287">
        <f>+C28/C29</f>
        <v>0.1564767525133699</v>
      </c>
      <c r="D30" s="38" t="str">
        <f>"Line "&amp;A28&amp;" / Line "&amp;A29&amp;""</f>
        <v>Line 114 / Line 115</v>
      </c>
      <c r="F30" s="8">
        <f>+A30</f>
        <v>116</v>
      </c>
    </row>
    <row r="31" spans="1:6" x14ac:dyDescent="0.25">
      <c r="A31" s="8"/>
      <c r="C31" s="67"/>
      <c r="D31" s="38"/>
      <c r="F31" s="8"/>
    </row>
    <row r="32" spans="1:6" x14ac:dyDescent="0.25">
      <c r="A32" s="8">
        <f>+A30+1</f>
        <v>117</v>
      </c>
      <c r="B32" s="6" t="s">
        <v>2139</v>
      </c>
      <c r="C32" s="24">
        <f>+'7-PlantInService'!$AC$25+'7-PlantInService'!$F$92</f>
        <v>20977853868.82225</v>
      </c>
      <c r="D32" s="308" t="s">
        <v>2138</v>
      </c>
      <c r="E32" s="679" t="s">
        <v>2127</v>
      </c>
      <c r="F32" s="8">
        <f>+A32</f>
        <v>117</v>
      </c>
    </row>
    <row r="33" spans="1:8" x14ac:dyDescent="0.25">
      <c r="A33" s="8">
        <f>+A32+1</f>
        <v>118</v>
      </c>
      <c r="B33" s="6" t="s">
        <v>2137</v>
      </c>
      <c r="C33" s="178">
        <v>102199801725.34685</v>
      </c>
      <c r="D33" s="38" t="s">
        <v>2136</v>
      </c>
      <c r="E33" s="679" t="s">
        <v>2127</v>
      </c>
      <c r="F33" s="8">
        <f>+A33</f>
        <v>118</v>
      </c>
    </row>
    <row r="34" spans="1:8" x14ac:dyDescent="0.25">
      <c r="A34" s="8">
        <f>+A33+1</f>
        <v>119</v>
      </c>
      <c r="B34" s="30" t="s">
        <v>1868</v>
      </c>
      <c r="C34" s="287">
        <f>+C32/C33</f>
        <v>0.20526315623584498</v>
      </c>
      <c r="D34" s="38" t="str">
        <f>"Line "&amp;A32&amp;" / Line "&amp;A33&amp;""</f>
        <v>Line 117 / Line 118</v>
      </c>
      <c r="F34" s="8">
        <f>+A34</f>
        <v>119</v>
      </c>
    </row>
    <row r="35" spans="1:8" x14ac:dyDescent="0.25">
      <c r="A35" s="8"/>
      <c r="C35" s="67"/>
      <c r="D35" s="38"/>
      <c r="F35" s="8"/>
    </row>
    <row r="36" spans="1:8" x14ac:dyDescent="0.25">
      <c r="A36" s="8">
        <f>+A34+1</f>
        <v>120</v>
      </c>
      <c r="B36" s="6" t="s">
        <v>2132</v>
      </c>
      <c r="C36" s="24">
        <f>'7-PlantInService'!$AC$25</f>
        <v>19967828199.293724</v>
      </c>
      <c r="D36" s="38" t="s">
        <v>362</v>
      </c>
      <c r="F36" s="8">
        <f>+A36</f>
        <v>120</v>
      </c>
    </row>
    <row r="37" spans="1:8" x14ac:dyDescent="0.25">
      <c r="A37" s="8">
        <f>+A36+1</f>
        <v>121</v>
      </c>
      <c r="B37" s="6" t="s">
        <v>2135</v>
      </c>
      <c r="C37" s="24">
        <f>'6-PlantJurisdiction'!D28+'6-PlantJurisdiction'!F28</f>
        <v>21062875990.599998</v>
      </c>
      <c r="D37" s="38" t="s">
        <v>2134</v>
      </c>
      <c r="F37" s="8">
        <f>+A37</f>
        <v>121</v>
      </c>
    </row>
    <row r="38" spans="1:8" x14ac:dyDescent="0.25">
      <c r="A38" s="8">
        <f>+A37+1</f>
        <v>122</v>
      </c>
      <c r="B38" s="30" t="s">
        <v>243</v>
      </c>
      <c r="C38" s="287">
        <f>C36/C37</f>
        <v>0.94801052848647183</v>
      </c>
      <c r="D38" s="38" t="str">
        <f>"Line "&amp;A36&amp;" / Line "&amp;A37&amp;""</f>
        <v>Line 120 / Line 121</v>
      </c>
      <c r="F38" s="8">
        <f>+A38</f>
        <v>122</v>
      </c>
    </row>
    <row r="39" spans="1:8" x14ac:dyDescent="0.25">
      <c r="A39" s="8"/>
      <c r="C39" s="67"/>
      <c r="F39" s="8"/>
    </row>
    <row r="40" spans="1:8" x14ac:dyDescent="0.25">
      <c r="B40" s="83" t="s">
        <v>2133</v>
      </c>
      <c r="C40" s="35"/>
      <c r="D40" s="35"/>
      <c r="E40" s="35"/>
      <c r="F40" s="102"/>
    </row>
    <row r="41" spans="1:8" x14ac:dyDescent="0.25">
      <c r="A41" s="8">
        <f>+A38+1</f>
        <v>123</v>
      </c>
      <c r="B41" s="6" t="s">
        <v>2132</v>
      </c>
      <c r="C41" s="24">
        <f>'7-PlantInService'!$AC$25</f>
        <v>19967828199.293724</v>
      </c>
      <c r="D41" s="38" t="s">
        <v>362</v>
      </c>
      <c r="E41" s="679" t="s">
        <v>2127</v>
      </c>
      <c r="F41" s="8">
        <f>+A41</f>
        <v>123</v>
      </c>
    </row>
    <row r="42" spans="1:8" x14ac:dyDescent="0.25">
      <c r="A42" s="8">
        <f>+A41+1</f>
        <v>124</v>
      </c>
      <c r="B42" s="6" t="s">
        <v>2131</v>
      </c>
      <c r="C42" s="24">
        <f>+'7-PlantInService'!AC50</f>
        <v>6990634563.6802235</v>
      </c>
      <c r="D42" s="38" t="s">
        <v>2130</v>
      </c>
      <c r="E42" s="679" t="s">
        <v>2127</v>
      </c>
      <c r="F42" s="8">
        <f>+A42</f>
        <v>124</v>
      </c>
    </row>
    <row r="43" spans="1:8" x14ac:dyDescent="0.25">
      <c r="A43" s="8">
        <f>+A42+1</f>
        <v>125</v>
      </c>
      <c r="B43" s="6" t="s">
        <v>2129</v>
      </c>
      <c r="C43" s="24">
        <f>+'7-PlantInService'!AC75</f>
        <v>12977193635.613497</v>
      </c>
      <c r="D43" s="38" t="s">
        <v>2128</v>
      </c>
      <c r="E43" s="679" t="s">
        <v>2127</v>
      </c>
      <c r="F43" s="8">
        <f>+A43</f>
        <v>125</v>
      </c>
    </row>
    <row r="44" spans="1:8" x14ac:dyDescent="0.25">
      <c r="A44" s="8">
        <f>+A43+1</f>
        <v>126</v>
      </c>
      <c r="B44" s="30" t="s">
        <v>2126</v>
      </c>
      <c r="C44" s="677">
        <f>+C42/C41</f>
        <v>0.35009488733118643</v>
      </c>
      <c r="D44" s="38" t="str">
        <f>"Line "&amp;A42&amp;" / Line "&amp;A41&amp;""</f>
        <v>Line 124 / Line 123</v>
      </c>
      <c r="F44" s="8">
        <f>+A44</f>
        <v>126</v>
      </c>
    </row>
    <row r="45" spans="1:8" x14ac:dyDescent="0.25">
      <c r="A45" s="8">
        <f>+A44+1</f>
        <v>127</v>
      </c>
      <c r="B45" s="30" t="s">
        <v>2125</v>
      </c>
      <c r="C45" s="677">
        <f>+C43/C41</f>
        <v>0.64990511266881335</v>
      </c>
      <c r="D45" s="38" t="str">
        <f>"Line "&amp;A43&amp;" / Line "&amp;A41&amp;""</f>
        <v>Line 125 / Line 123</v>
      </c>
      <c r="F45" s="8">
        <f>+A45</f>
        <v>127</v>
      </c>
    </row>
    <row r="47" spans="1:8" x14ac:dyDescent="0.25">
      <c r="B47" s="83" t="s">
        <v>2124</v>
      </c>
      <c r="C47" s="35"/>
      <c r="D47" s="35"/>
      <c r="E47" s="35"/>
      <c r="F47" s="102"/>
    </row>
    <row r="48" spans="1:8" x14ac:dyDescent="0.25">
      <c r="A48" s="8">
        <f>+A45+1</f>
        <v>128</v>
      </c>
      <c r="B48" s="6" t="s">
        <v>2123</v>
      </c>
      <c r="C48" s="24">
        <f>+'9-PlantAdditions'!E76</f>
        <v>1167849570.7865264</v>
      </c>
      <c r="D48" s="38" t="s">
        <v>2122</v>
      </c>
      <c r="E48" s="679" t="s">
        <v>2114</v>
      </c>
      <c r="F48" s="8">
        <f>+A48</f>
        <v>128</v>
      </c>
      <c r="H48" s="49"/>
    </row>
    <row r="49" spans="1:8" x14ac:dyDescent="0.25">
      <c r="A49" s="8">
        <f>+A48+1</f>
        <v>129</v>
      </c>
      <c r="B49" s="6" t="s">
        <v>2121</v>
      </c>
      <c r="C49" s="24">
        <f>+'9-PlantAdditions'!E112</f>
        <v>1866923970.0368237</v>
      </c>
      <c r="D49" s="38" t="s">
        <v>2120</v>
      </c>
      <c r="E49" s="679" t="s">
        <v>2114</v>
      </c>
      <c r="F49" s="8">
        <f>+A49</f>
        <v>129</v>
      </c>
      <c r="H49" s="50"/>
    </row>
    <row r="50" spans="1:8" x14ac:dyDescent="0.25">
      <c r="A50" s="8">
        <f>+A49+1</f>
        <v>130</v>
      </c>
      <c r="B50" s="6" t="s">
        <v>2119</v>
      </c>
      <c r="C50" s="24">
        <f>+C48+C42</f>
        <v>8158484134.4667501</v>
      </c>
      <c r="D50" s="38" t="str">
        <f>"Line "&amp;A42&amp;" + Line "&amp;A48&amp;""</f>
        <v>Line 124 + Line 128</v>
      </c>
      <c r="E50" s="679" t="s">
        <v>2114</v>
      </c>
      <c r="F50" s="8">
        <f>+A50</f>
        <v>130</v>
      </c>
    </row>
    <row r="51" spans="1:8" x14ac:dyDescent="0.25">
      <c r="A51" s="8">
        <f>+A50+1</f>
        <v>131</v>
      </c>
      <c r="B51" s="6" t="s">
        <v>2118</v>
      </c>
      <c r="C51" s="24">
        <f>+C43+C49</f>
        <v>14844117605.65032</v>
      </c>
      <c r="D51" s="38" t="str">
        <f>"Line "&amp;A43&amp;" + Line "&amp;A49&amp;""</f>
        <v>Line 125 + Line 129</v>
      </c>
      <c r="E51" s="679" t="s">
        <v>2114</v>
      </c>
      <c r="F51" s="8">
        <f>+A51</f>
        <v>131</v>
      </c>
    </row>
    <row r="52" spans="1:8" x14ac:dyDescent="0.25">
      <c r="A52" s="8">
        <f>+A51+1</f>
        <v>132</v>
      </c>
      <c r="B52" s="6" t="s">
        <v>2117</v>
      </c>
      <c r="C52" s="24">
        <f>+C51+C50</f>
        <v>23002601740.117069</v>
      </c>
      <c r="D52" s="38" t="str">
        <f>"Line "&amp;A50&amp;" + Line "&amp;A51&amp;""</f>
        <v>Line 130 + Line 131</v>
      </c>
      <c r="E52" s="679" t="s">
        <v>2114</v>
      </c>
      <c r="F52" s="8">
        <f>+A52</f>
        <v>132</v>
      </c>
    </row>
    <row r="53" spans="1:8" x14ac:dyDescent="0.25">
      <c r="A53" s="8">
        <f>+A52+1</f>
        <v>133</v>
      </c>
      <c r="B53" s="30" t="s">
        <v>2116</v>
      </c>
      <c r="C53" s="677">
        <f>+C50/C52</f>
        <v>0.35467658079034448</v>
      </c>
      <c r="D53" s="38" t="str">
        <f>"Line "&amp;A50&amp;" / Line "&amp;A52&amp;""</f>
        <v>Line 130 / Line 132</v>
      </c>
      <c r="E53" s="679" t="s">
        <v>2114</v>
      </c>
      <c r="F53" s="8">
        <f>+A53</f>
        <v>133</v>
      </c>
    </row>
    <row r="54" spans="1:8" x14ac:dyDescent="0.25">
      <c r="A54" s="8">
        <f>+A53+1</f>
        <v>134</v>
      </c>
      <c r="B54" s="30" t="s">
        <v>2115</v>
      </c>
      <c r="C54" s="677">
        <f>+C51/C52</f>
        <v>0.64532341920965552</v>
      </c>
      <c r="D54" s="38" t="str">
        <f>"Line "&amp;A51&amp;" / Line "&amp;A52&amp;""</f>
        <v>Line 131 / Line 132</v>
      </c>
      <c r="E54" s="679" t="s">
        <v>2114</v>
      </c>
      <c r="F54" s="8">
        <f>+A54</f>
        <v>134</v>
      </c>
    </row>
    <row r="56" spans="1:8" x14ac:dyDescent="0.25">
      <c r="B56" s="83" t="s">
        <v>2113</v>
      </c>
      <c r="C56" s="678"/>
      <c r="D56" s="35"/>
      <c r="E56" s="35"/>
    </row>
    <row r="57" spans="1:8" x14ac:dyDescent="0.25">
      <c r="A57" s="8">
        <f>A54+1</f>
        <v>135</v>
      </c>
      <c r="B57" s="408" t="s">
        <v>1247</v>
      </c>
      <c r="C57" s="287">
        <f>0.5*C25+0.5*C30</f>
        <v>0.12760861086462347</v>
      </c>
      <c r="D57" s="38" t="str">
        <f>"(50% * Line "&amp;A25&amp;") + (50% *Line "&amp;A30&amp;")"</f>
        <v>(50% * Line 113) + (50% *Line 116)</v>
      </c>
      <c r="F57" s="8">
        <f>A57</f>
        <v>135</v>
      </c>
    </row>
    <row r="58" spans="1:8" x14ac:dyDescent="0.25">
      <c r="A58" s="8">
        <f>A57+1</f>
        <v>136</v>
      </c>
      <c r="B58" s="408" t="s">
        <v>1862</v>
      </c>
      <c r="C58" s="287">
        <f>0.5*C24+0.5*C34</f>
        <v>0.16856621505258268</v>
      </c>
      <c r="D58" s="38" t="str">
        <f>"(50% * Line "&amp;A24&amp;") + (50% *Line "&amp;A34&amp;")"</f>
        <v>(50% * Line 112) + (50% *Line 119)</v>
      </c>
      <c r="F58" s="8">
        <f>A58</f>
        <v>136</v>
      </c>
    </row>
    <row r="59" spans="1:8" x14ac:dyDescent="0.25">
      <c r="A59" s="8"/>
      <c r="B59" s="30"/>
      <c r="C59" s="677"/>
    </row>
    <row r="60" spans="1:8" x14ac:dyDescent="0.25">
      <c r="A60" s="8"/>
      <c r="B60" s="83" t="s">
        <v>2112</v>
      </c>
      <c r="C60" s="678"/>
      <c r="D60" s="35"/>
      <c r="E60" s="35"/>
    </row>
    <row r="61" spans="1:8" x14ac:dyDescent="0.25">
      <c r="A61" s="8">
        <f>A58+1</f>
        <v>137</v>
      </c>
      <c r="B61" s="6" t="s">
        <v>2111</v>
      </c>
      <c r="C61" s="32">
        <f>+'10-AccDep'!AC27+'10-AccDep'!F91</f>
        <v>5472802153.1874676</v>
      </c>
      <c r="D61" s="308" t="s">
        <v>2110</v>
      </c>
      <c r="F61" s="8">
        <f>A61</f>
        <v>137</v>
      </c>
    </row>
    <row r="62" spans="1:8" x14ac:dyDescent="0.25">
      <c r="A62" s="8">
        <f>+A61+1</f>
        <v>138</v>
      </c>
      <c r="B62" s="6" t="s">
        <v>2109</v>
      </c>
      <c r="C62" s="178">
        <v>41124413700.423363</v>
      </c>
      <c r="D62" s="38" t="s">
        <v>2108</v>
      </c>
      <c r="F62" s="8">
        <f>A62</f>
        <v>138</v>
      </c>
    </row>
    <row r="63" spans="1:8" x14ac:dyDescent="0.25">
      <c r="A63" s="8">
        <f>+A62+1</f>
        <v>139</v>
      </c>
      <c r="B63" s="6" t="s">
        <v>2107</v>
      </c>
      <c r="C63" s="24">
        <f>+C32-C61</f>
        <v>15505051715.634783</v>
      </c>
      <c r="D63" s="38" t="s">
        <v>2106</v>
      </c>
      <c r="F63" s="8">
        <f>A63</f>
        <v>139</v>
      </c>
    </row>
    <row r="64" spans="1:8" x14ac:dyDescent="0.25">
      <c r="A64" s="8">
        <f>+A63+1</f>
        <v>140</v>
      </c>
      <c r="B64" s="6" t="s">
        <v>2105</v>
      </c>
      <c r="C64" s="24">
        <f>+C33-C62</f>
        <v>61075388024.923485</v>
      </c>
      <c r="D64" s="38" t="s">
        <v>2104</v>
      </c>
      <c r="F64" s="8">
        <f>A64</f>
        <v>140</v>
      </c>
    </row>
    <row r="65" spans="1:6" x14ac:dyDescent="0.25">
      <c r="A65" s="8">
        <f>+A64+1</f>
        <v>141</v>
      </c>
      <c r="B65" s="30" t="s">
        <v>2103</v>
      </c>
      <c r="C65" s="677">
        <f>C63/C64</f>
        <v>0.25386742871461615</v>
      </c>
      <c r="D65" s="38" t="s">
        <v>2102</v>
      </c>
      <c r="F65" s="8">
        <f>A65</f>
        <v>141</v>
      </c>
    </row>
    <row r="68" spans="1:6" x14ac:dyDescent="0.25">
      <c r="C68" s="70"/>
    </row>
  </sheetData>
  <printOptions horizontalCentered="1"/>
  <pageMargins left="1" right="1" top="1" bottom="1" header="0.5" footer="0.5"/>
  <pageSetup scale="48" orientation="landscape" r:id="rId1"/>
  <headerFooter>
    <oddHeader>&amp;R&amp;F</oddHeader>
  </headerFooter>
  <customProperties>
    <customPr name="_pios_id" r:id="rId2"/>
  </customPropertie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43BAEE-C5D5-4248-BD50-B5EDF0C36BDC}">
  <sheetPr>
    <pageSetUpPr fitToPage="1"/>
  </sheetPr>
  <dimension ref="A1:G24"/>
  <sheetViews>
    <sheetView view="pageBreakPreview" zoomScale="95" zoomScaleNormal="100" zoomScaleSheetLayoutView="95" workbookViewId="0">
      <selection activeCell="Q36" sqref="Q36"/>
    </sheetView>
  </sheetViews>
  <sheetFormatPr defaultColWidth="9.140625" defaultRowHeight="15" x14ac:dyDescent="0.25"/>
  <cols>
    <col min="1" max="1" width="6.85546875" style="6" bestFit="1" customWidth="1"/>
    <col min="2" max="2" width="9.5703125" style="6" customWidth="1"/>
    <col min="3" max="3" width="8.5703125" style="6" customWidth="1"/>
    <col min="4" max="4" width="17.85546875" style="6" customWidth="1"/>
    <col min="5" max="5" width="19.42578125" style="6" bestFit="1" customWidth="1"/>
    <col min="6" max="6" width="33.42578125" style="6" bestFit="1" customWidth="1"/>
    <col min="7" max="7" width="7.85546875" style="6" customWidth="1"/>
    <col min="8" max="16384" width="9.140625" style="6"/>
  </cols>
  <sheetData>
    <row r="1" spans="1:7" x14ac:dyDescent="0.25">
      <c r="B1" s="30" t="s">
        <v>2181</v>
      </c>
    </row>
    <row r="2" spans="1:7" x14ac:dyDescent="0.25">
      <c r="B2" s="30" t="s">
        <v>20</v>
      </c>
      <c r="E2" s="76"/>
      <c r="F2" s="76" t="str">
        <f>CONCATENATE("Prior Year: ",'1-BaseTRR'!$G$3)</f>
        <v>Prior Year: 2025</v>
      </c>
    </row>
    <row r="3" spans="1:7" x14ac:dyDescent="0.25">
      <c r="B3" s="77" t="s">
        <v>367</v>
      </c>
      <c r="C3" s="89"/>
      <c r="D3" s="89"/>
    </row>
    <row r="5" spans="1:7" x14ac:dyDescent="0.25">
      <c r="A5" s="33" t="s">
        <v>106</v>
      </c>
      <c r="G5" s="33" t="str">
        <f>A5</f>
        <v>Line</v>
      </c>
    </row>
    <row r="6" spans="1:7" x14ac:dyDescent="0.25">
      <c r="B6" s="83" t="s">
        <v>2180</v>
      </c>
      <c r="C6" s="35"/>
      <c r="D6" s="35"/>
      <c r="E6" s="35"/>
      <c r="F6" s="35"/>
    </row>
    <row r="7" spans="1:7" x14ac:dyDescent="0.25">
      <c r="B7" s="25" t="s">
        <v>2175</v>
      </c>
      <c r="C7" s="25" t="s">
        <v>2174</v>
      </c>
      <c r="D7" s="25" t="s">
        <v>2173</v>
      </c>
      <c r="E7" s="25" t="s">
        <v>2168</v>
      </c>
      <c r="F7" s="33" t="s">
        <v>671</v>
      </c>
    </row>
    <row r="8" spans="1:7" x14ac:dyDescent="0.25">
      <c r="A8" s="8">
        <v>100</v>
      </c>
      <c r="B8" s="168">
        <v>45658</v>
      </c>
      <c r="C8" s="89" t="s">
        <v>2171</v>
      </c>
      <c r="D8" s="89">
        <v>365</v>
      </c>
      <c r="E8" s="684">
        <v>7.9019999999999993E-3</v>
      </c>
      <c r="F8" s="43" t="s">
        <v>2179</v>
      </c>
      <c r="G8" s="8">
        <f>A8</f>
        <v>100</v>
      </c>
    </row>
    <row r="9" spans="1:7" x14ac:dyDescent="0.25">
      <c r="A9" s="8">
        <f>A8+1</f>
        <v>101</v>
      </c>
      <c r="B9" s="683" t="s">
        <v>83</v>
      </c>
      <c r="C9" s="89"/>
      <c r="D9" s="89"/>
      <c r="E9" s="684"/>
      <c r="F9" s="89"/>
      <c r="G9" s="8">
        <f>A9</f>
        <v>101</v>
      </c>
    </row>
    <row r="10" spans="1:7" x14ac:dyDescent="0.25">
      <c r="A10" s="8"/>
      <c r="G10" s="8"/>
    </row>
    <row r="11" spans="1:7" x14ac:dyDescent="0.25">
      <c r="A11" s="8"/>
      <c r="B11" s="83" t="s">
        <v>2178</v>
      </c>
      <c r="C11" s="35"/>
      <c r="D11" s="35"/>
      <c r="E11" s="35"/>
      <c r="F11" s="35"/>
      <c r="G11" s="8"/>
    </row>
    <row r="12" spans="1:7" x14ac:dyDescent="0.25">
      <c r="A12" s="8"/>
      <c r="B12" s="30" t="s">
        <v>2175</v>
      </c>
      <c r="C12" s="30" t="s">
        <v>2174</v>
      </c>
      <c r="D12" s="30" t="s">
        <v>2173</v>
      </c>
      <c r="E12" s="30" t="s">
        <v>178</v>
      </c>
      <c r="F12" s="30" t="s">
        <v>671</v>
      </c>
      <c r="G12" s="8"/>
    </row>
    <row r="13" spans="1:7" x14ac:dyDescent="0.25">
      <c r="A13" s="8">
        <v>200</v>
      </c>
      <c r="B13" s="168">
        <v>45658</v>
      </c>
      <c r="C13" s="89" t="s">
        <v>2171</v>
      </c>
      <c r="D13" s="89">
        <v>365</v>
      </c>
      <c r="E13" s="684">
        <v>4.8226191383792108E-4</v>
      </c>
      <c r="F13" s="43" t="s">
        <v>2177</v>
      </c>
      <c r="G13" s="8">
        <f>A13</f>
        <v>200</v>
      </c>
    </row>
    <row r="14" spans="1:7" x14ac:dyDescent="0.25">
      <c r="A14" s="8">
        <f>A13+1</f>
        <v>201</v>
      </c>
      <c r="B14" s="683" t="s">
        <v>83</v>
      </c>
      <c r="C14" s="89"/>
      <c r="D14" s="89"/>
      <c r="E14" s="89"/>
      <c r="F14" s="89"/>
      <c r="G14" s="8">
        <f>A14</f>
        <v>201</v>
      </c>
    </row>
    <row r="15" spans="1:7" x14ac:dyDescent="0.25">
      <c r="A15" s="8"/>
      <c r="G15" s="8"/>
    </row>
    <row r="16" spans="1:7" x14ac:dyDescent="0.25">
      <c r="A16" s="8"/>
      <c r="B16" s="83" t="s">
        <v>2176</v>
      </c>
      <c r="C16" s="35"/>
      <c r="D16" s="35"/>
      <c r="E16" s="35"/>
      <c r="F16" s="35"/>
      <c r="G16" s="8"/>
    </row>
    <row r="17" spans="1:7" x14ac:dyDescent="0.25">
      <c r="A17" s="8"/>
      <c r="B17" s="30" t="s">
        <v>2175</v>
      </c>
      <c r="C17" s="30" t="s">
        <v>2174</v>
      </c>
      <c r="D17" s="30" t="s">
        <v>2173</v>
      </c>
      <c r="E17" s="30" t="s">
        <v>2172</v>
      </c>
      <c r="F17" s="30" t="s">
        <v>671</v>
      </c>
      <c r="G17" s="8"/>
    </row>
    <row r="18" spans="1:7" x14ac:dyDescent="0.25">
      <c r="A18" s="8">
        <v>300</v>
      </c>
      <c r="B18" s="168">
        <v>45658</v>
      </c>
      <c r="C18" s="89" t="s">
        <v>2171</v>
      </c>
      <c r="D18" s="89">
        <v>365</v>
      </c>
      <c r="E18" s="684">
        <v>7.0843748718778061E-3</v>
      </c>
      <c r="F18" s="43" t="s">
        <v>2170</v>
      </c>
      <c r="G18" s="8">
        <f>A18</f>
        <v>300</v>
      </c>
    </row>
    <row r="19" spans="1:7" x14ac:dyDescent="0.25">
      <c r="A19" s="8">
        <f>A18+1</f>
        <v>301</v>
      </c>
      <c r="B19" s="683" t="s">
        <v>83</v>
      </c>
      <c r="C19" s="89"/>
      <c r="D19" s="89"/>
      <c r="E19" s="89"/>
      <c r="F19" s="89"/>
      <c r="G19" s="8">
        <f>A19</f>
        <v>301</v>
      </c>
    </row>
    <row r="20" spans="1:7" x14ac:dyDescent="0.25">
      <c r="A20" s="8"/>
      <c r="G20" s="8"/>
    </row>
    <row r="21" spans="1:7" x14ac:dyDescent="0.25">
      <c r="A21" s="8"/>
      <c r="B21" s="83" t="s">
        <v>2169</v>
      </c>
      <c r="C21" s="35"/>
      <c r="D21" s="35"/>
      <c r="E21" s="35"/>
      <c r="F21" s="35"/>
      <c r="G21" s="8"/>
    </row>
    <row r="22" spans="1:7" x14ac:dyDescent="0.25">
      <c r="A22" s="8">
        <v>400</v>
      </c>
      <c r="B22" s="30" t="s">
        <v>2168</v>
      </c>
      <c r="C22" s="30"/>
      <c r="D22" s="30"/>
      <c r="E22" s="34">
        <f>((E8*D8)+(E9*D9))/(D8+D9)</f>
        <v>7.9019999999999993E-3</v>
      </c>
      <c r="F22" s="34"/>
      <c r="G22" s="8">
        <f>A22</f>
        <v>400</v>
      </c>
    </row>
    <row r="23" spans="1:7" x14ac:dyDescent="0.25">
      <c r="A23" s="8">
        <f>A22+1</f>
        <v>401</v>
      </c>
      <c r="B23" s="30" t="s">
        <v>178</v>
      </c>
      <c r="C23" s="30"/>
      <c r="D23" s="30"/>
      <c r="E23" s="34">
        <f>((E13*D13)+(E14*D14))/(D13+D14)</f>
        <v>4.8226191383792108E-4</v>
      </c>
      <c r="F23" s="34"/>
      <c r="G23" s="8">
        <f>A23</f>
        <v>401</v>
      </c>
    </row>
    <row r="24" spans="1:7" x14ac:dyDescent="0.25">
      <c r="A24" s="8">
        <f>A23+1</f>
        <v>402</v>
      </c>
      <c r="B24" s="30" t="s">
        <v>152</v>
      </c>
      <c r="C24" s="30"/>
      <c r="D24" s="30"/>
      <c r="E24" s="34">
        <f>((E18*D18)+(E19*D19))/(D18+D19)</f>
        <v>7.0843748718778061E-3</v>
      </c>
      <c r="F24" s="34"/>
      <c r="G24" s="8">
        <f>A24</f>
        <v>402</v>
      </c>
    </row>
  </sheetData>
  <printOptions horizontalCentered="1"/>
  <pageMargins left="1" right="1" top="1" bottom="1" header="0.5" footer="0.5"/>
  <pageSetup fitToHeight="0" orientation="landscape" r:id="rId1"/>
  <headerFooter>
    <oddHeader>&amp;R&amp;F</oddHeader>
  </headerFooter>
  <customProperties>
    <customPr name="_pios_id" r:id="rId2"/>
  </customPropertie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2D2512-9FEB-4DE8-8D3E-0B8C3B495CF9}">
  <sheetPr>
    <pageSetUpPr fitToPage="1"/>
  </sheetPr>
  <dimension ref="A1:J65"/>
  <sheetViews>
    <sheetView view="pageBreakPreview" topLeftCell="B41" zoomScale="90" zoomScaleNormal="75" zoomScaleSheetLayoutView="90" workbookViewId="0">
      <selection activeCell="Q36" sqref="Q36"/>
    </sheetView>
  </sheetViews>
  <sheetFormatPr defaultColWidth="9.140625" defaultRowHeight="15" x14ac:dyDescent="0.25"/>
  <cols>
    <col min="1" max="1" width="7.5703125" style="6" customWidth="1"/>
    <col min="2" max="2" width="58.85546875" style="6" customWidth="1"/>
    <col min="3" max="3" width="2.5703125" style="6" customWidth="1"/>
    <col min="4" max="6" width="23.5703125" style="6" customWidth="1"/>
    <col min="7" max="7" width="80.140625" style="6" bestFit="1" customWidth="1"/>
    <col min="8" max="8" width="7.5703125" style="6" customWidth="1"/>
    <col min="9" max="9" width="13.85546875" style="6" bestFit="1" customWidth="1"/>
    <col min="10" max="16384" width="9.140625" style="6"/>
  </cols>
  <sheetData>
    <row r="1" spans="1:8" x14ac:dyDescent="0.25">
      <c r="B1" s="30" t="s">
        <v>2229</v>
      </c>
    </row>
    <row r="2" spans="1:8" x14ac:dyDescent="0.25">
      <c r="B2" s="30" t="s">
        <v>18</v>
      </c>
      <c r="F2" s="76"/>
      <c r="G2" s="76" t="str">
        <f>CONCATENATE("Rate Year: ",'1-BaseTRR'!$G$2)</f>
        <v>Rate Year: 2027</v>
      </c>
    </row>
    <row r="3" spans="1:8" x14ac:dyDescent="0.25">
      <c r="B3" s="77" t="s">
        <v>367</v>
      </c>
      <c r="F3" s="76"/>
    </row>
    <row r="5" spans="1:8" x14ac:dyDescent="0.25">
      <c r="D5" s="33" t="s">
        <v>492</v>
      </c>
      <c r="E5" s="33" t="s">
        <v>491</v>
      </c>
      <c r="F5" s="33" t="s">
        <v>490</v>
      </c>
    </row>
    <row r="6" spans="1:8" ht="30" x14ac:dyDescent="0.25">
      <c r="A6" s="33" t="s">
        <v>106</v>
      </c>
      <c r="B6" s="33"/>
      <c r="D6" s="110" t="s">
        <v>1952</v>
      </c>
      <c r="E6" s="110" t="s">
        <v>1951</v>
      </c>
      <c r="F6" s="110" t="s">
        <v>671</v>
      </c>
      <c r="G6" s="33"/>
      <c r="H6" s="33" t="str">
        <f>A6</f>
        <v>Line</v>
      </c>
    </row>
    <row r="7" spans="1:8" x14ac:dyDescent="0.25">
      <c r="A7" s="8">
        <v>1</v>
      </c>
      <c r="D7" s="116">
        <f>'24-Allocators'!$C$53</f>
        <v>0.35467658079034448</v>
      </c>
      <c r="E7" s="116">
        <f>'24-Allocators'!$C$54</f>
        <v>0.64532341920965552</v>
      </c>
      <c r="F7" s="6" t="s">
        <v>2228</v>
      </c>
      <c r="G7" s="33"/>
      <c r="H7" s="8">
        <f>A7</f>
        <v>1</v>
      </c>
    </row>
    <row r="8" spans="1:8" x14ac:dyDescent="0.25">
      <c r="A8" s="8"/>
      <c r="G8" s="33"/>
      <c r="H8" s="8"/>
    </row>
    <row r="9" spans="1:8" x14ac:dyDescent="0.25">
      <c r="A9" s="33"/>
      <c r="B9" s="36" t="s">
        <v>328</v>
      </c>
      <c r="C9" s="35"/>
      <c r="D9" s="35"/>
      <c r="E9" s="35"/>
      <c r="F9" s="35"/>
      <c r="G9" s="657"/>
      <c r="H9" s="8"/>
    </row>
    <row r="10" spans="1:8" x14ac:dyDescent="0.25">
      <c r="A10" s="33" t="s">
        <v>106</v>
      </c>
      <c r="B10" s="33" t="s">
        <v>79</v>
      </c>
      <c r="D10" s="33" t="s">
        <v>1056</v>
      </c>
      <c r="E10" s="33" t="s">
        <v>1055</v>
      </c>
      <c r="F10" s="33" t="s">
        <v>466</v>
      </c>
      <c r="G10" s="33" t="s">
        <v>671</v>
      </c>
      <c r="H10" s="33" t="s">
        <v>106</v>
      </c>
    </row>
    <row r="11" spans="1:8" x14ac:dyDescent="0.25">
      <c r="A11" s="8"/>
      <c r="B11" s="44" t="s">
        <v>364</v>
      </c>
      <c r="C11" s="44"/>
      <c r="D11" s="687"/>
      <c r="E11" s="687"/>
      <c r="F11" s="687"/>
      <c r="H11" s="8"/>
    </row>
    <row r="12" spans="1:8" x14ac:dyDescent="0.25">
      <c r="A12" s="8">
        <v>100</v>
      </c>
      <c r="B12" s="6" t="s">
        <v>2227</v>
      </c>
      <c r="D12" s="32">
        <f>'7-PlantInService'!AC50</f>
        <v>6990634563.6802235</v>
      </c>
      <c r="E12" s="32">
        <f>'7-PlantInService'!AC75</f>
        <v>12977193635.613497</v>
      </c>
      <c r="F12" s="32">
        <f>SUM(D12:E12)</f>
        <v>19967828199.29372</v>
      </c>
      <c r="G12" s="6" t="s">
        <v>2226</v>
      </c>
      <c r="H12" s="8">
        <f>A12</f>
        <v>100</v>
      </c>
    </row>
    <row r="13" spans="1:8" x14ac:dyDescent="0.25">
      <c r="A13" s="8">
        <f>A12+1</f>
        <v>101</v>
      </c>
      <c r="B13" s="6" t="s">
        <v>361</v>
      </c>
      <c r="D13" s="32">
        <f>'7-PlantInService'!G92</f>
        <v>353604822.97519588</v>
      </c>
      <c r="E13" s="32">
        <f>'7-PlantInService'!H92</f>
        <v>656420846.55333114</v>
      </c>
      <c r="F13" s="32">
        <f>SUM(D13:E13)</f>
        <v>1010025669.528527</v>
      </c>
      <c r="G13" s="6" t="s">
        <v>2225</v>
      </c>
      <c r="H13" s="8">
        <f>A13</f>
        <v>101</v>
      </c>
    </row>
    <row r="14" spans="1:8" x14ac:dyDescent="0.25">
      <c r="A14" s="8">
        <f>A13+1</f>
        <v>102</v>
      </c>
      <c r="B14" s="6" t="s">
        <v>2224</v>
      </c>
      <c r="D14" s="31">
        <f ca="1">'8-AbandonedProject'!M13</f>
        <v>-533725.32624399988</v>
      </c>
      <c r="E14" s="31">
        <f ca="1">'8-AbandonedProject'!M14</f>
        <v>-84296.677295999994</v>
      </c>
      <c r="F14" s="31">
        <f ca="1">SUM(D14:E14)</f>
        <v>-618022.00353999983</v>
      </c>
      <c r="G14" s="6" t="s">
        <v>2223</v>
      </c>
      <c r="H14" s="8">
        <f>A14</f>
        <v>102</v>
      </c>
    </row>
    <row r="15" spans="1:8" x14ac:dyDescent="0.25">
      <c r="A15" s="8">
        <f>A14+1</f>
        <v>103</v>
      </c>
      <c r="B15" s="30" t="s">
        <v>357</v>
      </c>
      <c r="C15" s="30"/>
      <c r="D15" s="29">
        <f ca="1">SUM(D12:D14)</f>
        <v>7343705661.329175</v>
      </c>
      <c r="E15" s="29">
        <f ca="1">SUM(E12:E14)</f>
        <v>13633530185.489532</v>
      </c>
      <c r="F15" s="29">
        <f ca="1">SUM(F12:F14)</f>
        <v>20977235846.818707</v>
      </c>
      <c r="G15" s="38" t="str">
        <f>"Sum of Lines "&amp;A12&amp;" to "&amp;A14&amp;""</f>
        <v>Sum of Lines 100 to 102</v>
      </c>
      <c r="H15" s="8">
        <f>A15</f>
        <v>103</v>
      </c>
    </row>
    <row r="16" spans="1:8" x14ac:dyDescent="0.25">
      <c r="A16" s="8"/>
      <c r="D16" s="24"/>
      <c r="E16" s="24"/>
      <c r="F16" s="24"/>
      <c r="H16" s="8"/>
    </row>
    <row r="17" spans="1:8" x14ac:dyDescent="0.25">
      <c r="A17" s="8"/>
      <c r="B17" s="44" t="s">
        <v>356</v>
      </c>
      <c r="C17" s="44"/>
      <c r="D17" s="24"/>
      <c r="E17" s="24"/>
      <c r="F17" s="24"/>
      <c r="H17" s="8"/>
    </row>
    <row r="18" spans="1:8" x14ac:dyDescent="0.25">
      <c r="A18" s="8">
        <f>A15+1</f>
        <v>104</v>
      </c>
      <c r="B18" s="6" t="s">
        <v>355</v>
      </c>
      <c r="D18" s="32">
        <f>'13-WorkCap'!F26</f>
        <v>34181193.608320534</v>
      </c>
      <c r="E18" s="32">
        <f>'13-WorkCap'!G26</f>
        <v>63452890.307864852</v>
      </c>
      <c r="F18" s="32">
        <f>SUM(D18:E18)</f>
        <v>97634083.916185379</v>
      </c>
      <c r="G18" s="6" t="s">
        <v>2222</v>
      </c>
      <c r="H18" s="8">
        <f>A18</f>
        <v>104</v>
      </c>
    </row>
    <row r="19" spans="1:8" x14ac:dyDescent="0.25">
      <c r="A19" s="8">
        <f>A18+1</f>
        <v>105</v>
      </c>
      <c r="B19" s="6" t="s">
        <v>353</v>
      </c>
      <c r="D19" s="32">
        <f>'13-WorkCap'!$F$61*D7</f>
        <v>8572020.804719964</v>
      </c>
      <c r="E19" s="32">
        <f>'13-WorkCap'!$F$61*E7</f>
        <v>15596535.195280036</v>
      </c>
      <c r="F19" s="32">
        <f>SUM(D19:E19)</f>
        <v>24168556</v>
      </c>
      <c r="G19" s="6" t="s">
        <v>2221</v>
      </c>
      <c r="H19" s="8">
        <f>A19</f>
        <v>105</v>
      </c>
    </row>
    <row r="20" spans="1:8" x14ac:dyDescent="0.25">
      <c r="A20" s="8">
        <f>A19+1</f>
        <v>106</v>
      </c>
      <c r="B20" s="6" t="s">
        <v>351</v>
      </c>
      <c r="D20" s="31">
        <f>(D38+D39+D40)/8</f>
        <v>36530840.346260265</v>
      </c>
      <c r="E20" s="31">
        <f>(E38+E39+E40)/8</f>
        <v>66353724.889341027</v>
      </c>
      <c r="F20" s="31">
        <f>SUM(D20:E20)</f>
        <v>102884565.23560129</v>
      </c>
      <c r="G20" s="6" t="str">
        <f>"(Line "&amp;A38&amp;" + line "&amp;A39&amp;" + Line "&amp;A40&amp;") / 8"</f>
        <v>(Line 200 + line 200a + Line 201) / 8</v>
      </c>
      <c r="H20" s="8">
        <f>A20</f>
        <v>106</v>
      </c>
    </row>
    <row r="21" spans="1:8" x14ac:dyDescent="0.25">
      <c r="A21" s="8">
        <f>A20+1</f>
        <v>107</v>
      </c>
      <c r="B21" s="30" t="s">
        <v>349</v>
      </c>
      <c r="C21" s="30"/>
      <c r="D21" s="29">
        <f>SUM(D18:D20)</f>
        <v>79284054.759300768</v>
      </c>
      <c r="E21" s="29">
        <f>SUM(E18:E20)</f>
        <v>145403150.39248592</v>
      </c>
      <c r="F21" s="29">
        <f>SUM(F18:F20)</f>
        <v>224687205.15178668</v>
      </c>
      <c r="G21" s="38" t="str">
        <f>"Sum of Lines "&amp;A18&amp;" to "&amp;A20&amp;""</f>
        <v>Sum of Lines 104 to 106</v>
      </c>
      <c r="H21" s="8">
        <f>A21</f>
        <v>107</v>
      </c>
    </row>
    <row r="22" spans="1:8" x14ac:dyDescent="0.25">
      <c r="A22" s="8"/>
      <c r="D22" s="24"/>
      <c r="E22" s="24"/>
      <c r="F22" s="24"/>
      <c r="H22" s="8"/>
    </row>
    <row r="23" spans="1:8" x14ac:dyDescent="0.25">
      <c r="A23" s="8"/>
      <c r="B23" s="44" t="s">
        <v>348</v>
      </c>
      <c r="C23" s="44"/>
      <c r="D23" s="24"/>
      <c r="E23" s="24"/>
      <c r="F23" s="24"/>
      <c r="H23" s="8"/>
    </row>
    <row r="24" spans="1:8" x14ac:dyDescent="0.25">
      <c r="A24" s="8">
        <f>A21+1</f>
        <v>108</v>
      </c>
      <c r="B24" s="6" t="s">
        <v>2220</v>
      </c>
      <c r="D24" s="32">
        <f>-'10-AccDep'!AC52</f>
        <v>-1851338925.7675502</v>
      </c>
      <c r="E24" s="32">
        <f>-'10-AccDep'!AC77</f>
        <v>-3323927892.1489048</v>
      </c>
      <c r="F24" s="32">
        <f>SUM(D24:E24)</f>
        <v>-5175266817.9164553</v>
      </c>
      <c r="G24" s="6" t="s">
        <v>2219</v>
      </c>
      <c r="H24" s="8">
        <f>A24</f>
        <v>108</v>
      </c>
    </row>
    <row r="25" spans="1:8" x14ac:dyDescent="0.25">
      <c r="A25" s="8">
        <f>A24+1</f>
        <v>109</v>
      </c>
      <c r="B25" s="6" t="s">
        <v>345</v>
      </c>
      <c r="D25" s="31">
        <f>-'10-AccDep'!G91</f>
        <v>-104165599.67875221</v>
      </c>
      <c r="E25" s="31">
        <f>-'10-AccDep'!H91</f>
        <v>-193369735.59226111</v>
      </c>
      <c r="F25" s="31">
        <f>SUM(D25:E25)</f>
        <v>-297535335.27101332</v>
      </c>
      <c r="G25" s="6" t="s">
        <v>2218</v>
      </c>
      <c r="H25" s="8">
        <f>A25</f>
        <v>109</v>
      </c>
    </row>
    <row r="26" spans="1:8" x14ac:dyDescent="0.25">
      <c r="A26" s="8">
        <f>A25+1</f>
        <v>110</v>
      </c>
      <c r="B26" s="30" t="s">
        <v>343</v>
      </c>
      <c r="C26" s="30"/>
      <c r="D26" s="29">
        <f>+D24+D25</f>
        <v>-1955504525.4463024</v>
      </c>
      <c r="E26" s="29">
        <f>+E24+E25</f>
        <v>-3517297627.7411661</v>
      </c>
      <c r="F26" s="29">
        <f>+F24+F25</f>
        <v>-5472802153.1874685</v>
      </c>
      <c r="G26" s="6" t="str">
        <f>"Line "&amp;A24&amp;" + Line "&amp;A25&amp;""</f>
        <v>Line 108 + Line 109</v>
      </c>
      <c r="H26" s="8">
        <f>A26</f>
        <v>110</v>
      </c>
    </row>
    <row r="27" spans="1:8" x14ac:dyDescent="0.25">
      <c r="A27" s="8"/>
      <c r="D27" s="24"/>
      <c r="E27" s="24"/>
      <c r="F27" s="24"/>
      <c r="H27" s="8"/>
    </row>
    <row r="28" spans="1:8" x14ac:dyDescent="0.25">
      <c r="A28" s="8">
        <f>A26+1</f>
        <v>111</v>
      </c>
      <c r="B28" s="39" t="s">
        <v>342</v>
      </c>
      <c r="C28" s="39"/>
      <c r="D28" s="32">
        <f>'1-BaseTRR'!E26*$D$7</f>
        <v>-940901775.89193809</v>
      </c>
      <c r="E28" s="32">
        <f>'1-BaseTRR'!E26*$E$7</f>
        <v>-1711942609.2526271</v>
      </c>
      <c r="F28" s="32">
        <f>SUM(D28:E28)</f>
        <v>-2652844385.1445651</v>
      </c>
      <c r="G28" s="6" t="s">
        <v>2217</v>
      </c>
      <c r="H28" s="8">
        <f>A28</f>
        <v>111</v>
      </c>
    </row>
    <row r="29" spans="1:8" x14ac:dyDescent="0.25">
      <c r="A29" s="8">
        <f>A28+1</f>
        <v>112</v>
      </c>
      <c r="B29" s="30" t="s">
        <v>2216</v>
      </c>
      <c r="C29" s="30"/>
      <c r="D29" s="32">
        <f>'1-BaseTRR'!E27*$D$7</f>
        <v>-102738986.61689511</v>
      </c>
      <c r="E29" s="32">
        <f>'1-BaseTRR'!E27*$E$7</f>
        <v>-186930509.99310496</v>
      </c>
      <c r="F29" s="32">
        <f>SUM(D29:E29)</f>
        <v>-289669496.61000007</v>
      </c>
      <c r="G29" s="6" t="s">
        <v>2215</v>
      </c>
      <c r="H29" s="8">
        <f>A29</f>
        <v>112</v>
      </c>
    </row>
    <row r="30" spans="1:8" x14ac:dyDescent="0.25">
      <c r="A30" s="8">
        <f>A29+1</f>
        <v>113</v>
      </c>
      <c r="B30" s="30" t="s">
        <v>41</v>
      </c>
      <c r="C30" s="30"/>
      <c r="D30" s="32">
        <f>'1-BaseTRR'!E28*$D$7</f>
        <v>-37562689.481169894</v>
      </c>
      <c r="E30" s="32">
        <f>'1-BaseTRR'!E28*$E$7</f>
        <v>-68344188.828830093</v>
      </c>
      <c r="F30" s="32">
        <f>SUM(D30:E30)</f>
        <v>-105906878.30999999</v>
      </c>
      <c r="G30" s="6" t="s">
        <v>2214</v>
      </c>
      <c r="H30" s="8">
        <f>A30</f>
        <v>113</v>
      </c>
    </row>
    <row r="31" spans="1:8" x14ac:dyDescent="0.25">
      <c r="A31" s="8">
        <f>A30+1</f>
        <v>114</v>
      </c>
      <c r="B31" s="30" t="s">
        <v>333</v>
      </c>
      <c r="C31" s="30"/>
      <c r="D31" s="32">
        <f>'1-BaseTRR'!E29*$D$7</f>
        <v>0</v>
      </c>
      <c r="E31" s="32">
        <f>'1-BaseTRR'!E29*$E$7</f>
        <v>0</v>
      </c>
      <c r="F31" s="32">
        <f>SUM(D31:E31)</f>
        <v>0</v>
      </c>
      <c r="G31" s="6" t="s">
        <v>2213</v>
      </c>
      <c r="H31" s="8">
        <f>A31</f>
        <v>114</v>
      </c>
    </row>
    <row r="32" spans="1:8" x14ac:dyDescent="0.25">
      <c r="A32" s="8">
        <f>A31+1</f>
        <v>115</v>
      </c>
      <c r="B32" s="30" t="s">
        <v>331</v>
      </c>
      <c r="C32" s="30"/>
      <c r="D32" s="32">
        <f>'1-BaseTRR'!E30*D7</f>
        <v>22934336.757498551</v>
      </c>
      <c r="E32" s="32">
        <f>'1-BaseTRR'!E30*E7</f>
        <v>41728339.042501442</v>
      </c>
      <c r="F32" s="32">
        <f>SUM(D32:E32)</f>
        <v>64662675.799999997</v>
      </c>
      <c r="G32" s="6" t="s">
        <v>2212</v>
      </c>
      <c r="H32" s="8">
        <f>A32</f>
        <v>115</v>
      </c>
    </row>
    <row r="33" spans="1:10" x14ac:dyDescent="0.25">
      <c r="A33" s="8"/>
      <c r="D33" s="24"/>
      <c r="E33" s="24"/>
      <c r="F33" s="24"/>
      <c r="H33" s="8"/>
    </row>
    <row r="34" spans="1:10" x14ac:dyDescent="0.25">
      <c r="A34" s="8">
        <f>A32+1</f>
        <v>116</v>
      </c>
      <c r="B34" s="30" t="s">
        <v>328</v>
      </c>
      <c r="C34" s="30"/>
      <c r="D34" s="29">
        <f ca="1">+D15+D21+D26+D28+D29+D31+D30+D32</f>
        <v>4409216075.4096699</v>
      </c>
      <c r="E34" s="29">
        <f ca="1">+E15+E21+E26+E28+E29+E31+E30+E32</f>
        <v>8336146739.1087933</v>
      </c>
      <c r="F34" s="29">
        <f ca="1">+F15+F21+F26+F28+F29+F31+F30+F32</f>
        <v>12745362814.518457</v>
      </c>
      <c r="G34" s="6" t="str">
        <f>"Sum of Lines "&amp;A15&amp;", "&amp;A21&amp;", "&amp;A26&amp;" and Lines "&amp;A28&amp;" to "&amp;A32&amp;""</f>
        <v>Sum of Lines 103, 107, 110 and Lines 111 to 115</v>
      </c>
      <c r="H34" s="8">
        <f>A34</f>
        <v>116</v>
      </c>
    </row>
    <row r="35" spans="1:10" x14ac:dyDescent="0.25">
      <c r="A35" s="8"/>
      <c r="B35" s="30"/>
      <c r="C35" s="30"/>
      <c r="D35" s="88"/>
      <c r="E35" s="88"/>
      <c r="F35" s="88"/>
      <c r="H35" s="8"/>
    </row>
    <row r="36" spans="1:10" x14ac:dyDescent="0.25">
      <c r="A36" s="33"/>
      <c r="B36" s="36" t="s">
        <v>2211</v>
      </c>
      <c r="C36" s="35"/>
      <c r="D36" s="35"/>
      <c r="E36" s="35"/>
      <c r="F36" s="35"/>
      <c r="G36" s="657"/>
      <c r="H36" s="8"/>
    </row>
    <row r="37" spans="1:10" x14ac:dyDescent="0.25">
      <c r="A37" s="33" t="s">
        <v>106</v>
      </c>
      <c r="B37" s="33" t="s">
        <v>79</v>
      </c>
      <c r="D37" s="33" t="s">
        <v>1056</v>
      </c>
      <c r="E37" s="33" t="s">
        <v>1055</v>
      </c>
      <c r="F37" s="33" t="s">
        <v>466</v>
      </c>
      <c r="G37" s="33" t="s">
        <v>671</v>
      </c>
      <c r="H37" s="33" t="s">
        <v>106</v>
      </c>
    </row>
    <row r="38" spans="1:10" x14ac:dyDescent="0.25">
      <c r="A38" s="8">
        <v>200</v>
      </c>
      <c r="B38" s="6" t="s">
        <v>204</v>
      </c>
      <c r="D38" s="686">
        <f>D7*('18-OandM'!P11-'18-OandM'!P24)</f>
        <v>254647496.69587228</v>
      </c>
      <c r="E38" s="32">
        <f>E7*('18-OandM'!P11-'18-OandM'!P24)</f>
        <v>463323495.71763265</v>
      </c>
      <c r="F38" s="32">
        <f>SUM(D38:E38)</f>
        <v>717970992.41350496</v>
      </c>
      <c r="G38" s="71" t="s">
        <v>2210</v>
      </c>
      <c r="H38" s="8">
        <f>A38</f>
        <v>200</v>
      </c>
      <c r="I38" s="24"/>
    </row>
    <row r="39" spans="1:10" x14ac:dyDescent="0.25">
      <c r="A39" s="8" t="s">
        <v>2207</v>
      </c>
      <c r="B39" s="6" t="s">
        <v>2209</v>
      </c>
      <c r="D39" s="90">
        <v>612789.16</v>
      </c>
      <c r="E39" s="90">
        <v>210588.86</v>
      </c>
      <c r="F39" s="32">
        <f>SUM(D39:E39)</f>
        <v>823378.02</v>
      </c>
      <c r="G39" s="71" t="s">
        <v>2208</v>
      </c>
      <c r="H39" s="8" t="s">
        <v>2207</v>
      </c>
      <c r="I39" s="24"/>
    </row>
    <row r="40" spans="1:10" x14ac:dyDescent="0.25">
      <c r="A40" s="8">
        <f>A38+1</f>
        <v>201</v>
      </c>
      <c r="B40" s="6" t="s">
        <v>202</v>
      </c>
      <c r="D40" s="32">
        <f>D7*'1-BaseTRR'!E148</f>
        <v>36986436.914209843</v>
      </c>
      <c r="E40" s="32">
        <f>E7*'1-BaseTRR'!E148</f>
        <v>67295714.537095517</v>
      </c>
      <c r="F40" s="32">
        <f>SUM(D40:E40)</f>
        <v>104282151.45130536</v>
      </c>
      <c r="G40" s="6" t="s">
        <v>2206</v>
      </c>
      <c r="H40" s="8">
        <f>A40</f>
        <v>201</v>
      </c>
      <c r="I40" s="24"/>
    </row>
    <row r="41" spans="1:10" x14ac:dyDescent="0.25">
      <c r="A41" s="8">
        <f>A40+1</f>
        <v>202</v>
      </c>
      <c r="B41" s="6" t="s">
        <v>200</v>
      </c>
      <c r="D41" s="32">
        <f>D7*'1-BaseTRR'!E149</f>
        <v>1778844.5242286387</v>
      </c>
      <c r="E41" s="32">
        <f>E7*'1-BaseTRR'!E149</f>
        <v>3236554.3506131847</v>
      </c>
      <c r="F41" s="32">
        <f>SUM(D41:E41)</f>
        <v>5015398.8748418232</v>
      </c>
      <c r="G41" s="6" t="s">
        <v>2205</v>
      </c>
      <c r="H41" s="8">
        <f>A41</f>
        <v>202</v>
      </c>
      <c r="I41" s="24"/>
    </row>
    <row r="42" spans="1:10" x14ac:dyDescent="0.25">
      <c r="A42" s="8">
        <f>A41+1</f>
        <v>203</v>
      </c>
      <c r="B42" s="6" t="s">
        <v>198</v>
      </c>
      <c r="D42" s="32">
        <f>'11-Depreciation'!AB14+'11-Depreciation'!F28</f>
        <v>226449760.67516151</v>
      </c>
      <c r="E42" s="32">
        <f>'11-Depreciation'!AB15+'11-Depreciation'!G28</f>
        <v>442832082.18846667</v>
      </c>
      <c r="F42" s="32">
        <f>SUM(D42:E42)</f>
        <v>669281842.86362815</v>
      </c>
      <c r="G42" s="71" t="s">
        <v>2204</v>
      </c>
      <c r="H42" s="8">
        <f>A42</f>
        <v>203</v>
      </c>
      <c r="I42" s="49"/>
      <c r="J42" s="50"/>
    </row>
    <row r="43" spans="1:10" x14ac:dyDescent="0.25">
      <c r="A43" s="8">
        <f>A42+1</f>
        <v>204</v>
      </c>
      <c r="B43" s="6" t="s">
        <v>2203</v>
      </c>
      <c r="D43" s="32">
        <f>D7*'1-BaseTRR'!$E$151</f>
        <v>1424683.9696011569</v>
      </c>
      <c r="E43" s="32">
        <f>E7*'1-BaseTRR'!$E$151</f>
        <v>2592169.8255562754</v>
      </c>
      <c r="F43" s="32">
        <f>SUM(D43:E43)</f>
        <v>4016853.7951574326</v>
      </c>
      <c r="G43" s="6" t="s">
        <v>2202</v>
      </c>
      <c r="H43" s="8">
        <f>A43</f>
        <v>204</v>
      </c>
      <c r="I43" s="49"/>
      <c r="J43" s="50"/>
    </row>
    <row r="44" spans="1:10" x14ac:dyDescent="0.25">
      <c r="A44" s="8">
        <f>A43+1</f>
        <v>205</v>
      </c>
      <c r="B44" s="6" t="s">
        <v>2201</v>
      </c>
      <c r="D44" s="32">
        <f ca="1">'8-AbandonedProject'!I13</f>
        <v>3814557.9999999995</v>
      </c>
      <c r="E44" s="32">
        <f ca="1">'8-AbandonedProject'!I14</f>
        <v>602472</v>
      </c>
      <c r="F44" s="32">
        <f ca="1">SUM(D44:E44)</f>
        <v>4417030</v>
      </c>
      <c r="G44" s="6" t="s">
        <v>2200</v>
      </c>
      <c r="H44" s="8">
        <f>A44</f>
        <v>205</v>
      </c>
      <c r="I44" s="24"/>
    </row>
    <row r="45" spans="1:10" ht="30" x14ac:dyDescent="0.25">
      <c r="A45" s="8">
        <f>A44+1</f>
        <v>206</v>
      </c>
      <c r="B45" s="6" t="s">
        <v>192</v>
      </c>
      <c r="D45" s="32">
        <f ca="1">D34*'1-BaseTRR'!$E$68-('1-BaseTRR'!E71*'8-AbandonedProject'!M13)</f>
        <v>332782650.06991941</v>
      </c>
      <c r="E45" s="32">
        <f ca="1">E34*'1-BaseTRR'!$E$68-('1-BaseTRR'!E71*'8-AbandonedProject'!M14)</f>
        <v>629165129.53033066</v>
      </c>
      <c r="F45" s="32">
        <f ca="1">SUM(D45:E45)</f>
        <v>961947779.60025001</v>
      </c>
      <c r="G45" s="71" t="s">
        <v>2199</v>
      </c>
      <c r="H45" s="8">
        <f>A45</f>
        <v>206</v>
      </c>
      <c r="I45" s="24"/>
    </row>
    <row r="46" spans="1:10" x14ac:dyDescent="0.25">
      <c r="A46" s="8">
        <f>A45+1</f>
        <v>207</v>
      </c>
      <c r="B46" s="6" t="s">
        <v>191</v>
      </c>
      <c r="D46" s="32">
        <f>$D$7*'1-BaseTRR'!E154</f>
        <v>60856454.832142629</v>
      </c>
      <c r="E46" s="32">
        <f>$E$7*'1-BaseTRR'!E154</f>
        <v>110726497.4353372</v>
      </c>
      <c r="F46" s="32">
        <f>SUM(D46:E46)</f>
        <v>171582952.26747984</v>
      </c>
      <c r="G46" s="6" t="s">
        <v>2198</v>
      </c>
      <c r="H46" s="8">
        <f>A46</f>
        <v>207</v>
      </c>
      <c r="I46" s="24"/>
    </row>
    <row r="47" spans="1:10" x14ac:dyDescent="0.25">
      <c r="A47" s="8">
        <f>A46+1</f>
        <v>208</v>
      </c>
      <c r="B47" s="6" t="s">
        <v>190</v>
      </c>
      <c r="D47" s="32">
        <f ca="1">$D$7*'1-BaseTRR'!E155</f>
        <v>79880849.64164488</v>
      </c>
      <c r="E47" s="32">
        <f ca="1">$E$7*'1-BaseTRR'!E155</f>
        <v>145340814.17287081</v>
      </c>
      <c r="F47" s="32">
        <f ca="1">SUM(D47:E47)</f>
        <v>225221663.81451571</v>
      </c>
      <c r="G47" s="6" t="s">
        <v>2197</v>
      </c>
      <c r="H47" s="8">
        <f>A47</f>
        <v>208</v>
      </c>
      <c r="I47" s="24"/>
    </row>
    <row r="48" spans="1:10" x14ac:dyDescent="0.25">
      <c r="A48" s="8">
        <f>A47+1</f>
        <v>209</v>
      </c>
      <c r="B48" s="6" t="s">
        <v>30</v>
      </c>
      <c r="C48" s="70"/>
      <c r="D48" s="32">
        <f>-'20-RevenueCredits'!F12-'20-RevenueCredits'!F91</f>
        <v>-13355356.641365524</v>
      </c>
      <c r="E48" s="32">
        <f>-'20-RevenueCredits'!G12-'20-RevenueCredits'!G91</f>
        <v>-13098758.797128707</v>
      </c>
      <c r="F48" s="32">
        <f>SUM(D48:E48)</f>
        <v>-26454115.438494232</v>
      </c>
      <c r="G48" s="6" t="s">
        <v>2196</v>
      </c>
      <c r="H48" s="8">
        <f>A48</f>
        <v>209</v>
      </c>
      <c r="I48" s="24"/>
    </row>
    <row r="49" spans="1:9" x14ac:dyDescent="0.25">
      <c r="A49" s="8">
        <f>A48+1</f>
        <v>210</v>
      </c>
      <c r="B49" s="6" t="s">
        <v>188</v>
      </c>
      <c r="D49" s="32">
        <f>$D$7*'1-BaseTRR'!E157</f>
        <v>-6373672.7831796408</v>
      </c>
      <c r="E49" s="32">
        <f>$E$7*'1-BaseTRR'!E157</f>
        <v>-11596706.791859824</v>
      </c>
      <c r="F49" s="32">
        <f>SUM(D49:E49)</f>
        <v>-17970379.575039465</v>
      </c>
      <c r="G49" s="6" t="s">
        <v>2195</v>
      </c>
      <c r="H49" s="8">
        <f>A49</f>
        <v>210</v>
      </c>
      <c r="I49" s="24"/>
    </row>
    <row r="50" spans="1:9" x14ac:dyDescent="0.25">
      <c r="A50" s="8">
        <f>A49+1</f>
        <v>211</v>
      </c>
      <c r="B50" s="6" t="s">
        <v>185</v>
      </c>
      <c r="D50" s="31">
        <f>$D$7*'1-BaseTRR'!E158</f>
        <v>0</v>
      </c>
      <c r="E50" s="31">
        <f>$E$7*'1-BaseTRR'!E158</f>
        <v>0</v>
      </c>
      <c r="F50" s="31">
        <f>SUM(D50:E50)</f>
        <v>0</v>
      </c>
      <c r="G50" s="6" t="s">
        <v>2194</v>
      </c>
      <c r="H50" s="8">
        <f>A50</f>
        <v>211</v>
      </c>
      <c r="I50" s="24"/>
    </row>
    <row r="51" spans="1:9" x14ac:dyDescent="0.25">
      <c r="A51" s="8">
        <f>A50+1</f>
        <v>212</v>
      </c>
      <c r="B51" s="30" t="s">
        <v>182</v>
      </c>
      <c r="D51" s="29">
        <f ca="1">SUM(D38:D50)</f>
        <v>979505495.05823517</v>
      </c>
      <c r="E51" s="29">
        <f ca="1">SUM(E38:E50)</f>
        <v>1840630053.0289147</v>
      </c>
      <c r="F51" s="29">
        <f ca="1">SUM(D51:E51)</f>
        <v>2820135548.0871496</v>
      </c>
      <c r="G51" s="6" t="str">
        <f>"Sum of Lines "&amp;A38&amp;" to Line "&amp;A50&amp;""</f>
        <v>Sum of Lines 200 to Line 211</v>
      </c>
      <c r="H51" s="8">
        <f>A51</f>
        <v>212</v>
      </c>
      <c r="I51" s="24"/>
    </row>
    <row r="52" spans="1:9" x14ac:dyDescent="0.25">
      <c r="A52" s="8"/>
      <c r="H52" s="8"/>
    </row>
    <row r="53" spans="1:9" x14ac:dyDescent="0.25">
      <c r="A53" s="8">
        <f>A51+1</f>
        <v>213</v>
      </c>
      <c r="B53" s="30" t="s">
        <v>176</v>
      </c>
      <c r="D53" s="32">
        <f ca="1">D51*('1-BaseTRR'!$E$162+'1-BaseTRR'!$E$163)</f>
        <v>8212430.6166117191</v>
      </c>
      <c r="E53" s="32">
        <f ca="1">E51*('1-BaseTRR'!$E$162+'1-BaseTRR'!$E$163)</f>
        <v>15432324.451075802</v>
      </c>
      <c r="F53" s="32">
        <f ca="1">SUM(D53:E53)</f>
        <v>23644755.067687519</v>
      </c>
      <c r="G53" s="6" t="s">
        <v>2193</v>
      </c>
      <c r="H53" s="8">
        <f>A53</f>
        <v>213</v>
      </c>
    </row>
    <row r="54" spans="1:9" x14ac:dyDescent="0.25">
      <c r="A54" s="8"/>
      <c r="D54" s="24"/>
      <c r="E54" s="24"/>
      <c r="F54" s="24"/>
      <c r="H54" s="8"/>
    </row>
    <row r="55" spans="1:9" x14ac:dyDescent="0.25">
      <c r="A55" s="8">
        <f>A53+1</f>
        <v>214</v>
      </c>
      <c r="B55" s="6" t="s">
        <v>2192</v>
      </c>
      <c r="D55" s="686">
        <f>D7*'1-BaseTRR'!$E$176</f>
        <v>-14400292.774680834</v>
      </c>
      <c r="E55" s="686">
        <f>E7*'1-BaseTRR'!$E$176</f>
        <v>-26200901.537590656</v>
      </c>
      <c r="F55" s="32">
        <f>SUM(D55:E55)</f>
        <v>-40601194.312271491</v>
      </c>
      <c r="G55" s="6" t="s">
        <v>2191</v>
      </c>
      <c r="H55" s="8">
        <f>A55</f>
        <v>214</v>
      </c>
    </row>
    <row r="56" spans="1:9" x14ac:dyDescent="0.25">
      <c r="A56" s="8">
        <f>A55+1</f>
        <v>215</v>
      </c>
      <c r="B56" s="6" t="s">
        <v>158</v>
      </c>
      <c r="D56" s="32">
        <f ca="1">D7*'1-BaseTRR'!$E$182</f>
        <v>122695135.8674541</v>
      </c>
      <c r="E56" s="32">
        <f ca="1">E7*'1-BaseTRR'!$E$182</f>
        <v>223240126.03804323</v>
      </c>
      <c r="F56" s="32">
        <f ca="1">SUM(D56:E56)</f>
        <v>345935261.90549731</v>
      </c>
      <c r="G56" s="6" t="s">
        <v>2190</v>
      </c>
      <c r="H56" s="8">
        <f>A56</f>
        <v>215</v>
      </c>
    </row>
    <row r="57" spans="1:9" x14ac:dyDescent="0.25">
      <c r="A57" s="8">
        <f>A56+1</f>
        <v>216</v>
      </c>
      <c r="B57" s="6" t="s">
        <v>2189</v>
      </c>
      <c r="D57" s="31">
        <f>D7*'1-BaseTRR'!$E$183</f>
        <v>-74813457.050210655</v>
      </c>
      <c r="E57" s="31">
        <f>E7*'1-BaseTRR'!$E$183</f>
        <v>-136120845.07794195</v>
      </c>
      <c r="F57" s="31">
        <f>SUM(D57:E57)</f>
        <v>-210934302.12815261</v>
      </c>
      <c r="G57" s="6" t="s">
        <v>2188</v>
      </c>
      <c r="H57" s="8">
        <f>A57</f>
        <v>216</v>
      </c>
    </row>
    <row r="58" spans="1:9" x14ac:dyDescent="0.25">
      <c r="A58" s="8"/>
      <c r="D58" s="24"/>
      <c r="E58" s="24"/>
      <c r="F58" s="24"/>
      <c r="H58" s="8"/>
    </row>
    <row r="59" spans="1:9" x14ac:dyDescent="0.25">
      <c r="A59" s="8">
        <f>A57+1</f>
        <v>217</v>
      </c>
      <c r="B59" s="30" t="s">
        <v>2187</v>
      </c>
      <c r="D59" s="29">
        <f ca="1">ROUND(SUM(D51:D57),2)</f>
        <v>1021199311.72</v>
      </c>
      <c r="E59" s="29">
        <f ca="1">ROUND(SUM(E51:E57),2)</f>
        <v>1916980756.9000001</v>
      </c>
      <c r="F59" s="29">
        <f ca="1">SUM(D59:E59)</f>
        <v>2938180068.6199999</v>
      </c>
      <c r="G59" s="6" t="str">
        <f>"Sum of Lines "&amp;A51&amp;" to Line "&amp;A57&amp;""</f>
        <v>Sum of Lines 212 to Line 216</v>
      </c>
      <c r="H59" s="8">
        <f>A59</f>
        <v>217</v>
      </c>
    </row>
    <row r="60" spans="1:9" x14ac:dyDescent="0.25">
      <c r="A60" s="8">
        <f>A59+1</f>
        <v>218</v>
      </c>
      <c r="B60" s="30" t="s">
        <v>2186</v>
      </c>
      <c r="D60" s="90">
        <v>-72266228.029845521</v>
      </c>
      <c r="E60" s="90">
        <v>-48763800.082334861</v>
      </c>
      <c r="F60" s="32">
        <f>SUM(D60:E60)</f>
        <v>-121030028.11218038</v>
      </c>
      <c r="G60" s="90" t="s">
        <v>2185</v>
      </c>
      <c r="H60" s="8">
        <f>A60</f>
        <v>218</v>
      </c>
    </row>
    <row r="61" spans="1:9" x14ac:dyDescent="0.25">
      <c r="A61" s="8">
        <f>A60+1</f>
        <v>219</v>
      </c>
      <c r="B61" s="30" t="s">
        <v>2184</v>
      </c>
      <c r="D61" s="31">
        <f ca="1">-ROUND(D7*'29-RetailRates-1'!F48*0.5,2)</f>
        <v>-3232520.91</v>
      </c>
      <c r="E61" s="31">
        <f ca="1">-ROUND(E7*'29-RetailRates-1'!F48*0.5,2)</f>
        <v>-5881475.0099999998</v>
      </c>
      <c r="F61" s="31">
        <f ca="1">SUM(D61:E61)</f>
        <v>-9113995.9199999999</v>
      </c>
      <c r="G61" s="6" t="s">
        <v>2183</v>
      </c>
      <c r="H61" s="8">
        <f>A61</f>
        <v>219</v>
      </c>
    </row>
    <row r="62" spans="1:9" x14ac:dyDescent="0.25">
      <c r="A62" s="8"/>
      <c r="D62" s="24"/>
      <c r="E62" s="24"/>
      <c r="F62" s="24"/>
      <c r="H62" s="8"/>
    </row>
    <row r="63" spans="1:9" x14ac:dyDescent="0.25">
      <c r="A63" s="8">
        <f>A61+1</f>
        <v>220</v>
      </c>
      <c r="B63" s="30" t="s">
        <v>2182</v>
      </c>
      <c r="D63" s="60">
        <f ca="1">ROUND(D61+D60+D59,2)</f>
        <v>945700562.77999997</v>
      </c>
      <c r="E63" s="60">
        <f ca="1">ROUND(E61+E60+E59,2)</f>
        <v>1862335481.8099999</v>
      </c>
      <c r="F63" s="60">
        <f ca="1">ROUND(F61+F60+F59,2)</f>
        <v>2808036044.5900002</v>
      </c>
      <c r="G63" s="6" t="str">
        <f>"Sum of Lines "&amp;A59&amp;" to Line "&amp;A61&amp;""</f>
        <v>Sum of Lines 217 to Line 219</v>
      </c>
      <c r="H63" s="8">
        <f>A63</f>
        <v>220</v>
      </c>
    </row>
    <row r="65" spans="2:5" x14ac:dyDescent="0.25">
      <c r="B65" s="25"/>
      <c r="D65" s="685"/>
      <c r="E65" s="685"/>
    </row>
  </sheetData>
  <printOptions horizontalCentered="1"/>
  <pageMargins left="1" right="1" top="1" bottom="1" header="0.5" footer="0.5"/>
  <pageSetup scale="50" fitToHeight="0" orientation="landscape" r:id="rId1"/>
  <headerFooter>
    <oddHeader>&amp;R&amp;F</oddHeader>
  </headerFooter>
  <rowBreaks count="1" manualBreakCount="1">
    <brk id="35" max="16383" man="1"/>
  </rowBreaks>
  <customProperties>
    <customPr name="_pios_id" r:id="rId2"/>
  </customPropertie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53F32B-406C-4D39-917F-1D506B390955}">
  <sheetPr>
    <pageSetUpPr fitToPage="1"/>
  </sheetPr>
  <dimension ref="A1:F16"/>
  <sheetViews>
    <sheetView view="pageBreakPreview" zoomScale="160" zoomScaleNormal="100" zoomScaleSheetLayoutView="160" workbookViewId="0">
      <selection activeCell="Q36" sqref="Q36"/>
    </sheetView>
  </sheetViews>
  <sheetFormatPr defaultColWidth="9.140625" defaultRowHeight="15" x14ac:dyDescent="0.25"/>
  <cols>
    <col min="1" max="1" width="4.85546875" style="6" bestFit="1" customWidth="1"/>
    <col min="2" max="2" width="38.5703125" style="6" bestFit="1" customWidth="1"/>
    <col min="3" max="3" width="15.85546875" style="6" bestFit="1" customWidth="1"/>
    <col min="4" max="4" width="30.140625" style="6" customWidth="1"/>
    <col min="5" max="5" width="9.85546875" style="6" bestFit="1" customWidth="1"/>
    <col min="6" max="6" width="4.85546875" style="6" bestFit="1" customWidth="1"/>
    <col min="7" max="16384" width="9.140625" style="6"/>
  </cols>
  <sheetData>
    <row r="1" spans="1:6" x14ac:dyDescent="0.25">
      <c r="B1" s="30" t="s">
        <v>2239</v>
      </c>
    </row>
    <row r="2" spans="1:6" x14ac:dyDescent="0.25">
      <c r="B2" s="30" t="s">
        <v>16</v>
      </c>
      <c r="E2" s="76" t="str">
        <f>CONCATENATE("Rate Year: ",'1-BaseTRR'!$G$2)</f>
        <v>Rate Year: 2027</v>
      </c>
    </row>
    <row r="3" spans="1:6" x14ac:dyDescent="0.25">
      <c r="B3" s="77" t="s">
        <v>367</v>
      </c>
      <c r="E3" s="76"/>
    </row>
    <row r="5" spans="1:6" x14ac:dyDescent="0.25">
      <c r="A5" s="33" t="s">
        <v>106</v>
      </c>
      <c r="B5" s="33" t="s">
        <v>79</v>
      </c>
      <c r="C5" s="33" t="s">
        <v>155</v>
      </c>
      <c r="D5" s="33" t="s">
        <v>154</v>
      </c>
      <c r="E5" s="33" t="s">
        <v>153</v>
      </c>
      <c r="F5" s="33" t="str">
        <f>A5</f>
        <v>Line</v>
      </c>
    </row>
    <row r="6" spans="1:6" x14ac:dyDescent="0.25">
      <c r="B6" s="83" t="s">
        <v>2238</v>
      </c>
      <c r="C6" s="35"/>
      <c r="D6" s="35"/>
      <c r="E6" s="35"/>
    </row>
    <row r="7" spans="1:6" x14ac:dyDescent="0.25">
      <c r="A7" s="8">
        <v>100</v>
      </c>
      <c r="B7" s="6" t="s">
        <v>2237</v>
      </c>
      <c r="C7" s="70">
        <f ca="1">'26-WholesaleTRRs'!D63</f>
        <v>945700562.77999997</v>
      </c>
      <c r="D7" s="595" t="s">
        <v>2236</v>
      </c>
      <c r="F7" s="8">
        <f>A7</f>
        <v>100</v>
      </c>
    </row>
    <row r="8" spans="1:6" x14ac:dyDescent="0.25">
      <c r="A8" s="8">
        <f>A7+1</f>
        <v>101</v>
      </c>
      <c r="B8" s="6" t="s">
        <v>2231</v>
      </c>
      <c r="C8" s="51">
        <f>'28-GrossLoad'!$C$13/1000</f>
        <v>89173273.238028318</v>
      </c>
      <c r="D8" s="6" t="str">
        <f>CONCATENATE("28-GrossLoad, L. ",'28-GrossLoad'!$A$13," / 1000")</f>
        <v>28-GrossLoad, L. 104 / 1000</v>
      </c>
      <c r="F8" s="8">
        <f>A8</f>
        <v>101</v>
      </c>
    </row>
    <row r="9" spans="1:6" x14ac:dyDescent="0.25">
      <c r="A9" s="8">
        <f>A8+1</f>
        <v>102</v>
      </c>
      <c r="B9" s="30" t="s">
        <v>2235</v>
      </c>
      <c r="C9" s="688">
        <f ca="1">C7/C8</f>
        <v>10.605201855220248</v>
      </c>
      <c r="D9" s="6" t="str">
        <f>"Line "&amp;A7&amp;" / Line "&amp;A8&amp;""</f>
        <v>Line 100 / Line 101</v>
      </c>
      <c r="F9" s="8">
        <f>A9</f>
        <v>102</v>
      </c>
    </row>
    <row r="10" spans="1:6" x14ac:dyDescent="0.25">
      <c r="F10" s="8"/>
    </row>
    <row r="11" spans="1:6" x14ac:dyDescent="0.25">
      <c r="B11" s="83" t="s">
        <v>2234</v>
      </c>
      <c r="C11" s="35"/>
      <c r="D11" s="35"/>
      <c r="E11" s="35"/>
      <c r="F11" s="8"/>
    </row>
    <row r="12" spans="1:6" x14ac:dyDescent="0.25">
      <c r="A12" s="8">
        <v>200</v>
      </c>
      <c r="B12" s="6" t="s">
        <v>2233</v>
      </c>
      <c r="C12" s="70">
        <f ca="1">'26-WholesaleTRRs'!E63</f>
        <v>1862335481.8099999</v>
      </c>
      <c r="D12" s="595" t="s">
        <v>2232</v>
      </c>
      <c r="F12" s="8">
        <f>A12</f>
        <v>200</v>
      </c>
    </row>
    <row r="13" spans="1:6" x14ac:dyDescent="0.25">
      <c r="A13" s="8">
        <f>A12+1</f>
        <v>201</v>
      </c>
      <c r="B13" s="6" t="s">
        <v>2231</v>
      </c>
      <c r="C13" s="51">
        <f>C8</f>
        <v>89173273.238028318</v>
      </c>
      <c r="D13" s="6" t="str">
        <f>CONCATENATE("28-GrossLoad, L. ",'28-GrossLoad'!$A$13," / 1000")</f>
        <v>28-GrossLoad, L. 104 / 1000</v>
      </c>
      <c r="F13" s="8">
        <f>A13</f>
        <v>201</v>
      </c>
    </row>
    <row r="14" spans="1:6" x14ac:dyDescent="0.25">
      <c r="A14" s="8">
        <f>A13+1</f>
        <v>202</v>
      </c>
      <c r="B14" s="30" t="s">
        <v>2230</v>
      </c>
      <c r="C14" s="688">
        <f ca="1">C12/C13</f>
        <v>20.884458024086516</v>
      </c>
      <c r="D14" s="6" t="str">
        <f>"Line "&amp;A12&amp;" / Line "&amp;A13&amp;""</f>
        <v>Line 200 / Line 201</v>
      </c>
      <c r="F14" s="8">
        <f>A14</f>
        <v>202</v>
      </c>
    </row>
    <row r="16" spans="1:6" x14ac:dyDescent="0.25">
      <c r="B16" s="30"/>
    </row>
  </sheetData>
  <printOptions horizontalCentered="1"/>
  <pageMargins left="1" right="1" top="1" bottom="1" header="0.5" footer="0.5"/>
  <pageSetup fitToHeight="0" orientation="landscape" r:id="rId1"/>
  <headerFooter>
    <oddHeader>&amp;R&amp;F</oddHeader>
  </headerFooter>
  <customProperties>
    <customPr name="_pios_id" r:id="rId2"/>
  </customPropertie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4F393E-345E-4AAB-A35D-3059BE204C9B}">
  <sheetPr>
    <pageSetUpPr fitToPage="1"/>
  </sheetPr>
  <dimension ref="A1:I16"/>
  <sheetViews>
    <sheetView view="pageBreakPreview" zoomScale="130" zoomScaleNormal="100" zoomScaleSheetLayoutView="130" workbookViewId="0">
      <selection activeCell="Q36" sqref="Q36"/>
    </sheetView>
  </sheetViews>
  <sheetFormatPr defaultColWidth="9.140625" defaultRowHeight="15" x14ac:dyDescent="0.25"/>
  <cols>
    <col min="1" max="1" width="7" style="6" bestFit="1" customWidth="1"/>
    <col min="2" max="2" width="50" style="6" customWidth="1"/>
    <col min="3" max="3" width="21.85546875" style="6" bestFit="1" customWidth="1"/>
    <col min="4" max="4" width="31.140625" style="6" bestFit="1" customWidth="1"/>
    <col min="5" max="5" width="9.42578125" style="6" bestFit="1" customWidth="1"/>
    <col min="6" max="6" width="8.140625" style="6" customWidth="1"/>
    <col min="7" max="7" width="9.140625" style="6"/>
    <col min="8" max="8" width="21.85546875" style="6" bestFit="1" customWidth="1"/>
    <col min="9" max="9" width="13.140625" style="6" bestFit="1" customWidth="1"/>
    <col min="10" max="16384" width="9.140625" style="6"/>
  </cols>
  <sheetData>
    <row r="1" spans="1:9" x14ac:dyDescent="0.25">
      <c r="B1" s="30" t="s">
        <v>2251</v>
      </c>
    </row>
    <row r="2" spans="1:9" x14ac:dyDescent="0.25">
      <c r="B2" s="30" t="s">
        <v>14</v>
      </c>
      <c r="E2" s="76" t="str">
        <f>CONCATENATE("Rate Year: ",'1-BaseTRR'!$G$2)</f>
        <v>Rate Year: 2027</v>
      </c>
    </row>
    <row r="3" spans="1:9" x14ac:dyDescent="0.25">
      <c r="B3" s="77" t="s">
        <v>367</v>
      </c>
      <c r="E3" s="76"/>
    </row>
    <row r="4" spans="1:9" x14ac:dyDescent="0.25">
      <c r="B4" s="30"/>
    </row>
    <row r="5" spans="1:9" x14ac:dyDescent="0.25">
      <c r="B5" s="25" t="s">
        <v>413</v>
      </c>
    </row>
    <row r="6" spans="1:9" x14ac:dyDescent="0.25">
      <c r="B6" s="6" t="s">
        <v>2250</v>
      </c>
    </row>
    <row r="7" spans="1:9" x14ac:dyDescent="0.25">
      <c r="B7" s="30"/>
    </row>
    <row r="8" spans="1:9" x14ac:dyDescent="0.25">
      <c r="A8" s="33" t="s">
        <v>106</v>
      </c>
      <c r="B8" s="33" t="s">
        <v>79</v>
      </c>
      <c r="C8" s="33" t="s">
        <v>155</v>
      </c>
      <c r="D8" s="33" t="s">
        <v>154</v>
      </c>
      <c r="E8" s="33" t="s">
        <v>153</v>
      </c>
      <c r="F8" s="33" t="s">
        <v>106</v>
      </c>
    </row>
    <row r="9" spans="1:9" x14ac:dyDescent="0.25">
      <c r="A9" s="8">
        <v>100</v>
      </c>
      <c r="B9" s="6" t="s">
        <v>2249</v>
      </c>
      <c r="C9" s="177">
        <v>91248865650.306976</v>
      </c>
      <c r="D9" s="37" t="s">
        <v>2248</v>
      </c>
      <c r="E9" s="89"/>
      <c r="F9" s="8">
        <f>A9</f>
        <v>100</v>
      </c>
    </row>
    <row r="10" spans="1:9" x14ac:dyDescent="0.25">
      <c r="A10" s="8">
        <f>A9+1</f>
        <v>101</v>
      </c>
      <c r="B10" s="6" t="s">
        <v>2247</v>
      </c>
      <c r="C10" s="691">
        <v>0.96528000000000003</v>
      </c>
      <c r="D10" s="37" t="s">
        <v>2246</v>
      </c>
      <c r="E10" s="89"/>
      <c r="F10" s="8">
        <f>A10</f>
        <v>101</v>
      </c>
    </row>
    <row r="11" spans="1:9" x14ac:dyDescent="0.25">
      <c r="A11" s="8">
        <f>A10+1</f>
        <v>102</v>
      </c>
      <c r="B11" s="6" t="s">
        <v>2245</v>
      </c>
      <c r="C11" s="51">
        <f>C9*C10</f>
        <v>88080705034.928314</v>
      </c>
      <c r="D11" s="51" t="str">
        <f>"Line "&amp;A9&amp;" * Line "&amp;A10&amp;""</f>
        <v>Line 100 * Line 101</v>
      </c>
      <c r="E11" s="23"/>
      <c r="F11" s="8">
        <f>A11</f>
        <v>102</v>
      </c>
    </row>
    <row r="12" spans="1:9" x14ac:dyDescent="0.25">
      <c r="A12" s="8">
        <f>A11+1</f>
        <v>103</v>
      </c>
      <c r="B12" s="6" t="s">
        <v>2244</v>
      </c>
      <c r="C12" s="690">
        <v>1092568203.0999999</v>
      </c>
      <c r="D12" s="37" t="s">
        <v>2243</v>
      </c>
      <c r="E12" s="89"/>
      <c r="F12" s="8">
        <f>A12</f>
        <v>103</v>
      </c>
    </row>
    <row r="13" spans="1:9" x14ac:dyDescent="0.25">
      <c r="A13" s="8">
        <f>A12+1</f>
        <v>104</v>
      </c>
      <c r="B13" s="30" t="s">
        <v>2242</v>
      </c>
      <c r="C13" s="347">
        <f>C12+C11</f>
        <v>89173273238.02832</v>
      </c>
      <c r="D13" s="51" t="str">
        <f>"Line "&amp;A11&amp;" + Line "&amp;A12&amp;""</f>
        <v>Line 102 + Line 103</v>
      </c>
      <c r="E13" s="23"/>
      <c r="F13" s="8">
        <f>A13</f>
        <v>104</v>
      </c>
      <c r="H13" s="360"/>
      <c r="I13" s="360"/>
    </row>
    <row r="15" spans="1:9" x14ac:dyDescent="0.25">
      <c r="B15" s="25"/>
    </row>
    <row r="16" spans="1:9" x14ac:dyDescent="0.25">
      <c r="A16" s="8">
        <v>105</v>
      </c>
      <c r="B16" s="76" t="s">
        <v>2241</v>
      </c>
      <c r="C16" s="689" t="s">
        <v>2240</v>
      </c>
      <c r="F16" s="8">
        <f>A16</f>
        <v>105</v>
      </c>
    </row>
  </sheetData>
  <printOptions horizontalCentered="1"/>
  <pageMargins left="1" right="1" top="1" bottom="1" header="0.5" footer="0.5"/>
  <pageSetup scale="89" fitToHeight="0" orientation="landscape" r:id="rId1"/>
  <headerFooter>
    <oddHeader>&amp;R&amp;F</oddHeader>
  </headerFooter>
  <customProperties>
    <customPr name="_pios_id" r:id="rId2"/>
  </customPropertie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445E00-94F5-4444-9EE9-A0C3DFD56789}">
  <sheetPr>
    <pageSetUpPr fitToPage="1"/>
  </sheetPr>
  <dimension ref="A1:P56"/>
  <sheetViews>
    <sheetView view="pageBreakPreview" topLeftCell="A28" zoomScaleNormal="100" zoomScaleSheetLayoutView="100" workbookViewId="0">
      <selection activeCell="Q36" sqref="Q36"/>
    </sheetView>
  </sheetViews>
  <sheetFormatPr defaultColWidth="8.85546875" defaultRowHeight="15" x14ac:dyDescent="0.25"/>
  <cols>
    <col min="1" max="1" width="5.140625" style="38" customWidth="1"/>
    <col min="2" max="2" width="9.85546875" style="6" customWidth="1"/>
    <col min="3" max="3" width="3.85546875" style="6" customWidth="1"/>
    <col min="4" max="4" width="19.42578125" style="6" customWidth="1"/>
    <col min="5" max="5" width="1.140625" style="6" customWidth="1"/>
    <col min="6" max="6" width="21.5703125" style="6" bestFit="1" customWidth="1"/>
    <col min="7" max="7" width="2.85546875" style="6" hidden="1" customWidth="1"/>
    <col min="8" max="8" width="18" style="6" customWidth="1"/>
    <col min="9" max="9" width="7.85546875" style="6" customWidth="1"/>
    <col min="10" max="10" width="13.140625" style="6" customWidth="1"/>
    <col min="11" max="11" width="15.5703125" style="680" customWidth="1"/>
    <col min="12" max="12" width="16.140625" style="6" bestFit="1" customWidth="1"/>
    <col min="13" max="13" width="13.140625" style="23" customWidth="1"/>
    <col min="14" max="14" width="7.140625" style="23" customWidth="1"/>
    <col min="15" max="15" width="11.85546875" style="6" customWidth="1"/>
    <col min="16" max="16" width="15" style="6" customWidth="1"/>
    <col min="17" max="16384" width="8.85546875" style="6"/>
  </cols>
  <sheetData>
    <row r="1" spans="1:14" x14ac:dyDescent="0.25">
      <c r="B1" s="30" t="s">
        <v>2304</v>
      </c>
    </row>
    <row r="2" spans="1:14" x14ac:dyDescent="0.25">
      <c r="A2" s="39"/>
      <c r="B2" s="39" t="s">
        <v>12</v>
      </c>
      <c r="M2" s="76" t="s">
        <v>2303</v>
      </c>
      <c r="N2" s="6"/>
    </row>
    <row r="3" spans="1:14" x14ac:dyDescent="0.25">
      <c r="A3" s="39"/>
      <c r="B3" s="39" t="s">
        <v>2302</v>
      </c>
      <c r="C3" s="38"/>
      <c r="D3" s="367"/>
      <c r="E3" s="725"/>
      <c r="F3" s="38"/>
      <c r="L3" s="185"/>
      <c r="M3" s="726" t="s">
        <v>2301</v>
      </c>
      <c r="N3" s="6"/>
    </row>
    <row r="4" spans="1:14" x14ac:dyDescent="0.25">
      <c r="A4" s="39"/>
      <c r="B4" s="89" t="s">
        <v>367</v>
      </c>
      <c r="C4" s="89"/>
      <c r="D4" s="89"/>
      <c r="E4" s="725"/>
      <c r="F4" s="38"/>
      <c r="M4" s="6"/>
      <c r="N4" s="6"/>
    </row>
    <row r="6" spans="1:14" x14ac:dyDescent="0.25">
      <c r="D6" s="724"/>
      <c r="F6" s="175" t="s">
        <v>492</v>
      </c>
      <c r="G6" s="44"/>
      <c r="H6" s="175" t="s">
        <v>491</v>
      </c>
      <c r="I6" s="44"/>
      <c r="J6" s="175" t="s">
        <v>490</v>
      </c>
      <c r="K6" s="723"/>
      <c r="L6" s="175" t="s">
        <v>489</v>
      </c>
      <c r="M6" s="175" t="s">
        <v>519</v>
      </c>
      <c r="N6" s="6"/>
    </row>
    <row r="7" spans="1:14" x14ac:dyDescent="0.25">
      <c r="D7" s="724"/>
      <c r="F7" s="175"/>
      <c r="G7" s="44"/>
      <c r="H7" s="175"/>
      <c r="I7" s="44"/>
      <c r="J7" s="175"/>
      <c r="K7" s="723"/>
      <c r="L7" s="175"/>
      <c r="M7" s="175"/>
      <c r="N7" s="6"/>
    </row>
    <row r="8" spans="1:14" x14ac:dyDescent="0.25">
      <c r="F8" s="23" t="s">
        <v>99</v>
      </c>
      <c r="G8" s="23"/>
      <c r="H8" s="23" t="s">
        <v>183</v>
      </c>
      <c r="I8" s="722"/>
      <c r="J8" s="163" t="s">
        <v>2300</v>
      </c>
      <c r="K8" s="722"/>
      <c r="L8" s="721" t="s">
        <v>157</v>
      </c>
      <c r="M8" s="163" t="s">
        <v>2299</v>
      </c>
      <c r="N8" s="6"/>
    </row>
    <row r="9" spans="1:14" x14ac:dyDescent="0.25">
      <c r="F9" s="23" t="s">
        <v>2298</v>
      </c>
      <c r="H9" s="23" t="s">
        <v>2297</v>
      </c>
      <c r="I9" s="23" t="s">
        <v>2296</v>
      </c>
      <c r="J9" s="721" t="s">
        <v>531</v>
      </c>
      <c r="K9" s="721" t="s">
        <v>2296</v>
      </c>
      <c r="L9" s="721" t="s">
        <v>2295</v>
      </c>
      <c r="M9" s="23" t="s">
        <v>2294</v>
      </c>
      <c r="N9" s="6"/>
    </row>
    <row r="10" spans="1:14" x14ac:dyDescent="0.25">
      <c r="A10" s="33" t="s">
        <v>106</v>
      </c>
      <c r="B10" s="687" t="s">
        <v>2293</v>
      </c>
      <c r="C10" s="44"/>
      <c r="D10" s="687" t="s">
        <v>2292</v>
      </c>
      <c r="F10" s="687" t="s">
        <v>2291</v>
      </c>
      <c r="G10" s="44"/>
      <c r="H10" s="687" t="s">
        <v>2290</v>
      </c>
      <c r="I10" s="687" t="s">
        <v>2288</v>
      </c>
      <c r="J10" s="687" t="s">
        <v>2289</v>
      </c>
      <c r="K10" s="687" t="s">
        <v>2288</v>
      </c>
      <c r="L10" s="687" t="s">
        <v>2287</v>
      </c>
      <c r="M10" s="687" t="s">
        <v>2286</v>
      </c>
      <c r="N10" s="33" t="str">
        <f>A10</f>
        <v>Line</v>
      </c>
    </row>
    <row r="11" spans="1:14" x14ac:dyDescent="0.25">
      <c r="J11" s="30"/>
      <c r="K11" s="30"/>
      <c r="L11" s="680"/>
      <c r="M11" s="6"/>
      <c r="N11" s="38"/>
    </row>
    <row r="12" spans="1:14" x14ac:dyDescent="0.25">
      <c r="A12" s="8">
        <v>100</v>
      </c>
      <c r="B12" s="330" t="s">
        <v>2285</v>
      </c>
      <c r="C12" s="330"/>
      <c r="D12" s="701" t="s">
        <v>2284</v>
      </c>
      <c r="E12" s="330"/>
      <c r="F12" s="263">
        <f ca="1">+'29-RetailRates-2'!M13</f>
        <v>1415699115.0359783</v>
      </c>
      <c r="G12" s="719"/>
      <c r="H12" s="699">
        <f>'29-RetailRates-2'!E13</f>
        <v>26534621286.88102</v>
      </c>
      <c r="I12" s="700" t="s">
        <v>2269</v>
      </c>
      <c r="J12" s="718">
        <f ca="1">F12/(H12-'29-RetailRates-2'!$E$14)</f>
        <v>5.3353144440775373E-2</v>
      </c>
      <c r="K12" s="716" t="s">
        <v>2262</v>
      </c>
      <c r="L12" s="699">
        <f>'29-RetailRates-2'!E13</f>
        <v>26534621286.88102</v>
      </c>
      <c r="M12" s="720">
        <f ca="1">F12/L12</f>
        <v>5.3352904483920938E-2</v>
      </c>
      <c r="N12" s="8">
        <f>A12</f>
        <v>100</v>
      </c>
    </row>
    <row r="13" spans="1:14" x14ac:dyDescent="0.25">
      <c r="A13" s="8"/>
      <c r="D13" s="185"/>
      <c r="F13" s="102"/>
      <c r="G13" s="102"/>
      <c r="H13" s="680"/>
      <c r="I13" s="485"/>
      <c r="J13" s="709" t="s">
        <v>2275</v>
      </c>
      <c r="K13" s="30"/>
      <c r="L13" s="680"/>
      <c r="N13" s="6"/>
    </row>
    <row r="14" spans="1:14" x14ac:dyDescent="0.25">
      <c r="A14" s="8">
        <f>A12+1</f>
        <v>101</v>
      </c>
      <c r="B14" s="330" t="s">
        <v>2283</v>
      </c>
      <c r="C14" s="330"/>
      <c r="D14" s="701" t="s">
        <v>2282</v>
      </c>
      <c r="E14" s="330"/>
      <c r="F14" s="263">
        <f ca="1">+'29-RetailRates-2'!M15</f>
        <v>264157408.65428561</v>
      </c>
      <c r="G14" s="719"/>
      <c r="H14" s="699">
        <f>'29-RetailRates-2'!E15</f>
        <v>7306707889.9903002</v>
      </c>
      <c r="I14" s="700" t="s">
        <v>2269</v>
      </c>
      <c r="J14" s="718">
        <f ca="1">F14/H14</f>
        <v>3.6152726047275485E-2</v>
      </c>
      <c r="K14" s="716" t="s">
        <v>2262</v>
      </c>
      <c r="L14" s="699">
        <f>'29-RetailRates-2'!E15</f>
        <v>7306707889.9903002</v>
      </c>
      <c r="M14" s="720">
        <f ca="1">F14/L14</f>
        <v>3.6152726047275485E-2</v>
      </c>
      <c r="N14" s="8">
        <f>A14</f>
        <v>101</v>
      </c>
    </row>
    <row r="15" spans="1:14" x14ac:dyDescent="0.25">
      <c r="A15" s="8"/>
      <c r="D15" s="185"/>
      <c r="F15" s="102"/>
      <c r="G15" s="102"/>
      <c r="H15" s="680"/>
      <c r="I15" s="485"/>
      <c r="J15" s="709" t="s">
        <v>2275</v>
      </c>
      <c r="K15" s="30"/>
      <c r="L15" s="680"/>
      <c r="N15" s="6"/>
    </row>
    <row r="16" spans="1:14" x14ac:dyDescent="0.25">
      <c r="A16" s="8">
        <f>A14+1</f>
        <v>102</v>
      </c>
      <c r="B16" s="6" t="s">
        <v>2281</v>
      </c>
      <c r="D16" s="185" t="s">
        <v>2280</v>
      </c>
      <c r="F16" s="102"/>
      <c r="G16" s="102"/>
      <c r="H16" s="711">
        <v>27065152.376595002</v>
      </c>
      <c r="I16" s="485" t="s">
        <v>2256</v>
      </c>
      <c r="J16" s="705"/>
      <c r="K16" s="184"/>
      <c r="L16" s="680">
        <f>'29-RetailRates-2'!E17</f>
        <v>6950164813.6040421</v>
      </c>
      <c r="M16" s="693">
        <f ca="1">(H16*$J$24)/L16</f>
        <v>4.0740512112519819E-2</v>
      </c>
      <c r="N16" s="8">
        <f>A16</f>
        <v>102</v>
      </c>
    </row>
    <row r="17" spans="1:14" x14ac:dyDescent="0.25">
      <c r="A17" s="8"/>
      <c r="D17" s="185"/>
      <c r="F17" s="102"/>
      <c r="G17" s="102"/>
      <c r="H17" s="680"/>
      <c r="I17" s="485"/>
      <c r="J17" s="705"/>
      <c r="K17" s="30"/>
      <c r="L17" s="680"/>
      <c r="N17" s="6"/>
    </row>
    <row r="18" spans="1:14" x14ac:dyDescent="0.25">
      <c r="A18" s="8">
        <f>A16+1</f>
        <v>103</v>
      </c>
      <c r="B18" s="6" t="s">
        <v>2279</v>
      </c>
      <c r="D18" s="185" t="s">
        <v>2265</v>
      </c>
      <c r="F18" s="102"/>
      <c r="G18" s="102"/>
      <c r="H18" s="711">
        <v>146780.165626</v>
      </c>
      <c r="I18" s="485" t="s">
        <v>2256</v>
      </c>
      <c r="J18" s="705"/>
      <c r="K18" s="184"/>
      <c r="L18" s="680">
        <f>'29-RetailRates-2'!E19</f>
        <v>44351464.832957</v>
      </c>
      <c r="M18" s="693">
        <f ca="1">(H18*$J$24)/L18</f>
        <v>3.4623464002447521E-2</v>
      </c>
      <c r="N18" s="8">
        <f>A18</f>
        <v>103</v>
      </c>
    </row>
    <row r="19" spans="1:14" x14ac:dyDescent="0.25">
      <c r="A19" s="8"/>
      <c r="D19" s="185"/>
      <c r="F19" s="102"/>
      <c r="G19" s="102"/>
      <c r="H19" s="680"/>
      <c r="I19" s="485"/>
      <c r="J19" s="705"/>
      <c r="K19" s="30"/>
      <c r="L19" s="680"/>
      <c r="N19" s="6"/>
    </row>
    <row r="20" spans="1:14" x14ac:dyDescent="0.25">
      <c r="A20" s="8">
        <f>A18+1</f>
        <v>104</v>
      </c>
      <c r="B20" s="6" t="s">
        <v>2279</v>
      </c>
      <c r="D20" s="185" t="s">
        <v>2264</v>
      </c>
      <c r="F20" s="102"/>
      <c r="G20" s="102"/>
      <c r="H20" s="711">
        <v>3562831.6917459997</v>
      </c>
      <c r="I20" s="485" t="s">
        <v>2256</v>
      </c>
      <c r="J20" s="705"/>
      <c r="K20" s="184"/>
      <c r="L20" s="680">
        <f>'29-RetailRates-2'!E21</f>
        <v>1306240222.3608332</v>
      </c>
      <c r="M20" s="693">
        <f ca="1">(H20*$J$24)/L20</f>
        <v>2.8535360585006244E-2</v>
      </c>
      <c r="N20" s="8">
        <f>A20</f>
        <v>104</v>
      </c>
    </row>
    <row r="21" spans="1:14" x14ac:dyDescent="0.25">
      <c r="A21" s="8"/>
      <c r="D21" s="185"/>
      <c r="F21" s="102"/>
      <c r="G21" s="102"/>
      <c r="H21" s="680"/>
      <c r="I21" s="485"/>
      <c r="J21" s="705" t="s">
        <v>2275</v>
      </c>
      <c r="K21" s="30"/>
      <c r="L21" s="680"/>
      <c r="N21" s="6"/>
    </row>
    <row r="22" spans="1:14" x14ac:dyDescent="0.25">
      <c r="A22" s="8">
        <f>A20+1</f>
        <v>105</v>
      </c>
      <c r="B22" s="6" t="s">
        <v>2279</v>
      </c>
      <c r="D22" s="185" t="s">
        <v>2260</v>
      </c>
      <c r="F22" s="102"/>
      <c r="G22" s="102"/>
      <c r="H22" s="708">
        <v>36448073.877343997</v>
      </c>
      <c r="I22" s="485" t="s">
        <v>2256</v>
      </c>
      <c r="J22" s="705"/>
      <c r="K22" s="184"/>
      <c r="L22" s="680">
        <f>'29-RetailRates-2'!E23</f>
        <v>13154433430.32716</v>
      </c>
      <c r="M22" s="693">
        <f ca="1">(H22*$J$24)/L22</f>
        <v>2.8987685840040037E-2</v>
      </c>
      <c r="N22" s="8">
        <f>A22</f>
        <v>105</v>
      </c>
    </row>
    <row r="23" spans="1:14" x14ac:dyDescent="0.25">
      <c r="A23" s="8"/>
      <c r="D23" s="185"/>
      <c r="F23" s="102"/>
      <c r="G23" s="102"/>
      <c r="H23" s="680"/>
      <c r="I23" s="485"/>
      <c r="J23" s="709" t="s">
        <v>2275</v>
      </c>
      <c r="K23" s="30"/>
      <c r="L23" s="680"/>
      <c r="N23" s="6"/>
    </row>
    <row r="24" spans="1:14" x14ac:dyDescent="0.25">
      <c r="A24" s="8">
        <f>A22+1</f>
        <v>106</v>
      </c>
      <c r="B24" s="702" t="s">
        <v>2278</v>
      </c>
      <c r="C24" s="330"/>
      <c r="D24" s="701"/>
      <c r="E24" s="330"/>
      <c r="F24" s="263">
        <f ca="1">+'29-RetailRates-2'!M25</f>
        <v>703279494.55649328</v>
      </c>
      <c r="G24" s="719"/>
      <c r="H24" s="699">
        <f>SUM(H16:H22)</f>
        <v>67222838.111311004</v>
      </c>
      <c r="I24" s="700" t="s">
        <v>2256</v>
      </c>
      <c r="J24" s="717">
        <f ca="1">F24/H24</f>
        <v>10.461913158024766</v>
      </c>
      <c r="K24" s="716" t="s">
        <v>2266</v>
      </c>
      <c r="L24" s="699"/>
      <c r="M24" s="715"/>
      <c r="N24" s="8">
        <f>A24</f>
        <v>106</v>
      </c>
    </row>
    <row r="25" spans="1:14" x14ac:dyDescent="0.25">
      <c r="A25" s="8"/>
      <c r="D25" s="185"/>
      <c r="F25" s="102"/>
      <c r="G25" s="102"/>
      <c r="H25" s="680"/>
      <c r="I25" s="485"/>
      <c r="J25" s="709"/>
      <c r="K25" s="30"/>
      <c r="L25" s="680"/>
      <c r="N25" s="6"/>
    </row>
    <row r="26" spans="1:14" x14ac:dyDescent="0.25">
      <c r="A26" s="8">
        <f>A24+1</f>
        <v>107</v>
      </c>
      <c r="B26" s="330" t="s">
        <v>2277</v>
      </c>
      <c r="C26" s="330"/>
      <c r="D26" s="701" t="s">
        <v>2276</v>
      </c>
      <c r="E26" s="330"/>
      <c r="F26" s="263">
        <f ca="1">+'29-RetailRates-2'!M27</f>
        <v>7537988.0959908599</v>
      </c>
      <c r="G26" s="719"/>
      <c r="H26" s="699">
        <f>'29-RetailRates-2'!E27</f>
        <v>240593298.48375499</v>
      </c>
      <c r="I26" s="700" t="s">
        <v>2269</v>
      </c>
      <c r="J26" s="718">
        <f ca="1">F26/H26</f>
        <v>3.1330831504851039E-2</v>
      </c>
      <c r="K26" s="716" t="s">
        <v>2262</v>
      </c>
      <c r="L26" s="699">
        <f>'29-RetailRates-2'!E27</f>
        <v>240593298.48375499</v>
      </c>
      <c r="M26" s="720">
        <f ca="1">F26/L26</f>
        <v>3.1330831504851039E-2</v>
      </c>
      <c r="N26" s="8">
        <f>A26</f>
        <v>107</v>
      </c>
    </row>
    <row r="27" spans="1:14" x14ac:dyDescent="0.25">
      <c r="A27" s="8"/>
      <c r="D27" s="185"/>
      <c r="F27" s="102"/>
      <c r="G27" s="102"/>
      <c r="H27" s="680"/>
      <c r="I27" s="485"/>
      <c r="J27" s="709" t="s">
        <v>2275</v>
      </c>
      <c r="K27" s="30"/>
      <c r="L27" s="680"/>
      <c r="N27" s="6"/>
    </row>
    <row r="28" spans="1:14" x14ac:dyDescent="0.25">
      <c r="A28" s="8">
        <f>A26+1</f>
        <v>108</v>
      </c>
      <c r="B28" s="6" t="s">
        <v>2274</v>
      </c>
      <c r="D28" s="185" t="s">
        <v>2273</v>
      </c>
      <c r="F28" s="102"/>
      <c r="G28" s="102"/>
      <c r="H28" s="680">
        <f>'29-RetailRates-2'!E29</f>
        <v>396307494.34312904</v>
      </c>
      <c r="I28" s="485" t="s">
        <v>2269</v>
      </c>
      <c r="J28" s="709"/>
      <c r="K28" s="184"/>
      <c r="L28" s="680">
        <f>'29-RetailRates-2'!E29</f>
        <v>396307494.34312904</v>
      </c>
      <c r="M28" s="693">
        <f ca="1">H28*$J$32/L28</f>
        <v>3.3175377588567416E-2</v>
      </c>
      <c r="N28" s="8">
        <f>A28</f>
        <v>108</v>
      </c>
    </row>
    <row r="29" spans="1:14" x14ac:dyDescent="0.25">
      <c r="A29" s="8"/>
      <c r="D29" s="185"/>
      <c r="F29" s="102"/>
      <c r="G29" s="102"/>
      <c r="H29" s="680"/>
      <c r="I29" s="485"/>
      <c r="J29" s="709"/>
      <c r="K29" s="30"/>
      <c r="L29" s="680"/>
      <c r="N29" s="6"/>
    </row>
    <row r="30" spans="1:14" x14ac:dyDescent="0.25">
      <c r="A30" s="8">
        <f>A28+1</f>
        <v>109</v>
      </c>
      <c r="B30" s="6" t="s">
        <v>2272</v>
      </c>
      <c r="D30" s="185" t="s">
        <v>2271</v>
      </c>
      <c r="F30" s="102"/>
      <c r="G30" s="102"/>
      <c r="H30" s="699">
        <f>'29-RetailRates-2'!E31</f>
        <v>4865079953.0029192</v>
      </c>
      <c r="I30" s="485" t="s">
        <v>2269</v>
      </c>
      <c r="J30" s="709"/>
      <c r="K30" s="184"/>
      <c r="L30" s="680">
        <f>'29-RetailRates-2'!E31</f>
        <v>4865079953.0029192</v>
      </c>
      <c r="M30" s="693">
        <f ca="1">H30*$J$32/L30</f>
        <v>3.3175377588567416E-2</v>
      </c>
      <c r="N30" s="8">
        <f>A30</f>
        <v>109</v>
      </c>
    </row>
    <row r="31" spans="1:14" x14ac:dyDescent="0.25">
      <c r="A31" s="8"/>
      <c r="D31" s="185"/>
      <c r="F31" s="102"/>
      <c r="G31" s="102"/>
      <c r="H31" s="680"/>
      <c r="I31" s="485"/>
      <c r="J31" s="709"/>
      <c r="K31" s="184"/>
      <c r="L31" s="680"/>
      <c r="N31" s="6"/>
    </row>
    <row r="32" spans="1:14" x14ac:dyDescent="0.25">
      <c r="A32" s="8">
        <f>A30+1</f>
        <v>110</v>
      </c>
      <c r="B32" s="702" t="s">
        <v>2270</v>
      </c>
      <c r="C32" s="330"/>
      <c r="D32" s="701"/>
      <c r="E32" s="330"/>
      <c r="F32" s="263">
        <f ca="1">+'29-RetailRates-2'!M33</f>
        <v>174548515.20545402</v>
      </c>
      <c r="G32" s="719"/>
      <c r="H32" s="699">
        <f>SUM(H28:H30)</f>
        <v>5261387447.3460484</v>
      </c>
      <c r="I32" s="700" t="s">
        <v>2269</v>
      </c>
      <c r="J32" s="718">
        <f ca="1">F32/H32</f>
        <v>3.3175377588567416E-2</v>
      </c>
      <c r="K32" s="716" t="s">
        <v>2262</v>
      </c>
      <c r="L32" s="699"/>
      <c r="M32" s="715"/>
      <c r="N32" s="8">
        <f>A32</f>
        <v>110</v>
      </c>
    </row>
    <row r="33" spans="1:16" x14ac:dyDescent="0.25">
      <c r="A33" s="8"/>
      <c r="D33" s="185"/>
      <c r="F33" s="102"/>
      <c r="G33" s="102"/>
      <c r="H33" s="680"/>
      <c r="I33" s="485"/>
      <c r="J33" s="709"/>
      <c r="K33" s="30"/>
      <c r="L33" s="680"/>
      <c r="N33" s="6"/>
    </row>
    <row r="34" spans="1:16" x14ac:dyDescent="0.25">
      <c r="A34" s="8">
        <f>A32+1</f>
        <v>111</v>
      </c>
      <c r="B34" s="6" t="s">
        <v>2268</v>
      </c>
      <c r="D34" s="185" t="s">
        <v>2265</v>
      </c>
      <c r="F34" s="102"/>
      <c r="G34" s="102"/>
      <c r="H34" s="711">
        <v>11001927.856346</v>
      </c>
      <c r="I34" s="485" t="s">
        <v>2256</v>
      </c>
      <c r="J34" s="705"/>
      <c r="K34" s="184"/>
      <c r="L34" s="680">
        <f>'29-RetailRates-2'!E35</f>
        <v>5040060123.938549</v>
      </c>
      <c r="M34" s="693">
        <f ca="1">+H34*$J$40/L34</f>
        <v>2.7703246312520448E-2</v>
      </c>
      <c r="N34" s="8">
        <f>A34</f>
        <v>111</v>
      </c>
    </row>
    <row r="35" spans="1:16" x14ac:dyDescent="0.25">
      <c r="A35" s="8"/>
      <c r="D35" s="185"/>
      <c r="F35" s="102"/>
      <c r="G35" s="102"/>
      <c r="H35" s="680"/>
      <c r="I35" s="485"/>
      <c r="J35" s="705"/>
      <c r="K35" s="30"/>
      <c r="L35" s="680"/>
      <c r="N35" s="6"/>
    </row>
    <row r="36" spans="1:16" x14ac:dyDescent="0.25">
      <c r="A36" s="8">
        <f>A34+1</f>
        <v>112</v>
      </c>
      <c r="B36" s="6" t="s">
        <v>2268</v>
      </c>
      <c r="D36" s="185" t="s">
        <v>2264</v>
      </c>
      <c r="F36" s="102"/>
      <c r="G36" s="102"/>
      <c r="H36" s="711">
        <v>14319548.148923</v>
      </c>
      <c r="I36" s="485" t="s">
        <v>2256</v>
      </c>
      <c r="J36" s="705"/>
      <c r="K36" s="184"/>
      <c r="L36" s="680">
        <f>'29-RetailRates-2'!E37</f>
        <v>6628524022.4433012</v>
      </c>
      <c r="M36" s="693">
        <f ca="1">+H36*$J$40/L36</f>
        <v>2.741637725308177E-2</v>
      </c>
      <c r="N36" s="8">
        <f>A36</f>
        <v>112</v>
      </c>
    </row>
    <row r="37" spans="1:16" x14ac:dyDescent="0.25">
      <c r="A37" s="8"/>
      <c r="D37" s="185"/>
      <c r="F37" s="102"/>
      <c r="G37" s="102"/>
      <c r="H37" s="680"/>
      <c r="I37" s="485"/>
      <c r="J37" s="705"/>
      <c r="K37" s="30"/>
      <c r="L37" s="680"/>
      <c r="N37" s="6"/>
    </row>
    <row r="38" spans="1:16" x14ac:dyDescent="0.25">
      <c r="A38" s="8">
        <f>A36+1</f>
        <v>113</v>
      </c>
      <c r="B38" s="6" t="s">
        <v>2268</v>
      </c>
      <c r="D38" s="185" t="s">
        <v>2260</v>
      </c>
      <c r="F38" s="102"/>
      <c r="G38" s="102"/>
      <c r="H38" s="708">
        <v>4587211.4989080001</v>
      </c>
      <c r="I38" s="485" t="s">
        <v>2256</v>
      </c>
      <c r="J38" s="705"/>
      <c r="K38" s="184"/>
      <c r="L38" s="680">
        <f>'29-RetailRates-2'!E39</f>
        <v>1986879427.374886</v>
      </c>
      <c r="M38" s="693">
        <f ca="1">+H38*$J$40/L38</f>
        <v>2.9300487024159019E-2</v>
      </c>
      <c r="N38" s="8">
        <f>A38</f>
        <v>113</v>
      </c>
    </row>
    <row r="39" spans="1:16" x14ac:dyDescent="0.25">
      <c r="A39" s="8"/>
      <c r="D39" s="185"/>
      <c r="F39" s="102"/>
      <c r="G39" s="680"/>
      <c r="H39" s="680"/>
      <c r="I39" s="714"/>
      <c r="J39" s="705"/>
      <c r="K39" s="184"/>
      <c r="L39" s="680"/>
      <c r="N39" s="6"/>
    </row>
    <row r="40" spans="1:16" x14ac:dyDescent="0.25">
      <c r="A40" s="8">
        <f>A38+1</f>
        <v>114</v>
      </c>
      <c r="B40" s="702" t="s">
        <v>2267</v>
      </c>
      <c r="C40" s="330"/>
      <c r="D40" s="701"/>
      <c r="E40" s="330"/>
      <c r="F40" s="263">
        <f ca="1">+'29-RetailRates-2'!M41</f>
        <v>379572677.15416884</v>
      </c>
      <c r="G40" s="699"/>
      <c r="H40" s="699">
        <f>SUM(H34:H38)</f>
        <v>29908687.504176997</v>
      </c>
      <c r="I40" s="700" t="s">
        <v>2256</v>
      </c>
      <c r="J40" s="717">
        <f ca="1">F40/H40</f>
        <v>12.691050956387116</v>
      </c>
      <c r="K40" s="716" t="s">
        <v>2266</v>
      </c>
      <c r="L40" s="699"/>
      <c r="M40" s="715"/>
      <c r="N40" s="8">
        <f>A40</f>
        <v>114</v>
      </c>
    </row>
    <row r="41" spans="1:16" x14ac:dyDescent="0.25">
      <c r="A41" s="8"/>
      <c r="D41" s="185"/>
      <c r="F41" s="102"/>
      <c r="G41" s="680"/>
      <c r="H41" s="680"/>
      <c r="I41" s="714"/>
      <c r="J41" s="713"/>
      <c r="K41" s="30"/>
      <c r="L41" s="680"/>
      <c r="N41" s="6"/>
    </row>
    <row r="42" spans="1:16" x14ac:dyDescent="0.25">
      <c r="A42" s="8">
        <f>A40+1</f>
        <v>115</v>
      </c>
      <c r="B42" s="6" t="s">
        <v>2261</v>
      </c>
      <c r="D42" s="185" t="s">
        <v>2265</v>
      </c>
      <c r="F42" s="695"/>
      <c r="G42" s="102"/>
      <c r="H42" s="711">
        <v>6688254.5115080001</v>
      </c>
      <c r="I42" s="485" t="s">
        <v>2256</v>
      </c>
      <c r="J42" s="710"/>
      <c r="K42" s="710"/>
      <c r="L42" s="680">
        <f>'29-RetailRates-2'!E46</f>
        <v>537214434.44261599</v>
      </c>
      <c r="M42" s="706">
        <f ca="1">($J$47*H42*0.85+$J$45*L42)/L42</f>
        <v>3.226885616572623E-2</v>
      </c>
      <c r="N42" s="8">
        <f>A42</f>
        <v>115</v>
      </c>
    </row>
    <row r="43" spans="1:16" x14ac:dyDescent="0.25">
      <c r="A43" s="8"/>
      <c r="D43" s="185"/>
      <c r="F43" s="695"/>
      <c r="G43" s="102"/>
      <c r="H43" s="680"/>
      <c r="I43" s="485"/>
      <c r="J43" s="712"/>
      <c r="K43" s="704"/>
      <c r="L43" s="680"/>
      <c r="M43" s="703"/>
      <c r="N43" s="6"/>
    </row>
    <row r="44" spans="1:16" x14ac:dyDescent="0.25">
      <c r="A44" s="8">
        <f>A42+1</f>
        <v>116</v>
      </c>
      <c r="B44" s="6" t="s">
        <v>2261</v>
      </c>
      <c r="D44" s="185" t="s">
        <v>2264</v>
      </c>
      <c r="F44" s="695"/>
      <c r="G44" s="102"/>
      <c r="H44" s="711">
        <v>477230.53903099999</v>
      </c>
      <c r="I44" s="485" t="s">
        <v>2256</v>
      </c>
      <c r="J44" s="710" t="s">
        <v>2263</v>
      </c>
      <c r="K44" s="710"/>
      <c r="L44" s="680">
        <f>'29-RetailRates-2'!E48</f>
        <v>12791418.344937</v>
      </c>
      <c r="M44" s="706">
        <f ca="1">($J$47*H44*0.85+$J$45*L44)/L44</f>
        <v>6.3642571929109396E-2</v>
      </c>
      <c r="N44" s="8">
        <f>A44</f>
        <v>116</v>
      </c>
    </row>
    <row r="45" spans="1:16" x14ac:dyDescent="0.25">
      <c r="A45" s="8"/>
      <c r="D45" s="185"/>
      <c r="F45" s="695"/>
      <c r="G45" s="102"/>
      <c r="H45" s="680"/>
      <c r="I45" s="485"/>
      <c r="J45" s="709">
        <f ca="1">(F48*0.5)/SUM(L42:L46)</f>
        <v>1.6556134023660324E-2</v>
      </c>
      <c r="K45" s="704" t="s">
        <v>2262</v>
      </c>
      <c r="L45" s="680"/>
      <c r="M45" s="703"/>
      <c r="N45" s="6"/>
    </row>
    <row r="46" spans="1:16" x14ac:dyDescent="0.25">
      <c r="A46" s="8">
        <f>A44+1</f>
        <v>117</v>
      </c>
      <c r="B46" s="6" t="s">
        <v>2261</v>
      </c>
      <c r="D46" s="185" t="s">
        <v>2260</v>
      </c>
      <c r="F46" s="695"/>
      <c r="G46" s="102"/>
      <c r="H46" s="708">
        <v>55933.495332999999</v>
      </c>
      <c r="I46" s="485" t="s">
        <v>2256</v>
      </c>
      <c r="J46" s="707" t="s">
        <v>2259</v>
      </c>
      <c r="K46" s="707"/>
      <c r="L46" s="680">
        <f>'29-RetailRates-2'!E50</f>
        <v>484733.03026000015</v>
      </c>
      <c r="M46" s="706">
        <f ca="1">($J$47*H46*0.85+$J$45*L46)/L46</f>
        <v>0.1621877465418522</v>
      </c>
      <c r="N46" s="8">
        <f>A46</f>
        <v>117</v>
      </c>
    </row>
    <row r="47" spans="1:16" x14ac:dyDescent="0.25">
      <c r="A47" s="8"/>
      <c r="D47" s="185"/>
      <c r="F47" s="695"/>
      <c r="G47" s="102"/>
      <c r="H47" s="680"/>
      <c r="I47" s="485"/>
      <c r="J47" s="705">
        <f ca="1">(F48*0.5)/(H48*0.85)</f>
        <v>1.4847980448991775</v>
      </c>
      <c r="K47" s="704" t="s">
        <v>2258</v>
      </c>
      <c r="L47" s="680"/>
      <c r="M47" s="703"/>
      <c r="N47" s="6"/>
    </row>
    <row r="48" spans="1:16" x14ac:dyDescent="0.25">
      <c r="A48" s="8">
        <f>A46+1</f>
        <v>118</v>
      </c>
      <c r="B48" s="702" t="s">
        <v>2257</v>
      </c>
      <c r="C48" s="330"/>
      <c r="D48" s="701"/>
      <c r="E48" s="330"/>
      <c r="F48" s="263">
        <f ca="1">+'29-RetailRates-2'!M52</f>
        <v>18227991.83512599</v>
      </c>
      <c r="G48" s="699"/>
      <c r="H48" s="699">
        <f>SUM(H42:H46)</f>
        <v>7221418.545872</v>
      </c>
      <c r="I48" s="700" t="s">
        <v>2256</v>
      </c>
      <c r="J48" s="330"/>
      <c r="K48" s="699"/>
      <c r="L48" s="699">
        <f>SUM(L42:L47)</f>
        <v>550490585.81781292</v>
      </c>
      <c r="M48" s="698">
        <f ca="1">($J$47*H48*0.85+$J$45*L48)/L48</f>
        <v>3.3112268047320648E-2</v>
      </c>
      <c r="N48" s="8">
        <f>A48</f>
        <v>118</v>
      </c>
      <c r="O48" s="23"/>
      <c r="P48" s="50"/>
    </row>
    <row r="49" spans="1:14" x14ac:dyDescent="0.25">
      <c r="A49" s="8"/>
      <c r="C49" s="697"/>
      <c r="D49" s="697"/>
      <c r="E49" s="697"/>
      <c r="F49" s="697"/>
      <c r="G49" s="696"/>
      <c r="H49" s="695"/>
      <c r="J49" s="694"/>
      <c r="L49" s="680"/>
      <c r="M49" s="6"/>
      <c r="N49" s="6"/>
    </row>
    <row r="50" spans="1:14" x14ac:dyDescent="0.25">
      <c r="A50" s="8">
        <f>A48+1</f>
        <v>119</v>
      </c>
      <c r="B50" s="30" t="s">
        <v>466</v>
      </c>
      <c r="D50" s="6" t="s">
        <v>2255</v>
      </c>
      <c r="F50" s="94">
        <f ca="1">SUM(F11:F48)</f>
        <v>2963023190.5374966</v>
      </c>
      <c r="G50" s="680"/>
      <c r="L50" s="680">
        <f>SUM(L12:L46)</f>
        <v>75004454013.400665</v>
      </c>
      <c r="M50" s="693">
        <f ca="1">F50/L50</f>
        <v>3.9504629818491954E-2</v>
      </c>
      <c r="N50" s="8">
        <f>A50</f>
        <v>119</v>
      </c>
    </row>
    <row r="51" spans="1:14" x14ac:dyDescent="0.25">
      <c r="B51" s="30"/>
      <c r="F51" s="341"/>
      <c r="G51" s="680"/>
      <c r="L51" s="680"/>
      <c r="M51" s="693"/>
      <c r="N51" s="6"/>
    </row>
    <row r="52" spans="1:14" x14ac:dyDescent="0.25">
      <c r="F52" s="102"/>
      <c r="G52" s="680"/>
      <c r="H52" s="607"/>
      <c r="J52" s="607"/>
      <c r="L52" s="680"/>
      <c r="M52" s="693"/>
      <c r="N52" s="6"/>
    </row>
    <row r="53" spans="1:14" x14ac:dyDescent="0.25">
      <c r="B53" s="25" t="s">
        <v>145</v>
      </c>
      <c r="E53" s="692"/>
      <c r="F53" s="308"/>
      <c r="L53" s="680"/>
      <c r="M53" s="6"/>
      <c r="N53" s="6"/>
    </row>
    <row r="54" spans="1:14" x14ac:dyDescent="0.25">
      <c r="B54" s="6" t="s">
        <v>2254</v>
      </c>
      <c r="K54" s="6"/>
      <c r="M54" s="6"/>
      <c r="N54" s="6"/>
    </row>
    <row r="55" spans="1:14" x14ac:dyDescent="0.25">
      <c r="B55" s="6" t="s">
        <v>2253</v>
      </c>
      <c r="K55" s="6"/>
      <c r="M55" s="6"/>
      <c r="N55" s="6"/>
    </row>
    <row r="56" spans="1:14" ht="14.45" customHeight="1" x14ac:dyDescent="0.25">
      <c r="B56" s="6" t="s">
        <v>2252</v>
      </c>
      <c r="K56" s="6"/>
      <c r="M56" s="6"/>
      <c r="N56" s="6"/>
    </row>
  </sheetData>
  <mergeCells count="2">
    <mergeCell ref="J42:K42"/>
    <mergeCell ref="J44:K44"/>
  </mergeCells>
  <printOptions horizontalCentered="1"/>
  <pageMargins left="1" right="1" top="1" bottom="1" header="0.5" footer="0.5"/>
  <pageSetup scale="54" orientation="landscape" r:id="rId1"/>
  <headerFooter>
    <oddHeader>&amp;R&amp;F</oddHeader>
  </headerFooter>
  <customProperties>
    <customPr name="_pios_id" r:id="rId2"/>
  </customProperties>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E1278C-51CB-47EA-9278-50438D372118}">
  <sheetPr>
    <pageSetUpPr fitToPage="1"/>
  </sheetPr>
  <dimension ref="A1:P81"/>
  <sheetViews>
    <sheetView view="pageBreakPreview" topLeftCell="A56" zoomScale="90" zoomScaleNormal="100" zoomScaleSheetLayoutView="90" workbookViewId="0">
      <selection activeCell="Q36" sqref="Q36"/>
    </sheetView>
  </sheetViews>
  <sheetFormatPr defaultColWidth="8.85546875" defaultRowHeight="15" x14ac:dyDescent="0.25"/>
  <cols>
    <col min="1" max="1" width="5.85546875" style="6" customWidth="1"/>
    <col min="2" max="2" width="9.140625" style="6" customWidth="1"/>
    <col min="3" max="3" width="18.42578125" style="6" customWidth="1"/>
    <col min="4" max="4" width="20.140625" style="680" bestFit="1" customWidth="1"/>
    <col min="5" max="5" width="19.140625" style="6" customWidth="1"/>
    <col min="6" max="6" width="16.85546875" style="6" customWidth="1"/>
    <col min="7" max="7" width="18.5703125" style="6" customWidth="1"/>
    <col min="8" max="8" width="10.42578125" style="6" customWidth="1"/>
    <col min="9" max="9" width="18.5703125" style="6" customWidth="1"/>
    <col min="10" max="10" width="2" style="6" customWidth="1"/>
    <col min="11" max="12" width="16.5703125" style="721" customWidth="1"/>
    <col min="13" max="13" width="21.140625" style="23" customWidth="1"/>
    <col min="14" max="14" width="6.85546875" style="6" customWidth="1"/>
    <col min="15" max="15" width="12.85546875" style="680" customWidth="1"/>
    <col min="16" max="16384" width="8.85546875" style="6"/>
  </cols>
  <sheetData>
    <row r="1" spans="1:16" x14ac:dyDescent="0.25">
      <c r="B1" s="30" t="s">
        <v>2341</v>
      </c>
    </row>
    <row r="2" spans="1:16" x14ac:dyDescent="0.25">
      <c r="B2" s="39" t="s">
        <v>10</v>
      </c>
      <c r="M2" s="76" t="s">
        <v>2303</v>
      </c>
    </row>
    <row r="3" spans="1:16" x14ac:dyDescent="0.25">
      <c r="B3" s="39" t="s">
        <v>2340</v>
      </c>
      <c r="C3" s="725"/>
      <c r="D3" s="707"/>
      <c r="E3" s="38"/>
      <c r="F3" s="38"/>
      <c r="K3" s="713"/>
      <c r="L3" s="713">
        <v>5</v>
      </c>
      <c r="M3" s="76" t="s">
        <v>2339</v>
      </c>
    </row>
    <row r="4" spans="1:16" x14ac:dyDescent="0.25">
      <c r="B4" s="89" t="s">
        <v>367</v>
      </c>
      <c r="C4" s="89"/>
      <c r="D4" s="89"/>
      <c r="E4" s="38"/>
      <c r="F4" s="38"/>
      <c r="K4" s="713"/>
      <c r="L4" s="713"/>
    </row>
    <row r="5" spans="1:16" ht="15.75" thickBot="1" x14ac:dyDescent="0.3">
      <c r="B5" s="39"/>
      <c r="C5" s="725"/>
      <c r="D5" s="707"/>
      <c r="E5" s="714"/>
      <c r="F5" s="38"/>
      <c r="G5" s="23"/>
      <c r="H5" s="23"/>
      <c r="I5" s="23"/>
      <c r="K5" s="713"/>
      <c r="L5" s="713"/>
      <c r="M5" s="76"/>
    </row>
    <row r="6" spans="1:16" x14ac:dyDescent="0.25">
      <c r="B6" s="39"/>
      <c r="C6" s="724"/>
      <c r="D6" s="767" t="s">
        <v>492</v>
      </c>
      <c r="E6" s="765" t="s">
        <v>491</v>
      </c>
      <c r="F6" s="175" t="s">
        <v>490</v>
      </c>
      <c r="G6" s="175" t="s">
        <v>489</v>
      </c>
      <c r="H6" s="175" t="s">
        <v>519</v>
      </c>
      <c r="I6" s="766" t="s">
        <v>518</v>
      </c>
      <c r="J6" s="25"/>
      <c r="K6" s="765" t="s">
        <v>517</v>
      </c>
      <c r="L6" s="768" t="s">
        <v>538</v>
      </c>
      <c r="M6" s="175" t="s">
        <v>537</v>
      </c>
    </row>
    <row r="7" spans="1:16" x14ac:dyDescent="0.25">
      <c r="B7" s="39"/>
      <c r="C7" s="724"/>
      <c r="D7" s="767"/>
      <c r="E7" s="765"/>
      <c r="F7" s="175"/>
      <c r="G7" s="175"/>
      <c r="H7" s="175"/>
      <c r="I7" s="766"/>
      <c r="J7" s="25"/>
      <c r="K7" s="765"/>
      <c r="L7" s="764"/>
      <c r="M7" s="175"/>
    </row>
    <row r="8" spans="1:16" x14ac:dyDescent="0.25">
      <c r="B8" s="38"/>
      <c r="C8" s="725"/>
      <c r="D8" s="721" t="s">
        <v>99</v>
      </c>
      <c r="E8" s="721" t="s">
        <v>183</v>
      </c>
      <c r="F8" s="721" t="s">
        <v>157</v>
      </c>
      <c r="G8" s="763" t="s">
        <v>2338</v>
      </c>
      <c r="H8" s="721" t="s">
        <v>350</v>
      </c>
      <c r="I8" s="763" t="s">
        <v>2337</v>
      </c>
      <c r="K8" s="763" t="s">
        <v>2336</v>
      </c>
      <c r="L8" s="762" t="s">
        <v>2335</v>
      </c>
      <c r="M8" s="163" t="s">
        <v>2334</v>
      </c>
    </row>
    <row r="9" spans="1:16" x14ac:dyDescent="0.25">
      <c r="D9" s="721" t="s">
        <v>2332</v>
      </c>
      <c r="E9" s="163" t="s">
        <v>2333</v>
      </c>
      <c r="F9" s="721" t="s">
        <v>2332</v>
      </c>
      <c r="G9" s="23" t="s">
        <v>2330</v>
      </c>
      <c r="H9" s="740" t="s">
        <v>2331</v>
      </c>
      <c r="I9" s="23" t="s">
        <v>2330</v>
      </c>
      <c r="K9" s="45" t="s">
        <v>2329</v>
      </c>
      <c r="L9" s="759" t="s">
        <v>2328</v>
      </c>
      <c r="M9" s="23" t="s">
        <v>2298</v>
      </c>
      <c r="P9" s="139"/>
    </row>
    <row r="10" spans="1:16" x14ac:dyDescent="0.25">
      <c r="D10" s="761" t="s">
        <v>2327</v>
      </c>
      <c r="E10" s="265" t="s">
        <v>2326</v>
      </c>
      <c r="F10" s="761" t="str">
        <f>D10</f>
        <v>5-Year Historical</v>
      </c>
      <c r="G10" s="760" t="str">
        <f>CONCATENATE("Scaled to ",E5)</f>
        <v xml:space="preserve">Scaled to </v>
      </c>
      <c r="H10" s="740" t="s">
        <v>2325</v>
      </c>
      <c r="I10" s="45" t="s">
        <v>2324</v>
      </c>
      <c r="K10" s="45" t="s">
        <v>2323</v>
      </c>
      <c r="L10" s="759" t="s">
        <v>2322</v>
      </c>
      <c r="M10" s="23" t="s">
        <v>2291</v>
      </c>
      <c r="P10" s="139"/>
    </row>
    <row r="11" spans="1:16" x14ac:dyDescent="0.25">
      <c r="A11" s="33" t="s">
        <v>106</v>
      </c>
      <c r="B11" s="687" t="s">
        <v>2293</v>
      </c>
      <c r="C11" s="687" t="s">
        <v>2292</v>
      </c>
      <c r="D11" s="758" t="s">
        <v>2287</v>
      </c>
      <c r="E11" s="687" t="s">
        <v>2287</v>
      </c>
      <c r="F11" s="687" t="s">
        <v>2320</v>
      </c>
      <c r="G11" s="687" t="s">
        <v>2320</v>
      </c>
      <c r="H11" s="757" t="s">
        <v>2321</v>
      </c>
      <c r="I11" s="687" t="s">
        <v>2320</v>
      </c>
      <c r="J11" s="44"/>
      <c r="K11" s="756" t="s">
        <v>2319</v>
      </c>
      <c r="L11" s="755" t="s">
        <v>2318</v>
      </c>
      <c r="M11" s="687" t="s">
        <v>2317</v>
      </c>
      <c r="N11" s="33" t="str">
        <f>A11</f>
        <v>Line</v>
      </c>
      <c r="P11" s="139"/>
    </row>
    <row r="12" spans="1:16" x14ac:dyDescent="0.25">
      <c r="H12" s="740"/>
      <c r="K12" s="482"/>
      <c r="L12" s="754"/>
      <c r="M12" s="30"/>
      <c r="P12" s="139"/>
    </row>
    <row r="13" spans="1:16" x14ac:dyDescent="0.25">
      <c r="A13" s="8">
        <v>100</v>
      </c>
      <c r="B13" s="6" t="s">
        <v>2285</v>
      </c>
      <c r="C13" s="6" t="s">
        <v>2284</v>
      </c>
      <c r="D13" s="711">
        <v>27369078705.200001</v>
      </c>
      <c r="E13" s="711">
        <v>26534621286.88102</v>
      </c>
      <c r="F13" s="744">
        <v>73764981.8063775</v>
      </c>
      <c r="G13" s="680">
        <f>(E13/D13)*F13</f>
        <v>71515957.023939297</v>
      </c>
      <c r="H13" s="753">
        <v>1.1384794179171955</v>
      </c>
      <c r="I13" s="741">
        <f>H13*G13</f>
        <v>81419445.124405578</v>
      </c>
      <c r="K13" s="747">
        <f>I13/I$43</f>
        <v>0.48074620457810052</v>
      </c>
      <c r="L13" s="739">
        <f>(I13/I$43)*L$43</f>
        <v>0.47778873940543415</v>
      </c>
      <c r="M13" s="94">
        <f ca="1">L13*$M$57</f>
        <v>1415699115.0359783</v>
      </c>
      <c r="N13" s="8">
        <f>A13</f>
        <v>100</v>
      </c>
      <c r="P13" s="139"/>
    </row>
    <row r="14" spans="1:16" x14ac:dyDescent="0.25">
      <c r="A14" s="8"/>
      <c r="D14" s="741" t="s">
        <v>2316</v>
      </c>
      <c r="E14" s="711">
        <v>119340</v>
      </c>
      <c r="F14" s="748"/>
      <c r="G14" s="680"/>
      <c r="H14" s="740"/>
      <c r="I14" s="680"/>
      <c r="K14" s="747"/>
      <c r="L14" s="739"/>
      <c r="M14" s="102"/>
      <c r="N14" s="8"/>
      <c r="P14" s="139"/>
    </row>
    <row r="15" spans="1:16" x14ac:dyDescent="0.25">
      <c r="A15" s="8">
        <f>A13+1</f>
        <v>101</v>
      </c>
      <c r="B15" s="6" t="s">
        <v>2283</v>
      </c>
      <c r="C15" s="6" t="s">
        <v>2282</v>
      </c>
      <c r="D15" s="711">
        <v>7435812387.3999996</v>
      </c>
      <c r="E15" s="711">
        <v>7306707889.9903002</v>
      </c>
      <c r="F15" s="744">
        <v>13580053.095958302</v>
      </c>
      <c r="G15" s="680">
        <f>(E15/D15)*F15</f>
        <v>13344269.049991569</v>
      </c>
      <c r="H15" s="740">
        <f>$H$13</f>
        <v>1.1384794179171955</v>
      </c>
      <c r="I15" s="741">
        <f>H15*G15</f>
        <v>15192175.660564849</v>
      </c>
      <c r="K15" s="747">
        <f>I15/I$43</f>
        <v>8.9703151095426606E-2</v>
      </c>
      <c r="L15" s="739">
        <f>(I15/I$43)*L$43</f>
        <v>8.9151313259335993E-2</v>
      </c>
      <c r="M15" s="94">
        <f ca="1">L15*$M$57</f>
        <v>264157408.65428561</v>
      </c>
      <c r="N15" s="8">
        <f>A15</f>
        <v>101</v>
      </c>
      <c r="P15" s="139"/>
    </row>
    <row r="16" spans="1:16" x14ac:dyDescent="0.25">
      <c r="A16" s="8"/>
      <c r="E16" s="680"/>
      <c r="F16" s="748"/>
      <c r="G16" s="680"/>
      <c r="H16" s="740"/>
      <c r="I16" s="680"/>
      <c r="K16" s="747"/>
      <c r="L16" s="739"/>
      <c r="M16" s="341"/>
      <c r="N16" s="8"/>
      <c r="P16" s="139"/>
    </row>
    <row r="17" spans="1:16" x14ac:dyDescent="0.25">
      <c r="A17" s="8">
        <f>A15+1</f>
        <v>102</v>
      </c>
      <c r="B17" s="6" t="s">
        <v>2281</v>
      </c>
      <c r="C17" s="6" t="s">
        <v>2280</v>
      </c>
      <c r="D17" s="711">
        <v>7457649959.1999998</v>
      </c>
      <c r="E17" s="711">
        <v>6950164813.6040421</v>
      </c>
      <c r="F17" s="744">
        <v>12990981.649826355</v>
      </c>
      <c r="G17" s="680">
        <f>(E17/D17)*F17</f>
        <v>12106959.169545749</v>
      </c>
      <c r="H17" s="740">
        <f>$H$13</f>
        <v>1.1384794179171955</v>
      </c>
      <c r="I17" s="741">
        <f>H17*G17</f>
        <v>13783523.828091698</v>
      </c>
      <c r="K17" s="747"/>
      <c r="L17" s="739"/>
      <c r="M17" s="341"/>
      <c r="N17" s="8">
        <f>A17</f>
        <v>102</v>
      </c>
      <c r="P17" s="139"/>
    </row>
    <row r="18" spans="1:16" x14ac:dyDescent="0.25">
      <c r="A18" s="8"/>
      <c r="E18" s="680"/>
      <c r="F18" s="748"/>
      <c r="G18" s="680"/>
      <c r="H18" s="740"/>
      <c r="I18" s="680"/>
      <c r="K18" s="747"/>
      <c r="L18" s="739"/>
      <c r="M18" s="341"/>
      <c r="N18" s="8"/>
      <c r="P18" s="139"/>
    </row>
    <row r="19" spans="1:16" x14ac:dyDescent="0.25">
      <c r="A19" s="8">
        <f>A17+1</f>
        <v>103</v>
      </c>
      <c r="B19" s="6" t="s">
        <v>2279</v>
      </c>
      <c r="C19" s="6" t="s">
        <v>2265</v>
      </c>
      <c r="D19" s="711">
        <v>42139045.200000003</v>
      </c>
      <c r="E19" s="751">
        <v>44351464.832957</v>
      </c>
      <c r="F19" s="744">
        <v>58843.215132794576</v>
      </c>
      <c r="G19" s="680">
        <f>(E19/D19)*F19</f>
        <v>61932.651160787616</v>
      </c>
      <c r="H19" s="753">
        <v>1.0435094</v>
      </c>
      <c r="I19" s="741">
        <f>H19*G19</f>
        <v>64627.303653202791</v>
      </c>
      <c r="K19" s="747"/>
      <c r="L19" s="739"/>
      <c r="M19" s="341"/>
      <c r="N19" s="8">
        <f>A19</f>
        <v>103</v>
      </c>
      <c r="P19" s="139"/>
    </row>
    <row r="20" spans="1:16" x14ac:dyDescent="0.25">
      <c r="A20" s="8"/>
      <c r="E20" s="752"/>
      <c r="F20" s="748"/>
      <c r="G20" s="680"/>
      <c r="H20" s="740"/>
      <c r="I20" s="680"/>
      <c r="K20" s="747"/>
      <c r="L20" s="739"/>
      <c r="M20" s="341"/>
      <c r="N20" s="8"/>
      <c r="P20" s="139"/>
    </row>
    <row r="21" spans="1:16" x14ac:dyDescent="0.25">
      <c r="A21" s="8">
        <f>A19+1</f>
        <v>104</v>
      </c>
      <c r="B21" s="6" t="s">
        <v>2279</v>
      </c>
      <c r="C21" s="6" t="s">
        <v>2264</v>
      </c>
      <c r="D21" s="711">
        <v>1171935833</v>
      </c>
      <c r="E21" s="751">
        <v>1306240222.3608332</v>
      </c>
      <c r="F21" s="744">
        <v>1882574.1096349112</v>
      </c>
      <c r="G21" s="680">
        <f>(E21/D21)*F21</f>
        <v>2098317.9747011401</v>
      </c>
      <c r="H21" s="753">
        <v>1.074143946010695</v>
      </c>
      <c r="I21" s="741">
        <f>H21*G21</f>
        <v>2253895.5493306522</v>
      </c>
      <c r="K21" s="747"/>
      <c r="L21" s="739"/>
      <c r="M21" s="341"/>
      <c r="N21" s="8">
        <f>A21</f>
        <v>104</v>
      </c>
      <c r="P21" s="139"/>
    </row>
    <row r="22" spans="1:16" x14ac:dyDescent="0.25">
      <c r="A22" s="8"/>
      <c r="E22" s="752"/>
      <c r="F22" s="748"/>
      <c r="G22" s="680"/>
      <c r="H22" s="740"/>
      <c r="I22" s="680"/>
      <c r="K22" s="747"/>
      <c r="L22" s="739"/>
      <c r="M22" s="341"/>
      <c r="N22" s="8"/>
      <c r="P22" s="139"/>
    </row>
    <row r="23" spans="1:16" x14ac:dyDescent="0.25">
      <c r="A23" s="8">
        <f>A21+1</f>
        <v>105</v>
      </c>
      <c r="B23" s="6" t="s">
        <v>2279</v>
      </c>
      <c r="C23" s="6" t="s">
        <v>2260</v>
      </c>
      <c r="D23" s="711">
        <v>11641994604.4</v>
      </c>
      <c r="E23" s="751">
        <v>13154433430.32716</v>
      </c>
      <c r="F23" s="744">
        <v>18925050.380855571</v>
      </c>
      <c r="G23" s="680">
        <f>(E23/D23)*F23</f>
        <v>21383648.065466739</v>
      </c>
      <c r="H23" s="740">
        <f>$H$13</f>
        <v>1.1384794179171955</v>
      </c>
      <c r="I23" s="741">
        <f>H23*G23</f>
        <v>24344843.202518739</v>
      </c>
      <c r="K23" s="747"/>
      <c r="L23" s="739"/>
      <c r="M23" s="341"/>
      <c r="N23" s="8">
        <f>A23</f>
        <v>105</v>
      </c>
      <c r="P23" s="139"/>
    </row>
    <row r="24" spans="1:16" x14ac:dyDescent="0.25">
      <c r="A24" s="8"/>
      <c r="E24" s="680"/>
      <c r="F24" s="748"/>
      <c r="G24" s="680"/>
      <c r="H24" s="740"/>
      <c r="I24" s="680"/>
      <c r="K24" s="747"/>
      <c r="L24" s="739"/>
      <c r="M24" s="341"/>
      <c r="N24" s="8"/>
      <c r="P24" s="139"/>
    </row>
    <row r="25" spans="1:16" x14ac:dyDescent="0.25">
      <c r="A25" s="8">
        <f>A23+1</f>
        <v>106</v>
      </c>
      <c r="B25" s="6" t="s">
        <v>2278</v>
      </c>
      <c r="D25" s="680">
        <f>SUM(D17:D23)</f>
        <v>20313719441.799999</v>
      </c>
      <c r="E25" s="680">
        <f>SUM(E17:E23)</f>
        <v>21455189931.124992</v>
      </c>
      <c r="F25" s="680">
        <f>SUM(F17:F23)</f>
        <v>33857449.355449632</v>
      </c>
      <c r="G25" s="680">
        <f>SUM(G17:G23)</f>
        <v>35650857.860874414</v>
      </c>
      <c r="H25" s="680"/>
      <c r="I25" s="680">
        <f>SUM(I17:I23)</f>
        <v>40446889.883594289</v>
      </c>
      <c r="K25" s="747">
        <f>I25/I$43</f>
        <v>0.23882119030430182</v>
      </c>
      <c r="L25" s="739">
        <f>(I25/I$43)*L$43</f>
        <v>0.23735200480456492</v>
      </c>
      <c r="M25" s="94">
        <f ca="1">L25*$M$57</f>
        <v>703279494.55649328</v>
      </c>
      <c r="N25" s="8">
        <f>A25</f>
        <v>106</v>
      </c>
      <c r="P25" s="139"/>
    </row>
    <row r="26" spans="1:16" x14ac:dyDescent="0.25">
      <c r="A26" s="8"/>
      <c r="E26" s="680"/>
      <c r="F26" s="748"/>
      <c r="G26" s="680"/>
      <c r="H26" s="740"/>
      <c r="I26" s="680"/>
      <c r="K26" s="747"/>
      <c r="L26" s="739"/>
      <c r="M26" s="341"/>
      <c r="N26" s="8"/>
      <c r="P26" s="139"/>
    </row>
    <row r="27" spans="1:16" x14ac:dyDescent="0.25">
      <c r="A27" s="8">
        <f>A25+1</f>
        <v>107</v>
      </c>
      <c r="B27" s="6" t="s">
        <v>2277</v>
      </c>
      <c r="C27" s="6" t="s">
        <v>2276</v>
      </c>
      <c r="D27" s="711">
        <v>243629620.59999973</v>
      </c>
      <c r="E27" s="711">
        <v>240593298.48375499</v>
      </c>
      <c r="F27" s="744">
        <v>385597.3175584072</v>
      </c>
      <c r="G27" s="680">
        <f>(E27/D27)*F27</f>
        <v>380791.67175727739</v>
      </c>
      <c r="H27" s="740">
        <f>$H$13</f>
        <v>1.1384794179171955</v>
      </c>
      <c r="I27" s="741">
        <f>H27*G27</f>
        <v>433523.48080994096</v>
      </c>
      <c r="K27" s="747">
        <f>I27/I$43</f>
        <v>2.5597664989784304E-3</v>
      </c>
      <c r="L27" s="739">
        <f>(I27/I$43)*L$43</f>
        <v>2.5440192706097102E-3</v>
      </c>
      <c r="M27" s="94">
        <f ca="1">L27*$M$57</f>
        <v>7537988.0959908599</v>
      </c>
      <c r="N27" s="8">
        <f>A27</f>
        <v>107</v>
      </c>
      <c r="P27" s="139"/>
    </row>
    <row r="28" spans="1:16" x14ac:dyDescent="0.25">
      <c r="A28" s="8"/>
      <c r="E28" s="680"/>
      <c r="F28" s="748"/>
      <c r="G28" s="680"/>
      <c r="H28" s="740"/>
      <c r="I28" s="680"/>
      <c r="K28" s="747"/>
      <c r="L28" s="739"/>
      <c r="M28" s="341"/>
      <c r="N28" s="8"/>
      <c r="P28" s="139"/>
    </row>
    <row r="29" spans="1:16" x14ac:dyDescent="0.25">
      <c r="A29" s="8">
        <f>A27+1</f>
        <v>108</v>
      </c>
      <c r="B29" s="6" t="s">
        <v>2274</v>
      </c>
      <c r="C29" s="6" t="s">
        <v>2273</v>
      </c>
      <c r="D29" s="749">
        <v>494518353</v>
      </c>
      <c r="E29" s="711">
        <v>396307494.34312904</v>
      </c>
      <c r="F29" s="744">
        <v>778421.41363204492</v>
      </c>
      <c r="G29" s="680">
        <f>(E29/D29)*F29</f>
        <v>623827.68628923292</v>
      </c>
      <c r="H29" s="740">
        <f>$H$13</f>
        <v>1.1384794179171955</v>
      </c>
      <c r="I29" s="741">
        <f>H29*G29</f>
        <v>710214.98116719676</v>
      </c>
      <c r="K29" s="747"/>
      <c r="L29" s="739"/>
      <c r="M29" s="341"/>
      <c r="N29" s="8">
        <f>A29</f>
        <v>108</v>
      </c>
      <c r="P29" s="139"/>
    </row>
    <row r="30" spans="1:16" x14ac:dyDescent="0.25">
      <c r="A30" s="8"/>
      <c r="D30" s="750"/>
      <c r="E30" s="680"/>
      <c r="F30" s="748"/>
      <c r="G30" s="680"/>
      <c r="H30" s="740"/>
      <c r="I30" s="680"/>
      <c r="K30" s="747"/>
      <c r="L30" s="739"/>
      <c r="M30" s="341"/>
      <c r="N30" s="8"/>
      <c r="P30" s="139"/>
    </row>
    <row r="31" spans="1:16" x14ac:dyDescent="0.25">
      <c r="A31" s="8">
        <f>A29+1</f>
        <v>109</v>
      </c>
      <c r="B31" s="6" t="s">
        <v>2272</v>
      </c>
      <c r="C31" s="6" t="s">
        <v>2271</v>
      </c>
      <c r="D31" s="749">
        <v>5769322815</v>
      </c>
      <c r="E31" s="711">
        <v>4865079953.0029192</v>
      </c>
      <c r="F31" s="744">
        <v>9716645.0586570594</v>
      </c>
      <c r="G31" s="680">
        <f>(E31/D31)*F31</f>
        <v>8193726.8204877414</v>
      </c>
      <c r="H31" s="740">
        <f>$H$13</f>
        <v>1.1384794179171955</v>
      </c>
      <c r="I31" s="741">
        <f>H31*G31</f>
        <v>9328389.3411613964</v>
      </c>
      <c r="K31" s="747"/>
      <c r="L31" s="739"/>
      <c r="M31" s="341"/>
      <c r="N31" s="8">
        <f>A31</f>
        <v>109</v>
      </c>
      <c r="P31" s="139"/>
    </row>
    <row r="32" spans="1:16" x14ac:dyDescent="0.25">
      <c r="A32" s="8"/>
      <c r="D32" s="6"/>
      <c r="E32" s="680"/>
      <c r="F32" s="748"/>
      <c r="G32" s="680"/>
      <c r="H32" s="740"/>
      <c r="I32" s="680"/>
      <c r="K32" s="747"/>
      <c r="L32" s="739"/>
      <c r="M32" s="341"/>
      <c r="N32" s="8"/>
      <c r="P32" s="139"/>
    </row>
    <row r="33" spans="1:16" x14ac:dyDescent="0.25">
      <c r="A33" s="8">
        <f>A31+1</f>
        <v>110</v>
      </c>
      <c r="B33" s="6" t="s">
        <v>2270</v>
      </c>
      <c r="D33" s="680">
        <f>SUM(D29:D32)</f>
        <v>6263841168</v>
      </c>
      <c r="E33" s="680">
        <f>SUM(E29:E32)</f>
        <v>5261387447.3460484</v>
      </c>
      <c r="F33" s="680">
        <f>SUM(F29:F32)</f>
        <v>10495066.472289104</v>
      </c>
      <c r="G33" s="680">
        <f>SUM(G29:G32)</f>
        <v>8817554.5067769736</v>
      </c>
      <c r="H33" s="740"/>
      <c r="I33" s="680">
        <f>SUM(I29:I32)</f>
        <v>10038604.322328594</v>
      </c>
      <c r="K33" s="747">
        <f>I33/I$43</f>
        <v>5.927356689605074E-2</v>
      </c>
      <c r="L33" s="739">
        <f>(I33/I$43)*L$43</f>
        <v>5.8908926451497215E-2</v>
      </c>
      <c r="M33" s="94">
        <f ca="1">L33*$M$57</f>
        <v>174548515.20545402</v>
      </c>
      <c r="N33" s="8">
        <f>A33</f>
        <v>110</v>
      </c>
      <c r="P33" s="139"/>
    </row>
    <row r="34" spans="1:16" x14ac:dyDescent="0.25">
      <c r="A34" s="8"/>
      <c r="D34" s="6"/>
      <c r="E34" s="680"/>
      <c r="F34" s="748"/>
      <c r="G34" s="680"/>
      <c r="H34" s="740"/>
      <c r="I34" s="680"/>
      <c r="K34" s="747"/>
      <c r="L34" s="739"/>
      <c r="M34" s="341"/>
      <c r="N34" s="8"/>
      <c r="P34" s="139"/>
    </row>
    <row r="35" spans="1:16" x14ac:dyDescent="0.25">
      <c r="A35" s="8">
        <f>A33+1</f>
        <v>111</v>
      </c>
      <c r="B35" s="6" t="s">
        <v>2268</v>
      </c>
      <c r="C35" s="6" t="s">
        <v>2265</v>
      </c>
      <c r="D35" s="742">
        <v>5823891363.8000002</v>
      </c>
      <c r="E35" s="711">
        <v>5040060123.938549</v>
      </c>
      <c r="F35" s="744">
        <v>8615750.1531629656</v>
      </c>
      <c r="G35" s="680">
        <f>(E35/D35)*F35</f>
        <v>7456165.658358139</v>
      </c>
      <c r="H35" s="740">
        <f>$H$19</f>
        <v>1.0435094</v>
      </c>
      <c r="I35" s="741">
        <f>H35*G35</f>
        <v>7780578.9524539066</v>
      </c>
      <c r="K35" s="747"/>
      <c r="L35" s="739"/>
      <c r="M35" s="341"/>
      <c r="N35" s="8">
        <f>A35</f>
        <v>111</v>
      </c>
      <c r="P35" s="139"/>
    </row>
    <row r="36" spans="1:16" x14ac:dyDescent="0.25">
      <c r="A36" s="8"/>
      <c r="D36" s="743"/>
      <c r="E36" s="680"/>
      <c r="F36" s="748"/>
      <c r="G36" s="680"/>
      <c r="H36" s="740"/>
      <c r="I36" s="680"/>
      <c r="K36" s="747"/>
      <c r="L36" s="739"/>
      <c r="M36" s="341"/>
      <c r="N36" s="8"/>
      <c r="P36" s="139"/>
    </row>
    <row r="37" spans="1:16" x14ac:dyDescent="0.25">
      <c r="A37" s="8">
        <f>A35+1</f>
        <v>112</v>
      </c>
      <c r="B37" s="6" t="s">
        <v>2268</v>
      </c>
      <c r="C37" s="6" t="s">
        <v>2264</v>
      </c>
      <c r="D37" s="742">
        <v>6159706418.8000002</v>
      </c>
      <c r="E37" s="711">
        <v>6628524022.4433012</v>
      </c>
      <c r="F37" s="744">
        <v>9241793.6139833275</v>
      </c>
      <c r="G37" s="680">
        <f>(E37/D37)*F37</f>
        <v>9945190.0489578526</v>
      </c>
      <c r="H37" s="740">
        <f>$H$21</f>
        <v>1.074143946010695</v>
      </c>
      <c r="I37" s="741">
        <f>H37*G37</f>
        <v>10682565.683013884</v>
      </c>
      <c r="K37" s="747"/>
      <c r="L37" s="739"/>
      <c r="M37" s="341"/>
      <c r="N37" s="8">
        <f>A37</f>
        <v>112</v>
      </c>
      <c r="P37" s="139"/>
    </row>
    <row r="38" spans="1:16" x14ac:dyDescent="0.25">
      <c r="A38" s="8"/>
      <c r="D38" s="743"/>
      <c r="E38" s="680"/>
      <c r="F38" s="748"/>
      <c r="G38" s="680"/>
      <c r="H38" s="740"/>
      <c r="I38" s="680"/>
      <c r="K38" s="747"/>
      <c r="L38" s="739"/>
      <c r="M38" s="341"/>
      <c r="N38" s="8"/>
      <c r="P38" s="139"/>
    </row>
    <row r="39" spans="1:16" x14ac:dyDescent="0.25">
      <c r="A39" s="8">
        <f>A37+1</f>
        <v>113</v>
      </c>
      <c r="B39" s="6" t="s">
        <v>2268</v>
      </c>
      <c r="C39" s="6" t="s">
        <v>2260</v>
      </c>
      <c r="D39" s="742">
        <v>1940783775.4000001</v>
      </c>
      <c r="E39" s="711">
        <v>1986879427.374886</v>
      </c>
      <c r="F39" s="744">
        <v>2888646.8131404994</v>
      </c>
      <c r="G39" s="680">
        <f>(E39/D39)*F39</f>
        <v>2957255.2072669626</v>
      </c>
      <c r="H39" s="740">
        <f>$H$13</f>
        <v>1.1384794179171955</v>
      </c>
      <c r="I39" s="741">
        <f>H39*G39</f>
        <v>3366774.1870018872</v>
      </c>
      <c r="K39" s="747"/>
      <c r="L39" s="739"/>
      <c r="M39" s="341"/>
      <c r="N39" s="8">
        <f>A39</f>
        <v>113</v>
      </c>
      <c r="P39" s="139"/>
    </row>
    <row r="40" spans="1:16" x14ac:dyDescent="0.25">
      <c r="A40" s="8"/>
      <c r="D40" s="743"/>
      <c r="E40" s="680"/>
      <c r="F40" s="745"/>
      <c r="G40" s="680"/>
      <c r="H40" s="740"/>
      <c r="I40" s="680"/>
      <c r="K40" s="747"/>
      <c r="L40" s="739"/>
      <c r="M40" s="341"/>
      <c r="N40" s="8"/>
      <c r="P40" s="139"/>
    </row>
    <row r="41" spans="1:16" x14ac:dyDescent="0.25">
      <c r="A41" s="8">
        <f>A39+1</f>
        <v>114</v>
      </c>
      <c r="B41" s="6" t="s">
        <v>2315</v>
      </c>
      <c r="D41" s="680">
        <f>SUM(D35:D40)</f>
        <v>13924381558</v>
      </c>
      <c r="E41" s="680">
        <f>SUM(E35:E40)</f>
        <v>13655463573.756737</v>
      </c>
      <c r="F41" s="680">
        <f>SUM(F35:F40)</f>
        <v>20746190.580286793</v>
      </c>
      <c r="G41" s="680">
        <f>SUM(G35:G40)</f>
        <v>20358610.914582957</v>
      </c>
      <c r="H41" s="740"/>
      <c r="I41" s="680">
        <f>SUM(I35:I40)</f>
        <v>21829918.822469678</v>
      </c>
      <c r="K41" s="747">
        <f>I41/I$43</f>
        <v>0.12889612062714181</v>
      </c>
      <c r="L41" s="739">
        <f>(I41/I$43)*L$43</f>
        <v>0.12810317461110177</v>
      </c>
      <c r="M41" s="94">
        <f ca="1">L41*$M$57</f>
        <v>379572677.15416884</v>
      </c>
      <c r="N41" s="8">
        <f>A41</f>
        <v>114</v>
      </c>
      <c r="P41" s="139"/>
    </row>
    <row r="42" spans="1:16" x14ac:dyDescent="0.25">
      <c r="A42" s="8"/>
      <c r="D42" s="743"/>
      <c r="E42" s="680"/>
      <c r="F42" s="745"/>
      <c r="G42" s="680"/>
      <c r="H42" s="740"/>
      <c r="I42" s="680"/>
      <c r="K42" s="116"/>
      <c r="L42" s="739"/>
      <c r="M42" s="341"/>
      <c r="N42" s="8"/>
      <c r="P42" s="139"/>
    </row>
    <row r="43" spans="1:16" x14ac:dyDescent="0.25">
      <c r="A43" s="8">
        <f>A41+1</f>
        <v>115</v>
      </c>
      <c r="B43" s="30" t="s">
        <v>2314</v>
      </c>
      <c r="C43" s="30"/>
      <c r="D43" s="713">
        <f>+D13+D15+D25+D27+D33+D41</f>
        <v>75550462881</v>
      </c>
      <c r="E43" s="713">
        <f>+E13+E15+E25+E27+E33+E41</f>
        <v>74453963427.582855</v>
      </c>
      <c r="F43" s="713">
        <f>+F13+F15+F25+F27+F33+F41</f>
        <v>152829338.62791973</v>
      </c>
      <c r="G43" s="713">
        <f>+G13+G15+G25+G27+G33+G41</f>
        <v>150068041.02792248</v>
      </c>
      <c r="H43" s="30"/>
      <c r="I43" s="713">
        <f>+I13+I15+I25+I27+I33+I41</f>
        <v>169360557.29417294</v>
      </c>
      <c r="J43" s="30"/>
      <c r="K43" s="421">
        <f>SUM(K13:K42)</f>
        <v>1</v>
      </c>
      <c r="L43" s="746">
        <f>1-L52</f>
        <v>0.99384817780254386</v>
      </c>
      <c r="M43" s="94">
        <f ca="1">L43*$M$57</f>
        <v>2944795198.7023711</v>
      </c>
      <c r="N43" s="8">
        <f>A43</f>
        <v>115</v>
      </c>
      <c r="P43" s="139"/>
    </row>
    <row r="44" spans="1:16" x14ac:dyDescent="0.25">
      <c r="A44" s="8"/>
      <c r="D44" s="743"/>
      <c r="E44" s="680"/>
      <c r="F44" s="745"/>
      <c r="G44" s="680"/>
      <c r="H44" s="740"/>
      <c r="I44" s="680"/>
      <c r="K44" s="116"/>
      <c r="L44" s="739"/>
      <c r="M44" s="341"/>
      <c r="N44" s="8"/>
      <c r="P44" s="139"/>
    </row>
    <row r="45" spans="1:16" x14ac:dyDescent="0.25">
      <c r="A45" s="8"/>
      <c r="D45" s="743"/>
      <c r="E45" s="680"/>
      <c r="F45" s="745"/>
      <c r="G45" s="680"/>
      <c r="H45" s="740"/>
      <c r="I45" s="680"/>
      <c r="K45" s="116"/>
      <c r="L45" s="739"/>
      <c r="M45" s="341"/>
      <c r="N45" s="8"/>
      <c r="P45" s="139"/>
    </row>
    <row r="46" spans="1:16" x14ac:dyDescent="0.25">
      <c r="A46" s="8">
        <f>A43+1</f>
        <v>116</v>
      </c>
      <c r="B46" s="6" t="s">
        <v>2261</v>
      </c>
      <c r="C46" s="6" t="s">
        <v>2265</v>
      </c>
      <c r="D46" s="742">
        <v>672778649.79999995</v>
      </c>
      <c r="E46" s="711">
        <v>537214434.44261599</v>
      </c>
      <c r="F46" s="744">
        <v>720137.73518254014</v>
      </c>
      <c r="G46" s="680">
        <f>(E46/D46)*F46</f>
        <v>575030.71216941986</v>
      </c>
      <c r="H46" s="740">
        <f>$H$19</f>
        <v>1.0435094</v>
      </c>
      <c r="I46" s="741">
        <f>H46*G46</f>
        <v>600049.95343748399</v>
      </c>
      <c r="K46" s="116"/>
      <c r="L46" s="739"/>
      <c r="M46" s="341"/>
      <c r="N46" s="8">
        <f>A46</f>
        <v>116</v>
      </c>
      <c r="P46" s="139"/>
    </row>
    <row r="47" spans="1:16" x14ac:dyDescent="0.25">
      <c r="A47" s="8"/>
      <c r="D47" s="743"/>
      <c r="E47" s="680"/>
      <c r="F47" s="743"/>
      <c r="G47" s="680"/>
      <c r="H47" s="740"/>
      <c r="I47" s="680"/>
      <c r="K47" s="116"/>
      <c r="L47" s="739"/>
      <c r="M47" s="341"/>
      <c r="N47" s="8"/>
      <c r="P47" s="139"/>
    </row>
    <row r="48" spans="1:16" x14ac:dyDescent="0.25">
      <c r="A48" s="8">
        <f>A46+1</f>
        <v>117</v>
      </c>
      <c r="B48" s="6" t="s">
        <v>2261</v>
      </c>
      <c r="C48" s="6" t="s">
        <v>2264</v>
      </c>
      <c r="D48" s="742">
        <v>14004355.200000001</v>
      </c>
      <c r="E48" s="711">
        <v>12791418.344937</v>
      </c>
      <c r="F48" s="744">
        <v>36981.016872188651</v>
      </c>
      <c r="G48" s="680">
        <f>(E48/D48)*F48</f>
        <v>33778.039108386693</v>
      </c>
      <c r="H48" s="740">
        <f>$H$21</f>
        <v>1.074143946010695</v>
      </c>
      <c r="I48" s="741">
        <f>H48*G48</f>
        <v>36282.476216386058</v>
      </c>
      <c r="K48" s="116"/>
      <c r="L48" s="739"/>
      <c r="M48" s="341"/>
      <c r="N48" s="8">
        <f>A48</f>
        <v>117</v>
      </c>
      <c r="P48" s="139"/>
    </row>
    <row r="49" spans="1:16" x14ac:dyDescent="0.25">
      <c r="A49" s="8"/>
      <c r="D49" s="743"/>
      <c r="E49" s="680"/>
      <c r="F49" s="743"/>
      <c r="G49" s="680"/>
      <c r="H49" s="740"/>
      <c r="I49" s="680"/>
      <c r="K49" s="116"/>
      <c r="L49" s="739"/>
      <c r="M49" s="341"/>
      <c r="N49" s="8"/>
      <c r="P49" s="139"/>
    </row>
    <row r="50" spans="1:16" x14ac:dyDescent="0.25">
      <c r="A50" s="8">
        <f>A48+1</f>
        <v>118</v>
      </c>
      <c r="B50" s="6" t="s">
        <v>2261</v>
      </c>
      <c r="C50" s="6" t="s">
        <v>2260</v>
      </c>
      <c r="D50" s="742">
        <v>1489086.4000000001</v>
      </c>
      <c r="E50" s="711">
        <v>484733.03026000015</v>
      </c>
      <c r="F50" s="742">
        <v>4110.8274998792622</v>
      </c>
      <c r="G50" s="680">
        <f>(E50/D50)*F50</f>
        <v>1338.1720972621972</v>
      </c>
      <c r="H50" s="740">
        <f>$H$13</f>
        <v>1.1384794179171955</v>
      </c>
      <c r="I50" s="741">
        <f>H50*G50</f>
        <v>1523.4813903640991</v>
      </c>
      <c r="K50" s="116"/>
      <c r="L50" s="739"/>
      <c r="M50" s="341"/>
      <c r="N50" s="8">
        <f>A50</f>
        <v>118</v>
      </c>
      <c r="P50" s="139"/>
    </row>
    <row r="51" spans="1:16" x14ac:dyDescent="0.25">
      <c r="A51" s="8"/>
      <c r="E51" s="680"/>
      <c r="F51" s="680"/>
      <c r="G51" s="680"/>
      <c r="H51" s="740"/>
      <c r="I51" s="680"/>
      <c r="K51" s="116"/>
      <c r="L51" s="739"/>
      <c r="M51" s="341"/>
      <c r="N51" s="8"/>
      <c r="P51" s="139"/>
    </row>
    <row r="52" spans="1:16" x14ac:dyDescent="0.25">
      <c r="A52" s="8">
        <f>A50+1</f>
        <v>119</v>
      </c>
      <c r="B52" s="6" t="s">
        <v>2313</v>
      </c>
      <c r="D52" s="680">
        <f>SUM(D46:D50)</f>
        <v>688272091.39999998</v>
      </c>
      <c r="E52" s="680">
        <f>SUM(E46:E50)</f>
        <v>550490585.81781292</v>
      </c>
      <c r="F52" s="680">
        <f>SUM(F46:F50)</f>
        <v>761229.57955460809</v>
      </c>
      <c r="G52" s="680">
        <f>SUM(G46:G50)</f>
        <v>610146.92337506881</v>
      </c>
      <c r="H52" s="680"/>
      <c r="I52" s="680">
        <f>SUM(I46:I50)</f>
        <v>637855.91104423418</v>
      </c>
      <c r="K52" s="738"/>
      <c r="L52" s="737">
        <v>6.151822197456175E-3</v>
      </c>
      <c r="M52" s="30">
        <f ca="1">L52*$M$57</f>
        <v>18227991.83512599</v>
      </c>
      <c r="N52" s="8">
        <f>A52</f>
        <v>119</v>
      </c>
      <c r="P52" s="139"/>
    </row>
    <row r="53" spans="1:16" x14ac:dyDescent="0.25">
      <c r="A53" s="8"/>
      <c r="B53" s="482"/>
      <c r="E53" s="680"/>
      <c r="F53" s="680"/>
      <c r="G53" s="680"/>
      <c r="I53" s="680"/>
      <c r="K53" s="116"/>
      <c r="L53" s="736"/>
      <c r="M53" s="341"/>
      <c r="N53" s="8"/>
      <c r="P53" s="139"/>
    </row>
    <row r="54" spans="1:16" ht="15.75" thickBot="1" x14ac:dyDescent="0.3">
      <c r="A54" s="8"/>
      <c r="K54" s="116"/>
      <c r="L54" s="736"/>
      <c r="M54" s="8"/>
      <c r="N54" s="8"/>
    </row>
    <row r="55" spans="1:16" ht="15.75" thickBot="1" x14ac:dyDescent="0.3">
      <c r="A55" s="8">
        <f>A52+1</f>
        <v>120</v>
      </c>
      <c r="B55" s="735" t="s">
        <v>2312</v>
      </c>
      <c r="C55" s="733"/>
      <c r="D55" s="734">
        <f>+D13+D15+D25+D27+D33+D41+D52</f>
        <v>76238734972.399994</v>
      </c>
      <c r="E55" s="734">
        <f>+E13+E15+E25+E27+E33+E41+E52</f>
        <v>75004454013.400665</v>
      </c>
      <c r="F55" s="734">
        <f>+F13+F15+F25+F27+F33+F41+F52</f>
        <v>153590568.20747435</v>
      </c>
      <c r="G55" s="734">
        <f>+G52++G43</f>
        <v>150678187.95129755</v>
      </c>
      <c r="H55" s="733"/>
      <c r="I55" s="734">
        <f>I43+I52</f>
        <v>169998413.20521718</v>
      </c>
      <c r="J55" s="733"/>
      <c r="K55" s="732"/>
      <c r="L55" s="731">
        <f>L43+L52</f>
        <v>1</v>
      </c>
      <c r="M55" s="728">
        <f ca="1">M43+M52</f>
        <v>2963023190.537497</v>
      </c>
      <c r="N55" s="8">
        <f>A55</f>
        <v>120</v>
      </c>
    </row>
    <row r="56" spans="1:16" ht="15.75" thickBot="1" x14ac:dyDescent="0.3">
      <c r="A56" s="8"/>
      <c r="D56" s="6"/>
      <c r="N56" s="8"/>
    </row>
    <row r="57" spans="1:16" ht="15.75" thickBot="1" x14ac:dyDescent="0.3">
      <c r="A57" s="8">
        <f>A55+1</f>
        <v>121</v>
      </c>
      <c r="B57" s="730" t="s">
        <v>2311</v>
      </c>
      <c r="C57" s="729"/>
      <c r="D57" s="729"/>
      <c r="E57" s="729"/>
      <c r="F57" s="729"/>
      <c r="G57" s="729"/>
      <c r="H57" s="729"/>
      <c r="I57" s="729"/>
      <c r="J57" s="729"/>
      <c r="K57" s="729"/>
      <c r="L57" s="729"/>
      <c r="M57" s="728">
        <f ca="1">'1-BaseTRR'!E193</f>
        <v>2963023190.537497</v>
      </c>
      <c r="N57" s="8">
        <f>A57</f>
        <v>121</v>
      </c>
    </row>
    <row r="58" spans="1:16" x14ac:dyDescent="0.25">
      <c r="M58" s="722"/>
    </row>
    <row r="59" spans="1:16" x14ac:dyDescent="0.25">
      <c r="B59" s="25" t="s">
        <v>145</v>
      </c>
      <c r="D59" s="6"/>
      <c r="E59" s="692"/>
      <c r="F59" s="308"/>
      <c r="K59" s="6"/>
      <c r="L59" s="6"/>
      <c r="M59" s="6"/>
      <c r="N59" s="680"/>
      <c r="O59" s="6"/>
    </row>
    <row r="60" spans="1:16" x14ac:dyDescent="0.25">
      <c r="B60" s="6" t="s">
        <v>2310</v>
      </c>
      <c r="D60" s="6"/>
      <c r="K60" s="6"/>
      <c r="L60" s="6"/>
      <c r="M60" s="6"/>
      <c r="O60" s="6"/>
    </row>
    <row r="61" spans="1:16" x14ac:dyDescent="0.25">
      <c r="B61" s="6" t="s">
        <v>2309</v>
      </c>
      <c r="D61" s="6"/>
      <c r="K61" s="6"/>
      <c r="L61" s="6"/>
      <c r="M61" s="6"/>
      <c r="O61" s="6"/>
    </row>
    <row r="62" spans="1:16" x14ac:dyDescent="0.25">
      <c r="B62" s="6" t="s">
        <v>2308</v>
      </c>
      <c r="D62" s="6"/>
      <c r="K62" s="6"/>
      <c r="L62" s="6"/>
      <c r="M62" s="6"/>
      <c r="O62" s="6"/>
    </row>
    <row r="63" spans="1:16" ht="14.45" customHeight="1" x14ac:dyDescent="0.25">
      <c r="B63" s="6" t="s">
        <v>2307</v>
      </c>
      <c r="D63" s="6"/>
      <c r="K63" s="6"/>
      <c r="L63" s="6"/>
      <c r="M63" s="6"/>
      <c r="O63" s="6"/>
    </row>
    <row r="64" spans="1:16" ht="33" customHeight="1" x14ac:dyDescent="0.25">
      <c r="B64" s="6" t="s">
        <v>2306</v>
      </c>
      <c r="D64" s="6"/>
      <c r="K64" s="6"/>
      <c r="L64" s="6"/>
      <c r="M64" s="6"/>
      <c r="O64" s="6"/>
    </row>
    <row r="65" spans="2:6" x14ac:dyDescent="0.25">
      <c r="B65" s="6" t="s">
        <v>2305</v>
      </c>
      <c r="E65" s="727"/>
      <c r="F65" s="727"/>
    </row>
    <row r="66" spans="2:6" x14ac:dyDescent="0.25">
      <c r="F66" s="727"/>
    </row>
    <row r="67" spans="2:6" x14ac:dyDescent="0.25">
      <c r="D67" s="723"/>
      <c r="F67" s="680"/>
    </row>
    <row r="68" spans="2:6" x14ac:dyDescent="0.25">
      <c r="F68" s="680"/>
    </row>
    <row r="69" spans="2:6" x14ac:dyDescent="0.25">
      <c r="F69" s="680"/>
    </row>
    <row r="70" spans="2:6" x14ac:dyDescent="0.25">
      <c r="F70" s="680"/>
    </row>
    <row r="71" spans="2:6" x14ac:dyDescent="0.25">
      <c r="F71" s="680"/>
    </row>
    <row r="72" spans="2:6" x14ac:dyDescent="0.25">
      <c r="F72" s="727"/>
    </row>
    <row r="73" spans="2:6" x14ac:dyDescent="0.25">
      <c r="F73" s="727"/>
    </row>
    <row r="74" spans="2:6" x14ac:dyDescent="0.25">
      <c r="D74" s="723"/>
      <c r="F74" s="727"/>
    </row>
    <row r="75" spans="2:6" x14ac:dyDescent="0.25">
      <c r="E75" s="680"/>
      <c r="F75" s="680"/>
    </row>
    <row r="76" spans="2:6" x14ac:dyDescent="0.25">
      <c r="F76" s="727"/>
    </row>
    <row r="77" spans="2:6" x14ac:dyDescent="0.25">
      <c r="F77" s="727"/>
    </row>
    <row r="78" spans="2:6" x14ac:dyDescent="0.25">
      <c r="F78" s="727"/>
    </row>
    <row r="79" spans="2:6" x14ac:dyDescent="0.25">
      <c r="F79" s="727"/>
    </row>
    <row r="81" spans="4:4" x14ac:dyDescent="0.25">
      <c r="D81" s="723"/>
    </row>
  </sheetData>
  <mergeCells count="1">
    <mergeCell ref="B57:L57"/>
  </mergeCells>
  <printOptions horizontalCentered="1"/>
  <pageMargins left="1" right="1" top="1" bottom="1" header="0.5" footer="0.5"/>
  <pageSetup scale="46" orientation="landscape" r:id="rId1"/>
  <headerFooter>
    <oddHeader>&amp;R&amp;F</oddHeader>
  </headerFooter>
  <customProperties>
    <customPr name="_pios_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B0CE60-F41E-4150-AB75-8E0FBADED952}">
  <sheetPr>
    <pageSetUpPr fitToPage="1"/>
  </sheetPr>
  <dimension ref="A1:I45"/>
  <sheetViews>
    <sheetView view="pageBreakPreview" zoomScale="85" zoomScaleNormal="100" zoomScaleSheetLayoutView="85" workbookViewId="0">
      <selection activeCell="Q36" sqref="Q36"/>
    </sheetView>
  </sheetViews>
  <sheetFormatPr defaultRowHeight="15" x14ac:dyDescent="0.25"/>
  <cols>
    <col min="1" max="1" width="19.85546875" customWidth="1"/>
    <col min="2" max="2" width="30.85546875" customWidth="1"/>
    <col min="3" max="3" width="29.85546875" customWidth="1"/>
    <col min="4" max="4" width="100.42578125" customWidth="1"/>
    <col min="7" max="7" width="18" customWidth="1"/>
  </cols>
  <sheetData>
    <row r="1" spans="1:9" x14ac:dyDescent="0.25">
      <c r="A1" s="9" t="s">
        <v>136</v>
      </c>
      <c r="B1" s="9"/>
      <c r="C1" s="9"/>
      <c r="D1" s="9"/>
    </row>
    <row r="4" spans="1:9" x14ac:dyDescent="0.25">
      <c r="A4" s="19" t="s">
        <v>135</v>
      </c>
    </row>
    <row r="6" spans="1:9" x14ac:dyDescent="0.25">
      <c r="A6" s="19" t="s">
        <v>134</v>
      </c>
    </row>
    <row r="7" spans="1:9" ht="25.5" customHeight="1" x14ac:dyDescent="0.25">
      <c r="A7" t="s">
        <v>133</v>
      </c>
      <c r="E7" s="20"/>
      <c r="F7" s="20"/>
      <c r="G7" s="20"/>
      <c r="H7" s="20"/>
      <c r="I7" s="20"/>
    </row>
    <row r="9" spans="1:9" x14ac:dyDescent="0.25">
      <c r="A9" s="19" t="s">
        <v>132</v>
      </c>
    </row>
    <row r="10" spans="1:9" ht="26.1" customHeight="1" x14ac:dyDescent="0.25">
      <c r="A10" t="s">
        <v>131</v>
      </c>
      <c r="E10" s="20"/>
      <c r="F10" s="20"/>
      <c r="G10" s="20"/>
      <c r="H10" s="20"/>
      <c r="I10" s="20"/>
    </row>
    <row r="12" spans="1:9" x14ac:dyDescent="0.25">
      <c r="A12" s="19" t="s">
        <v>130</v>
      </c>
    </row>
    <row r="13" spans="1:9" ht="38.450000000000003" customHeight="1" x14ac:dyDescent="0.25">
      <c r="A13" t="s">
        <v>129</v>
      </c>
      <c r="E13" s="20"/>
      <c r="F13" s="20"/>
      <c r="G13" s="20"/>
      <c r="H13" s="20"/>
      <c r="I13" s="20"/>
    </row>
    <row r="15" spans="1:9" x14ac:dyDescent="0.25">
      <c r="A15" s="19" t="s">
        <v>128</v>
      </c>
    </row>
    <row r="16" spans="1:9" ht="45" customHeight="1" x14ac:dyDescent="0.25">
      <c r="A16" t="s">
        <v>127</v>
      </c>
      <c r="E16" s="20"/>
      <c r="F16" s="20"/>
      <c r="G16" s="20"/>
      <c r="H16" s="20"/>
      <c r="I16" s="20"/>
    </row>
    <row r="17" spans="1:9" x14ac:dyDescent="0.25">
      <c r="A17" t="s">
        <v>126</v>
      </c>
    </row>
    <row r="18" spans="1:9" ht="30.75" customHeight="1" x14ac:dyDescent="0.25">
      <c r="A18" s="19" t="s">
        <v>125</v>
      </c>
    </row>
    <row r="19" spans="1:9" ht="14.45" customHeight="1" x14ac:dyDescent="0.25">
      <c r="A19" t="s">
        <v>124</v>
      </c>
      <c r="E19" s="20"/>
      <c r="F19" s="20"/>
      <c r="G19" s="20"/>
      <c r="H19" s="20"/>
      <c r="I19" s="20"/>
    </row>
    <row r="20" spans="1:9" x14ac:dyDescent="0.25">
      <c r="A20" s="22"/>
      <c r="B20" s="22"/>
      <c r="C20" s="22"/>
      <c r="D20" s="22"/>
      <c r="E20" s="22"/>
      <c r="F20" s="22"/>
      <c r="G20" s="22"/>
      <c r="H20" s="22"/>
      <c r="I20" s="22"/>
    </row>
    <row r="21" spans="1:9" ht="31.5" customHeight="1" x14ac:dyDescent="0.25">
      <c r="A21" s="21" t="s">
        <v>123</v>
      </c>
      <c r="B21" s="21"/>
      <c r="C21" s="21"/>
      <c r="D21" s="21"/>
      <c r="E21" s="20"/>
      <c r="F21" s="20"/>
      <c r="G21" s="20"/>
      <c r="H21" s="20"/>
      <c r="I21" s="20"/>
    </row>
    <row r="23" spans="1:9" x14ac:dyDescent="0.25">
      <c r="A23" s="19" t="s">
        <v>122</v>
      </c>
    </row>
    <row r="24" spans="1:9" x14ac:dyDescent="0.25">
      <c r="A24" s="18" t="s">
        <v>121</v>
      </c>
      <c r="B24" s="18" t="s">
        <v>120</v>
      </c>
      <c r="C24" s="18" t="s">
        <v>119</v>
      </c>
      <c r="D24" s="18" t="s">
        <v>118</v>
      </c>
    </row>
    <row r="25" spans="1:9" x14ac:dyDescent="0.25">
      <c r="A25" s="16" t="s">
        <v>117</v>
      </c>
      <c r="B25" s="16" t="s">
        <v>116</v>
      </c>
      <c r="C25" s="16" t="s">
        <v>115</v>
      </c>
      <c r="D25" s="16"/>
    </row>
    <row r="26" spans="1:9" x14ac:dyDescent="0.25">
      <c r="A26" s="11"/>
      <c r="B26" s="11"/>
      <c r="C26" s="11"/>
      <c r="D26" s="11"/>
    </row>
    <row r="27" spans="1:9" x14ac:dyDescent="0.25">
      <c r="A27" s="16" t="s">
        <v>114</v>
      </c>
      <c r="B27" s="16" t="s">
        <v>113</v>
      </c>
      <c r="C27" s="16" t="s">
        <v>112</v>
      </c>
      <c r="D27" s="16"/>
    </row>
    <row r="28" spans="1:9" x14ac:dyDescent="0.25">
      <c r="A28" s="11"/>
      <c r="B28" s="11"/>
      <c r="C28" s="11" t="s">
        <v>111</v>
      </c>
      <c r="D28" s="11"/>
    </row>
    <row r="29" spans="1:9" x14ac:dyDescent="0.25">
      <c r="A29" s="16" t="s">
        <v>106</v>
      </c>
      <c r="B29" s="16" t="s">
        <v>110</v>
      </c>
      <c r="C29" s="16" t="s">
        <v>109</v>
      </c>
      <c r="D29" s="16" t="s">
        <v>108</v>
      </c>
    </row>
    <row r="30" spans="1:9" x14ac:dyDescent="0.25">
      <c r="A30" s="11" t="s">
        <v>107</v>
      </c>
      <c r="B30" s="11"/>
      <c r="C30" s="11"/>
      <c r="D30" s="11"/>
    </row>
    <row r="31" spans="1:9" x14ac:dyDescent="0.25">
      <c r="A31" s="16" t="s">
        <v>106</v>
      </c>
      <c r="B31" s="16" t="s">
        <v>105</v>
      </c>
      <c r="C31" s="16" t="s">
        <v>104</v>
      </c>
      <c r="D31" s="16" t="s">
        <v>103</v>
      </c>
    </row>
    <row r="32" spans="1:9" x14ac:dyDescent="0.25">
      <c r="A32" s="11" t="s">
        <v>102</v>
      </c>
      <c r="B32" s="11"/>
      <c r="C32" s="11"/>
      <c r="D32" s="11"/>
    </row>
    <row r="33" spans="1:4" x14ac:dyDescent="0.25">
      <c r="A33" s="16" t="s">
        <v>101</v>
      </c>
      <c r="B33" s="16" t="s">
        <v>100</v>
      </c>
      <c r="C33" s="16" t="s">
        <v>99</v>
      </c>
      <c r="D33" s="16"/>
    </row>
    <row r="34" spans="1:4" x14ac:dyDescent="0.25">
      <c r="A34" s="17"/>
      <c r="B34" s="17"/>
      <c r="C34" s="17" t="s">
        <v>98</v>
      </c>
      <c r="D34" s="17"/>
    </row>
    <row r="35" spans="1:4" x14ac:dyDescent="0.25">
      <c r="A35" s="11"/>
      <c r="B35" s="11"/>
      <c r="C35" s="11" t="s">
        <v>97</v>
      </c>
      <c r="D35" s="11"/>
    </row>
    <row r="36" spans="1:4" x14ac:dyDescent="0.25">
      <c r="A36" s="16" t="s">
        <v>96</v>
      </c>
      <c r="B36" s="16" t="s">
        <v>95</v>
      </c>
      <c r="C36" s="16" t="s">
        <v>94</v>
      </c>
      <c r="D36" s="16" t="s">
        <v>93</v>
      </c>
    </row>
    <row r="37" spans="1:4" x14ac:dyDescent="0.25">
      <c r="A37" s="11"/>
      <c r="B37" s="11"/>
      <c r="C37" s="11" t="s">
        <v>92</v>
      </c>
      <c r="D37" s="11"/>
    </row>
    <row r="38" spans="1:4" x14ac:dyDescent="0.25">
      <c r="A38" s="16" t="s">
        <v>80</v>
      </c>
      <c r="B38" s="16" t="s">
        <v>91</v>
      </c>
      <c r="C38" s="16" t="s">
        <v>50</v>
      </c>
      <c r="D38" s="16" t="s">
        <v>90</v>
      </c>
    </row>
    <row r="39" spans="1:4" x14ac:dyDescent="0.25">
      <c r="A39" s="11"/>
      <c r="B39" s="11"/>
      <c r="C39" s="11"/>
      <c r="D39" s="11"/>
    </row>
    <row r="40" spans="1:4" x14ac:dyDescent="0.25">
      <c r="A40" s="16" t="s">
        <v>89</v>
      </c>
      <c r="B40" s="16" t="s">
        <v>88</v>
      </c>
      <c r="C40" s="16" t="s">
        <v>87</v>
      </c>
      <c r="D40" s="16" t="s">
        <v>86</v>
      </c>
    </row>
    <row r="41" spans="1:4" x14ac:dyDescent="0.25">
      <c r="A41" s="17"/>
      <c r="B41" s="17"/>
      <c r="C41" s="17"/>
      <c r="D41" s="17"/>
    </row>
    <row r="42" spans="1:4" x14ac:dyDescent="0.25">
      <c r="A42" s="17"/>
      <c r="B42" s="17"/>
      <c r="C42" s="17" t="s">
        <v>85</v>
      </c>
      <c r="D42" s="17"/>
    </row>
    <row r="43" spans="1:4" x14ac:dyDescent="0.25">
      <c r="A43" s="11"/>
      <c r="B43" s="11"/>
      <c r="C43" s="11"/>
      <c r="D43" s="11"/>
    </row>
    <row r="44" spans="1:4" x14ac:dyDescent="0.25">
      <c r="A44" s="16" t="s">
        <v>84</v>
      </c>
      <c r="B44" s="15" t="s">
        <v>83</v>
      </c>
      <c r="C44" s="14" t="s">
        <v>83</v>
      </c>
      <c r="D44" s="13" t="s">
        <v>82</v>
      </c>
    </row>
    <row r="45" spans="1:4" x14ac:dyDescent="0.25">
      <c r="A45" s="11"/>
      <c r="B45" s="12"/>
      <c r="C45" s="11"/>
      <c r="D45" s="10"/>
    </row>
  </sheetData>
  <mergeCells count="2">
    <mergeCell ref="A1:D1"/>
    <mergeCell ref="A21:D21"/>
  </mergeCells>
  <printOptions horizontalCentered="1"/>
  <pageMargins left="1" right="1" top="1" bottom="1" header="0.5" footer="0.5"/>
  <pageSetup scale="58" orientation="landscape" r:id="rId1"/>
  <customProperties>
    <customPr name="_pios_id" r:id="rId2"/>
  </customPropertie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42D0F4-CFA3-484F-A34A-EF806A31BF3C}">
  <sheetPr>
    <pageSetUpPr fitToPage="1"/>
  </sheetPr>
  <dimension ref="A1:AB125"/>
  <sheetViews>
    <sheetView view="pageBreakPreview" topLeftCell="A29" zoomScale="60" zoomScaleNormal="100" workbookViewId="0">
      <selection activeCell="Q36" sqref="Q36"/>
    </sheetView>
  </sheetViews>
  <sheetFormatPr defaultColWidth="9.140625" defaultRowHeight="15" x14ac:dyDescent="0.25"/>
  <cols>
    <col min="1" max="1" width="6.85546875" style="6" customWidth="1"/>
    <col min="2" max="2" width="18" style="6" customWidth="1"/>
    <col min="3" max="3" width="12.28515625" style="6" customWidth="1"/>
    <col min="4" max="4" width="19.140625" style="6" customWidth="1"/>
    <col min="5" max="5" width="21.5703125" style="6" customWidth="1"/>
    <col min="6" max="6" width="21" style="6" customWidth="1"/>
    <col min="7" max="7" width="19.42578125" style="6" customWidth="1"/>
    <col min="8" max="8" width="14.5703125" style="6" bestFit="1" customWidth="1"/>
    <col min="9" max="9" width="11.140625" style="6" customWidth="1"/>
    <col min="10" max="10" width="22.85546875" style="6" customWidth="1"/>
    <col min="11" max="11" width="18.5703125" style="6" customWidth="1"/>
    <col min="12" max="12" width="42" style="6" customWidth="1"/>
    <col min="13" max="13" width="10.140625" style="6" customWidth="1"/>
    <col min="14" max="14" width="4.42578125" style="6" customWidth="1"/>
    <col min="15" max="15" width="20.42578125" style="6" customWidth="1"/>
    <col min="16" max="16" width="19.85546875" style="6" customWidth="1"/>
    <col min="17" max="20" width="11" style="6" customWidth="1"/>
    <col min="21" max="23" width="9.140625" style="6"/>
    <col min="24" max="24" width="10" style="6" bestFit="1" customWidth="1"/>
    <col min="25" max="25" width="9.140625" style="6"/>
    <col min="26" max="26" width="10.85546875" style="6" bestFit="1" customWidth="1"/>
    <col min="27" max="16384" width="9.140625" style="6"/>
  </cols>
  <sheetData>
    <row r="1" spans="1:22" x14ac:dyDescent="0.25">
      <c r="B1" s="30" t="s">
        <v>2395</v>
      </c>
      <c r="L1" s="76"/>
    </row>
    <row r="2" spans="1:22" x14ac:dyDescent="0.25">
      <c r="B2" s="30" t="s">
        <v>8</v>
      </c>
      <c r="L2" s="76" t="str">
        <f>CONCATENATE("Rate Year: ",'1-BaseTRR'!$G$2)</f>
        <v>Rate Year: 2027</v>
      </c>
      <c r="O2" s="30"/>
    </row>
    <row r="3" spans="1:22" ht="15.75" customHeight="1" x14ac:dyDescent="0.25">
      <c r="B3" s="77" t="s">
        <v>367</v>
      </c>
      <c r="C3" s="77"/>
      <c r="D3" s="77"/>
      <c r="G3" s="776"/>
      <c r="H3" s="776"/>
      <c r="I3" s="776"/>
      <c r="J3" s="794"/>
      <c r="K3" s="776"/>
      <c r="L3" s="76" t="str">
        <f>CONCATENATE("Prior Year: ",'1-BaseTRR'!$G$3)</f>
        <v>Prior Year: 2025</v>
      </c>
      <c r="O3" s="30"/>
    </row>
    <row r="4" spans="1:22" ht="14.45" customHeight="1" x14ac:dyDescent="0.25">
      <c r="G4" s="776"/>
      <c r="H4" s="776"/>
      <c r="I4" s="776"/>
      <c r="J4" s="793"/>
      <c r="K4" s="776"/>
      <c r="O4" s="30"/>
      <c r="P4" s="8"/>
      <c r="Q4" s="8"/>
      <c r="R4" s="8"/>
      <c r="S4" s="8"/>
    </row>
    <row r="5" spans="1:22" ht="14.45" customHeight="1" x14ac:dyDescent="0.25">
      <c r="G5" s="776"/>
      <c r="H5" s="776"/>
      <c r="I5" s="776"/>
      <c r="J5" s="792"/>
      <c r="K5" s="776"/>
      <c r="P5" s="786"/>
      <c r="Q5" s="786"/>
      <c r="R5" s="786"/>
      <c r="S5" s="770"/>
    </row>
    <row r="6" spans="1:22" x14ac:dyDescent="0.25">
      <c r="B6" s="83" t="s">
        <v>2394</v>
      </c>
      <c r="C6" s="35"/>
      <c r="D6" s="35"/>
      <c r="E6" s="35"/>
      <c r="F6" s="35"/>
      <c r="G6" s="35"/>
      <c r="H6" s="35"/>
      <c r="I6" s="35"/>
      <c r="J6" s="35"/>
      <c r="K6" s="35"/>
      <c r="L6" s="35"/>
      <c r="M6" s="35"/>
      <c r="P6" s="786"/>
      <c r="Q6" s="786"/>
      <c r="R6" s="786"/>
      <c r="S6" s="770"/>
    </row>
    <row r="7" spans="1:22" x14ac:dyDescent="0.25">
      <c r="B7" s="30"/>
      <c r="O7" s="30"/>
    </row>
    <row r="8" spans="1:22" x14ac:dyDescent="0.25">
      <c r="B8" s="33" t="s">
        <v>492</v>
      </c>
      <c r="K8" s="33" t="s">
        <v>491</v>
      </c>
      <c r="L8" s="33" t="s">
        <v>490</v>
      </c>
      <c r="O8" s="30"/>
    </row>
    <row r="9" spans="1:22" x14ac:dyDescent="0.25">
      <c r="A9" s="33" t="s">
        <v>106</v>
      </c>
      <c r="B9" s="33" t="s">
        <v>79</v>
      </c>
      <c r="G9" s="356"/>
      <c r="H9" s="51"/>
      <c r="K9" s="33" t="s">
        <v>672</v>
      </c>
      <c r="L9" s="110" t="s">
        <v>154</v>
      </c>
      <c r="M9" s="33" t="s">
        <v>106</v>
      </c>
      <c r="O9" s="30"/>
    </row>
    <row r="10" spans="1:22" x14ac:dyDescent="0.25">
      <c r="A10" s="33"/>
      <c r="B10" s="25" t="s">
        <v>2393</v>
      </c>
      <c r="G10" s="28"/>
      <c r="H10" s="51"/>
      <c r="K10" s="33"/>
      <c r="L10" s="110"/>
      <c r="M10" s="33"/>
      <c r="O10" s="30"/>
    </row>
    <row r="11" spans="1:22" ht="30" x14ac:dyDescent="0.25">
      <c r="A11" s="8">
        <v>100</v>
      </c>
      <c r="B11" s="6" t="s">
        <v>2392</v>
      </c>
      <c r="J11" s="486"/>
      <c r="K11" s="787">
        <v>0</v>
      </c>
      <c r="L11" s="71" t="s">
        <v>2391</v>
      </c>
      <c r="M11" s="8">
        <f>A11</f>
        <v>100</v>
      </c>
    </row>
    <row r="12" spans="1:22" x14ac:dyDescent="0.25">
      <c r="A12" s="8"/>
      <c r="J12" s="486"/>
      <c r="K12" s="791"/>
      <c r="M12" s="8"/>
    </row>
    <row r="13" spans="1:22" ht="23.25" customHeight="1" x14ac:dyDescent="0.25">
      <c r="B13" s="83" t="s">
        <v>2390</v>
      </c>
      <c r="C13" s="35"/>
      <c r="D13" s="35"/>
      <c r="E13" s="35"/>
      <c r="F13" s="35"/>
      <c r="G13" s="35"/>
      <c r="H13" s="35"/>
      <c r="I13" s="35"/>
      <c r="J13" s="35"/>
      <c r="K13" s="35"/>
      <c r="L13" s="35"/>
      <c r="M13" s="35"/>
      <c r="P13" s="687"/>
      <c r="Q13" s="687"/>
      <c r="R13" s="687"/>
      <c r="S13" s="687"/>
      <c r="T13" s="687"/>
      <c r="U13" s="687"/>
    </row>
    <row r="14" spans="1:22" ht="21" customHeight="1" x14ac:dyDescent="0.25">
      <c r="A14" s="8">
        <v>200</v>
      </c>
      <c r="B14" s="6" t="s">
        <v>2389</v>
      </c>
      <c r="K14" s="787">
        <f>50000+1438.26</f>
        <v>51438.26</v>
      </c>
      <c r="L14" s="6" t="s">
        <v>2388</v>
      </c>
      <c r="M14" s="8">
        <f>A14</f>
        <v>200</v>
      </c>
      <c r="P14" s="786"/>
      <c r="Q14" s="786"/>
      <c r="R14" s="786"/>
      <c r="S14" s="786"/>
      <c r="T14" s="786"/>
      <c r="U14" s="770"/>
      <c r="V14" s="785"/>
    </row>
    <row r="15" spans="1:22" x14ac:dyDescent="0.25">
      <c r="A15" s="8">
        <f>A14+1</f>
        <v>201</v>
      </c>
      <c r="B15" s="6" t="s">
        <v>2387</v>
      </c>
      <c r="K15" s="787">
        <f>-14214.55+12391.06</f>
        <v>-1823.4899999999998</v>
      </c>
      <c r="L15" s="6" t="s">
        <v>2386</v>
      </c>
      <c r="M15" s="8">
        <f>A15</f>
        <v>201</v>
      </c>
      <c r="P15" s="786"/>
      <c r="Q15" s="786"/>
      <c r="R15" s="786"/>
      <c r="S15" s="786"/>
      <c r="T15" s="786"/>
      <c r="U15" s="770"/>
      <c r="V15" s="785"/>
    </row>
    <row r="16" spans="1:22" x14ac:dyDescent="0.25">
      <c r="A16" s="8">
        <f>A15+1</f>
        <v>202</v>
      </c>
      <c r="B16" s="6" t="s">
        <v>2385</v>
      </c>
      <c r="K16" s="787">
        <v>0</v>
      </c>
      <c r="L16" s="6" t="s">
        <v>2384</v>
      </c>
      <c r="M16" s="8">
        <f>A16</f>
        <v>202</v>
      </c>
      <c r="P16" s="786"/>
      <c r="Q16" s="786"/>
      <c r="R16" s="786"/>
      <c r="S16" s="786"/>
      <c r="T16" s="786"/>
      <c r="U16" s="770"/>
      <c r="V16" s="785"/>
    </row>
    <row r="17" spans="1:22" x14ac:dyDescent="0.25">
      <c r="A17" s="8">
        <f>A16+1</f>
        <v>203</v>
      </c>
      <c r="B17" s="6" t="s">
        <v>2383</v>
      </c>
      <c r="K17" s="780">
        <v>-2480.7399999999998</v>
      </c>
      <c r="L17" s="6" t="s">
        <v>2382</v>
      </c>
      <c r="M17" s="8">
        <f>A17</f>
        <v>203</v>
      </c>
      <c r="P17" s="786"/>
      <c r="Q17" s="786"/>
      <c r="R17" s="786"/>
      <c r="S17" s="786"/>
      <c r="T17" s="786"/>
      <c r="U17" s="770"/>
      <c r="V17" s="785"/>
    </row>
    <row r="18" spans="1:22" x14ac:dyDescent="0.25">
      <c r="A18" s="8">
        <f>A17+1</f>
        <v>204</v>
      </c>
      <c r="B18" s="6" t="s">
        <v>2381</v>
      </c>
      <c r="K18" s="156">
        <f>K14+K15+K16+K17</f>
        <v>47134.030000000006</v>
      </c>
      <c r="L18" s="6" t="s">
        <v>2380</v>
      </c>
      <c r="M18" s="8">
        <f>A18</f>
        <v>204</v>
      </c>
      <c r="P18" s="786"/>
      <c r="Q18" s="786"/>
      <c r="R18" s="786"/>
      <c r="S18" s="786"/>
      <c r="T18" s="786"/>
      <c r="U18" s="770"/>
      <c r="V18" s="785"/>
    </row>
    <row r="19" spans="1:22" x14ac:dyDescent="0.25">
      <c r="A19" s="8">
        <f>A18+1</f>
        <v>205</v>
      </c>
      <c r="B19" s="6" t="s">
        <v>1862</v>
      </c>
      <c r="K19" s="55">
        <f>'24-Allocators'!C58</f>
        <v>0.16856621505258268</v>
      </c>
      <c r="L19" s="6" t="s">
        <v>2379</v>
      </c>
      <c r="M19" s="8">
        <f>A19</f>
        <v>205</v>
      </c>
      <c r="P19" s="786"/>
      <c r="Q19" s="786"/>
      <c r="R19" s="786"/>
      <c r="S19" s="786"/>
      <c r="T19" s="786"/>
      <c r="U19" s="770"/>
      <c r="V19" s="785"/>
    </row>
    <row r="20" spans="1:22" x14ac:dyDescent="0.25">
      <c r="A20" s="8">
        <f>A19+1</f>
        <v>206</v>
      </c>
      <c r="B20" s="6" t="s">
        <v>2378</v>
      </c>
      <c r="K20" s="156">
        <f>K18*K19</f>
        <v>7945.2050372748845</v>
      </c>
      <c r="L20" s="6" t="s">
        <v>2377</v>
      </c>
      <c r="M20" s="8">
        <f>A20</f>
        <v>206</v>
      </c>
      <c r="P20" s="786"/>
      <c r="Q20" s="786"/>
      <c r="R20" s="786"/>
      <c r="S20" s="786"/>
      <c r="T20" s="786"/>
      <c r="U20" s="770"/>
      <c r="V20" s="785"/>
    </row>
    <row r="21" spans="1:22" ht="30.95" customHeight="1" x14ac:dyDescent="0.25">
      <c r="A21" s="8" t="s">
        <v>2376</v>
      </c>
      <c r="B21" s="788" t="s">
        <v>2375</v>
      </c>
      <c r="K21" s="790">
        <f>IF(K20&gt;100000000,-K20*50%,0)</f>
        <v>0</v>
      </c>
      <c r="L21" s="71" t="s">
        <v>2374</v>
      </c>
      <c r="M21" s="8" t="str">
        <f>A21</f>
        <v>206A</v>
      </c>
      <c r="P21" s="789"/>
      <c r="Q21" s="789"/>
      <c r="R21" s="786"/>
      <c r="S21" s="786"/>
      <c r="T21" s="786"/>
      <c r="U21" s="770"/>
      <c r="V21" s="785"/>
    </row>
    <row r="22" spans="1:22" ht="34.5" customHeight="1" x14ac:dyDescent="0.25">
      <c r="A22" s="8" t="s">
        <v>2373</v>
      </c>
      <c r="B22" s="788" t="s">
        <v>2372</v>
      </c>
      <c r="K22" s="787">
        <v>0</v>
      </c>
      <c r="L22" s="71" t="s">
        <v>2371</v>
      </c>
      <c r="M22" s="8" t="str">
        <f>A22</f>
        <v>206B</v>
      </c>
      <c r="P22" s="789"/>
      <c r="Q22" s="789"/>
      <c r="R22" s="786"/>
      <c r="S22" s="786"/>
      <c r="T22" s="786"/>
      <c r="U22" s="770"/>
      <c r="V22" s="785"/>
    </row>
    <row r="23" spans="1:22" ht="42" customHeight="1" x14ac:dyDescent="0.25">
      <c r="A23" s="8">
        <f>A20+1</f>
        <v>207</v>
      </c>
      <c r="B23" s="788" t="s">
        <v>2370</v>
      </c>
      <c r="C23" s="71"/>
      <c r="D23" s="71"/>
      <c r="E23" s="71"/>
      <c r="F23" s="71"/>
      <c r="G23" s="71"/>
      <c r="H23" s="71"/>
      <c r="I23" s="71"/>
      <c r="K23" s="787">
        <v>-2977685.6</v>
      </c>
      <c r="L23" s="6" t="s">
        <v>2369</v>
      </c>
      <c r="M23" s="8">
        <f>A23</f>
        <v>207</v>
      </c>
      <c r="O23" s="71"/>
      <c r="P23" s="786"/>
      <c r="Q23" s="786"/>
      <c r="R23" s="786"/>
      <c r="S23" s="786"/>
      <c r="T23" s="786"/>
      <c r="U23" s="770"/>
      <c r="V23" s="785"/>
    </row>
    <row r="24" spans="1:22" ht="42" customHeight="1" x14ac:dyDescent="0.25">
      <c r="A24" s="8" t="s">
        <v>2368</v>
      </c>
      <c r="B24" s="243" t="s">
        <v>2367</v>
      </c>
      <c r="C24" s="243"/>
      <c r="D24" s="243"/>
      <c r="E24" s="243"/>
      <c r="F24" s="243"/>
      <c r="G24" s="243"/>
      <c r="H24" s="243"/>
      <c r="I24" s="243"/>
      <c r="K24" s="787">
        <v>0</v>
      </c>
      <c r="L24" s="6" t="s">
        <v>536</v>
      </c>
      <c r="M24" s="8" t="str">
        <f>A24</f>
        <v>207A</v>
      </c>
      <c r="O24" s="71"/>
      <c r="P24" s="786"/>
      <c r="Q24" s="786"/>
      <c r="R24" s="786"/>
      <c r="S24" s="786"/>
      <c r="T24" s="786"/>
      <c r="U24" s="770"/>
      <c r="V24" s="785"/>
    </row>
    <row r="25" spans="1:22" ht="37.5" customHeight="1" x14ac:dyDescent="0.25">
      <c r="A25" s="8">
        <f>A23+1</f>
        <v>208</v>
      </c>
      <c r="B25" s="6" t="s">
        <v>2366</v>
      </c>
      <c r="K25" s="486">
        <f>K20+K21+K23+K22+K24</f>
        <v>-2969740.3949627252</v>
      </c>
      <c r="L25" s="71" t="s">
        <v>2365</v>
      </c>
      <c r="M25" s="8">
        <f>A25</f>
        <v>208</v>
      </c>
      <c r="P25" s="770"/>
      <c r="Q25" s="770"/>
      <c r="R25" s="770"/>
      <c r="S25" s="770"/>
      <c r="T25" s="770"/>
      <c r="U25" s="770"/>
    </row>
    <row r="26" spans="1:22" ht="35.25" customHeight="1" thickBot="1" x14ac:dyDescent="0.3">
      <c r="A26" s="8">
        <f>A25+1</f>
        <v>209</v>
      </c>
      <c r="B26" s="30" t="s">
        <v>2364</v>
      </c>
      <c r="K26" s="784">
        <f>IF(K25&gt;0,K25,0)</f>
        <v>0</v>
      </c>
      <c r="L26" s="71" t="s">
        <v>2363</v>
      </c>
      <c r="M26" s="8">
        <f>A26</f>
        <v>209</v>
      </c>
      <c r="P26" s="770"/>
      <c r="Q26" s="770"/>
      <c r="R26" s="770"/>
      <c r="S26" s="770"/>
      <c r="T26" s="770"/>
      <c r="U26" s="770"/>
    </row>
    <row r="27" spans="1:22" ht="15.75" thickTop="1" x14ac:dyDescent="0.25">
      <c r="A27" s="8"/>
      <c r="B27" s="30"/>
      <c r="K27" s="486"/>
      <c r="L27" s="71"/>
      <c r="M27" s="8"/>
      <c r="P27" s="770"/>
      <c r="Q27" s="770"/>
      <c r="R27" s="770"/>
      <c r="S27" s="770"/>
      <c r="T27" s="770"/>
      <c r="U27" s="770"/>
    </row>
    <row r="28" spans="1:22" ht="37.5" customHeight="1" x14ac:dyDescent="0.25">
      <c r="A28" s="8">
        <v>210</v>
      </c>
      <c r="B28" s="772" t="s">
        <v>2362</v>
      </c>
      <c r="C28" s="772"/>
      <c r="D28" s="772"/>
      <c r="E28" s="772"/>
      <c r="F28" s="772"/>
      <c r="G28" s="772"/>
      <c r="H28" s="772"/>
      <c r="I28" s="772"/>
      <c r="J28" s="772"/>
      <c r="K28" s="783">
        <f>K21*-1</f>
        <v>0</v>
      </c>
      <c r="L28" s="6" t="s">
        <v>2361</v>
      </c>
      <c r="M28" s="8">
        <f>A28</f>
        <v>210</v>
      </c>
      <c r="O28" s="782"/>
      <c r="P28" s="781"/>
      <c r="Q28" s="781"/>
      <c r="R28" s="781"/>
      <c r="S28" s="770"/>
      <c r="T28" s="770"/>
      <c r="U28" s="770"/>
    </row>
    <row r="29" spans="1:22" x14ac:dyDescent="0.25">
      <c r="O29" s="782"/>
      <c r="P29" s="781"/>
      <c r="Q29" s="781"/>
      <c r="R29" s="781"/>
      <c r="S29" s="770"/>
      <c r="T29" s="770"/>
      <c r="U29" s="770"/>
    </row>
    <row r="30" spans="1:22" x14ac:dyDescent="0.25">
      <c r="A30" s="8"/>
      <c r="B30" s="83" t="s">
        <v>2360</v>
      </c>
      <c r="C30" s="35"/>
      <c r="D30" s="35"/>
      <c r="E30" s="35"/>
      <c r="F30" s="35"/>
      <c r="G30" s="35"/>
      <c r="H30" s="35"/>
      <c r="I30" s="35"/>
      <c r="J30" s="35"/>
      <c r="K30" s="35"/>
      <c r="L30" s="35"/>
      <c r="M30" s="35"/>
    </row>
    <row r="31" spans="1:22" ht="19.5" customHeight="1" x14ac:dyDescent="0.25">
      <c r="A31" s="368">
        <v>300</v>
      </c>
      <c r="B31" s="6" t="s">
        <v>2359</v>
      </c>
      <c r="K31" s="260">
        <v>168308228</v>
      </c>
      <c r="L31" s="6" t="s">
        <v>2358</v>
      </c>
      <c r="M31" s="8">
        <f>A31</f>
        <v>300</v>
      </c>
    </row>
    <row r="32" spans="1:22" ht="24" customHeight="1" x14ac:dyDescent="0.25">
      <c r="A32" s="8">
        <f>A31+1</f>
        <v>301</v>
      </c>
      <c r="B32" s="6" t="s">
        <v>2357</v>
      </c>
      <c r="K32" s="780">
        <v>208571841.63</v>
      </c>
      <c r="L32" s="6" t="s">
        <v>2356</v>
      </c>
      <c r="M32" s="8">
        <f>A32</f>
        <v>301</v>
      </c>
    </row>
    <row r="33" spans="1:28" ht="48.75" customHeight="1" x14ac:dyDescent="0.25">
      <c r="A33" s="368">
        <f>A32+1</f>
        <v>302</v>
      </c>
      <c r="B33" s="6" t="s">
        <v>2355</v>
      </c>
      <c r="K33" s="260">
        <f>IF(K32&gt;K31,-(K32-K31),0)</f>
        <v>-40263613.629999995</v>
      </c>
      <c r="L33" s="71" t="s">
        <v>2354</v>
      </c>
      <c r="M33" s="8">
        <f>A33</f>
        <v>302</v>
      </c>
    </row>
    <row r="34" spans="1:28" ht="48.75" customHeight="1" x14ac:dyDescent="0.25">
      <c r="A34" s="368"/>
      <c r="B34" s="6" t="s">
        <v>2353</v>
      </c>
      <c r="K34" s="260"/>
      <c r="L34" s="71"/>
      <c r="M34" s="8"/>
    </row>
    <row r="35" spans="1:28" x14ac:dyDescent="0.25">
      <c r="A35" s="8"/>
      <c r="K35" s="260"/>
    </row>
    <row r="36" spans="1:28" x14ac:dyDescent="0.25">
      <c r="B36" s="33" t="s">
        <v>145</v>
      </c>
      <c r="F36" s="67"/>
      <c r="Q36" s="770"/>
      <c r="R36" s="770"/>
      <c r="S36" s="770"/>
      <c r="U36" s="30"/>
      <c r="V36" s="687"/>
      <c r="W36" s="779"/>
      <c r="AB36" s="770"/>
    </row>
    <row r="37" spans="1:28" x14ac:dyDescent="0.25">
      <c r="B37" s="23">
        <v>1</v>
      </c>
      <c r="C37" s="6" t="s">
        <v>2352</v>
      </c>
      <c r="E37" s="778"/>
      <c r="F37" s="67"/>
      <c r="Q37" s="770"/>
      <c r="R37" s="770"/>
      <c r="S37" s="770"/>
      <c r="U37" s="30"/>
      <c r="V37" s="779"/>
      <c r="W37" s="779"/>
      <c r="AB37" s="770"/>
    </row>
    <row r="38" spans="1:28" x14ac:dyDescent="0.25">
      <c r="B38" s="265">
        <v>2</v>
      </c>
      <c r="C38" s="6" t="s">
        <v>2351</v>
      </c>
      <c r="D38" s="360"/>
      <c r="E38" s="778"/>
      <c r="F38" s="67"/>
      <c r="G38" s="360"/>
      <c r="H38" s="360"/>
      <c r="Q38" s="770"/>
      <c r="R38" s="770"/>
      <c r="S38" s="770"/>
      <c r="V38" s="770"/>
      <c r="W38" s="770"/>
    </row>
    <row r="39" spans="1:28" x14ac:dyDescent="0.25">
      <c r="B39" s="265">
        <v>3</v>
      </c>
      <c r="C39" s="6" t="s">
        <v>2350</v>
      </c>
    </row>
    <row r="40" spans="1:28" x14ac:dyDescent="0.25">
      <c r="B40" s="265">
        <v>4</v>
      </c>
      <c r="C40" s="6" t="s">
        <v>2349</v>
      </c>
      <c r="D40" s="85"/>
      <c r="E40" s="85"/>
      <c r="F40" s="85"/>
      <c r="G40" s="85"/>
      <c r="H40" s="85"/>
      <c r="I40" s="85"/>
      <c r="J40" s="85"/>
      <c r="K40" s="85"/>
      <c r="L40" s="85"/>
    </row>
    <row r="41" spans="1:28" x14ac:dyDescent="0.25">
      <c r="B41" s="265"/>
      <c r="C41" s="6" t="s">
        <v>2348</v>
      </c>
      <c r="D41" s="85"/>
      <c r="E41" s="85"/>
      <c r="F41" s="85"/>
      <c r="G41" s="85"/>
      <c r="H41" s="85"/>
      <c r="I41" s="85"/>
      <c r="J41" s="85"/>
      <c r="K41" s="85"/>
      <c r="L41" s="85"/>
    </row>
    <row r="42" spans="1:28" s="777" customFormat="1" ht="96.95" customHeight="1" x14ac:dyDescent="0.25">
      <c r="B42" s="265">
        <v>5</v>
      </c>
      <c r="C42" s="6" t="s">
        <v>2347</v>
      </c>
      <c r="D42" s="85"/>
      <c r="E42" s="85"/>
      <c r="F42" s="85"/>
      <c r="G42" s="85"/>
      <c r="H42" s="85"/>
      <c r="I42" s="85"/>
      <c r="J42" s="85"/>
      <c r="K42" s="85"/>
      <c r="L42" s="85"/>
    </row>
    <row r="43" spans="1:28" x14ac:dyDescent="0.25">
      <c r="B43" s="23"/>
      <c r="C43" s="6" t="s">
        <v>2346</v>
      </c>
    </row>
    <row r="44" spans="1:28" x14ac:dyDescent="0.25">
      <c r="C44" s="6" t="s">
        <v>2345</v>
      </c>
    </row>
    <row r="45" spans="1:28" x14ac:dyDescent="0.25">
      <c r="C45" s="6" t="s">
        <v>2344</v>
      </c>
      <c r="D45" s="71"/>
      <c r="E45" s="71"/>
      <c r="F45" s="71"/>
      <c r="G45" s="71"/>
      <c r="H45" s="71"/>
      <c r="I45" s="71"/>
      <c r="J45" s="71"/>
      <c r="K45" s="71"/>
    </row>
    <row r="46" spans="1:28" x14ac:dyDescent="0.25">
      <c r="C46" s="6" t="s">
        <v>2343</v>
      </c>
      <c r="D46" s="71"/>
      <c r="E46" s="71"/>
      <c r="F46" s="71"/>
      <c r="G46" s="71"/>
      <c r="H46" s="71"/>
      <c r="I46" s="71"/>
      <c r="J46" s="71"/>
      <c r="K46" s="71"/>
    </row>
    <row r="47" spans="1:28" x14ac:dyDescent="0.25">
      <c r="C47" s="6" t="s">
        <v>2342</v>
      </c>
    </row>
    <row r="48" spans="1:28" ht="15.75" x14ac:dyDescent="0.25">
      <c r="D48" s="776"/>
      <c r="E48" s="776"/>
      <c r="F48" s="776"/>
      <c r="G48" s="776"/>
      <c r="H48" s="776"/>
      <c r="I48" s="776"/>
      <c r="J48" s="776"/>
      <c r="K48" s="776"/>
    </row>
    <row r="58" spans="16:21" x14ac:dyDescent="0.25">
      <c r="P58" s="687"/>
      <c r="Q58" s="687"/>
      <c r="R58" s="687"/>
      <c r="S58" s="687"/>
      <c r="T58" s="687"/>
      <c r="U58" s="687"/>
    </row>
    <row r="86" spans="2:28" x14ac:dyDescent="0.25">
      <c r="O86" s="30"/>
      <c r="Q86" s="771"/>
      <c r="R86" s="771"/>
      <c r="S86" s="771"/>
      <c r="W86" s="687"/>
      <c r="AB86" s="687"/>
    </row>
    <row r="91" spans="2:28" x14ac:dyDescent="0.25">
      <c r="B91" s="775"/>
      <c r="C91" s="774"/>
      <c r="D91" s="773"/>
      <c r="E91" s="86"/>
      <c r="F91" s="49"/>
      <c r="G91" s="360"/>
      <c r="H91" s="360"/>
      <c r="Q91" s="770"/>
      <c r="R91" s="770"/>
      <c r="S91" s="770"/>
      <c r="V91" s="770"/>
      <c r="W91" s="770"/>
    </row>
    <row r="92" spans="2:28" x14ac:dyDescent="0.25">
      <c r="E92" s="86"/>
      <c r="F92" s="49"/>
      <c r="Q92" s="770"/>
      <c r="R92" s="770"/>
      <c r="S92" s="770"/>
      <c r="V92" s="770"/>
      <c r="W92" s="770"/>
      <c r="X92" s="770"/>
      <c r="Y92" s="770"/>
      <c r="Z92" s="770"/>
      <c r="AA92" s="770"/>
    </row>
    <row r="93" spans="2:28" x14ac:dyDescent="0.25">
      <c r="C93" s="772"/>
      <c r="D93" s="772"/>
      <c r="E93" s="772"/>
      <c r="F93" s="772"/>
      <c r="G93" s="772"/>
      <c r="H93" s="772"/>
      <c r="I93" s="772"/>
      <c r="J93" s="772"/>
      <c r="V93" s="770"/>
      <c r="W93" s="770"/>
      <c r="X93" s="770"/>
      <c r="Y93" s="770"/>
      <c r="Z93" s="770"/>
      <c r="AA93" s="770"/>
    </row>
    <row r="94" spans="2:28" x14ac:dyDescent="0.25">
      <c r="Q94" s="771"/>
      <c r="R94" s="771"/>
      <c r="S94" s="771"/>
      <c r="V94" s="770"/>
    </row>
    <row r="96" spans="2:28" x14ac:dyDescent="0.25">
      <c r="Q96" s="771"/>
      <c r="R96" s="771"/>
      <c r="S96" s="771"/>
      <c r="U96" s="47"/>
    </row>
    <row r="97" spans="15:21" x14ac:dyDescent="0.25">
      <c r="Q97" s="770"/>
      <c r="R97" s="770"/>
      <c r="S97" s="770"/>
      <c r="U97" s="47"/>
    </row>
    <row r="98" spans="15:21" x14ac:dyDescent="0.25">
      <c r="Q98" s="770"/>
      <c r="R98" s="770"/>
      <c r="S98" s="770"/>
    </row>
    <row r="99" spans="15:21" x14ac:dyDescent="0.25">
      <c r="Q99" s="770"/>
      <c r="R99" s="770"/>
      <c r="S99" s="770"/>
      <c r="T99" s="771"/>
    </row>
    <row r="100" spans="15:21" x14ac:dyDescent="0.25">
      <c r="Q100" s="770"/>
      <c r="R100" s="770"/>
      <c r="S100" s="770"/>
      <c r="T100" s="770"/>
    </row>
    <row r="101" spans="15:21" x14ac:dyDescent="0.25">
      <c r="Q101" s="770"/>
      <c r="R101" s="770"/>
      <c r="S101" s="770"/>
      <c r="T101" s="770"/>
    </row>
    <row r="102" spans="15:21" x14ac:dyDescent="0.25">
      <c r="T102" s="770"/>
    </row>
    <row r="103" spans="15:21" x14ac:dyDescent="0.25">
      <c r="Q103" s="771"/>
      <c r="R103" s="771"/>
      <c r="S103" s="771"/>
      <c r="T103" s="770"/>
    </row>
    <row r="104" spans="15:21" x14ac:dyDescent="0.25">
      <c r="T104" s="770"/>
    </row>
    <row r="105" spans="15:21" x14ac:dyDescent="0.25">
      <c r="T105" s="770"/>
    </row>
    <row r="106" spans="15:21" x14ac:dyDescent="0.25">
      <c r="O106" s="30"/>
    </row>
    <row r="107" spans="15:21" x14ac:dyDescent="0.25">
      <c r="O107" s="44"/>
      <c r="P107" s="8"/>
      <c r="Q107" s="8"/>
      <c r="R107" s="8"/>
      <c r="T107" s="771"/>
    </row>
    <row r="108" spans="15:21" x14ac:dyDescent="0.25">
      <c r="P108" s="770"/>
      <c r="Q108" s="770"/>
      <c r="R108" s="770"/>
      <c r="T108" s="770"/>
    </row>
    <row r="109" spans="15:21" x14ac:dyDescent="0.25">
      <c r="P109" s="8"/>
      <c r="Q109" s="8"/>
      <c r="R109" s="8"/>
      <c r="T109" s="770"/>
    </row>
    <row r="110" spans="15:21" x14ac:dyDescent="0.25">
      <c r="P110" s="8"/>
      <c r="Q110" s="8"/>
      <c r="R110" s="8"/>
      <c r="T110" s="770"/>
    </row>
    <row r="111" spans="15:21" x14ac:dyDescent="0.25">
      <c r="P111" s="8"/>
      <c r="Q111" s="8"/>
      <c r="R111" s="8"/>
      <c r="T111" s="770"/>
    </row>
    <row r="112" spans="15:21" x14ac:dyDescent="0.25">
      <c r="P112" s="8"/>
      <c r="Q112" s="8"/>
      <c r="R112" s="8"/>
      <c r="T112" s="770"/>
    </row>
    <row r="113" spans="15:21" x14ac:dyDescent="0.25">
      <c r="P113" s="8"/>
      <c r="Q113" s="8"/>
      <c r="R113" s="8"/>
    </row>
    <row r="114" spans="15:21" x14ac:dyDescent="0.25">
      <c r="T114" s="770"/>
    </row>
    <row r="120" spans="15:21" x14ac:dyDescent="0.25">
      <c r="O120" s="30"/>
    </row>
    <row r="122" spans="15:21" x14ac:dyDescent="0.25">
      <c r="P122" s="769"/>
      <c r="Q122" s="769"/>
      <c r="R122" s="769"/>
      <c r="S122" s="769"/>
      <c r="T122" s="769"/>
    </row>
    <row r="123" spans="15:21" x14ac:dyDescent="0.25">
      <c r="Q123" s="769"/>
      <c r="R123" s="769"/>
      <c r="S123" s="769"/>
    </row>
    <row r="124" spans="15:21" x14ac:dyDescent="0.25">
      <c r="Q124" s="769"/>
      <c r="R124" s="769"/>
      <c r="S124" s="769"/>
      <c r="T124" s="769"/>
    </row>
    <row r="125" spans="15:21" x14ac:dyDescent="0.25">
      <c r="S125" s="769"/>
      <c r="T125" s="769"/>
      <c r="U125" s="769"/>
    </row>
  </sheetData>
  <mergeCells count="2">
    <mergeCell ref="C93:J93"/>
    <mergeCell ref="B28:J28"/>
  </mergeCells>
  <printOptions horizontalCentered="1"/>
  <pageMargins left="1" right="1" top="1" bottom="1" header="0.5" footer="0.5"/>
  <pageSetup scale="48" fitToHeight="0" orientation="landscape" r:id="rId1"/>
  <headerFooter>
    <oddHeader>&amp;R&amp;F</oddHeader>
  </headerFooter>
  <colBreaks count="1" manualBreakCount="1">
    <brk id="13" max="1048575" man="1"/>
  </colBreaks>
  <customProperties>
    <customPr name="_pios_id" r:id="rId2"/>
  </customProperties>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13B981-2C50-42D1-9126-6E8B6401107D}">
  <sheetPr>
    <pageSetUpPr fitToPage="1"/>
  </sheetPr>
  <dimension ref="A1:F48"/>
  <sheetViews>
    <sheetView view="pageBreakPreview" zoomScale="60" zoomScaleNormal="69" workbookViewId="0">
      <selection activeCell="Q36" sqref="Q36"/>
    </sheetView>
  </sheetViews>
  <sheetFormatPr defaultRowHeight="12.75" x14ac:dyDescent="0.2"/>
  <cols>
    <col min="1" max="1" width="7.5703125" style="796" customWidth="1"/>
    <col min="2" max="2" width="68.85546875" style="795" bestFit="1" customWidth="1"/>
    <col min="3" max="3" width="16.85546875" style="795" customWidth="1"/>
    <col min="4" max="4" width="79.140625" style="795" customWidth="1"/>
    <col min="5" max="5" width="6.5703125" style="795" customWidth="1"/>
    <col min="6" max="256" width="9.140625" style="795"/>
    <col min="257" max="257" width="5.140625" style="795" customWidth="1"/>
    <col min="258" max="258" width="29.85546875" style="795" customWidth="1"/>
    <col min="259" max="259" width="14.42578125" style="795" bestFit="1" customWidth="1"/>
    <col min="260" max="260" width="46.85546875" style="795" customWidth="1"/>
    <col min="261" max="512" width="9.140625" style="795"/>
    <col min="513" max="513" width="5.140625" style="795" customWidth="1"/>
    <col min="514" max="514" width="29.85546875" style="795" customWidth="1"/>
    <col min="515" max="515" width="14.42578125" style="795" bestFit="1" customWidth="1"/>
    <col min="516" max="516" width="46.85546875" style="795" customWidth="1"/>
    <col min="517" max="768" width="9.140625" style="795"/>
    <col min="769" max="769" width="5.140625" style="795" customWidth="1"/>
    <col min="770" max="770" width="29.85546875" style="795" customWidth="1"/>
    <col min="771" max="771" width="14.42578125" style="795" bestFit="1" customWidth="1"/>
    <col min="772" max="772" width="46.85546875" style="795" customWidth="1"/>
    <col min="773" max="1024" width="9.140625" style="795"/>
    <col min="1025" max="1025" width="5.140625" style="795" customWidth="1"/>
    <col min="1026" max="1026" width="29.85546875" style="795" customWidth="1"/>
    <col min="1027" max="1027" width="14.42578125" style="795" bestFit="1" customWidth="1"/>
    <col min="1028" max="1028" width="46.85546875" style="795" customWidth="1"/>
    <col min="1029" max="1280" width="9.140625" style="795"/>
    <col min="1281" max="1281" width="5.140625" style="795" customWidth="1"/>
    <col min="1282" max="1282" width="29.85546875" style="795" customWidth="1"/>
    <col min="1283" max="1283" width="14.42578125" style="795" bestFit="1" customWidth="1"/>
    <col min="1284" max="1284" width="46.85546875" style="795" customWidth="1"/>
    <col min="1285" max="1536" width="9.140625" style="795"/>
    <col min="1537" max="1537" width="5.140625" style="795" customWidth="1"/>
    <col min="1538" max="1538" width="29.85546875" style="795" customWidth="1"/>
    <col min="1539" max="1539" width="14.42578125" style="795" bestFit="1" customWidth="1"/>
    <col min="1540" max="1540" width="46.85546875" style="795" customWidth="1"/>
    <col min="1541" max="1792" width="9.140625" style="795"/>
    <col min="1793" max="1793" width="5.140625" style="795" customWidth="1"/>
    <col min="1794" max="1794" width="29.85546875" style="795" customWidth="1"/>
    <col min="1795" max="1795" width="14.42578125" style="795" bestFit="1" customWidth="1"/>
    <col min="1796" max="1796" width="46.85546875" style="795" customWidth="1"/>
    <col min="1797" max="2048" width="9.140625" style="795"/>
    <col min="2049" max="2049" width="5.140625" style="795" customWidth="1"/>
    <col min="2050" max="2050" width="29.85546875" style="795" customWidth="1"/>
    <col min="2051" max="2051" width="14.42578125" style="795" bestFit="1" customWidth="1"/>
    <col min="2052" max="2052" width="46.85546875" style="795" customWidth="1"/>
    <col min="2053" max="2304" width="9.140625" style="795"/>
    <col min="2305" max="2305" width="5.140625" style="795" customWidth="1"/>
    <col min="2306" max="2306" width="29.85546875" style="795" customWidth="1"/>
    <col min="2307" max="2307" width="14.42578125" style="795" bestFit="1" customWidth="1"/>
    <col min="2308" max="2308" width="46.85546875" style="795" customWidth="1"/>
    <col min="2309" max="2560" width="9.140625" style="795"/>
    <col min="2561" max="2561" width="5.140625" style="795" customWidth="1"/>
    <col min="2562" max="2562" width="29.85546875" style="795" customWidth="1"/>
    <col min="2563" max="2563" width="14.42578125" style="795" bestFit="1" customWidth="1"/>
    <col min="2564" max="2564" width="46.85546875" style="795" customWidth="1"/>
    <col min="2565" max="2816" width="9.140625" style="795"/>
    <col min="2817" max="2817" width="5.140625" style="795" customWidth="1"/>
    <col min="2818" max="2818" width="29.85546875" style="795" customWidth="1"/>
    <col min="2819" max="2819" width="14.42578125" style="795" bestFit="1" customWidth="1"/>
    <col min="2820" max="2820" width="46.85546875" style="795" customWidth="1"/>
    <col min="2821" max="3072" width="9.140625" style="795"/>
    <col min="3073" max="3073" width="5.140625" style="795" customWidth="1"/>
    <col min="3074" max="3074" width="29.85546875" style="795" customWidth="1"/>
    <col min="3075" max="3075" width="14.42578125" style="795" bestFit="1" customWidth="1"/>
    <col min="3076" max="3076" width="46.85546875" style="795" customWidth="1"/>
    <col min="3077" max="3328" width="9.140625" style="795"/>
    <col min="3329" max="3329" width="5.140625" style="795" customWidth="1"/>
    <col min="3330" max="3330" width="29.85546875" style="795" customWidth="1"/>
    <col min="3331" max="3331" width="14.42578125" style="795" bestFit="1" customWidth="1"/>
    <col min="3332" max="3332" width="46.85546875" style="795" customWidth="1"/>
    <col min="3333" max="3584" width="9.140625" style="795"/>
    <col min="3585" max="3585" width="5.140625" style="795" customWidth="1"/>
    <col min="3586" max="3586" width="29.85546875" style="795" customWidth="1"/>
    <col min="3587" max="3587" width="14.42578125" style="795" bestFit="1" customWidth="1"/>
    <col min="3588" max="3588" width="46.85546875" style="795" customWidth="1"/>
    <col min="3589" max="3840" width="9.140625" style="795"/>
    <col min="3841" max="3841" width="5.140625" style="795" customWidth="1"/>
    <col min="3842" max="3842" width="29.85546875" style="795" customWidth="1"/>
    <col min="3843" max="3843" width="14.42578125" style="795" bestFit="1" customWidth="1"/>
    <col min="3844" max="3844" width="46.85546875" style="795" customWidth="1"/>
    <col min="3845" max="4096" width="9.140625" style="795"/>
    <col min="4097" max="4097" width="5.140625" style="795" customWidth="1"/>
    <col min="4098" max="4098" width="29.85546875" style="795" customWidth="1"/>
    <col min="4099" max="4099" width="14.42578125" style="795" bestFit="1" customWidth="1"/>
    <col min="4100" max="4100" width="46.85546875" style="795" customWidth="1"/>
    <col min="4101" max="4352" width="9.140625" style="795"/>
    <col min="4353" max="4353" width="5.140625" style="795" customWidth="1"/>
    <col min="4354" max="4354" width="29.85546875" style="795" customWidth="1"/>
    <col min="4355" max="4355" width="14.42578125" style="795" bestFit="1" customWidth="1"/>
    <col min="4356" max="4356" width="46.85546875" style="795" customWidth="1"/>
    <col min="4357" max="4608" width="9.140625" style="795"/>
    <col min="4609" max="4609" width="5.140625" style="795" customWidth="1"/>
    <col min="4610" max="4610" width="29.85546875" style="795" customWidth="1"/>
    <col min="4611" max="4611" width="14.42578125" style="795" bestFit="1" customWidth="1"/>
    <col min="4612" max="4612" width="46.85546875" style="795" customWidth="1"/>
    <col min="4613" max="4864" width="9.140625" style="795"/>
    <col min="4865" max="4865" width="5.140625" style="795" customWidth="1"/>
    <col min="4866" max="4866" width="29.85546875" style="795" customWidth="1"/>
    <col min="4867" max="4867" width="14.42578125" style="795" bestFit="1" customWidth="1"/>
    <col min="4868" max="4868" width="46.85546875" style="795" customWidth="1"/>
    <col min="4869" max="5120" width="9.140625" style="795"/>
    <col min="5121" max="5121" width="5.140625" style="795" customWidth="1"/>
    <col min="5122" max="5122" width="29.85546875" style="795" customWidth="1"/>
    <col min="5123" max="5123" width="14.42578125" style="795" bestFit="1" customWidth="1"/>
    <col min="5124" max="5124" width="46.85546875" style="795" customWidth="1"/>
    <col min="5125" max="5376" width="9.140625" style="795"/>
    <col min="5377" max="5377" width="5.140625" style="795" customWidth="1"/>
    <col min="5378" max="5378" width="29.85546875" style="795" customWidth="1"/>
    <col min="5379" max="5379" width="14.42578125" style="795" bestFit="1" customWidth="1"/>
    <col min="5380" max="5380" width="46.85546875" style="795" customWidth="1"/>
    <col min="5381" max="5632" width="9.140625" style="795"/>
    <col min="5633" max="5633" width="5.140625" style="795" customWidth="1"/>
    <col min="5634" max="5634" width="29.85546875" style="795" customWidth="1"/>
    <col min="5635" max="5635" width="14.42578125" style="795" bestFit="1" customWidth="1"/>
    <col min="5636" max="5636" width="46.85546875" style="795" customWidth="1"/>
    <col min="5637" max="5888" width="9.140625" style="795"/>
    <col min="5889" max="5889" width="5.140625" style="795" customWidth="1"/>
    <col min="5890" max="5890" width="29.85546875" style="795" customWidth="1"/>
    <col min="5891" max="5891" width="14.42578125" style="795" bestFit="1" customWidth="1"/>
    <col min="5892" max="5892" width="46.85546875" style="795" customWidth="1"/>
    <col min="5893" max="6144" width="9.140625" style="795"/>
    <col min="6145" max="6145" width="5.140625" style="795" customWidth="1"/>
    <col min="6146" max="6146" width="29.85546875" style="795" customWidth="1"/>
    <col min="6147" max="6147" width="14.42578125" style="795" bestFit="1" customWidth="1"/>
    <col min="6148" max="6148" width="46.85546875" style="795" customWidth="1"/>
    <col min="6149" max="6400" width="9.140625" style="795"/>
    <col min="6401" max="6401" width="5.140625" style="795" customWidth="1"/>
    <col min="6402" max="6402" width="29.85546875" style="795" customWidth="1"/>
    <col min="6403" max="6403" width="14.42578125" style="795" bestFit="1" customWidth="1"/>
    <col min="6404" max="6404" width="46.85546875" style="795" customWidth="1"/>
    <col min="6405" max="6656" width="9.140625" style="795"/>
    <col min="6657" max="6657" width="5.140625" style="795" customWidth="1"/>
    <col min="6658" max="6658" width="29.85546875" style="795" customWidth="1"/>
    <col min="6659" max="6659" width="14.42578125" style="795" bestFit="1" customWidth="1"/>
    <col min="6660" max="6660" width="46.85546875" style="795" customWidth="1"/>
    <col min="6661" max="6912" width="9.140625" style="795"/>
    <col min="6913" max="6913" width="5.140625" style="795" customWidth="1"/>
    <col min="6914" max="6914" width="29.85546875" style="795" customWidth="1"/>
    <col min="6915" max="6915" width="14.42578125" style="795" bestFit="1" customWidth="1"/>
    <col min="6916" max="6916" width="46.85546875" style="795" customWidth="1"/>
    <col min="6917" max="7168" width="9.140625" style="795"/>
    <col min="7169" max="7169" width="5.140625" style="795" customWidth="1"/>
    <col min="7170" max="7170" width="29.85546875" style="795" customWidth="1"/>
    <col min="7171" max="7171" width="14.42578125" style="795" bestFit="1" customWidth="1"/>
    <col min="7172" max="7172" width="46.85546875" style="795" customWidth="1"/>
    <col min="7173" max="7424" width="9.140625" style="795"/>
    <col min="7425" max="7425" width="5.140625" style="795" customWidth="1"/>
    <col min="7426" max="7426" width="29.85546875" style="795" customWidth="1"/>
    <col min="7427" max="7427" width="14.42578125" style="795" bestFit="1" customWidth="1"/>
    <col min="7428" max="7428" width="46.85546875" style="795" customWidth="1"/>
    <col min="7429" max="7680" width="9.140625" style="795"/>
    <col min="7681" max="7681" width="5.140625" style="795" customWidth="1"/>
    <col min="7682" max="7682" width="29.85546875" style="795" customWidth="1"/>
    <col min="7683" max="7683" width="14.42578125" style="795" bestFit="1" customWidth="1"/>
    <col min="7684" max="7684" width="46.85546875" style="795" customWidth="1"/>
    <col min="7685" max="7936" width="9.140625" style="795"/>
    <col min="7937" max="7937" width="5.140625" style="795" customWidth="1"/>
    <col min="7938" max="7938" width="29.85546875" style="795" customWidth="1"/>
    <col min="7939" max="7939" width="14.42578125" style="795" bestFit="1" customWidth="1"/>
    <col min="7940" max="7940" width="46.85546875" style="795" customWidth="1"/>
    <col min="7941" max="8192" width="9.140625" style="795"/>
    <col min="8193" max="8193" width="5.140625" style="795" customWidth="1"/>
    <col min="8194" max="8194" width="29.85546875" style="795" customWidth="1"/>
    <col min="8195" max="8195" width="14.42578125" style="795" bestFit="1" customWidth="1"/>
    <col min="8196" max="8196" width="46.85546875" style="795" customWidth="1"/>
    <col min="8197" max="8448" width="9.140625" style="795"/>
    <col min="8449" max="8449" width="5.140625" style="795" customWidth="1"/>
    <col min="8450" max="8450" width="29.85546875" style="795" customWidth="1"/>
    <col min="8451" max="8451" width="14.42578125" style="795" bestFit="1" customWidth="1"/>
    <col min="8452" max="8452" width="46.85546875" style="795" customWidth="1"/>
    <col min="8453" max="8704" width="9.140625" style="795"/>
    <col min="8705" max="8705" width="5.140625" style="795" customWidth="1"/>
    <col min="8706" max="8706" width="29.85546875" style="795" customWidth="1"/>
    <col min="8707" max="8707" width="14.42578125" style="795" bestFit="1" customWidth="1"/>
    <col min="8708" max="8708" width="46.85546875" style="795" customWidth="1"/>
    <col min="8709" max="8960" width="9.140625" style="795"/>
    <col min="8961" max="8961" width="5.140625" style="795" customWidth="1"/>
    <col min="8962" max="8962" width="29.85546875" style="795" customWidth="1"/>
    <col min="8963" max="8963" width="14.42578125" style="795" bestFit="1" customWidth="1"/>
    <col min="8964" max="8964" width="46.85546875" style="795" customWidth="1"/>
    <col min="8965" max="9216" width="9.140625" style="795"/>
    <col min="9217" max="9217" width="5.140625" style="795" customWidth="1"/>
    <col min="9218" max="9218" width="29.85546875" style="795" customWidth="1"/>
    <col min="9219" max="9219" width="14.42578125" style="795" bestFit="1" customWidth="1"/>
    <col min="9220" max="9220" width="46.85546875" style="795" customWidth="1"/>
    <col min="9221" max="9472" width="9.140625" style="795"/>
    <col min="9473" max="9473" width="5.140625" style="795" customWidth="1"/>
    <col min="9474" max="9474" width="29.85546875" style="795" customWidth="1"/>
    <col min="9475" max="9475" width="14.42578125" style="795" bestFit="1" customWidth="1"/>
    <col min="9476" max="9476" width="46.85546875" style="795" customWidth="1"/>
    <col min="9477" max="9728" width="9.140625" style="795"/>
    <col min="9729" max="9729" width="5.140625" style="795" customWidth="1"/>
    <col min="9730" max="9730" width="29.85546875" style="795" customWidth="1"/>
    <col min="9731" max="9731" width="14.42578125" style="795" bestFit="1" customWidth="1"/>
    <col min="9732" max="9732" width="46.85546875" style="795" customWidth="1"/>
    <col min="9733" max="9984" width="9.140625" style="795"/>
    <col min="9985" max="9985" width="5.140625" style="795" customWidth="1"/>
    <col min="9986" max="9986" width="29.85546875" style="795" customWidth="1"/>
    <col min="9987" max="9987" width="14.42578125" style="795" bestFit="1" customWidth="1"/>
    <col min="9988" max="9988" width="46.85546875" style="795" customWidth="1"/>
    <col min="9989" max="10240" width="9.140625" style="795"/>
    <col min="10241" max="10241" width="5.140625" style="795" customWidth="1"/>
    <col min="10242" max="10242" width="29.85546875" style="795" customWidth="1"/>
    <col min="10243" max="10243" width="14.42578125" style="795" bestFit="1" customWidth="1"/>
    <col min="10244" max="10244" width="46.85546875" style="795" customWidth="1"/>
    <col min="10245" max="10496" width="9.140625" style="795"/>
    <col min="10497" max="10497" width="5.140625" style="795" customWidth="1"/>
    <col min="10498" max="10498" width="29.85546875" style="795" customWidth="1"/>
    <col min="10499" max="10499" width="14.42578125" style="795" bestFit="1" customWidth="1"/>
    <col min="10500" max="10500" width="46.85546875" style="795" customWidth="1"/>
    <col min="10501" max="10752" width="9.140625" style="795"/>
    <col min="10753" max="10753" width="5.140625" style="795" customWidth="1"/>
    <col min="10754" max="10754" width="29.85546875" style="795" customWidth="1"/>
    <col min="10755" max="10755" width="14.42578125" style="795" bestFit="1" customWidth="1"/>
    <col min="10756" max="10756" width="46.85546875" style="795" customWidth="1"/>
    <col min="10757" max="11008" width="9.140625" style="795"/>
    <col min="11009" max="11009" width="5.140625" style="795" customWidth="1"/>
    <col min="11010" max="11010" width="29.85546875" style="795" customWidth="1"/>
    <col min="11011" max="11011" width="14.42578125" style="795" bestFit="1" customWidth="1"/>
    <col min="11012" max="11012" width="46.85546875" style="795" customWidth="1"/>
    <col min="11013" max="11264" width="9.140625" style="795"/>
    <col min="11265" max="11265" width="5.140625" style="795" customWidth="1"/>
    <col min="11266" max="11266" width="29.85546875" style="795" customWidth="1"/>
    <col min="11267" max="11267" width="14.42578125" style="795" bestFit="1" customWidth="1"/>
    <col min="11268" max="11268" width="46.85546875" style="795" customWidth="1"/>
    <col min="11269" max="11520" width="9.140625" style="795"/>
    <col min="11521" max="11521" width="5.140625" style="795" customWidth="1"/>
    <col min="11522" max="11522" width="29.85546875" style="795" customWidth="1"/>
    <col min="11523" max="11523" width="14.42578125" style="795" bestFit="1" customWidth="1"/>
    <col min="11524" max="11524" width="46.85546875" style="795" customWidth="1"/>
    <col min="11525" max="11776" width="9.140625" style="795"/>
    <col min="11777" max="11777" width="5.140625" style="795" customWidth="1"/>
    <col min="11778" max="11778" width="29.85546875" style="795" customWidth="1"/>
    <col min="11779" max="11779" width="14.42578125" style="795" bestFit="1" customWidth="1"/>
    <col min="11780" max="11780" width="46.85546875" style="795" customWidth="1"/>
    <col min="11781" max="12032" width="9.140625" style="795"/>
    <col min="12033" max="12033" width="5.140625" style="795" customWidth="1"/>
    <col min="12034" max="12034" width="29.85546875" style="795" customWidth="1"/>
    <col min="12035" max="12035" width="14.42578125" style="795" bestFit="1" customWidth="1"/>
    <col min="12036" max="12036" width="46.85546875" style="795" customWidth="1"/>
    <col min="12037" max="12288" width="9.140625" style="795"/>
    <col min="12289" max="12289" width="5.140625" style="795" customWidth="1"/>
    <col min="12290" max="12290" width="29.85546875" style="795" customWidth="1"/>
    <col min="12291" max="12291" width="14.42578125" style="795" bestFit="1" customWidth="1"/>
    <col min="12292" max="12292" width="46.85546875" style="795" customWidth="1"/>
    <col min="12293" max="12544" width="9.140625" style="795"/>
    <col min="12545" max="12545" width="5.140625" style="795" customWidth="1"/>
    <col min="12546" max="12546" width="29.85546875" style="795" customWidth="1"/>
    <col min="12547" max="12547" width="14.42578125" style="795" bestFit="1" customWidth="1"/>
    <col min="12548" max="12548" width="46.85546875" style="795" customWidth="1"/>
    <col min="12549" max="12800" width="9.140625" style="795"/>
    <col min="12801" max="12801" width="5.140625" style="795" customWidth="1"/>
    <col min="12802" max="12802" width="29.85546875" style="795" customWidth="1"/>
    <col min="12803" max="12803" width="14.42578125" style="795" bestFit="1" customWidth="1"/>
    <col min="12804" max="12804" width="46.85546875" style="795" customWidth="1"/>
    <col min="12805" max="13056" width="9.140625" style="795"/>
    <col min="13057" max="13057" width="5.140625" style="795" customWidth="1"/>
    <col min="13058" max="13058" width="29.85546875" style="795" customWidth="1"/>
    <col min="13059" max="13059" width="14.42578125" style="795" bestFit="1" customWidth="1"/>
    <col min="13060" max="13060" width="46.85546875" style="795" customWidth="1"/>
    <col min="13061" max="13312" width="9.140625" style="795"/>
    <col min="13313" max="13313" width="5.140625" style="795" customWidth="1"/>
    <col min="13314" max="13314" width="29.85546875" style="795" customWidth="1"/>
    <col min="13315" max="13315" width="14.42578125" style="795" bestFit="1" customWidth="1"/>
    <col min="13316" max="13316" width="46.85546875" style="795" customWidth="1"/>
    <col min="13317" max="13568" width="9.140625" style="795"/>
    <col min="13569" max="13569" width="5.140625" style="795" customWidth="1"/>
    <col min="13570" max="13570" width="29.85546875" style="795" customWidth="1"/>
    <col min="13571" max="13571" width="14.42578125" style="795" bestFit="1" customWidth="1"/>
    <col min="13572" max="13572" width="46.85546875" style="795" customWidth="1"/>
    <col min="13573" max="13824" width="9.140625" style="795"/>
    <col min="13825" max="13825" width="5.140625" style="795" customWidth="1"/>
    <col min="13826" max="13826" width="29.85546875" style="795" customWidth="1"/>
    <col min="13827" max="13827" width="14.42578125" style="795" bestFit="1" customWidth="1"/>
    <col min="13828" max="13828" width="46.85546875" style="795" customWidth="1"/>
    <col min="13829" max="14080" width="9.140625" style="795"/>
    <col min="14081" max="14081" width="5.140625" style="795" customWidth="1"/>
    <col min="14082" max="14082" width="29.85546875" style="795" customWidth="1"/>
    <col min="14083" max="14083" width="14.42578125" style="795" bestFit="1" customWidth="1"/>
    <col min="14084" max="14084" width="46.85546875" style="795" customWidth="1"/>
    <col min="14085" max="14336" width="9.140625" style="795"/>
    <col min="14337" max="14337" width="5.140625" style="795" customWidth="1"/>
    <col min="14338" max="14338" width="29.85546875" style="795" customWidth="1"/>
    <col min="14339" max="14339" width="14.42578125" style="795" bestFit="1" customWidth="1"/>
    <col min="14340" max="14340" width="46.85546875" style="795" customWidth="1"/>
    <col min="14341" max="14592" width="9.140625" style="795"/>
    <col min="14593" max="14593" width="5.140625" style="795" customWidth="1"/>
    <col min="14594" max="14594" width="29.85546875" style="795" customWidth="1"/>
    <col min="14595" max="14595" width="14.42578125" style="795" bestFit="1" customWidth="1"/>
    <col min="14596" max="14596" width="46.85546875" style="795" customWidth="1"/>
    <col min="14597" max="14848" width="9.140625" style="795"/>
    <col min="14849" max="14849" width="5.140625" style="795" customWidth="1"/>
    <col min="14850" max="14850" width="29.85546875" style="795" customWidth="1"/>
    <col min="14851" max="14851" width="14.42578125" style="795" bestFit="1" customWidth="1"/>
    <col min="14852" max="14852" width="46.85546875" style="795" customWidth="1"/>
    <col min="14853" max="15104" width="9.140625" style="795"/>
    <col min="15105" max="15105" width="5.140625" style="795" customWidth="1"/>
    <col min="15106" max="15106" width="29.85546875" style="795" customWidth="1"/>
    <col min="15107" max="15107" width="14.42578125" style="795" bestFit="1" customWidth="1"/>
    <col min="15108" max="15108" width="46.85546875" style="795" customWidth="1"/>
    <col min="15109" max="15360" width="9.140625" style="795"/>
    <col min="15361" max="15361" width="5.140625" style="795" customWidth="1"/>
    <col min="15362" max="15362" width="29.85546875" style="795" customWidth="1"/>
    <col min="15363" max="15363" width="14.42578125" style="795" bestFit="1" customWidth="1"/>
    <col min="15364" max="15364" width="46.85546875" style="795" customWidth="1"/>
    <col min="15365" max="15616" width="9.140625" style="795"/>
    <col min="15617" max="15617" width="5.140625" style="795" customWidth="1"/>
    <col min="15618" max="15618" width="29.85546875" style="795" customWidth="1"/>
    <col min="15619" max="15619" width="14.42578125" style="795" bestFit="1" customWidth="1"/>
    <col min="15620" max="15620" width="46.85546875" style="795" customWidth="1"/>
    <col min="15621" max="15872" width="9.140625" style="795"/>
    <col min="15873" max="15873" width="5.140625" style="795" customWidth="1"/>
    <col min="15874" max="15874" width="29.85546875" style="795" customWidth="1"/>
    <col min="15875" max="15875" width="14.42578125" style="795" bestFit="1" customWidth="1"/>
    <col min="15876" max="15876" width="46.85546875" style="795" customWidth="1"/>
    <col min="15877" max="16128" width="9.140625" style="795"/>
    <col min="16129" max="16129" width="5.140625" style="795" customWidth="1"/>
    <col min="16130" max="16130" width="29.85546875" style="795" customWidth="1"/>
    <col min="16131" max="16131" width="14.42578125" style="795" bestFit="1" customWidth="1"/>
    <col min="16132" max="16132" width="46.85546875" style="795" customWidth="1"/>
    <col min="16133" max="16384" width="9.140625" style="795"/>
  </cols>
  <sheetData>
    <row r="1" spans="1:6" x14ac:dyDescent="0.2">
      <c r="B1" s="800" t="s">
        <v>2433</v>
      </c>
    </row>
    <row r="2" spans="1:6" ht="15" x14ac:dyDescent="0.25">
      <c r="A2" s="6"/>
      <c r="B2" s="30" t="s">
        <v>6</v>
      </c>
      <c r="C2" s="6"/>
      <c r="D2" s="76" t="str">
        <f>CONCATENATE("Rate Year: ",'1-BaseTRR'!$G$2)</f>
        <v>Rate Year: 2027</v>
      </c>
      <c r="E2" s="6"/>
    </row>
    <row r="3" spans="1:6" ht="15" x14ac:dyDescent="0.25">
      <c r="A3" s="6"/>
      <c r="B3" s="77" t="s">
        <v>367</v>
      </c>
      <c r="C3" s="6"/>
      <c r="D3" s="76"/>
      <c r="E3" s="6"/>
    </row>
    <row r="4" spans="1:6" ht="15" x14ac:dyDescent="0.25">
      <c r="A4" s="6"/>
      <c r="B4" s="30"/>
      <c r="C4" s="6"/>
      <c r="D4" s="6"/>
      <c r="E4" s="6"/>
    </row>
    <row r="5" spans="1:6" ht="15" x14ac:dyDescent="0.25">
      <c r="A5" s="6"/>
      <c r="B5" s="83" t="s">
        <v>2432</v>
      </c>
      <c r="C5" s="35"/>
      <c r="D5" s="35"/>
      <c r="E5" s="6"/>
    </row>
    <row r="6" spans="1:6" ht="15" x14ac:dyDescent="0.25">
      <c r="A6" s="33" t="s">
        <v>106</v>
      </c>
      <c r="B6" s="30"/>
      <c r="C6" s="6"/>
      <c r="D6" s="33" t="s">
        <v>154</v>
      </c>
      <c r="E6" s="33" t="s">
        <v>106</v>
      </c>
    </row>
    <row r="7" spans="1:6" ht="15" x14ac:dyDescent="0.25">
      <c r="A7" s="8">
        <v>100</v>
      </c>
      <c r="B7" s="76" t="s">
        <v>2431</v>
      </c>
      <c r="C7" s="62">
        <f ca="1">C30</f>
        <v>4.474685289408648E-3</v>
      </c>
      <c r="D7" s="6" t="str">
        <f>"Line "&amp;A30&amp;""</f>
        <v>Line 216</v>
      </c>
      <c r="E7" s="8">
        <v>100</v>
      </c>
    </row>
    <row r="8" spans="1:6" ht="15" x14ac:dyDescent="0.25">
      <c r="A8" s="8">
        <v>101</v>
      </c>
      <c r="B8" s="76" t="s">
        <v>2430</v>
      </c>
      <c r="C8" s="62">
        <f ca="1">C44</f>
        <v>1.1845870229963742E-2</v>
      </c>
      <c r="D8" s="6" t="str">
        <f>"Line "&amp;A44&amp;""</f>
        <v>Line 310</v>
      </c>
      <c r="E8" s="8">
        <v>101</v>
      </c>
    </row>
    <row r="9" spans="1:6" ht="15" x14ac:dyDescent="0.25">
      <c r="A9" s="6"/>
      <c r="B9" s="76"/>
      <c r="C9" s="62"/>
      <c r="D9" s="6"/>
      <c r="E9" s="8"/>
    </row>
    <row r="10" spans="1:6" s="799" customFormat="1" ht="15" x14ac:dyDescent="0.25">
      <c r="A10" s="6"/>
      <c r="B10" s="83" t="s">
        <v>2429</v>
      </c>
      <c r="C10" s="35"/>
      <c r="D10" s="35"/>
      <c r="E10" s="6"/>
    </row>
    <row r="11" spans="1:6" s="797" customFormat="1" ht="15" x14ac:dyDescent="0.25">
      <c r="A11" s="33" t="s">
        <v>106</v>
      </c>
      <c r="B11" s="33" t="s">
        <v>79</v>
      </c>
      <c r="C11" s="33" t="s">
        <v>155</v>
      </c>
      <c r="D11" s="33" t="s">
        <v>154</v>
      </c>
      <c r="E11" s="33" t="str">
        <f>A11</f>
        <v>Line</v>
      </c>
      <c r="F11" s="33"/>
    </row>
    <row r="12" spans="1:6" s="797" customFormat="1" ht="15" x14ac:dyDescent="0.25">
      <c r="A12" s="8">
        <v>200</v>
      </c>
      <c r="B12" s="6" t="s">
        <v>1796</v>
      </c>
      <c r="C12" s="24">
        <f>'1-BaseTRR'!$E$147</f>
        <v>718794370.43350494</v>
      </c>
      <c r="D12" s="6" t="s">
        <v>2414</v>
      </c>
      <c r="E12" s="8">
        <f>A12</f>
        <v>200</v>
      </c>
    </row>
    <row r="13" spans="1:6" s="797" customFormat="1" ht="15" x14ac:dyDescent="0.25">
      <c r="A13" s="8">
        <f>A12+1</f>
        <v>201</v>
      </c>
      <c r="B13" s="6" t="s">
        <v>2413</v>
      </c>
      <c r="C13" s="24">
        <f>'1-BaseTRR'!$E$148</f>
        <v>104282151.45130536</v>
      </c>
      <c r="D13" s="6" t="s">
        <v>2412</v>
      </c>
      <c r="E13" s="8">
        <f>A13</f>
        <v>201</v>
      </c>
    </row>
    <row r="14" spans="1:6" s="797" customFormat="1" ht="15" x14ac:dyDescent="0.25">
      <c r="A14" s="8">
        <f>A13+1</f>
        <v>202</v>
      </c>
      <c r="B14" s="6" t="s">
        <v>2411</v>
      </c>
      <c r="C14" s="24">
        <f>'1-BaseTRR'!$E$154</f>
        <v>171582952.26747984</v>
      </c>
      <c r="D14" s="6" t="s">
        <v>2410</v>
      </c>
      <c r="E14" s="8">
        <f>A14</f>
        <v>202</v>
      </c>
    </row>
    <row r="15" spans="1:6" s="797" customFormat="1" ht="15" x14ac:dyDescent="0.25">
      <c r="A15" s="8">
        <f>A14+1</f>
        <v>203</v>
      </c>
      <c r="B15" s="6" t="s">
        <v>2409</v>
      </c>
      <c r="C15" s="24">
        <f>'1-BaseTRR'!E173</f>
        <v>-40263613.629999995</v>
      </c>
      <c r="D15" s="6" t="s">
        <v>2408</v>
      </c>
      <c r="E15" s="8">
        <f>A15</f>
        <v>203</v>
      </c>
    </row>
    <row r="16" spans="1:6" s="797" customFormat="1" ht="15" x14ac:dyDescent="0.25">
      <c r="A16" s="8">
        <f>A15+1</f>
        <v>204</v>
      </c>
      <c r="B16" s="6" t="s">
        <v>2428</v>
      </c>
      <c r="C16" s="24">
        <f>'11-Depreciation'!E28</f>
        <v>51727039.916464813</v>
      </c>
      <c r="D16" s="6" t="s">
        <v>2427</v>
      </c>
      <c r="E16" s="8">
        <f>A16</f>
        <v>204</v>
      </c>
    </row>
    <row r="17" spans="1:5" s="797" customFormat="1" ht="15" x14ac:dyDescent="0.25">
      <c r="A17" s="8"/>
      <c r="B17" s="6"/>
      <c r="C17" s="24"/>
      <c r="D17" s="6"/>
      <c r="E17" s="8"/>
    </row>
    <row r="18" spans="1:5" s="797" customFormat="1" ht="15" x14ac:dyDescent="0.25">
      <c r="A18" s="8">
        <f>A16+1</f>
        <v>205</v>
      </c>
      <c r="B18" s="6" t="s">
        <v>2405</v>
      </c>
      <c r="C18" s="24">
        <f ca="1">'1-BaseTRR'!$E$153</f>
        <v>961919082.05583632</v>
      </c>
      <c r="D18" s="6" t="s">
        <v>2404</v>
      </c>
      <c r="E18" s="8">
        <f>A18</f>
        <v>205</v>
      </c>
    </row>
    <row r="19" spans="1:5" s="797" customFormat="1" ht="15" x14ac:dyDescent="0.25">
      <c r="A19" s="8">
        <f>A18+1</f>
        <v>206</v>
      </c>
      <c r="B19" s="6" t="s">
        <v>2403</v>
      </c>
      <c r="C19" s="263">
        <f ca="1">'1-BaseTRR'!$E$155</f>
        <v>225221663.81451568</v>
      </c>
      <c r="D19" s="6" t="s">
        <v>2426</v>
      </c>
      <c r="E19" s="8">
        <f>A19</f>
        <v>206</v>
      </c>
    </row>
    <row r="20" spans="1:5" s="797" customFormat="1" ht="15" x14ac:dyDescent="0.25">
      <c r="A20" s="8">
        <f>A19+1</f>
        <v>207</v>
      </c>
      <c r="B20" s="6" t="s">
        <v>2425</v>
      </c>
      <c r="C20" s="24">
        <f ca="1">SUM(C18:C19)</f>
        <v>1187140745.870352</v>
      </c>
      <c r="D20" s="6" t="str">
        <f>"Line "&amp;A18&amp;" + Line "&amp;A19&amp;""</f>
        <v>Line 205 + Line 206</v>
      </c>
      <c r="E20" s="8">
        <f>A20</f>
        <v>207</v>
      </c>
    </row>
    <row r="21" spans="1:5" s="797" customFormat="1" ht="15" x14ac:dyDescent="0.25">
      <c r="A21" s="8">
        <f>A20+1</f>
        <v>208</v>
      </c>
      <c r="B21" s="6" t="s">
        <v>2424</v>
      </c>
      <c r="C21" s="24">
        <f>'1-BaseTRR'!E9</f>
        <v>1010025669.5285273</v>
      </c>
      <c r="D21" s="6" t="s">
        <v>2423</v>
      </c>
      <c r="E21" s="8">
        <f>A21</f>
        <v>208</v>
      </c>
    </row>
    <row r="22" spans="1:5" s="797" customFormat="1" ht="15" x14ac:dyDescent="0.25">
      <c r="A22" s="8">
        <f>A21+1</f>
        <v>209</v>
      </c>
      <c r="B22" s="6" t="s">
        <v>2422</v>
      </c>
      <c r="C22" s="24">
        <f ca="1">'1-BaseTRR'!E11</f>
        <v>20977235846.81871</v>
      </c>
      <c r="D22" s="6" t="s">
        <v>2421</v>
      </c>
      <c r="E22" s="8">
        <f>A22</f>
        <v>209</v>
      </c>
    </row>
    <row r="23" spans="1:5" s="797" customFormat="1" ht="15" x14ac:dyDescent="0.25">
      <c r="A23" s="8">
        <f>A22+1</f>
        <v>210</v>
      </c>
      <c r="B23" s="6" t="s">
        <v>2420</v>
      </c>
      <c r="C23" s="24">
        <f ca="1">C20*(C21/C22)</f>
        <v>57159228.957905702</v>
      </c>
      <c r="D23" s="6" t="str">
        <f>"Line "&amp;A20&amp;" * (Line "&amp;A21&amp;" / Line "&amp;A22&amp;")"</f>
        <v>Line 207 * (Line 208 / Line 209)</v>
      </c>
      <c r="E23" s="8">
        <f>A23</f>
        <v>210</v>
      </c>
    </row>
    <row r="24" spans="1:5" s="797" customFormat="1" ht="15" x14ac:dyDescent="0.25">
      <c r="A24" s="608"/>
      <c r="B24" s="798"/>
      <c r="C24" s="24"/>
      <c r="D24" s="6"/>
      <c r="E24" s="8"/>
    </row>
    <row r="25" spans="1:5" s="797" customFormat="1" ht="30" x14ac:dyDescent="0.25">
      <c r="A25" s="608">
        <f>A23+1</f>
        <v>211</v>
      </c>
      <c r="B25" s="85" t="s">
        <v>2419</v>
      </c>
      <c r="C25" s="24">
        <f ca="1">SUM(C12:C16)+C23</f>
        <v>1063282129.3966606</v>
      </c>
      <c r="D25" s="6" t="str">
        <f>"Sum of Lines "&amp;A12&amp;" through Line "&amp;A16&amp;" + Line "&amp;A23&amp;""</f>
        <v>Sum of Lines 200 through Line 204 + Line 210</v>
      </c>
      <c r="E25" s="8">
        <f>A25</f>
        <v>211</v>
      </c>
    </row>
    <row r="26" spans="1:5" s="797" customFormat="1" ht="15" x14ac:dyDescent="0.25">
      <c r="A26" s="608">
        <f>A25+1</f>
        <v>212</v>
      </c>
      <c r="B26" s="798" t="s">
        <v>2401</v>
      </c>
      <c r="C26" s="24">
        <f ca="1">C25*('1-BaseTRR'!E162+'1-BaseTRR'!E163)</f>
        <v>8914835.8611649051</v>
      </c>
      <c r="D26" s="6" t="str">
        <f>"Line "&amp;A25&amp;" * (1-BaseTRR, Line "&amp;'1-BaseTRR'!A162&amp;" + 1-BaseTRR, Line "&amp;'1-BaseTRR'!A163&amp;")"</f>
        <v>Line 211 * (1-BaseTRR, Line 513 + 1-BaseTRR, Line 514)</v>
      </c>
      <c r="E26" s="8">
        <f>A26</f>
        <v>212</v>
      </c>
    </row>
    <row r="27" spans="1:5" s="797" customFormat="1" ht="30" x14ac:dyDescent="0.25">
      <c r="A27" s="608">
        <f>A26+1</f>
        <v>213</v>
      </c>
      <c r="B27" s="85" t="s">
        <v>2418</v>
      </c>
      <c r="C27" s="24">
        <f ca="1">C25+C26</f>
        <v>1072196965.2578255</v>
      </c>
      <c r="D27" s="6" t="str">
        <f>"Line "&amp;A25&amp;" + Line "&amp;A26&amp;""</f>
        <v>Line 211 + Line 212</v>
      </c>
      <c r="E27" s="8">
        <f>A27</f>
        <v>213</v>
      </c>
    </row>
    <row r="28" spans="1:5" s="797" customFormat="1" ht="15" x14ac:dyDescent="0.25">
      <c r="A28" s="608">
        <f>A27+1</f>
        <v>214</v>
      </c>
      <c r="B28" s="798" t="s">
        <v>2400</v>
      </c>
      <c r="C28" s="24">
        <f>'1-BaseTRR'!$E$8</f>
        <v>19967828199.293724</v>
      </c>
      <c r="D28" s="6" t="s">
        <v>2399</v>
      </c>
      <c r="E28" s="8">
        <f>A28</f>
        <v>214</v>
      </c>
    </row>
    <row r="29" spans="1:5" s="797" customFormat="1" ht="30" x14ac:dyDescent="0.25">
      <c r="A29" s="608">
        <f>A28+1</f>
        <v>215</v>
      </c>
      <c r="B29" s="85" t="s">
        <v>2417</v>
      </c>
      <c r="C29" s="67">
        <f ca="1">C27/C28</f>
        <v>5.3696223472903773E-2</v>
      </c>
      <c r="D29" s="6" t="str">
        <f>"Line "&amp;A27&amp;" / Line "&amp;A28&amp;""</f>
        <v>Line 213 / Line 214</v>
      </c>
      <c r="E29" s="8">
        <f>A29</f>
        <v>215</v>
      </c>
    </row>
    <row r="30" spans="1:5" s="797" customFormat="1" ht="30.75" customHeight="1" x14ac:dyDescent="0.25">
      <c r="A30" s="608">
        <f>A29+1</f>
        <v>216</v>
      </c>
      <c r="B30" s="85" t="s">
        <v>2416</v>
      </c>
      <c r="C30" s="67">
        <f ca="1">C29/12</f>
        <v>4.474685289408648E-3</v>
      </c>
      <c r="D30" s="6" t="str">
        <f>"Line "&amp;A28&amp;" / 12 months"</f>
        <v>Line 214 / 12 months</v>
      </c>
      <c r="E30" s="8">
        <f>A30</f>
        <v>216</v>
      </c>
    </row>
    <row r="31" spans="1:5" ht="15" x14ac:dyDescent="0.25">
      <c r="A31" s="8"/>
      <c r="B31" s="6"/>
      <c r="C31" s="49"/>
      <c r="D31" s="6"/>
    </row>
    <row r="32" spans="1:5" ht="15" x14ac:dyDescent="0.25">
      <c r="B32" s="83" t="s">
        <v>2415</v>
      </c>
      <c r="C32" s="35"/>
      <c r="D32" s="35"/>
    </row>
    <row r="33" spans="1:5" ht="15" x14ac:dyDescent="0.25">
      <c r="A33" s="33" t="s">
        <v>106</v>
      </c>
      <c r="B33" s="33" t="s">
        <v>79</v>
      </c>
      <c r="C33" s="33" t="s">
        <v>155</v>
      </c>
      <c r="D33" s="33" t="s">
        <v>154</v>
      </c>
      <c r="E33" s="33" t="str">
        <f>A33</f>
        <v>Line</v>
      </c>
    </row>
    <row r="34" spans="1:5" ht="15" x14ac:dyDescent="0.25">
      <c r="A34" s="8">
        <v>300</v>
      </c>
      <c r="B34" s="6" t="s">
        <v>1796</v>
      </c>
      <c r="C34" s="24">
        <f>'1-BaseTRR'!$E$147</f>
        <v>718794370.43350494</v>
      </c>
      <c r="D34" s="6" t="s">
        <v>2414</v>
      </c>
      <c r="E34" s="8">
        <f>A34</f>
        <v>300</v>
      </c>
    </row>
    <row r="35" spans="1:5" ht="15" x14ac:dyDescent="0.25">
      <c r="A35" s="8">
        <f>A34+1</f>
        <v>301</v>
      </c>
      <c r="B35" s="6" t="s">
        <v>2413</v>
      </c>
      <c r="C35" s="24">
        <f>'1-BaseTRR'!$E$148</f>
        <v>104282151.45130536</v>
      </c>
      <c r="D35" s="6" t="s">
        <v>2412</v>
      </c>
      <c r="E35" s="8">
        <f>A35</f>
        <v>301</v>
      </c>
    </row>
    <row r="36" spans="1:5" ht="15" x14ac:dyDescent="0.25">
      <c r="A36" s="8">
        <f>A35+1</f>
        <v>302</v>
      </c>
      <c r="B36" s="6" t="s">
        <v>2411</v>
      </c>
      <c r="C36" s="24">
        <f>'1-BaseTRR'!$E$154</f>
        <v>171582952.26747984</v>
      </c>
      <c r="D36" s="6" t="s">
        <v>2410</v>
      </c>
      <c r="E36" s="8">
        <f>A36</f>
        <v>302</v>
      </c>
    </row>
    <row r="37" spans="1:5" ht="15" x14ac:dyDescent="0.25">
      <c r="A37" s="8">
        <f>A36+1</f>
        <v>303</v>
      </c>
      <c r="B37" s="6" t="s">
        <v>2409</v>
      </c>
      <c r="C37" s="24">
        <f>'1-BaseTRR'!E173</f>
        <v>-40263613.629999995</v>
      </c>
      <c r="D37" s="6" t="s">
        <v>2408</v>
      </c>
      <c r="E37" s="8">
        <f>A37</f>
        <v>303</v>
      </c>
    </row>
    <row r="38" spans="1:5" ht="15" x14ac:dyDescent="0.25">
      <c r="A38" s="8">
        <f>A37+1</f>
        <v>304</v>
      </c>
      <c r="B38" s="6" t="s">
        <v>2407</v>
      </c>
      <c r="C38" s="24">
        <f>'1-BaseTRR'!E150+'1-BaseTRR'!E151</f>
        <v>673298696.65878582</v>
      </c>
      <c r="D38" s="6" t="s">
        <v>2406</v>
      </c>
      <c r="E38" s="8">
        <f>A38</f>
        <v>304</v>
      </c>
    </row>
    <row r="39" spans="1:5" ht="15" x14ac:dyDescent="0.25">
      <c r="A39" s="8">
        <f>A38+1</f>
        <v>305</v>
      </c>
      <c r="B39" s="6" t="s">
        <v>2405</v>
      </c>
      <c r="C39" s="24">
        <f ca="1">'1-BaseTRR'!$E$153</f>
        <v>961919082.05583632</v>
      </c>
      <c r="D39" s="6" t="s">
        <v>2404</v>
      </c>
      <c r="E39" s="8">
        <f>A39</f>
        <v>305</v>
      </c>
    </row>
    <row r="40" spans="1:5" ht="15" x14ac:dyDescent="0.25">
      <c r="A40" s="8">
        <f>A39+1</f>
        <v>306</v>
      </c>
      <c r="B40" s="6" t="s">
        <v>2403</v>
      </c>
      <c r="C40" s="24">
        <f ca="1">'1-BaseTRR'!$E$155</f>
        <v>225221663.81451568</v>
      </c>
      <c r="D40" s="6" t="s">
        <v>2402</v>
      </c>
      <c r="E40" s="8">
        <f>A40</f>
        <v>306</v>
      </c>
    </row>
    <row r="41" spans="1:5" ht="15" x14ac:dyDescent="0.25">
      <c r="A41" s="8">
        <f>A40+1</f>
        <v>307</v>
      </c>
      <c r="B41" s="6" t="s">
        <v>2401</v>
      </c>
      <c r="C41" s="24">
        <f ca="1">SUM(C34:C40)*('1-BaseTRR'!E162+'1-BaseTRR'!E163)</f>
        <v>23600316.425100509</v>
      </c>
      <c r="D41" s="6" t="str">
        <f>"Sum of Lines "&amp;A34&amp;" through Line "&amp;A40&amp;" * (1-BaseTRR, Line "&amp;'1-BaseTRR'!A162&amp;" + 1-BaseTRR, Line "&amp;'1-BaseTRR'!A163&amp;")"</f>
        <v>Sum of Lines 300 through Line 306 * (1-BaseTRR, Line 513 + 1-BaseTRR, Line 514)</v>
      </c>
      <c r="E41" s="8">
        <f>A41</f>
        <v>307</v>
      </c>
    </row>
    <row r="42" spans="1:5" ht="15" x14ac:dyDescent="0.25">
      <c r="A42" s="8">
        <f>A41+1</f>
        <v>308</v>
      </c>
      <c r="B42" s="6" t="s">
        <v>2400</v>
      </c>
      <c r="C42" s="24">
        <f>'1-BaseTRR'!$E$8</f>
        <v>19967828199.293724</v>
      </c>
      <c r="D42" s="6" t="s">
        <v>2399</v>
      </c>
      <c r="E42" s="8">
        <f>A42</f>
        <v>308</v>
      </c>
    </row>
    <row r="43" spans="1:5" ht="15" x14ac:dyDescent="0.25">
      <c r="A43" s="8">
        <f>A42+1</f>
        <v>309</v>
      </c>
      <c r="B43" s="6" t="s">
        <v>2398</v>
      </c>
      <c r="C43" s="67">
        <f ca="1">SUM(C34:C41)/C42</f>
        <v>0.1421504427595649</v>
      </c>
      <c r="D43" s="6" t="str">
        <f>"Sum of Lines "&amp;A34&amp;" through Line "&amp;A41&amp;" / Line "&amp;A42&amp;""</f>
        <v>Sum of Lines 300 through Line 307 / Line 308</v>
      </c>
      <c r="E43" s="8">
        <f>A43</f>
        <v>309</v>
      </c>
    </row>
    <row r="44" spans="1:5" ht="15" x14ac:dyDescent="0.25">
      <c r="A44" s="8">
        <f>A43+1</f>
        <v>310</v>
      </c>
      <c r="B44" s="6" t="s">
        <v>2397</v>
      </c>
      <c r="C44" s="67">
        <f ca="1">C43/12</f>
        <v>1.1845870229963742E-2</v>
      </c>
      <c r="D44" s="6" t="str">
        <f>"Line "&amp;A43&amp;" / 12 months"</f>
        <v>Line 309 / 12 months</v>
      </c>
      <c r="E44" s="8">
        <f>A44</f>
        <v>310</v>
      </c>
    </row>
    <row r="47" spans="1:5" ht="15" x14ac:dyDescent="0.25">
      <c r="B47" s="354" t="s">
        <v>145</v>
      </c>
    </row>
    <row r="48" spans="1:5" ht="15" x14ac:dyDescent="0.25">
      <c r="B48" s="38" t="s">
        <v>2396</v>
      </c>
    </row>
  </sheetData>
  <printOptions horizontalCentered="1"/>
  <pageMargins left="1" right="1" top="1" bottom="1" header="0.5" footer="0.5"/>
  <pageSetup scale="59" orientation="landscape" r:id="rId1"/>
  <headerFooter>
    <oddHeader>&amp;R&amp;F</oddHeader>
  </headerFooter>
  <customProperties>
    <customPr name="_pios_id" r:id="rId2"/>
  </customProperties>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424C5C-BDBE-4273-8BDA-A19D59A9CDFE}">
  <sheetPr>
    <pageSetUpPr fitToPage="1"/>
  </sheetPr>
  <dimension ref="A1:S32"/>
  <sheetViews>
    <sheetView view="pageBreakPreview" zoomScale="70" zoomScaleNormal="78" zoomScaleSheetLayoutView="70" workbookViewId="0">
      <selection activeCell="Q36" sqref="Q36"/>
    </sheetView>
  </sheetViews>
  <sheetFormatPr defaultColWidth="9.140625" defaultRowHeight="15" x14ac:dyDescent="0.25"/>
  <cols>
    <col min="1" max="1" width="6.85546875" style="149" bestFit="1" customWidth="1"/>
    <col min="2" max="2" width="26.140625" style="121" customWidth="1"/>
    <col min="3" max="3" width="23.85546875" style="121" customWidth="1"/>
    <col min="4" max="4" width="18.42578125" style="121" customWidth="1"/>
    <col min="5" max="17" width="15.140625" style="121" customWidth="1"/>
    <col min="18" max="18" width="12.42578125" style="121" bestFit="1" customWidth="1"/>
    <col min="19" max="16384" width="9.140625" style="121"/>
  </cols>
  <sheetData>
    <row r="1" spans="1:19" x14ac:dyDescent="0.25">
      <c r="B1" s="800" t="s">
        <v>2454</v>
      </c>
    </row>
    <row r="2" spans="1:19" x14ac:dyDescent="0.25">
      <c r="B2" s="125" t="s">
        <v>4</v>
      </c>
      <c r="C2" s="125"/>
      <c r="D2" s="125"/>
      <c r="Q2" s="76" t="str">
        <f>CONCATENATE("Prior Year: ",'1-BaseTRR'!$G$3)</f>
        <v>Prior Year: 2025</v>
      </c>
    </row>
    <row r="3" spans="1:19" x14ac:dyDescent="0.25">
      <c r="B3" s="77" t="s">
        <v>367</v>
      </c>
      <c r="C3" s="77"/>
      <c r="D3" s="77"/>
    </row>
    <row r="5" spans="1:19" x14ac:dyDescent="0.25">
      <c r="B5" s="121" t="s">
        <v>2453</v>
      </c>
    </row>
    <row r="8" spans="1:19" x14ac:dyDescent="0.25">
      <c r="B8" s="283" t="s">
        <v>2452</v>
      </c>
      <c r="C8" s="283"/>
      <c r="D8" s="283"/>
      <c r="E8" s="283"/>
      <c r="F8" s="283"/>
      <c r="G8" s="281"/>
      <c r="H8" s="281"/>
      <c r="I8" s="281"/>
      <c r="J8" s="281"/>
      <c r="K8" s="281"/>
      <c r="L8" s="281"/>
      <c r="M8" s="281"/>
      <c r="N8" s="281"/>
      <c r="O8" s="281"/>
      <c r="P8" s="281"/>
      <c r="Q8" s="281"/>
      <c r="R8" s="281"/>
      <c r="S8" s="281"/>
    </row>
    <row r="9" spans="1:19" x14ac:dyDescent="0.25">
      <c r="A9" s="23"/>
      <c r="B9" s="121" t="s">
        <v>2451</v>
      </c>
      <c r="G9" s="279"/>
      <c r="H9" s="23"/>
    </row>
    <row r="10" spans="1:19" x14ac:dyDescent="0.25">
      <c r="A10" s="23"/>
      <c r="B10" s="121" t="s">
        <v>2450</v>
      </c>
      <c r="G10" s="279"/>
      <c r="H10" s="23"/>
    </row>
    <row r="11" spans="1:19" x14ac:dyDescent="0.25">
      <c r="A11" s="23"/>
    </row>
    <row r="12" spans="1:19" x14ac:dyDescent="0.25">
      <c r="A12" s="23"/>
      <c r="B12" s="767" t="s">
        <v>492</v>
      </c>
      <c r="C12" s="767" t="s">
        <v>491</v>
      </c>
      <c r="D12" s="767" t="s">
        <v>490</v>
      </c>
      <c r="E12" s="767" t="s">
        <v>489</v>
      </c>
      <c r="F12" s="767" t="s">
        <v>519</v>
      </c>
      <c r="G12" s="767" t="s">
        <v>518</v>
      </c>
      <c r="H12" s="767" t="s">
        <v>517</v>
      </c>
      <c r="I12" s="767" t="s">
        <v>538</v>
      </c>
      <c r="J12" s="767" t="s">
        <v>537</v>
      </c>
      <c r="K12" s="767" t="s">
        <v>770</v>
      </c>
      <c r="L12" s="767" t="s">
        <v>769</v>
      </c>
      <c r="M12" s="767" t="s">
        <v>768</v>
      </c>
      <c r="N12" s="767" t="s">
        <v>767</v>
      </c>
      <c r="O12" s="767" t="s">
        <v>766</v>
      </c>
      <c r="P12" s="767" t="s">
        <v>765</v>
      </c>
      <c r="Q12" s="767" t="s">
        <v>900</v>
      </c>
      <c r="R12" s="767" t="s">
        <v>899</v>
      </c>
    </row>
    <row r="13" spans="1:19" x14ac:dyDescent="0.25">
      <c r="A13" s="23"/>
      <c r="B13" s="767"/>
      <c r="C13" s="767"/>
      <c r="D13" s="767"/>
      <c r="E13" s="767"/>
      <c r="F13" s="767"/>
      <c r="G13" s="767"/>
      <c r="H13" s="767"/>
      <c r="I13" s="767"/>
      <c r="J13" s="767"/>
      <c r="K13" s="767"/>
      <c r="L13" s="767"/>
      <c r="M13" s="767"/>
      <c r="N13" s="767"/>
      <c r="O13" s="767"/>
      <c r="P13" s="767"/>
      <c r="Q13" s="767"/>
    </row>
    <row r="14" spans="1:19" x14ac:dyDescent="0.25">
      <c r="A14" s="23"/>
      <c r="E14" s="804">
        <f>'1-BaseTRR'!$G$3-1</f>
        <v>2024</v>
      </c>
      <c r="F14" s="804">
        <f>$E$14+1</f>
        <v>2025</v>
      </c>
      <c r="G14" s="804">
        <f>$E$14+1</f>
        <v>2025</v>
      </c>
      <c r="H14" s="804">
        <f>$E$14+1</f>
        <v>2025</v>
      </c>
      <c r="I14" s="804">
        <f>$E$14+1</f>
        <v>2025</v>
      </c>
      <c r="J14" s="804">
        <f>$E$14+1</f>
        <v>2025</v>
      </c>
      <c r="K14" s="804">
        <f>$E$14+1</f>
        <v>2025</v>
      </c>
      <c r="L14" s="804">
        <f>$E$14+1</f>
        <v>2025</v>
      </c>
      <c r="M14" s="804">
        <f>$E$14+1</f>
        <v>2025</v>
      </c>
      <c r="N14" s="804">
        <f>$E$14+1</f>
        <v>2025</v>
      </c>
      <c r="O14" s="804">
        <f>$E$14+1</f>
        <v>2025</v>
      </c>
      <c r="P14" s="804">
        <f>$E$14+1</f>
        <v>2025</v>
      </c>
      <c r="Q14" s="804">
        <f>$E$14+1</f>
        <v>2025</v>
      </c>
      <c r="R14" s="124" t="s">
        <v>2449</v>
      </c>
    </row>
    <row r="15" spans="1:19" x14ac:dyDescent="0.25">
      <c r="A15" s="33" t="s">
        <v>106</v>
      </c>
      <c r="E15" s="803" t="s">
        <v>545</v>
      </c>
      <c r="F15" s="803" t="s">
        <v>555</v>
      </c>
      <c r="G15" s="803" t="s">
        <v>554</v>
      </c>
      <c r="H15" s="803" t="s">
        <v>553</v>
      </c>
      <c r="I15" s="803" t="s">
        <v>552</v>
      </c>
      <c r="J15" s="803" t="s">
        <v>474</v>
      </c>
      <c r="K15" s="803" t="s">
        <v>551</v>
      </c>
      <c r="L15" s="803" t="s">
        <v>550</v>
      </c>
      <c r="M15" s="803" t="s">
        <v>549</v>
      </c>
      <c r="N15" s="803" t="s">
        <v>548</v>
      </c>
      <c r="O15" s="803" t="s">
        <v>547</v>
      </c>
      <c r="P15" s="803" t="s">
        <v>546</v>
      </c>
      <c r="Q15" s="803" t="s">
        <v>545</v>
      </c>
      <c r="R15" s="226" t="s">
        <v>832</v>
      </c>
      <c r="S15" s="33" t="s">
        <v>106</v>
      </c>
    </row>
    <row r="16" spans="1:19" x14ac:dyDescent="0.25">
      <c r="A16" s="8">
        <v>100</v>
      </c>
      <c r="D16" s="647" t="s">
        <v>2448</v>
      </c>
      <c r="E16" s="24">
        <f>SUMPRODUCT($D$20:$D23,E$20:E23)</f>
        <v>27611737.000000004</v>
      </c>
      <c r="F16" s="24">
        <f>SUMPRODUCT($D$20:$D23,F$20:F23)</f>
        <v>30766840.169999998</v>
      </c>
      <c r="G16" s="24">
        <f>SUMPRODUCT($D$20:$D23,G$20:G23)</f>
        <v>32262365.470000003</v>
      </c>
      <c r="H16" s="24">
        <f>SUMPRODUCT($D$20:$D23,H$20:H23)</f>
        <v>34142628.130000003</v>
      </c>
      <c r="I16" s="24">
        <f>SUMPRODUCT($D$20:$D23,I$20:I23)</f>
        <v>35755571.280000009</v>
      </c>
      <c r="J16" s="24">
        <f>SUMPRODUCT($D$20:$D23,J$20:J23)</f>
        <v>42107176.719999999</v>
      </c>
      <c r="K16" s="24">
        <f>SUMPRODUCT($D$20:$D23,K$20:K23)</f>
        <v>43395241.540000007</v>
      </c>
      <c r="L16" s="24">
        <f>SUMPRODUCT($D$20:$D23,L$20:L23)</f>
        <v>45026805.530000001</v>
      </c>
      <c r="M16" s="24">
        <f>SUMPRODUCT($D$20:$D23,M$20:M23)</f>
        <v>44931576.549999997</v>
      </c>
      <c r="N16" s="24">
        <f>SUMPRODUCT($D$20:$D23,N$20:N23)</f>
        <v>51129621.260000005</v>
      </c>
      <c r="O16" s="24">
        <f>SUMPRODUCT($D$20:$D23,O$20:O23)</f>
        <v>52107842.190000005</v>
      </c>
      <c r="P16" s="24">
        <f>SUMPRODUCT($D$20:$D23,P$20:P23)</f>
        <v>58435740.470000006</v>
      </c>
      <c r="Q16" s="24">
        <f>SUMPRODUCT($D$20:$D23,Q$20:Q23)</f>
        <v>64662675.799999997</v>
      </c>
      <c r="R16" s="24">
        <f>AVERAGE(E16:Q16)</f>
        <v>43256601.700769231</v>
      </c>
      <c r="S16" s="8">
        <v>100</v>
      </c>
    </row>
    <row r="17" spans="1:19" x14ac:dyDescent="0.25">
      <c r="A17" s="8"/>
      <c r="E17" s="149"/>
      <c r="F17" s="149"/>
      <c r="G17" s="149"/>
      <c r="H17" s="149"/>
      <c r="I17" s="149"/>
      <c r="J17" s="149"/>
      <c r="K17" s="149"/>
      <c r="L17" s="149"/>
      <c r="M17" s="149"/>
      <c r="N17" s="149"/>
      <c r="O17" s="149"/>
      <c r="P17" s="149"/>
      <c r="Q17" s="149"/>
      <c r="S17" s="8"/>
    </row>
    <row r="18" spans="1:19" x14ac:dyDescent="0.25">
      <c r="A18" s="8"/>
      <c r="E18" s="804">
        <f>E14</f>
        <v>2024</v>
      </c>
      <c r="F18" s="804">
        <f>F14</f>
        <v>2025</v>
      </c>
      <c r="G18" s="804">
        <f>G14</f>
        <v>2025</v>
      </c>
      <c r="H18" s="804">
        <f>H14</f>
        <v>2025</v>
      </c>
      <c r="I18" s="804">
        <f>I14</f>
        <v>2025</v>
      </c>
      <c r="J18" s="804">
        <f>J14</f>
        <v>2025</v>
      </c>
      <c r="K18" s="804">
        <f>K14</f>
        <v>2025</v>
      </c>
      <c r="L18" s="804">
        <f>L14</f>
        <v>2025</v>
      </c>
      <c r="M18" s="804">
        <f>M14</f>
        <v>2025</v>
      </c>
      <c r="N18" s="804">
        <f>N14</f>
        <v>2025</v>
      </c>
      <c r="O18" s="804">
        <f>O14</f>
        <v>2025</v>
      </c>
      <c r="P18" s="804">
        <f>P14</f>
        <v>2025</v>
      </c>
      <c r="Q18" s="804">
        <f>Q14</f>
        <v>2025</v>
      </c>
      <c r="R18" s="124"/>
      <c r="S18" s="8"/>
    </row>
    <row r="19" spans="1:19" x14ac:dyDescent="0.25">
      <c r="B19" s="123" t="s">
        <v>2447</v>
      </c>
      <c r="C19" s="123" t="s">
        <v>2446</v>
      </c>
      <c r="D19" s="226" t="s">
        <v>2445</v>
      </c>
      <c r="E19" s="803" t="s">
        <v>545</v>
      </c>
      <c r="F19" s="803" t="s">
        <v>555</v>
      </c>
      <c r="G19" s="803" t="s">
        <v>554</v>
      </c>
      <c r="H19" s="803" t="s">
        <v>553</v>
      </c>
      <c r="I19" s="803" t="s">
        <v>552</v>
      </c>
      <c r="J19" s="803" t="s">
        <v>474</v>
      </c>
      <c r="K19" s="803" t="s">
        <v>551</v>
      </c>
      <c r="L19" s="803" t="s">
        <v>550</v>
      </c>
      <c r="M19" s="803" t="s">
        <v>549</v>
      </c>
      <c r="N19" s="803" t="s">
        <v>548</v>
      </c>
      <c r="O19" s="803" t="s">
        <v>547</v>
      </c>
      <c r="P19" s="803" t="s">
        <v>546</v>
      </c>
      <c r="Q19" s="803" t="s">
        <v>545</v>
      </c>
      <c r="R19" s="226"/>
      <c r="S19" s="149"/>
    </row>
    <row r="20" spans="1:19" x14ac:dyDescent="0.25">
      <c r="A20" s="8">
        <v>200</v>
      </c>
      <c r="B20" s="89" t="s">
        <v>2444</v>
      </c>
      <c r="C20" s="89" t="s">
        <v>2440</v>
      </c>
      <c r="D20" s="802">
        <v>1</v>
      </c>
      <c r="E20" s="178">
        <v>7383486.8100000005</v>
      </c>
      <c r="F20" s="178">
        <v>7626671.8399999989</v>
      </c>
      <c r="G20" s="178">
        <v>8030748.1899999985</v>
      </c>
      <c r="H20" s="178">
        <v>8351566.96</v>
      </c>
      <c r="I20" s="178">
        <v>8717433.6799999997</v>
      </c>
      <c r="J20" s="178">
        <v>9446595.2399999984</v>
      </c>
      <c r="K20" s="178">
        <v>10112106.9</v>
      </c>
      <c r="L20" s="178">
        <v>10756137.010000002</v>
      </c>
      <c r="M20" s="178">
        <v>8593535.6800000016</v>
      </c>
      <c r="N20" s="178">
        <v>13291952.98</v>
      </c>
      <c r="O20" s="178">
        <v>14206336.080000002</v>
      </c>
      <c r="P20" s="178">
        <v>15073689.559999999</v>
      </c>
      <c r="Q20" s="178">
        <v>16060101.999999998</v>
      </c>
      <c r="R20" s="24"/>
      <c r="S20" s="8">
        <v>200</v>
      </c>
    </row>
    <row r="21" spans="1:19" x14ac:dyDescent="0.25">
      <c r="A21" s="8">
        <v>201</v>
      </c>
      <c r="B21" s="89" t="s">
        <v>2443</v>
      </c>
      <c r="C21" s="89" t="s">
        <v>2440</v>
      </c>
      <c r="D21" s="802">
        <v>1</v>
      </c>
      <c r="E21" s="178">
        <v>2315235.89</v>
      </c>
      <c r="F21" s="178">
        <v>2473260</v>
      </c>
      <c r="G21" s="178">
        <v>2623288.6100000003</v>
      </c>
      <c r="H21" s="178">
        <v>2815438.11</v>
      </c>
      <c r="I21" s="178">
        <v>2927224.37</v>
      </c>
      <c r="J21" s="178">
        <v>3158986.3600000003</v>
      </c>
      <c r="K21" s="178">
        <v>3442343.9400000004</v>
      </c>
      <c r="L21" s="178">
        <v>3724976.7399999998</v>
      </c>
      <c r="M21" s="178">
        <v>4774346.3599999994</v>
      </c>
      <c r="N21" s="178">
        <v>5138639.8400000008</v>
      </c>
      <c r="O21" s="178">
        <v>5422247.3899999997</v>
      </c>
      <c r="P21" s="178">
        <v>5745907.8499999996</v>
      </c>
      <c r="Q21" s="178">
        <v>5926060.6299999999</v>
      </c>
      <c r="R21" s="24"/>
      <c r="S21" s="8">
        <f>S20+1</f>
        <v>201</v>
      </c>
    </row>
    <row r="22" spans="1:19" x14ac:dyDescent="0.25">
      <c r="A22" s="8">
        <v>202</v>
      </c>
      <c r="B22" s="89" t="s">
        <v>2442</v>
      </c>
      <c r="C22" s="89" t="s">
        <v>2440</v>
      </c>
      <c r="D22" s="802">
        <v>1</v>
      </c>
      <c r="E22" s="178">
        <v>16311721.890000002</v>
      </c>
      <c r="F22" s="178">
        <v>18102351.879999999</v>
      </c>
      <c r="G22" s="178">
        <v>18301382.23</v>
      </c>
      <c r="H22" s="178">
        <v>18861194.050000004</v>
      </c>
      <c r="I22" s="178">
        <v>19922748.630000006</v>
      </c>
      <c r="J22" s="178">
        <v>25203669.190000001</v>
      </c>
      <c r="K22" s="178">
        <v>25495343.120000005</v>
      </c>
      <c r="L22" s="178">
        <v>26139678.77</v>
      </c>
      <c r="M22" s="178">
        <v>27037543.32</v>
      </c>
      <c r="N22" s="178">
        <v>27651749.620000005</v>
      </c>
      <c r="O22" s="178">
        <v>29241341.320000008</v>
      </c>
      <c r="P22" s="178">
        <v>31758484.630000006</v>
      </c>
      <c r="Q22" s="178">
        <v>36718496.219999999</v>
      </c>
      <c r="R22" s="24"/>
      <c r="S22" s="8">
        <f>S21+1</f>
        <v>202</v>
      </c>
    </row>
    <row r="23" spans="1:19" x14ac:dyDescent="0.25">
      <c r="A23" s="8">
        <v>203</v>
      </c>
      <c r="B23" s="89" t="s">
        <v>2441</v>
      </c>
      <c r="C23" s="89" t="s">
        <v>2440</v>
      </c>
      <c r="D23" s="802">
        <v>1</v>
      </c>
      <c r="E23" s="178">
        <v>1601292.41</v>
      </c>
      <c r="F23" s="178">
        <v>2564556.4499999997</v>
      </c>
      <c r="G23" s="178">
        <v>3306946.44</v>
      </c>
      <c r="H23" s="178">
        <v>4114429.01</v>
      </c>
      <c r="I23" s="178">
        <v>4188164.5999999996</v>
      </c>
      <c r="J23" s="178">
        <v>4297925.93</v>
      </c>
      <c r="K23" s="178">
        <v>4345447.58</v>
      </c>
      <c r="L23" s="178">
        <v>4406013.01</v>
      </c>
      <c r="M23" s="178">
        <v>4526151.1900000004</v>
      </c>
      <c r="N23" s="178">
        <v>5047278.82</v>
      </c>
      <c r="O23" s="178">
        <v>3237917.4</v>
      </c>
      <c r="P23" s="178">
        <v>5857658.4299999997</v>
      </c>
      <c r="Q23" s="178">
        <v>5958016.9500000002</v>
      </c>
      <c r="R23" s="24"/>
      <c r="S23" s="8">
        <f>S22+1</f>
        <v>203</v>
      </c>
    </row>
    <row r="24" spans="1:19" x14ac:dyDescent="0.25">
      <c r="A24" s="8"/>
    </row>
    <row r="25" spans="1:19" x14ac:dyDescent="0.25">
      <c r="A25" s="8"/>
    </row>
    <row r="26" spans="1:19" x14ac:dyDescent="0.25">
      <c r="B26" s="25" t="s">
        <v>145</v>
      </c>
      <c r="C26" s="25"/>
      <c r="D26" s="25"/>
      <c r="E26" s="284"/>
      <c r="F26" s="284"/>
      <c r="G26" s="284"/>
      <c r="H26" s="284"/>
      <c r="I26" s="284"/>
    </row>
    <row r="27" spans="1:19" s="194" customFormat="1" x14ac:dyDescent="0.25">
      <c r="A27" s="193"/>
      <c r="B27" s="801" t="s">
        <v>2439</v>
      </c>
      <c r="C27" s="801"/>
      <c r="D27" s="801"/>
      <c r="E27" s="801"/>
      <c r="F27" s="801"/>
      <c r="G27" s="801"/>
      <c r="H27" s="801"/>
      <c r="I27" s="801"/>
      <c r="J27" s="801"/>
      <c r="K27" s="801"/>
      <c r="L27" s="801"/>
      <c r="M27" s="801"/>
      <c r="N27" s="801"/>
      <c r="O27" s="801"/>
      <c r="P27" s="801"/>
      <c r="Q27" s="801"/>
      <c r="R27" s="801"/>
    </row>
    <row r="28" spans="1:19" s="194" customFormat="1" x14ac:dyDescent="0.25">
      <c r="A28" s="193"/>
      <c r="B28" s="801" t="s">
        <v>2438</v>
      </c>
      <c r="C28" s="801"/>
      <c r="D28" s="801"/>
      <c r="E28" s="801"/>
      <c r="F28" s="801"/>
      <c r="G28" s="801"/>
      <c r="H28" s="801"/>
      <c r="I28" s="801"/>
      <c r="J28" s="801"/>
      <c r="K28" s="801"/>
      <c r="L28" s="801"/>
      <c r="M28" s="801"/>
      <c r="N28" s="801"/>
      <c r="O28" s="801"/>
      <c r="P28" s="801"/>
      <c r="Q28" s="801"/>
      <c r="R28" s="801"/>
    </row>
    <row r="29" spans="1:19" s="194" customFormat="1" x14ac:dyDescent="0.25">
      <c r="A29" s="193"/>
      <c r="B29" s="801" t="s">
        <v>2437</v>
      </c>
      <c r="C29" s="801"/>
      <c r="D29" s="801"/>
      <c r="E29" s="801"/>
      <c r="F29" s="801"/>
      <c r="G29" s="801"/>
      <c r="H29" s="801"/>
      <c r="I29" s="801"/>
      <c r="J29" s="801"/>
      <c r="K29" s="801"/>
      <c r="L29" s="801"/>
      <c r="M29" s="801"/>
      <c r="N29" s="801"/>
      <c r="O29" s="801"/>
      <c r="P29" s="801"/>
      <c r="Q29" s="801"/>
      <c r="R29" s="801"/>
    </row>
    <row r="30" spans="1:19" s="194" customFormat="1" x14ac:dyDescent="0.25">
      <c r="A30" s="193"/>
      <c r="B30" s="801" t="s">
        <v>2436</v>
      </c>
      <c r="C30" s="801"/>
      <c r="D30" s="801"/>
      <c r="E30" s="801"/>
      <c r="F30" s="801"/>
      <c r="G30" s="801"/>
      <c r="H30" s="801"/>
      <c r="I30" s="801"/>
      <c r="J30" s="801"/>
      <c r="K30" s="801"/>
      <c r="L30" s="801"/>
      <c r="M30" s="801"/>
      <c r="N30" s="801"/>
      <c r="O30" s="801"/>
      <c r="P30" s="801"/>
      <c r="Q30" s="801"/>
      <c r="R30" s="801"/>
    </row>
    <row r="31" spans="1:19" s="194" customFormat="1" x14ac:dyDescent="0.25">
      <c r="A31" s="193"/>
      <c r="B31" s="801" t="s">
        <v>2435</v>
      </c>
      <c r="C31" s="801"/>
      <c r="D31" s="801"/>
      <c r="E31" s="801"/>
      <c r="F31" s="801"/>
      <c r="G31" s="801"/>
      <c r="H31" s="801"/>
      <c r="I31" s="801"/>
      <c r="J31" s="801"/>
      <c r="K31" s="801"/>
      <c r="L31" s="801"/>
      <c r="M31" s="801"/>
      <c r="N31" s="801"/>
      <c r="O31" s="801"/>
      <c r="P31" s="801"/>
      <c r="Q31" s="801"/>
      <c r="R31" s="801"/>
    </row>
    <row r="32" spans="1:19" s="194" customFormat="1" x14ac:dyDescent="0.25">
      <c r="A32" s="193"/>
      <c r="B32" s="801" t="s">
        <v>2434</v>
      </c>
      <c r="C32" s="801"/>
      <c r="D32" s="801"/>
      <c r="E32" s="801"/>
      <c r="F32" s="801"/>
      <c r="G32" s="801"/>
      <c r="H32" s="801"/>
      <c r="I32" s="801"/>
      <c r="J32" s="801"/>
      <c r="K32" s="801"/>
      <c r="L32" s="801"/>
      <c r="M32" s="801"/>
      <c r="N32" s="801"/>
      <c r="O32" s="801"/>
      <c r="P32" s="801"/>
      <c r="Q32" s="801"/>
      <c r="R32" s="801"/>
    </row>
  </sheetData>
  <printOptions horizontalCentered="1"/>
  <pageMargins left="1" right="1" top="1" bottom="1" header="0.5" footer="0.5"/>
  <pageSetup scale="39" fitToHeight="0" orientation="landscape" r:id="rId1"/>
  <headerFooter>
    <oddHeader>&amp;R&amp;F</oddHeader>
  </headerFooter>
  <customProperties>
    <customPr name="_pios_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261131-41EF-443D-A5CA-8ACC4090B008}">
  <sheetPr>
    <pageSetUpPr fitToPage="1"/>
  </sheetPr>
  <dimension ref="A1:N208"/>
  <sheetViews>
    <sheetView view="pageBreakPreview" topLeftCell="A167" zoomScale="85" zoomScaleNormal="72" zoomScaleSheetLayoutView="85" workbookViewId="0">
      <selection activeCell="Q36" sqref="Q36"/>
    </sheetView>
  </sheetViews>
  <sheetFormatPr defaultColWidth="9.140625" defaultRowHeight="15" x14ac:dyDescent="0.25"/>
  <cols>
    <col min="1" max="1" width="7" style="8" bestFit="1" customWidth="1"/>
    <col min="2" max="2" width="2.140625" style="8" bestFit="1" customWidth="1"/>
    <col min="3" max="3" width="77.140625" style="6" customWidth="1"/>
    <col min="4" max="4" width="3.85546875" style="6" customWidth="1"/>
    <col min="5" max="5" width="22.5703125" style="6" bestFit="1" customWidth="1"/>
    <col min="6" max="6" width="63.42578125" style="6" customWidth="1"/>
    <col min="7" max="7" width="42.85546875" style="6" customWidth="1"/>
    <col min="8" max="8" width="7" style="6" bestFit="1" customWidth="1"/>
    <col min="9" max="9" width="3.42578125" style="6" bestFit="1" customWidth="1"/>
    <col min="10" max="10" width="9.140625" style="6"/>
    <col min="11" max="11" width="14.5703125" style="23" bestFit="1" customWidth="1"/>
    <col min="12" max="12" width="9.140625" style="6"/>
    <col min="13" max="14" width="15.5703125" style="6" bestFit="1" customWidth="1"/>
    <col min="15" max="16384" width="9.140625" style="6"/>
  </cols>
  <sheetData>
    <row r="1" spans="1:14" x14ac:dyDescent="0.25">
      <c r="C1" s="30" t="s">
        <v>370</v>
      </c>
      <c r="E1" s="26"/>
      <c r="F1" s="76"/>
      <c r="G1" s="30"/>
    </row>
    <row r="2" spans="1:14" x14ac:dyDescent="0.25">
      <c r="C2" s="30" t="s">
        <v>369</v>
      </c>
      <c r="F2" s="76" t="s">
        <v>368</v>
      </c>
      <c r="G2" s="78">
        <v>2027</v>
      </c>
    </row>
    <row r="3" spans="1:14" x14ac:dyDescent="0.25">
      <c r="A3" s="39"/>
      <c r="B3" s="39"/>
      <c r="C3" s="77" t="s">
        <v>367</v>
      </c>
      <c r="F3" s="76" t="s">
        <v>366</v>
      </c>
      <c r="G3" s="39">
        <f>G2-2</f>
        <v>2025</v>
      </c>
      <c r="I3" s="76"/>
    </row>
    <row r="4" spans="1:14" x14ac:dyDescent="0.25">
      <c r="A4" s="33"/>
      <c r="B4" s="33"/>
      <c r="G4" s="38"/>
      <c r="H4" s="33"/>
    </row>
    <row r="5" spans="1:14" x14ac:dyDescent="0.25">
      <c r="C5" s="36" t="s">
        <v>365</v>
      </c>
      <c r="D5" s="75"/>
      <c r="E5" s="35"/>
      <c r="F5" s="35"/>
      <c r="G5" s="35"/>
      <c r="K5" s="74"/>
    </row>
    <row r="6" spans="1:14" x14ac:dyDescent="0.25">
      <c r="A6" s="73" t="s">
        <v>106</v>
      </c>
      <c r="B6" s="73"/>
      <c r="C6" s="33" t="s">
        <v>79</v>
      </c>
      <c r="E6" s="33" t="s">
        <v>155</v>
      </c>
      <c r="F6" s="33" t="s">
        <v>154</v>
      </c>
      <c r="G6" s="33" t="s">
        <v>153</v>
      </c>
      <c r="H6" s="73" t="str">
        <f>A6</f>
        <v>Line</v>
      </c>
      <c r="I6" s="73"/>
    </row>
    <row r="7" spans="1:14" x14ac:dyDescent="0.25">
      <c r="C7" s="44" t="s">
        <v>364</v>
      </c>
      <c r="D7" s="44"/>
    </row>
    <row r="8" spans="1:14" x14ac:dyDescent="0.25">
      <c r="A8" s="8">
        <v>100</v>
      </c>
      <c r="C8" s="6" t="s">
        <v>363</v>
      </c>
      <c r="E8" s="32">
        <f>'7-PlantInService'!AC25</f>
        <v>19967828199.293724</v>
      </c>
      <c r="F8" s="6" t="s">
        <v>362</v>
      </c>
      <c r="G8" s="6" t="s">
        <v>329</v>
      </c>
      <c r="H8" s="8">
        <f>A8</f>
        <v>100</v>
      </c>
      <c r="L8" s="24"/>
      <c r="N8" s="24"/>
    </row>
    <row r="9" spans="1:14" x14ac:dyDescent="0.25">
      <c r="A9" s="8">
        <f>A8+1</f>
        <v>101</v>
      </c>
      <c r="C9" s="6" t="s">
        <v>361</v>
      </c>
      <c r="E9" s="32">
        <f>'7-PlantInService'!F92</f>
        <v>1010025669.5285273</v>
      </c>
      <c r="F9" s="6" t="s">
        <v>360</v>
      </c>
      <c r="G9" s="6" t="s">
        <v>329</v>
      </c>
      <c r="H9" s="8">
        <f>A9</f>
        <v>101</v>
      </c>
      <c r="K9" s="38"/>
      <c r="L9" s="24"/>
      <c r="M9" s="49"/>
      <c r="N9" s="24"/>
    </row>
    <row r="10" spans="1:14" x14ac:dyDescent="0.25">
      <c r="A10" s="8">
        <f>A9+1</f>
        <v>102</v>
      </c>
      <c r="C10" s="6" t="s">
        <v>359</v>
      </c>
      <c r="E10" s="31">
        <f ca="1">+'8-AbandonedProject'!M15</f>
        <v>-618022.00353999983</v>
      </c>
      <c r="F10" s="6" t="s">
        <v>358</v>
      </c>
      <c r="G10" s="6" t="s">
        <v>329</v>
      </c>
      <c r="H10" s="8">
        <f>A10</f>
        <v>102</v>
      </c>
      <c r="K10" s="38"/>
      <c r="L10" s="24"/>
      <c r="N10" s="49"/>
    </row>
    <row r="11" spans="1:14" x14ac:dyDescent="0.25">
      <c r="A11" s="8">
        <f>A10+1</f>
        <v>103</v>
      </c>
      <c r="C11" s="30" t="s">
        <v>357</v>
      </c>
      <c r="D11" s="30"/>
      <c r="E11" s="29">
        <f ca="1">+E8+E9+E10</f>
        <v>20977235846.81871</v>
      </c>
      <c r="F11" s="38" t="str">
        <f>"Sum of Lines "&amp;A8&amp;" to "&amp;A10&amp;""</f>
        <v>Sum of Lines 100 to 102</v>
      </c>
      <c r="H11" s="8">
        <f>A11</f>
        <v>103</v>
      </c>
      <c r="L11" s="24"/>
    </row>
    <row r="12" spans="1:14" x14ac:dyDescent="0.25">
      <c r="L12" s="24"/>
    </row>
    <row r="13" spans="1:14" x14ac:dyDescent="0.25">
      <c r="C13" s="44" t="s">
        <v>356</v>
      </c>
      <c r="D13" s="44"/>
      <c r="L13" s="24"/>
    </row>
    <row r="14" spans="1:14" x14ac:dyDescent="0.25">
      <c r="A14" s="8">
        <f>A11+1</f>
        <v>104</v>
      </c>
      <c r="C14" s="6" t="s">
        <v>355</v>
      </c>
      <c r="E14" s="32">
        <f>'13-WorkCap'!E26</f>
        <v>97634083.916185409</v>
      </c>
      <c r="F14" s="6" t="s">
        <v>354</v>
      </c>
      <c r="G14" s="6" t="s">
        <v>329</v>
      </c>
      <c r="H14" s="8">
        <f>A14</f>
        <v>104</v>
      </c>
      <c r="L14" s="24"/>
    </row>
    <row r="15" spans="1:14" x14ac:dyDescent="0.25">
      <c r="A15" s="8">
        <f>A14+1</f>
        <v>105</v>
      </c>
      <c r="C15" s="6" t="s">
        <v>353</v>
      </c>
      <c r="E15" s="32">
        <f>'13-WorkCap'!F61</f>
        <v>24168556</v>
      </c>
      <c r="F15" s="6" t="s">
        <v>352</v>
      </c>
      <c r="G15" s="6" t="s">
        <v>329</v>
      </c>
      <c r="H15" s="8">
        <f>A15</f>
        <v>105</v>
      </c>
      <c r="L15" s="24"/>
    </row>
    <row r="16" spans="1:14" x14ac:dyDescent="0.25">
      <c r="A16" s="8">
        <f>A15+1</f>
        <v>106</v>
      </c>
      <c r="C16" s="6" t="s">
        <v>351</v>
      </c>
      <c r="E16" s="72">
        <f>(E147+E148-3041833.44)/8</f>
        <v>102504336.05560128</v>
      </c>
      <c r="F16" s="6" t="str">
        <f>"(Line "&amp;A147&amp;" + Line "&amp;A148&amp;", excluding non-cash accrual) / 8"</f>
        <v>(Line 500 + Line 501, excluding non-cash accrual) / 8</v>
      </c>
      <c r="G16" s="71" t="s">
        <v>350</v>
      </c>
      <c r="H16" s="8">
        <f>A16</f>
        <v>106</v>
      </c>
      <c r="K16" s="38"/>
      <c r="L16" s="24"/>
    </row>
    <row r="17" spans="1:12" x14ac:dyDescent="0.25">
      <c r="A17" s="8">
        <f>A16+1</f>
        <v>107</v>
      </c>
      <c r="C17" s="30" t="s">
        <v>349</v>
      </c>
      <c r="D17" s="30"/>
      <c r="E17" s="29">
        <f>E14+E15+E16</f>
        <v>224306975.97178668</v>
      </c>
      <c r="F17" s="38" t="str">
        <f>"Sum of Lines "&amp;A14&amp;" to "&amp;A16&amp;""</f>
        <v>Sum of Lines 104 to 106</v>
      </c>
      <c r="H17" s="8">
        <f>A17</f>
        <v>107</v>
      </c>
      <c r="L17" s="24"/>
    </row>
    <row r="18" spans="1:12" x14ac:dyDescent="0.25">
      <c r="L18" s="24"/>
    </row>
    <row r="19" spans="1:12" x14ac:dyDescent="0.25">
      <c r="C19" s="44" t="s">
        <v>348</v>
      </c>
      <c r="D19" s="44"/>
      <c r="L19" s="24"/>
    </row>
    <row r="20" spans="1:12" x14ac:dyDescent="0.25">
      <c r="A20" s="8">
        <f>A17+1</f>
        <v>108</v>
      </c>
      <c r="C20" s="6" t="s">
        <v>347</v>
      </c>
      <c r="E20" s="32">
        <f>-'10-AccDep'!AC27</f>
        <v>-5175266817.9164543</v>
      </c>
      <c r="F20" s="6" t="s">
        <v>346</v>
      </c>
      <c r="G20" s="6" t="s">
        <v>335</v>
      </c>
      <c r="H20" s="8">
        <f>A20</f>
        <v>108</v>
      </c>
      <c r="L20" s="24"/>
    </row>
    <row r="21" spans="1:12" x14ac:dyDescent="0.25">
      <c r="A21" s="8">
        <f>A20+1</f>
        <v>109</v>
      </c>
      <c r="C21" s="6" t="s">
        <v>345</v>
      </c>
      <c r="E21" s="31">
        <f>-'10-AccDep'!F91</f>
        <v>-297535335.27101338</v>
      </c>
      <c r="F21" s="6" t="s">
        <v>344</v>
      </c>
      <c r="G21" s="6" t="s">
        <v>335</v>
      </c>
      <c r="H21" s="8">
        <f>A21</f>
        <v>109</v>
      </c>
      <c r="K21" s="38"/>
      <c r="L21" s="24"/>
    </row>
    <row r="22" spans="1:12" x14ac:dyDescent="0.25">
      <c r="A22" s="8">
        <f>A21+1</f>
        <v>110</v>
      </c>
      <c r="C22" s="30" t="s">
        <v>343</v>
      </c>
      <c r="D22" s="30"/>
      <c r="E22" s="29">
        <f>+E20+E21</f>
        <v>-5472802153.1874676</v>
      </c>
      <c r="F22" s="6" t="str">
        <f>"Line "&amp;A20&amp;" + Line "&amp;A21&amp;""</f>
        <v>Line 108 + Line 109</v>
      </c>
      <c r="H22" s="8">
        <f>A22</f>
        <v>110</v>
      </c>
      <c r="L22" s="24"/>
    </row>
    <row r="23" spans="1:12" x14ac:dyDescent="0.25">
      <c r="L23" s="24"/>
    </row>
    <row r="24" spans="1:12" x14ac:dyDescent="0.25">
      <c r="A24" s="8">
        <f>A22+1</f>
        <v>111</v>
      </c>
      <c r="B24" s="39" t="s">
        <v>159</v>
      </c>
      <c r="C24" s="39" t="s">
        <v>342</v>
      </c>
      <c r="D24" s="39"/>
      <c r="E24" s="32">
        <f>'14-ADIT'!D14</f>
        <v>-2211925847.5442195</v>
      </c>
      <c r="F24" s="6" t="s">
        <v>341</v>
      </c>
      <c r="G24" s="6" t="s">
        <v>329</v>
      </c>
      <c r="H24" s="8">
        <f>A24</f>
        <v>111</v>
      </c>
      <c r="I24" s="30" t="s">
        <v>159</v>
      </c>
      <c r="L24" s="24"/>
    </row>
    <row r="25" spans="1:12" x14ac:dyDescent="0.25">
      <c r="A25" s="8">
        <v>111</v>
      </c>
      <c r="B25" s="39" t="s">
        <v>168</v>
      </c>
      <c r="C25" s="39" t="s">
        <v>340</v>
      </c>
      <c r="D25" s="39"/>
      <c r="E25" s="31">
        <f>'17-RegAssets-1'!C48</f>
        <v>-440918537.60034561</v>
      </c>
      <c r="F25" s="6" t="s">
        <v>339</v>
      </c>
      <c r="G25" s="6" t="s">
        <v>329</v>
      </c>
      <c r="H25" s="8">
        <f>A25</f>
        <v>111</v>
      </c>
      <c r="I25" s="30" t="s">
        <v>168</v>
      </c>
      <c r="L25" s="24"/>
    </row>
    <row r="26" spans="1:12" x14ac:dyDescent="0.25">
      <c r="A26" s="8">
        <v>111</v>
      </c>
      <c r="B26" s="39" t="s">
        <v>244</v>
      </c>
      <c r="C26" s="39" t="s">
        <v>338</v>
      </c>
      <c r="D26" s="70"/>
      <c r="E26" s="29">
        <f>+E24+E25</f>
        <v>-2652844385.1445651</v>
      </c>
      <c r="F26" s="6" t="str">
        <f>"Line "&amp;A24&amp;"a + Line "&amp;A25&amp;"b"</f>
        <v>Line 111a + Line 111b</v>
      </c>
      <c r="G26" s="6" t="s">
        <v>329</v>
      </c>
      <c r="H26" s="8">
        <f>A26</f>
        <v>111</v>
      </c>
      <c r="I26" s="30" t="s">
        <v>244</v>
      </c>
      <c r="L26" s="24"/>
    </row>
    <row r="27" spans="1:12" x14ac:dyDescent="0.25">
      <c r="A27" s="8">
        <f>A24+1</f>
        <v>112</v>
      </c>
      <c r="C27" s="30" t="s">
        <v>337</v>
      </c>
      <c r="D27" s="52"/>
      <c r="E27" s="32">
        <f>-'15-NUC'!C13</f>
        <v>-289669496.61000007</v>
      </c>
      <c r="F27" s="6" t="s">
        <v>336</v>
      </c>
      <c r="G27" s="6" t="s">
        <v>335</v>
      </c>
      <c r="H27" s="8">
        <f>A27</f>
        <v>112</v>
      </c>
      <c r="L27" s="24"/>
    </row>
    <row r="28" spans="1:12" x14ac:dyDescent="0.25">
      <c r="A28" s="8">
        <f>A27+1</f>
        <v>113</v>
      </c>
      <c r="C28" s="30" t="s">
        <v>41</v>
      </c>
      <c r="D28" s="52"/>
      <c r="E28" s="32">
        <f>'16-UnfundedReserves'!D8</f>
        <v>-105906878.30999999</v>
      </c>
      <c r="F28" s="6" t="s">
        <v>334</v>
      </c>
      <c r="G28" s="6" t="s">
        <v>329</v>
      </c>
      <c r="H28" s="8">
        <f>A28</f>
        <v>113</v>
      </c>
      <c r="K28" s="38"/>
      <c r="L28" s="24"/>
    </row>
    <row r="29" spans="1:12" x14ac:dyDescent="0.25">
      <c r="A29" s="8">
        <f>A28+1</f>
        <v>114</v>
      </c>
      <c r="C29" s="30" t="s">
        <v>333</v>
      </c>
      <c r="D29" s="30"/>
      <c r="E29" s="32">
        <f>'17-RegAssets-1'!E26</f>
        <v>0</v>
      </c>
      <c r="F29" s="6" t="s">
        <v>332</v>
      </c>
      <c r="G29" s="6" t="s">
        <v>329</v>
      </c>
      <c r="H29" s="8">
        <f>A29</f>
        <v>114</v>
      </c>
      <c r="L29" s="24"/>
    </row>
    <row r="30" spans="1:12" x14ac:dyDescent="0.25">
      <c r="A30" s="8">
        <f>A29+1</f>
        <v>115</v>
      </c>
      <c r="C30" s="30" t="s">
        <v>331</v>
      </c>
      <c r="D30" s="30"/>
      <c r="E30" s="32">
        <f>'32-CWIPIncentive'!Q16</f>
        <v>64662675.799999997</v>
      </c>
      <c r="F30" s="6" t="s">
        <v>330</v>
      </c>
      <c r="G30" s="6" t="s">
        <v>329</v>
      </c>
      <c r="H30" s="8">
        <f>A30</f>
        <v>115</v>
      </c>
      <c r="K30" s="38"/>
      <c r="L30" s="24"/>
    </row>
    <row r="31" spans="1:12" x14ac:dyDescent="0.25">
      <c r="E31" s="32"/>
      <c r="H31" s="8"/>
      <c r="L31" s="24"/>
    </row>
    <row r="32" spans="1:12" x14ac:dyDescent="0.25">
      <c r="A32" s="8">
        <f>A30+1</f>
        <v>116</v>
      </c>
      <c r="C32" s="30" t="s">
        <v>328</v>
      </c>
      <c r="D32" s="30"/>
      <c r="E32" s="29">
        <f ca="1">+E11+E17+E22+E26+E27+E28+E29+E30</f>
        <v>12744982585.338463</v>
      </c>
      <c r="F32" s="6" t="str">
        <f>"Sum of Lines "&amp;A11&amp;", "&amp;A17&amp;", "&amp;A22&amp;" and Lines "&amp;A26&amp;B26&amp;" to "&amp;A30&amp;""</f>
        <v>Sum of Lines 103, 107, 110 and Lines 111c to 115</v>
      </c>
      <c r="H32" s="8">
        <f>A32</f>
        <v>116</v>
      </c>
      <c r="K32" s="38"/>
      <c r="L32" s="24"/>
    </row>
    <row r="33" spans="1:12" x14ac:dyDescent="0.25">
      <c r="H33" s="8"/>
      <c r="L33" s="24"/>
    </row>
    <row r="34" spans="1:12" x14ac:dyDescent="0.25">
      <c r="C34" s="36" t="s">
        <v>327</v>
      </c>
      <c r="D34" s="35"/>
      <c r="E34" s="35"/>
      <c r="F34" s="35"/>
      <c r="G34" s="35"/>
      <c r="L34" s="24"/>
    </row>
    <row r="35" spans="1:12" x14ac:dyDescent="0.25">
      <c r="A35" s="33" t="s">
        <v>106</v>
      </c>
      <c r="B35" s="33"/>
      <c r="C35" s="33" t="s">
        <v>79</v>
      </c>
      <c r="E35" s="33" t="s">
        <v>155</v>
      </c>
      <c r="F35" s="33" t="s">
        <v>154</v>
      </c>
      <c r="G35" s="33" t="s">
        <v>153</v>
      </c>
      <c r="H35" s="33" t="str">
        <f>A35</f>
        <v>Line</v>
      </c>
      <c r="L35" s="24"/>
    </row>
    <row r="36" spans="1:12" x14ac:dyDescent="0.25">
      <c r="C36" s="44" t="s">
        <v>326</v>
      </c>
      <c r="D36" s="44"/>
      <c r="L36" s="24"/>
    </row>
    <row r="37" spans="1:12" x14ac:dyDescent="0.25">
      <c r="A37" s="8">
        <v>200</v>
      </c>
      <c r="C37" s="6" t="s">
        <v>325</v>
      </c>
      <c r="E37" s="32">
        <f>'5-CostofCap-1'!D11</f>
        <v>40273752447.619232</v>
      </c>
      <c r="F37" s="6" t="s">
        <v>324</v>
      </c>
      <c r="G37" s="6" t="s">
        <v>313</v>
      </c>
      <c r="H37" s="8">
        <f>A37</f>
        <v>200</v>
      </c>
      <c r="K37" s="38"/>
      <c r="L37" s="24"/>
    </row>
    <row r="38" spans="1:12" x14ac:dyDescent="0.25">
      <c r="A38" s="8">
        <f>A37+1</f>
        <v>201</v>
      </c>
      <c r="C38" s="6" t="s">
        <v>67</v>
      </c>
      <c r="E38" s="66">
        <f>'5-CostofCap-2'!E26</f>
        <v>4.7100000000000003E-2</v>
      </c>
      <c r="F38" s="6" t="s">
        <v>323</v>
      </c>
      <c r="G38" s="6" t="s">
        <v>313</v>
      </c>
      <c r="H38" s="8">
        <f>A38</f>
        <v>201</v>
      </c>
      <c r="K38" s="38"/>
      <c r="L38" s="24"/>
    </row>
    <row r="39" spans="1:12" x14ac:dyDescent="0.25">
      <c r="A39" s="8">
        <f>A38+1</f>
        <v>202</v>
      </c>
      <c r="C39" s="30" t="s">
        <v>322</v>
      </c>
      <c r="E39" s="29">
        <f>E37*E38</f>
        <v>1896893740.282866</v>
      </c>
      <c r="F39" s="6" t="str">
        <f>"Line "&amp;A37&amp;" * Line "&amp;A38&amp;""</f>
        <v>Line 200 * Line 201</v>
      </c>
      <c r="H39" s="8">
        <f>A39</f>
        <v>202</v>
      </c>
      <c r="L39" s="24"/>
    </row>
    <row r="40" spans="1:12" x14ac:dyDescent="0.25">
      <c r="L40" s="24"/>
    </row>
    <row r="41" spans="1:12" x14ac:dyDescent="0.25">
      <c r="C41" s="44" t="s">
        <v>321</v>
      </c>
      <c r="D41" s="44"/>
      <c r="L41" s="24"/>
    </row>
    <row r="42" spans="1:12" x14ac:dyDescent="0.25">
      <c r="A42" s="8">
        <f>A39+1</f>
        <v>203</v>
      </c>
      <c r="C42" s="6" t="s">
        <v>320</v>
      </c>
      <c r="E42" s="32">
        <f>'5-CostofCap-1'!D17</f>
        <v>252054300.31999999</v>
      </c>
      <c r="F42" s="6" t="s">
        <v>319</v>
      </c>
      <c r="G42" s="6" t="s">
        <v>313</v>
      </c>
      <c r="H42" s="8">
        <f>A42</f>
        <v>203</v>
      </c>
      <c r="K42" s="38"/>
      <c r="L42" s="24"/>
    </row>
    <row r="43" spans="1:12" x14ac:dyDescent="0.25">
      <c r="A43" s="8">
        <f>A42+1</f>
        <v>204</v>
      </c>
      <c r="C43" s="6" t="s">
        <v>65</v>
      </c>
      <c r="E43" s="55">
        <f>'5-CostofCap-3'!E15</f>
        <v>5.5211584041602653E-2</v>
      </c>
      <c r="F43" s="6" t="s">
        <v>318</v>
      </c>
      <c r="G43" s="6" t="s">
        <v>313</v>
      </c>
      <c r="H43" s="8">
        <f>A43</f>
        <v>204</v>
      </c>
      <c r="K43" s="38"/>
      <c r="L43" s="24"/>
    </row>
    <row r="44" spans="1:12" x14ac:dyDescent="0.25">
      <c r="A44" s="8">
        <f>A43+1</f>
        <v>205</v>
      </c>
      <c r="C44" s="30" t="s">
        <v>317</v>
      </c>
      <c r="E44" s="29">
        <f>E42*E43</f>
        <v>13916317.185165035</v>
      </c>
      <c r="F44" s="6" t="str">
        <f>"Line "&amp;A42&amp;" * Line "&amp;A43&amp;""</f>
        <v>Line 203 * Line 204</v>
      </c>
      <c r="H44" s="8">
        <f>A44</f>
        <v>205</v>
      </c>
      <c r="L44" s="24"/>
    </row>
    <row r="45" spans="1:12" x14ac:dyDescent="0.25">
      <c r="L45" s="24"/>
    </row>
    <row r="46" spans="1:12" x14ac:dyDescent="0.25">
      <c r="C46" s="44" t="s">
        <v>316</v>
      </c>
      <c r="D46" s="44"/>
      <c r="L46" s="24"/>
    </row>
    <row r="47" spans="1:12" x14ac:dyDescent="0.25">
      <c r="A47" s="8">
        <f>A44+1</f>
        <v>206</v>
      </c>
      <c r="C47" s="6" t="s">
        <v>315</v>
      </c>
      <c r="E47" s="32">
        <f>'5-CostofCap-1'!D24</f>
        <v>42623086252.488457</v>
      </c>
      <c r="F47" s="6" t="s">
        <v>314</v>
      </c>
      <c r="G47" s="6" t="s">
        <v>313</v>
      </c>
      <c r="H47" s="8">
        <f>A47</f>
        <v>206</v>
      </c>
      <c r="K47" s="38"/>
      <c r="L47" s="24"/>
    </row>
    <row r="48" spans="1:12" x14ac:dyDescent="0.25">
      <c r="H48" s="8"/>
      <c r="L48" s="24"/>
    </row>
    <row r="49" spans="1:12" x14ac:dyDescent="0.25">
      <c r="A49" s="8">
        <f>A47+1</f>
        <v>207</v>
      </c>
      <c r="C49" s="30" t="s">
        <v>312</v>
      </c>
      <c r="D49" s="30"/>
      <c r="E49" s="29">
        <f>E37+E42+E47</f>
        <v>83148893000.427689</v>
      </c>
      <c r="F49" s="6" t="str">
        <f>"Line "&amp;A37&amp;" + Line "&amp;A42&amp;" + Line "&amp;A47&amp;""</f>
        <v>Line 200 + Line 203 + Line 206</v>
      </c>
      <c r="H49" s="8">
        <f>A49</f>
        <v>207</v>
      </c>
      <c r="L49" s="24"/>
    </row>
    <row r="50" spans="1:12" x14ac:dyDescent="0.25">
      <c r="L50" s="24"/>
    </row>
    <row r="51" spans="1:12" x14ac:dyDescent="0.25">
      <c r="C51" s="44" t="s">
        <v>311</v>
      </c>
      <c r="D51" s="44"/>
      <c r="L51" s="24"/>
    </row>
    <row r="52" spans="1:12" x14ac:dyDescent="0.25">
      <c r="A52" s="8">
        <f>A49+1</f>
        <v>208</v>
      </c>
      <c r="C52" s="6" t="s">
        <v>310</v>
      </c>
      <c r="E52" s="67">
        <v>0.497</v>
      </c>
      <c r="F52" s="6" t="s">
        <v>302</v>
      </c>
      <c r="H52" s="8">
        <f>A52</f>
        <v>208</v>
      </c>
      <c r="K52" s="38"/>
      <c r="L52" s="24"/>
    </row>
    <row r="53" spans="1:12" x14ac:dyDescent="0.25">
      <c r="A53" s="8">
        <f>A52+1</f>
        <v>209</v>
      </c>
      <c r="C53" s="6" t="s">
        <v>309</v>
      </c>
      <c r="E53" s="67">
        <v>3.0000000000000001E-3</v>
      </c>
      <c r="F53" s="6" t="s">
        <v>302</v>
      </c>
      <c r="H53" s="8">
        <f>A53</f>
        <v>209</v>
      </c>
      <c r="K53" s="38"/>
      <c r="L53" s="24"/>
    </row>
    <row r="54" spans="1:12" x14ac:dyDescent="0.25">
      <c r="A54" s="8">
        <f>A53+1</f>
        <v>210</v>
      </c>
      <c r="C54" s="6" t="s">
        <v>308</v>
      </c>
      <c r="E54" s="67">
        <v>0.5</v>
      </c>
      <c r="F54" s="6" t="s">
        <v>302</v>
      </c>
      <c r="H54" s="8">
        <f>A54</f>
        <v>210</v>
      </c>
      <c r="K54" s="38"/>
      <c r="L54" s="24"/>
    </row>
    <row r="55" spans="1:12" x14ac:dyDescent="0.25">
      <c r="L55" s="24"/>
    </row>
    <row r="56" spans="1:12" x14ac:dyDescent="0.25">
      <c r="C56" s="44" t="s">
        <v>307</v>
      </c>
      <c r="D56" s="44"/>
      <c r="H56" s="8"/>
      <c r="L56" s="24"/>
    </row>
    <row r="57" spans="1:12" x14ac:dyDescent="0.25">
      <c r="A57" s="8">
        <f>A54+1</f>
        <v>211</v>
      </c>
      <c r="C57" s="6" t="s">
        <v>306</v>
      </c>
      <c r="E57" s="50">
        <f>E38</f>
        <v>4.7100000000000003E-2</v>
      </c>
      <c r="F57" s="6" t="str">
        <f>"Line "&amp;A38&amp;""</f>
        <v>Line 201</v>
      </c>
      <c r="H57" s="8">
        <f>A57</f>
        <v>211</v>
      </c>
      <c r="L57" s="24"/>
    </row>
    <row r="58" spans="1:12" x14ac:dyDescent="0.25">
      <c r="A58" s="8">
        <f>A57+1</f>
        <v>212</v>
      </c>
      <c r="C58" s="6" t="s">
        <v>65</v>
      </c>
      <c r="E58" s="50">
        <f>E43</f>
        <v>5.5211584041602653E-2</v>
      </c>
      <c r="F58" s="6" t="str">
        <f>"Line "&amp;A43&amp;""</f>
        <v>Line 204</v>
      </c>
      <c r="H58" s="8">
        <f>A58</f>
        <v>212</v>
      </c>
      <c r="L58" s="24"/>
    </row>
    <row r="59" spans="1:12" x14ac:dyDescent="0.25">
      <c r="E59" s="50"/>
      <c r="H59" s="8"/>
      <c r="L59" s="24"/>
    </row>
    <row r="60" spans="1:12" x14ac:dyDescent="0.25">
      <c r="A60" s="8">
        <f>A58+1</f>
        <v>213</v>
      </c>
      <c r="C60" s="30" t="s">
        <v>305</v>
      </c>
      <c r="E60" s="69">
        <f>E61+E62</f>
        <v>0.1038</v>
      </c>
      <c r="F60" s="6" t="s">
        <v>304</v>
      </c>
      <c r="H60" s="8">
        <f>A60</f>
        <v>213</v>
      </c>
      <c r="L60" s="24"/>
    </row>
    <row r="61" spans="1:12" x14ac:dyDescent="0.25">
      <c r="A61" s="8">
        <f>A60+1</f>
        <v>214</v>
      </c>
      <c r="C61" s="6" t="s">
        <v>303</v>
      </c>
      <c r="E61" s="68">
        <v>0.1038</v>
      </c>
      <c r="F61" s="6" t="s">
        <v>302</v>
      </c>
      <c r="H61" s="8">
        <f>A61</f>
        <v>214</v>
      </c>
      <c r="L61" s="24"/>
    </row>
    <row r="62" spans="1:12" x14ac:dyDescent="0.25">
      <c r="A62" s="8">
        <f>A61+1</f>
        <v>215</v>
      </c>
      <c r="C62" s="6" t="s">
        <v>301</v>
      </c>
      <c r="E62" s="68">
        <v>0</v>
      </c>
      <c r="H62" s="8">
        <f>A62</f>
        <v>215</v>
      </c>
      <c r="K62" s="38"/>
      <c r="L62" s="24"/>
    </row>
    <row r="63" spans="1:12" x14ac:dyDescent="0.25">
      <c r="L63" s="24"/>
    </row>
    <row r="64" spans="1:12" x14ac:dyDescent="0.25">
      <c r="C64" s="44" t="s">
        <v>300</v>
      </c>
      <c r="D64" s="44"/>
      <c r="L64" s="24"/>
    </row>
    <row r="65" spans="1:12" x14ac:dyDescent="0.25">
      <c r="A65" s="8">
        <f>A62+1</f>
        <v>216</v>
      </c>
      <c r="C65" s="6" t="s">
        <v>299</v>
      </c>
      <c r="E65" s="67">
        <f>E52*E57</f>
        <v>2.3408700000000001E-2</v>
      </c>
      <c r="F65" s="6" t="str">
        <f>"Line "&amp;A52&amp;" * Line "&amp;A57&amp;""</f>
        <v>Line 208 * Line 211</v>
      </c>
      <c r="H65" s="8">
        <f>A65</f>
        <v>216</v>
      </c>
      <c r="K65" s="38"/>
      <c r="L65" s="24"/>
    </row>
    <row r="66" spans="1:12" x14ac:dyDescent="0.25">
      <c r="A66" s="8">
        <f>A65+1</f>
        <v>217</v>
      </c>
      <c r="C66" s="6" t="s">
        <v>298</v>
      </c>
      <c r="E66" s="67">
        <f>E53*E58</f>
        <v>1.6563475212480797E-4</v>
      </c>
      <c r="F66" s="6" t="str">
        <f>"Line "&amp;A53&amp;" * Line "&amp;A58&amp;""</f>
        <v>Line 209 * Line 212</v>
      </c>
      <c r="H66" s="8">
        <f>A66</f>
        <v>217</v>
      </c>
      <c r="K66" s="38"/>
      <c r="L66" s="24"/>
    </row>
    <row r="67" spans="1:12" x14ac:dyDescent="0.25">
      <c r="A67" s="8">
        <f>A66+1</f>
        <v>218</v>
      </c>
      <c r="C67" s="6" t="s">
        <v>297</v>
      </c>
      <c r="E67" s="66">
        <f>E54*E60</f>
        <v>5.1900000000000002E-2</v>
      </c>
      <c r="F67" s="6" t="str">
        <f>"Line "&amp;A54&amp;" * Line "&amp;A60&amp;""</f>
        <v>Line 210 * Line 213</v>
      </c>
      <c r="H67" s="8">
        <f>A67</f>
        <v>218</v>
      </c>
      <c r="K67" s="38"/>
      <c r="L67" s="24"/>
    </row>
    <row r="68" spans="1:12" x14ac:dyDescent="0.25">
      <c r="A68" s="8">
        <f>A67+1</f>
        <v>219</v>
      </c>
      <c r="C68" s="30" t="s">
        <v>296</v>
      </c>
      <c r="D68" s="30"/>
      <c r="E68" s="62">
        <f>SUM(E65:E67)</f>
        <v>7.5474334752124811E-2</v>
      </c>
      <c r="F68" s="38" t="str">
        <f>"Sum of Lines "&amp;A65&amp;" to "&amp;A67&amp;""</f>
        <v>Sum of Lines 216 to 218</v>
      </c>
      <c r="H68" s="8">
        <f>A68</f>
        <v>219</v>
      </c>
      <c r="L68" s="24"/>
    </row>
    <row r="69" spans="1:12" x14ac:dyDescent="0.25">
      <c r="L69" s="24"/>
    </row>
    <row r="70" spans="1:12" x14ac:dyDescent="0.25">
      <c r="A70" s="8">
        <f>A68+1</f>
        <v>220</v>
      </c>
      <c r="C70" s="30" t="s">
        <v>295</v>
      </c>
      <c r="D70" s="30"/>
      <c r="E70" s="50">
        <f>E66+E67</f>
        <v>5.2065634752124806E-2</v>
      </c>
      <c r="F70" s="6" t="str">
        <f>"Line "&amp;A66&amp;" + Line "&amp;A67&amp;""</f>
        <v>Line 217 + Line 218</v>
      </c>
      <c r="H70" s="8">
        <f>A70</f>
        <v>220</v>
      </c>
      <c r="K70" s="38"/>
      <c r="L70" s="24"/>
    </row>
    <row r="71" spans="1:12" x14ac:dyDescent="0.25">
      <c r="A71" s="8">
        <f>A70+1</f>
        <v>221</v>
      </c>
      <c r="C71" s="30" t="s">
        <v>294</v>
      </c>
      <c r="D71" s="30"/>
      <c r="E71" s="50">
        <f>E62*E54</f>
        <v>0</v>
      </c>
      <c r="F71" s="6" t="str">
        <f>"Line "&amp;A54&amp;" * Line "&amp;A62&amp;""</f>
        <v>Line 210 * Line 215</v>
      </c>
      <c r="H71" s="8">
        <f>A71</f>
        <v>221</v>
      </c>
      <c r="L71" s="24"/>
    </row>
    <row r="72" spans="1:12" x14ac:dyDescent="0.25">
      <c r="H72" s="8"/>
      <c r="L72" s="24"/>
    </row>
    <row r="73" spans="1:12" x14ac:dyDescent="0.25">
      <c r="A73" s="8">
        <f>A71+1</f>
        <v>222</v>
      </c>
      <c r="C73" s="6" t="s">
        <v>293</v>
      </c>
      <c r="D73" s="30"/>
      <c r="E73" s="65">
        <f ca="1">E68*E32</f>
        <v>961919082.05583632</v>
      </c>
      <c r="F73" s="6" t="str">
        <f>"Line "&amp;A68&amp;" * Line "&amp;A32&amp;""</f>
        <v>Line 219 * Line 116</v>
      </c>
      <c r="H73" s="8">
        <f>A73</f>
        <v>222</v>
      </c>
      <c r="L73" s="24"/>
    </row>
    <row r="74" spans="1:12" x14ac:dyDescent="0.25">
      <c r="A74" s="8">
        <f>A73+1</f>
        <v>223</v>
      </c>
      <c r="C74" s="6" t="s">
        <v>292</v>
      </c>
      <c r="D74" s="30"/>
      <c r="E74" s="32">
        <f ca="1">E71*E10</f>
        <v>0</v>
      </c>
      <c r="F74" s="6" t="str">
        <f>"Line "&amp;A10&amp;" * Line "&amp;A71&amp;""</f>
        <v>Line 102 * Line 221</v>
      </c>
      <c r="H74" s="8">
        <f>A74</f>
        <v>223</v>
      </c>
      <c r="L74" s="24"/>
    </row>
    <row r="75" spans="1:12" x14ac:dyDescent="0.25">
      <c r="A75" s="8">
        <f>A74+1</f>
        <v>224</v>
      </c>
      <c r="C75" s="30" t="s">
        <v>291</v>
      </c>
      <c r="D75" s="30"/>
      <c r="E75" s="29">
        <f ca="1">E73-E74</f>
        <v>961919082.05583632</v>
      </c>
      <c r="F75" s="6" t="str">
        <f>"Line "&amp;A73&amp;" - Line "&amp;A74&amp;""</f>
        <v>Line 222 - Line 223</v>
      </c>
      <c r="H75" s="8">
        <f>A75</f>
        <v>224</v>
      </c>
      <c r="L75" s="24"/>
    </row>
    <row r="76" spans="1:12" x14ac:dyDescent="0.25">
      <c r="L76" s="24"/>
    </row>
    <row r="77" spans="1:12" x14ac:dyDescent="0.25">
      <c r="C77" s="36" t="s">
        <v>290</v>
      </c>
      <c r="D77" s="35"/>
      <c r="E77" s="35"/>
      <c r="F77" s="35"/>
      <c r="G77" s="35"/>
      <c r="L77" s="24"/>
    </row>
    <row r="78" spans="1:12" x14ac:dyDescent="0.25">
      <c r="A78" s="33" t="s">
        <v>106</v>
      </c>
      <c r="B78" s="33"/>
      <c r="C78" s="33" t="s">
        <v>79</v>
      </c>
      <c r="E78" s="33" t="s">
        <v>155</v>
      </c>
      <c r="F78" s="33" t="s">
        <v>154</v>
      </c>
      <c r="G78" s="33" t="s">
        <v>153</v>
      </c>
      <c r="H78" s="33" t="str">
        <f>A78</f>
        <v>Line</v>
      </c>
      <c r="L78" s="24"/>
    </row>
    <row r="79" spans="1:12" x14ac:dyDescent="0.25">
      <c r="C79" s="44" t="s">
        <v>289</v>
      </c>
      <c r="D79" s="44"/>
      <c r="L79" s="24"/>
    </row>
    <row r="80" spans="1:12" x14ac:dyDescent="0.25">
      <c r="A80" s="8">
        <v>300</v>
      </c>
      <c r="C80" s="6" t="s">
        <v>288</v>
      </c>
      <c r="E80" s="61">
        <v>606376196</v>
      </c>
      <c r="F80" s="6" t="s">
        <v>287</v>
      </c>
      <c r="H80" s="8">
        <f>A80</f>
        <v>300</v>
      </c>
      <c r="L80" s="24"/>
    </row>
    <row r="81" spans="1:12" x14ac:dyDescent="0.25">
      <c r="A81" s="8">
        <f>A80+1</f>
        <v>301</v>
      </c>
      <c r="C81" s="6" t="s">
        <v>286</v>
      </c>
      <c r="E81" s="55">
        <f>'24-Allocators'!C65</f>
        <v>0.25386742871461615</v>
      </c>
      <c r="F81" s="6" t="s">
        <v>285</v>
      </c>
      <c r="H81" s="8">
        <f>A81</f>
        <v>301</v>
      </c>
      <c r="L81" s="24"/>
    </row>
    <row r="82" spans="1:12" x14ac:dyDescent="0.25">
      <c r="A82" s="8">
        <f>A81+1</f>
        <v>302</v>
      </c>
      <c r="C82" s="30" t="s">
        <v>284</v>
      </c>
      <c r="D82" s="30"/>
      <c r="E82" s="29">
        <f>+E80*E81</f>
        <v>153939165.71227011</v>
      </c>
      <c r="F82" s="6" t="str">
        <f>"Line "&amp;A80&amp;" * Line "&amp;A81&amp;""</f>
        <v>Line 300 * Line 301</v>
      </c>
      <c r="H82" s="8">
        <f>A82</f>
        <v>302</v>
      </c>
      <c r="L82" s="24"/>
    </row>
    <row r="83" spans="1:12" x14ac:dyDescent="0.25">
      <c r="L83" s="24"/>
    </row>
    <row r="84" spans="1:12" x14ac:dyDescent="0.25">
      <c r="C84" s="44" t="s">
        <v>283</v>
      </c>
      <c r="D84" s="44"/>
      <c r="L84" s="24"/>
    </row>
    <row r="85" spans="1:12" x14ac:dyDescent="0.25">
      <c r="A85" s="8">
        <f>A82+1</f>
        <v>303</v>
      </c>
      <c r="C85" s="6" t="s">
        <v>282</v>
      </c>
      <c r="E85" s="61">
        <v>123750430</v>
      </c>
      <c r="F85" s="6" t="s">
        <v>281</v>
      </c>
      <c r="H85" s="8">
        <f>A85</f>
        <v>303</v>
      </c>
      <c r="L85" s="24"/>
    </row>
    <row r="86" spans="1:12" x14ac:dyDescent="0.25">
      <c r="A86" s="8">
        <f>A85+1</f>
        <v>304</v>
      </c>
      <c r="C86" s="6" t="s">
        <v>280</v>
      </c>
      <c r="E86" s="61">
        <v>3891922</v>
      </c>
      <c r="F86" s="6" t="s">
        <v>279</v>
      </c>
      <c r="H86" s="8">
        <f>A86</f>
        <v>304</v>
      </c>
      <c r="L86" s="24"/>
    </row>
    <row r="87" spans="1:12" x14ac:dyDescent="0.25">
      <c r="A87" s="8">
        <f>A86+1</f>
        <v>305</v>
      </c>
      <c r="C87" s="6" t="s">
        <v>278</v>
      </c>
      <c r="E87" s="61">
        <v>2196427</v>
      </c>
      <c r="F87" s="6" t="s">
        <v>277</v>
      </c>
      <c r="H87" s="8">
        <f>A87</f>
        <v>305</v>
      </c>
      <c r="L87" s="24"/>
    </row>
    <row r="88" spans="1:12" x14ac:dyDescent="0.25">
      <c r="A88" s="8">
        <f>A87+1</f>
        <v>306</v>
      </c>
      <c r="C88" s="6" t="s">
        <v>276</v>
      </c>
      <c r="E88" s="61">
        <v>3958777</v>
      </c>
      <c r="F88" s="6" t="s">
        <v>275</v>
      </c>
      <c r="G88" s="6" t="s">
        <v>272</v>
      </c>
      <c r="H88" s="8">
        <f>A88</f>
        <v>306</v>
      </c>
      <c r="K88" s="38"/>
      <c r="L88" s="24"/>
    </row>
    <row r="89" spans="1:12" x14ac:dyDescent="0.25">
      <c r="A89" s="8">
        <f>A88+1</f>
        <v>307</v>
      </c>
      <c r="C89" s="6" t="s">
        <v>274</v>
      </c>
      <c r="E89" s="64">
        <v>0</v>
      </c>
      <c r="F89" s="6" t="s">
        <v>273</v>
      </c>
      <c r="G89" s="6" t="s">
        <v>272</v>
      </c>
      <c r="H89" s="8">
        <f>A89</f>
        <v>307</v>
      </c>
      <c r="L89" s="24"/>
    </row>
    <row r="90" spans="1:12" x14ac:dyDescent="0.25">
      <c r="A90" s="8">
        <f>A89+1</f>
        <v>308</v>
      </c>
      <c r="C90" s="30" t="s">
        <v>271</v>
      </c>
      <c r="D90" s="30"/>
      <c r="E90" s="29">
        <f>SUM(E85:E89)</f>
        <v>133797556</v>
      </c>
      <c r="F90" s="38" t="str">
        <f>"Sum of Lines "&amp;A85&amp;" to "&amp;A89&amp;""</f>
        <v>Sum of Lines 303 to 307</v>
      </c>
      <c r="H90" s="8">
        <f>A90</f>
        <v>308</v>
      </c>
      <c r="L90" s="24"/>
    </row>
    <row r="91" spans="1:12" x14ac:dyDescent="0.25">
      <c r="L91" s="24"/>
    </row>
    <row r="92" spans="1:12" x14ac:dyDescent="0.25">
      <c r="A92" s="8">
        <f>A90+1</f>
        <v>309</v>
      </c>
      <c r="C92" s="6" t="s">
        <v>270</v>
      </c>
      <c r="E92" s="50">
        <f>'24-Allocators'!C24</f>
        <v>0.13186927386932037</v>
      </c>
      <c r="F92" s="6" t="s">
        <v>269</v>
      </c>
      <c r="H92" s="8">
        <f>A92</f>
        <v>309</v>
      </c>
      <c r="L92" s="24"/>
    </row>
    <row r="93" spans="1:12" x14ac:dyDescent="0.25">
      <c r="A93" s="8">
        <f>A92+1</f>
        <v>310</v>
      </c>
      <c r="C93" s="30" t="s">
        <v>268</v>
      </c>
      <c r="D93" s="30"/>
      <c r="E93" s="29">
        <f>E90*E92</f>
        <v>17643786.55520973</v>
      </c>
      <c r="F93" s="6" t="str">
        <f>"Line "&amp;A92&amp;" *  Line "&amp;A90&amp;""</f>
        <v>Line 309 *  Line 308</v>
      </c>
      <c r="H93" s="8">
        <f>A93</f>
        <v>310</v>
      </c>
      <c r="L93" s="24"/>
    </row>
    <row r="94" spans="1:12" x14ac:dyDescent="0.25">
      <c r="L94" s="24"/>
    </row>
    <row r="95" spans="1:12" x14ac:dyDescent="0.25">
      <c r="A95" s="8">
        <f>A93+1</f>
        <v>311</v>
      </c>
      <c r="C95" s="30" t="s">
        <v>267</v>
      </c>
      <c r="D95" s="30"/>
      <c r="E95" s="29">
        <f>E93+E82</f>
        <v>171582952.26747984</v>
      </c>
      <c r="F95" s="6" t="str">
        <f>"Line "&amp;A82&amp;" + Line "&amp;A93&amp;""</f>
        <v>Line 302 + Line 310</v>
      </c>
      <c r="H95" s="8">
        <f>A95</f>
        <v>311</v>
      </c>
      <c r="L95" s="24"/>
    </row>
    <row r="96" spans="1:12" x14ac:dyDescent="0.25">
      <c r="L96" s="24"/>
    </row>
    <row r="97" spans="1:12" x14ac:dyDescent="0.25">
      <c r="A97" s="6"/>
      <c r="B97" s="6"/>
      <c r="C97" s="36" t="s">
        <v>266</v>
      </c>
      <c r="D97" s="35"/>
      <c r="E97" s="35"/>
      <c r="F97" s="35"/>
      <c r="G97" s="35"/>
      <c r="L97" s="24"/>
    </row>
    <row r="98" spans="1:12" x14ac:dyDescent="0.25">
      <c r="A98" s="33" t="s">
        <v>106</v>
      </c>
      <c r="B98" s="33"/>
      <c r="C98" s="33" t="s">
        <v>79</v>
      </c>
      <c r="E98" s="33"/>
      <c r="F98" s="33" t="s">
        <v>154</v>
      </c>
      <c r="G98" s="33" t="s">
        <v>153</v>
      </c>
      <c r="H98" s="33" t="str">
        <f>A98</f>
        <v>Line</v>
      </c>
      <c r="L98" s="24"/>
    </row>
    <row r="99" spans="1:12" x14ac:dyDescent="0.25">
      <c r="A99" s="8">
        <v>400</v>
      </c>
      <c r="C99" s="6" t="s">
        <v>265</v>
      </c>
      <c r="E99" s="50">
        <f>'22-TaxRates'!C7</f>
        <v>0.21</v>
      </c>
      <c r="F99" s="6" t="s">
        <v>264</v>
      </c>
      <c r="H99" s="8">
        <f>A99</f>
        <v>400</v>
      </c>
      <c r="L99" s="24"/>
    </row>
    <row r="100" spans="1:12" x14ac:dyDescent="0.25">
      <c r="A100" s="8">
        <f>A99+1</f>
        <v>401</v>
      </c>
      <c r="C100" s="6" t="s">
        <v>263</v>
      </c>
      <c r="E100" s="63">
        <f>'22-TaxRates'!C8</f>
        <v>8.8400000000000006E-2</v>
      </c>
      <c r="F100" s="6" t="s">
        <v>262</v>
      </c>
      <c r="H100" s="8">
        <f>A100</f>
        <v>401</v>
      </c>
      <c r="L100" s="24"/>
    </row>
    <row r="101" spans="1:12" x14ac:dyDescent="0.25">
      <c r="A101" s="8">
        <f>A100+1</f>
        <v>402</v>
      </c>
      <c r="C101" s="30" t="s">
        <v>261</v>
      </c>
      <c r="D101" s="30"/>
      <c r="E101" s="62">
        <f>(E99+E100)-(E99*E100)</f>
        <v>0.27983599999999997</v>
      </c>
      <c r="F101" s="6" t="str">
        <f>"(Line "&amp;A99&amp;" + Line "&amp;A100&amp;") - (Line "&amp;A99&amp;" * Line "&amp;A100&amp;")"</f>
        <v>(Line 400 + Line 401) - (Line 400 * Line 401)</v>
      </c>
      <c r="H101" s="8">
        <f>A101</f>
        <v>402</v>
      </c>
      <c r="L101" s="24"/>
    </row>
    <row r="102" spans="1:12" x14ac:dyDescent="0.25">
      <c r="L102" s="24"/>
    </row>
    <row r="103" spans="1:12" x14ac:dyDescent="0.25">
      <c r="C103" s="44" t="s">
        <v>260</v>
      </c>
      <c r="H103" s="8"/>
      <c r="L103" s="24"/>
    </row>
    <row r="104" spans="1:12" x14ac:dyDescent="0.25">
      <c r="A104" s="8">
        <f>A101+1</f>
        <v>403</v>
      </c>
      <c r="C104" s="6" t="s">
        <v>259</v>
      </c>
      <c r="H104" s="8">
        <f>A104</f>
        <v>403</v>
      </c>
      <c r="K104" s="38"/>
      <c r="L104" s="24"/>
    </row>
    <row r="105" spans="1:12" x14ac:dyDescent="0.25">
      <c r="A105" s="8">
        <v>403</v>
      </c>
      <c r="B105" s="8" t="s">
        <v>159</v>
      </c>
      <c r="C105" s="6" t="s">
        <v>258</v>
      </c>
      <c r="E105" s="61">
        <v>27036551</v>
      </c>
      <c r="F105" s="53" t="s">
        <v>257</v>
      </c>
      <c r="H105" s="8">
        <f>A105</f>
        <v>403</v>
      </c>
      <c r="I105" s="8" t="str">
        <f>B105</f>
        <v>a</v>
      </c>
      <c r="K105" s="38"/>
      <c r="L105" s="24"/>
    </row>
    <row r="106" spans="1:12" x14ac:dyDescent="0.25">
      <c r="A106" s="8">
        <v>403</v>
      </c>
      <c r="B106" s="8" t="s">
        <v>168</v>
      </c>
      <c r="C106" s="6" t="s">
        <v>243</v>
      </c>
      <c r="E106" s="55">
        <f>'24-Allocators'!C38</f>
        <v>0.94801052848647183</v>
      </c>
      <c r="F106" s="6" t="s">
        <v>242</v>
      </c>
      <c r="H106" s="8">
        <f>A106</f>
        <v>403</v>
      </c>
      <c r="I106" s="8" t="str">
        <f>B106</f>
        <v>b</v>
      </c>
      <c r="K106" s="38"/>
      <c r="L106" s="24"/>
    </row>
    <row r="107" spans="1:12" x14ac:dyDescent="0.25">
      <c r="A107" s="8">
        <v>403</v>
      </c>
      <c r="B107" s="8" t="s">
        <v>244</v>
      </c>
      <c r="C107" s="6" t="s">
        <v>256</v>
      </c>
      <c r="E107" s="32">
        <f>+E105*E106</f>
        <v>25630935.001961447</v>
      </c>
      <c r="F107" s="6" t="str">
        <f>"Line "&amp;A105&amp;""&amp;B105&amp;" * Line "&amp;A106&amp;""&amp;B106&amp;""</f>
        <v>Line 403a * Line 403b</v>
      </c>
      <c r="H107" s="8">
        <f>A107</f>
        <v>403</v>
      </c>
      <c r="I107" s="8" t="str">
        <f>B107</f>
        <v>c</v>
      </c>
      <c r="K107" s="38"/>
      <c r="L107" s="24"/>
    </row>
    <row r="108" spans="1:12" x14ac:dyDescent="0.25">
      <c r="A108" s="8">
        <v>403</v>
      </c>
      <c r="B108" s="8" t="s">
        <v>241</v>
      </c>
      <c r="C108" s="6" t="s">
        <v>255</v>
      </c>
      <c r="E108" s="57">
        <v>-15663042</v>
      </c>
      <c r="F108" s="53" t="s">
        <v>254</v>
      </c>
      <c r="H108" s="8">
        <f>A108</f>
        <v>403</v>
      </c>
      <c r="I108" s="8" t="str">
        <f>B108</f>
        <v>d</v>
      </c>
      <c r="K108" s="38"/>
      <c r="L108" s="24"/>
    </row>
    <row r="109" spans="1:12" x14ac:dyDescent="0.25">
      <c r="A109" s="8">
        <v>403</v>
      </c>
      <c r="B109" s="8" t="s">
        <v>238</v>
      </c>
      <c r="C109" s="6" t="s">
        <v>234</v>
      </c>
      <c r="E109" s="55">
        <f>'24-Allocators'!C30</f>
        <v>0.1564767525133699</v>
      </c>
      <c r="F109" s="6" t="s">
        <v>233</v>
      </c>
      <c r="H109" s="8">
        <f>A109</f>
        <v>403</v>
      </c>
      <c r="I109" s="8" t="str">
        <f>B109</f>
        <v>e</v>
      </c>
      <c r="K109" s="38"/>
      <c r="L109" s="24"/>
    </row>
    <row r="110" spans="1:12" x14ac:dyDescent="0.25">
      <c r="A110" s="8">
        <v>403</v>
      </c>
      <c r="B110" s="8" t="s">
        <v>235</v>
      </c>
      <c r="C110" s="6" t="s">
        <v>253</v>
      </c>
      <c r="E110" s="58">
        <f>+E108*E109</f>
        <v>-2450901.9466405185</v>
      </c>
      <c r="F110" s="6" t="str">
        <f>"Line "&amp;A108&amp;""&amp;B108&amp;" * Line "&amp;A109&amp;""&amp;B109&amp;""</f>
        <v>Line 403d * Line 403e</v>
      </c>
      <c r="H110" s="8">
        <f>A110</f>
        <v>403</v>
      </c>
      <c r="I110" s="8" t="str">
        <f>B110</f>
        <v>f</v>
      </c>
      <c r="K110" s="38"/>
      <c r="L110" s="24"/>
    </row>
    <row r="111" spans="1:12" x14ac:dyDescent="0.25">
      <c r="A111" s="8">
        <v>403</v>
      </c>
      <c r="B111" s="8" t="s">
        <v>232</v>
      </c>
      <c r="C111" s="6" t="s">
        <v>252</v>
      </c>
      <c r="E111" s="60">
        <f>E107+E110</f>
        <v>23180033.05532093</v>
      </c>
      <c r="F111" s="6" t="str">
        <f>"Line "&amp;A107&amp;""&amp;B107&amp;" + Line "&amp;A110&amp;""&amp;B110&amp;""</f>
        <v>Line 403c + Line 403f</v>
      </c>
      <c r="H111" s="8">
        <f>A111</f>
        <v>403</v>
      </c>
      <c r="I111" s="8" t="str">
        <f>B111</f>
        <v>g</v>
      </c>
      <c r="K111" s="38"/>
      <c r="L111" s="24"/>
    </row>
    <row r="112" spans="1:12" x14ac:dyDescent="0.25">
      <c r="A112" s="8">
        <f>A104+1</f>
        <v>404</v>
      </c>
      <c r="C112" s="30" t="s">
        <v>251</v>
      </c>
      <c r="E112" s="59">
        <f>SUM(E111)</f>
        <v>23180033.05532093</v>
      </c>
      <c r="F112" s="6" t="str">
        <f>"Line "&amp;A111&amp;""&amp;B111&amp;""</f>
        <v>Line 403g</v>
      </c>
      <c r="H112" s="8">
        <f>A112</f>
        <v>404</v>
      </c>
      <c r="K112" s="38"/>
      <c r="L112" s="24"/>
    </row>
    <row r="113" spans="1:12" x14ac:dyDescent="0.25">
      <c r="E113" s="51"/>
      <c r="H113" s="8"/>
      <c r="L113" s="24"/>
    </row>
    <row r="114" spans="1:12" x14ac:dyDescent="0.25">
      <c r="C114" s="44" t="s">
        <v>250</v>
      </c>
      <c r="D114" s="44"/>
      <c r="E114" s="51"/>
      <c r="L114" s="24"/>
    </row>
    <row r="115" spans="1:12" x14ac:dyDescent="0.25">
      <c r="A115" s="8">
        <f>A112+1</f>
        <v>405</v>
      </c>
      <c r="C115" s="6" t="s">
        <v>249</v>
      </c>
      <c r="E115" s="48"/>
      <c r="G115" s="6" t="s">
        <v>99</v>
      </c>
      <c r="H115" s="8">
        <f>A115</f>
        <v>405</v>
      </c>
      <c r="I115" s="8"/>
      <c r="K115" s="38"/>
      <c r="L115" s="24"/>
    </row>
    <row r="116" spans="1:12" x14ac:dyDescent="0.25">
      <c r="A116" s="8">
        <f>A115</f>
        <v>405</v>
      </c>
      <c r="B116" s="8" t="s">
        <v>159</v>
      </c>
      <c r="C116" s="6" t="s">
        <v>248</v>
      </c>
      <c r="E116" s="57">
        <v>-14695000</v>
      </c>
      <c r="F116" s="53" t="s">
        <v>247</v>
      </c>
      <c r="H116" s="8">
        <f>A116</f>
        <v>405</v>
      </c>
      <c r="I116" s="8" t="str">
        <f>B116</f>
        <v>a</v>
      </c>
      <c r="K116" s="38"/>
      <c r="L116" s="24"/>
    </row>
    <row r="117" spans="1:12" x14ac:dyDescent="0.25">
      <c r="A117" s="8">
        <f>A115</f>
        <v>405</v>
      </c>
      <c r="B117" s="8" t="s">
        <v>168</v>
      </c>
      <c r="C117" s="6" t="s">
        <v>246</v>
      </c>
      <c r="E117" s="57">
        <v>-14888320.4</v>
      </c>
      <c r="F117" s="53" t="s">
        <v>245</v>
      </c>
      <c r="H117" s="8">
        <f>A117</f>
        <v>405</v>
      </c>
      <c r="I117" s="8" t="str">
        <f>B117</f>
        <v>b</v>
      </c>
      <c r="K117" s="38"/>
      <c r="L117" s="24"/>
    </row>
    <row r="118" spans="1:12" x14ac:dyDescent="0.25">
      <c r="A118" s="8">
        <f>A116</f>
        <v>405</v>
      </c>
      <c r="B118" s="8" t="s">
        <v>244</v>
      </c>
      <c r="C118" s="6" t="s">
        <v>243</v>
      </c>
      <c r="E118" s="55">
        <f>'24-Allocators'!C38</f>
        <v>0.94801052848647183</v>
      </c>
      <c r="F118" s="6" t="s">
        <v>242</v>
      </c>
      <c r="H118" s="8">
        <f>A118</f>
        <v>405</v>
      </c>
      <c r="I118" s="8" t="str">
        <f>B118</f>
        <v>c</v>
      </c>
      <c r="K118" s="38"/>
      <c r="L118" s="24"/>
    </row>
    <row r="119" spans="1:12" x14ac:dyDescent="0.25">
      <c r="A119" s="8">
        <f>A115</f>
        <v>405</v>
      </c>
      <c r="B119" s="8" t="s">
        <v>241</v>
      </c>
      <c r="C119" s="6" t="s">
        <v>240</v>
      </c>
      <c r="E119" s="58">
        <f>E117*E118</f>
        <v>-14114284.49067992</v>
      </c>
      <c r="F119" s="53" t="s">
        <v>239</v>
      </c>
      <c r="H119" s="8">
        <f>A119</f>
        <v>405</v>
      </c>
      <c r="I119" s="8" t="str">
        <f>B119</f>
        <v>d</v>
      </c>
      <c r="K119" s="38"/>
      <c r="L119" s="24"/>
    </row>
    <row r="120" spans="1:12" x14ac:dyDescent="0.25">
      <c r="A120" s="8">
        <f>A115</f>
        <v>405</v>
      </c>
      <c r="B120" s="8" t="s">
        <v>238</v>
      </c>
      <c r="C120" s="6" t="s">
        <v>237</v>
      </c>
      <c r="E120" s="57">
        <v>-18837307.199999999</v>
      </c>
      <c r="F120" s="53" t="s">
        <v>236</v>
      </c>
      <c r="H120" s="8">
        <f>A120</f>
        <v>405</v>
      </c>
      <c r="I120" s="8" t="str">
        <f>B120</f>
        <v>e</v>
      </c>
      <c r="K120" s="38"/>
      <c r="L120" s="24"/>
    </row>
    <row r="121" spans="1:12" x14ac:dyDescent="0.25">
      <c r="A121" s="8">
        <f>A115</f>
        <v>405</v>
      </c>
      <c r="B121" s="8" t="s">
        <v>235</v>
      </c>
      <c r="C121" s="6" t="s">
        <v>234</v>
      </c>
      <c r="E121" s="55">
        <f>'24-Allocators'!C30</f>
        <v>0.1564767525133699</v>
      </c>
      <c r="F121" s="6" t="s">
        <v>233</v>
      </c>
      <c r="H121" s="8">
        <f>A121</f>
        <v>405</v>
      </c>
      <c r="I121" s="8" t="str">
        <f>B121</f>
        <v>f</v>
      </c>
      <c r="K121" s="38"/>
      <c r="L121" s="24"/>
    </row>
    <row r="122" spans="1:12" x14ac:dyDescent="0.25">
      <c r="A122" s="8">
        <f>A115</f>
        <v>405</v>
      </c>
      <c r="B122" s="8" t="s">
        <v>232</v>
      </c>
      <c r="C122" s="6" t="s">
        <v>231</v>
      </c>
      <c r="E122" s="58">
        <f>+E120*E121</f>
        <v>-2947600.6567527209</v>
      </c>
      <c r="F122" s="53" t="s">
        <v>230</v>
      </c>
      <c r="H122" s="8">
        <f>A122</f>
        <v>405</v>
      </c>
      <c r="I122" s="8" t="str">
        <f>B122</f>
        <v>g</v>
      </c>
      <c r="K122" s="38"/>
      <c r="L122" s="24"/>
    </row>
    <row r="123" spans="1:12" x14ac:dyDescent="0.25">
      <c r="A123" s="8">
        <f>A115</f>
        <v>405</v>
      </c>
      <c r="B123" s="8" t="s">
        <v>229</v>
      </c>
      <c r="C123" s="6" t="s">
        <v>228</v>
      </c>
      <c r="E123" s="57">
        <v>3776846.2320144977</v>
      </c>
      <c r="F123" s="53" t="s">
        <v>227</v>
      </c>
      <c r="H123" s="8">
        <f>A123</f>
        <v>405</v>
      </c>
      <c r="I123" s="8" t="str">
        <f>B123</f>
        <v>h</v>
      </c>
      <c r="K123" s="38"/>
      <c r="L123" s="24"/>
    </row>
    <row r="124" spans="1:12" x14ac:dyDescent="0.25">
      <c r="A124" s="8">
        <f>A115</f>
        <v>405</v>
      </c>
      <c r="B124" s="8" t="s">
        <v>226</v>
      </c>
      <c r="C124" s="6" t="s">
        <v>225</v>
      </c>
      <c r="E124" s="54">
        <f>E116+E119+E122+E123</f>
        <v>-27980038.915418141</v>
      </c>
      <c r="F124" s="53" t="s">
        <v>224</v>
      </c>
      <c r="H124" s="8">
        <f>A124</f>
        <v>405</v>
      </c>
      <c r="I124" s="8" t="str">
        <f>B124</f>
        <v>i</v>
      </c>
      <c r="K124" s="38"/>
      <c r="L124" s="24"/>
    </row>
    <row r="125" spans="1:12" x14ac:dyDescent="0.25">
      <c r="E125" s="32"/>
      <c r="F125" s="53"/>
      <c r="H125" s="8"/>
      <c r="L125" s="24"/>
    </row>
    <row r="126" spans="1:12" x14ac:dyDescent="0.25">
      <c r="A126" s="8">
        <f>A115+1</f>
        <v>406</v>
      </c>
      <c r="C126" s="6" t="s">
        <v>223</v>
      </c>
      <c r="E126" s="57">
        <v>-20279207</v>
      </c>
      <c r="F126" s="53" t="s">
        <v>222</v>
      </c>
      <c r="H126" s="8">
        <f>A126</f>
        <v>406</v>
      </c>
      <c r="I126" s="8"/>
      <c r="K126" s="38"/>
      <c r="L126" s="24"/>
    </row>
    <row r="127" spans="1:12" x14ac:dyDescent="0.25">
      <c r="A127" s="8">
        <f>A126</f>
        <v>406</v>
      </c>
      <c r="B127" s="8" t="s">
        <v>159</v>
      </c>
      <c r="C127" s="6" t="s">
        <v>221</v>
      </c>
      <c r="E127" s="55">
        <f>'24-Allocators'!C25</f>
        <v>9.874046921587705E-2</v>
      </c>
      <c r="F127" s="6" t="s">
        <v>220</v>
      </c>
      <c r="H127" s="8">
        <f>A127</f>
        <v>406</v>
      </c>
      <c r="I127" s="8" t="str">
        <f>B127</f>
        <v>a</v>
      </c>
      <c r="K127" s="38"/>
      <c r="L127" s="24"/>
    </row>
    <row r="128" spans="1:12" x14ac:dyDescent="0.25">
      <c r="A128" s="8">
        <f>A126</f>
        <v>406</v>
      </c>
      <c r="B128" s="8" t="s">
        <v>168</v>
      </c>
      <c r="C128" s="6" t="s">
        <v>219</v>
      </c>
      <c r="E128" s="56">
        <f>+E126*E127</f>
        <v>-2002378.4145058985</v>
      </c>
      <c r="F128" s="53" t="s">
        <v>218</v>
      </c>
      <c r="H128" s="8">
        <f>A128</f>
        <v>406</v>
      </c>
      <c r="I128" s="8" t="str">
        <f>B128</f>
        <v>b</v>
      </c>
      <c r="K128" s="38"/>
      <c r="L128" s="24"/>
    </row>
    <row r="129" spans="1:12" x14ac:dyDescent="0.25">
      <c r="E129" s="55"/>
      <c r="F129" s="53"/>
      <c r="H129" s="8"/>
      <c r="L129" s="24"/>
    </row>
    <row r="130" spans="1:12" x14ac:dyDescent="0.25">
      <c r="A130" s="8">
        <f>A126+1</f>
        <v>407</v>
      </c>
      <c r="C130" s="30" t="s">
        <v>217</v>
      </c>
      <c r="D130" s="30"/>
      <c r="E130" s="54">
        <f>E124+E128</f>
        <v>-29982417.32992404</v>
      </c>
      <c r="F130" s="53" t="s">
        <v>216</v>
      </c>
      <c r="H130" s="8">
        <f>A130</f>
        <v>407</v>
      </c>
      <c r="L130" s="24"/>
    </row>
    <row r="131" spans="1:12" x14ac:dyDescent="0.25">
      <c r="E131" s="52"/>
      <c r="L131" s="24"/>
    </row>
    <row r="132" spans="1:12" x14ac:dyDescent="0.25">
      <c r="A132" s="8">
        <f>A130+1</f>
        <v>408</v>
      </c>
      <c r="C132" s="30" t="s">
        <v>215</v>
      </c>
      <c r="E132" s="29">
        <f ca="1">(((E137*E138)+E141-E142)*(E139/(1-E139)))+E140/(1-E139)</f>
        <v>225221663.81451568</v>
      </c>
      <c r="F132" s="6" t="str">
        <f>"Line "&amp;A134&amp;""</f>
        <v>Line 409</v>
      </c>
      <c r="H132" s="8">
        <f>A132</f>
        <v>408</v>
      </c>
      <c r="L132" s="24"/>
    </row>
    <row r="133" spans="1:12" x14ac:dyDescent="0.25">
      <c r="L133" s="24"/>
    </row>
    <row r="134" spans="1:12" x14ac:dyDescent="0.25">
      <c r="A134" s="8">
        <f>A132+1</f>
        <v>409</v>
      </c>
      <c r="C134" s="6" t="s">
        <v>214</v>
      </c>
      <c r="H134" s="8">
        <f>A134</f>
        <v>409</v>
      </c>
      <c r="L134" s="24"/>
    </row>
    <row r="135" spans="1:12" x14ac:dyDescent="0.25">
      <c r="L135" s="24"/>
    </row>
    <row r="136" spans="1:12" x14ac:dyDescent="0.25">
      <c r="C136" s="6" t="s">
        <v>213</v>
      </c>
      <c r="L136" s="24"/>
    </row>
    <row r="137" spans="1:12" x14ac:dyDescent="0.25">
      <c r="A137" s="8">
        <f>A134+1</f>
        <v>410</v>
      </c>
      <c r="C137" s="47" t="s">
        <v>212</v>
      </c>
      <c r="D137" s="47"/>
      <c r="E137" s="32">
        <f ca="1">+E32</f>
        <v>12744982585.338463</v>
      </c>
      <c r="F137" s="6" t="str">
        <f>"Line "&amp;A32&amp;""</f>
        <v>Line 116</v>
      </c>
      <c r="G137" s="51"/>
      <c r="H137" s="8">
        <f>A137</f>
        <v>410</v>
      </c>
      <c r="L137" s="24"/>
    </row>
    <row r="138" spans="1:12" x14ac:dyDescent="0.25">
      <c r="A138" s="8">
        <f>A137+1</f>
        <v>411</v>
      </c>
      <c r="C138" s="47" t="s">
        <v>211</v>
      </c>
      <c r="D138" s="47"/>
      <c r="E138" s="50">
        <f>+E70</f>
        <v>5.2065634752124806E-2</v>
      </c>
      <c r="F138" s="6" t="str">
        <f>"Line "&amp;A70&amp;""</f>
        <v>Line 220</v>
      </c>
      <c r="H138" s="8">
        <f>A138</f>
        <v>411</v>
      </c>
      <c r="L138" s="24"/>
    </row>
    <row r="139" spans="1:12" x14ac:dyDescent="0.25">
      <c r="A139" s="8">
        <f>A138+1</f>
        <v>412</v>
      </c>
      <c r="C139" s="47" t="s">
        <v>210</v>
      </c>
      <c r="D139" s="47"/>
      <c r="E139" s="49">
        <f>+E101</f>
        <v>0.27983599999999997</v>
      </c>
      <c r="F139" s="6" t="str">
        <f>"Line "&amp;A101&amp;""</f>
        <v>Line 402</v>
      </c>
      <c r="H139" s="8">
        <f>A139</f>
        <v>412</v>
      </c>
      <c r="L139" s="24"/>
    </row>
    <row r="140" spans="1:12" x14ac:dyDescent="0.25">
      <c r="A140" s="8">
        <f>A139+1</f>
        <v>413</v>
      </c>
      <c r="C140" s="47" t="s">
        <v>209</v>
      </c>
      <c r="D140" s="47"/>
      <c r="E140" s="48">
        <f>+E130</f>
        <v>-29982417.32992404</v>
      </c>
      <c r="F140" s="6" t="str">
        <f>"Line "&amp;A130&amp;""</f>
        <v>Line 407</v>
      </c>
      <c r="H140" s="8">
        <f>A140</f>
        <v>413</v>
      </c>
      <c r="L140" s="24"/>
    </row>
    <row r="141" spans="1:12" x14ac:dyDescent="0.25">
      <c r="A141" s="8">
        <f>A140+1</f>
        <v>414</v>
      </c>
      <c r="C141" s="47" t="s">
        <v>208</v>
      </c>
      <c r="D141" s="47"/>
      <c r="E141" s="32">
        <f>+E112</f>
        <v>23180033.05532093</v>
      </c>
      <c r="F141" s="6" t="str">
        <f>"Line "&amp;A112&amp;""</f>
        <v>Line 404</v>
      </c>
      <c r="H141" s="8">
        <f>A141</f>
        <v>414</v>
      </c>
      <c r="L141" s="24"/>
    </row>
    <row r="142" spans="1:12" x14ac:dyDescent="0.25">
      <c r="A142" s="8">
        <f>A141+1</f>
        <v>415</v>
      </c>
      <c r="C142" s="47" t="s">
        <v>207</v>
      </c>
      <c r="D142" s="47"/>
      <c r="E142" s="32">
        <f ca="1">E74</f>
        <v>0</v>
      </c>
      <c r="F142" s="6" t="str">
        <f>"Line "&amp;A74&amp;""</f>
        <v>Line 223</v>
      </c>
      <c r="H142" s="8">
        <f>A142</f>
        <v>415</v>
      </c>
      <c r="L142" s="24"/>
    </row>
    <row r="143" spans="1:12" x14ac:dyDescent="0.25">
      <c r="H143" s="8"/>
      <c r="L143" s="24"/>
    </row>
    <row r="144" spans="1:12" x14ac:dyDescent="0.25">
      <c r="C144" s="36" t="s">
        <v>206</v>
      </c>
      <c r="D144" s="35"/>
      <c r="E144" s="35"/>
      <c r="F144" s="35"/>
      <c r="G144" s="35"/>
      <c r="L144" s="24"/>
    </row>
    <row r="145" spans="1:12" x14ac:dyDescent="0.25">
      <c r="A145" s="33" t="s">
        <v>106</v>
      </c>
      <c r="B145" s="33"/>
      <c r="C145" s="33" t="s">
        <v>79</v>
      </c>
      <c r="E145" s="33" t="s">
        <v>155</v>
      </c>
      <c r="F145" s="33" t="s">
        <v>154</v>
      </c>
      <c r="G145" s="33" t="s">
        <v>153</v>
      </c>
      <c r="H145" s="33" t="str">
        <f>A145</f>
        <v>Line</v>
      </c>
      <c r="L145" s="24"/>
    </row>
    <row r="146" spans="1:12" x14ac:dyDescent="0.25">
      <c r="C146" s="44" t="s">
        <v>205</v>
      </c>
      <c r="D146" s="44"/>
      <c r="L146" s="24"/>
    </row>
    <row r="147" spans="1:12" x14ac:dyDescent="0.25">
      <c r="A147" s="8">
        <v>500</v>
      </c>
      <c r="C147" s="6" t="s">
        <v>204</v>
      </c>
      <c r="E147" s="32">
        <f>'18-OandM'!P11</f>
        <v>718794370.43350494</v>
      </c>
      <c r="F147" s="6" t="s">
        <v>203</v>
      </c>
      <c r="H147" s="8">
        <f>A147</f>
        <v>500</v>
      </c>
      <c r="L147" s="24"/>
    </row>
    <row r="148" spans="1:12" x14ac:dyDescent="0.25">
      <c r="A148" s="8">
        <f>A147+1</f>
        <v>501</v>
      </c>
      <c r="C148" s="6" t="s">
        <v>202</v>
      </c>
      <c r="E148" s="32">
        <f>'19-AandG'!F49</f>
        <v>104282151.45130536</v>
      </c>
      <c r="F148" s="6" t="s">
        <v>201</v>
      </c>
      <c r="H148" s="8">
        <f>A148</f>
        <v>501</v>
      </c>
      <c r="K148" s="38"/>
      <c r="L148" s="24"/>
    </row>
    <row r="149" spans="1:12" x14ac:dyDescent="0.25">
      <c r="A149" s="8">
        <f>A148+1</f>
        <v>502</v>
      </c>
      <c r="C149" s="6" t="s">
        <v>200</v>
      </c>
      <c r="E149" s="32">
        <f>'15-NUC'!C17</f>
        <v>5015398.8748418232</v>
      </c>
      <c r="F149" s="6" t="s">
        <v>199</v>
      </c>
      <c r="H149" s="8">
        <f>A149</f>
        <v>502</v>
      </c>
      <c r="L149" s="24"/>
    </row>
    <row r="150" spans="1:12" x14ac:dyDescent="0.25">
      <c r="A150" s="8">
        <f>A149+1</f>
        <v>503</v>
      </c>
      <c r="C150" s="6" t="s">
        <v>198</v>
      </c>
      <c r="E150" s="32">
        <f>'11-Depreciation'!AB16+'11-Depreciation'!E28</f>
        <v>669281842.86362839</v>
      </c>
      <c r="F150" s="6" t="s">
        <v>197</v>
      </c>
      <c r="H150" s="8">
        <f>A150</f>
        <v>503</v>
      </c>
      <c r="K150" s="38"/>
      <c r="L150" s="24"/>
    </row>
    <row r="151" spans="1:12" x14ac:dyDescent="0.25">
      <c r="A151" s="8">
        <f>A150+1</f>
        <v>504</v>
      </c>
      <c r="C151" s="6" t="s">
        <v>196</v>
      </c>
      <c r="E151" s="32">
        <f>'11-Depreciation'!F99</f>
        <v>4016853.7951574326</v>
      </c>
      <c r="F151" s="6" t="s">
        <v>195</v>
      </c>
      <c r="H151" s="8">
        <f>A151</f>
        <v>504</v>
      </c>
      <c r="K151" s="38"/>
      <c r="L151" s="24"/>
    </row>
    <row r="152" spans="1:12" x14ac:dyDescent="0.25">
      <c r="A152" s="8">
        <f>A151+1</f>
        <v>505</v>
      </c>
      <c r="C152" s="6" t="s">
        <v>194</v>
      </c>
      <c r="E152" s="32">
        <f ca="1">'8-AbandonedProject'!I15</f>
        <v>4417030</v>
      </c>
      <c r="F152" s="6" t="s">
        <v>193</v>
      </c>
      <c r="H152" s="8">
        <f>A152</f>
        <v>505</v>
      </c>
      <c r="K152" s="38"/>
      <c r="L152" s="24"/>
    </row>
    <row r="153" spans="1:12" x14ac:dyDescent="0.25">
      <c r="A153" s="8">
        <f>A152+1</f>
        <v>506</v>
      </c>
      <c r="C153" s="6" t="s">
        <v>192</v>
      </c>
      <c r="E153" s="32">
        <f ca="1">E75</f>
        <v>961919082.05583632</v>
      </c>
      <c r="F153" s="6" t="str">
        <f>"Line "&amp;A75&amp;""</f>
        <v>Line 224</v>
      </c>
      <c r="H153" s="8">
        <f>A153</f>
        <v>506</v>
      </c>
      <c r="L153" s="24"/>
    </row>
    <row r="154" spans="1:12" x14ac:dyDescent="0.25">
      <c r="A154" s="8">
        <f>A153+1</f>
        <v>507</v>
      </c>
      <c r="C154" s="6" t="s">
        <v>191</v>
      </c>
      <c r="E154" s="32">
        <f>E95</f>
        <v>171582952.26747984</v>
      </c>
      <c r="F154" s="6" t="str">
        <f>"Line "&amp;A95&amp;""</f>
        <v>Line 311</v>
      </c>
      <c r="H154" s="8">
        <f>A154</f>
        <v>507</v>
      </c>
      <c r="L154" s="24"/>
    </row>
    <row r="155" spans="1:12" x14ac:dyDescent="0.25">
      <c r="A155" s="8">
        <f>A154+1</f>
        <v>508</v>
      </c>
      <c r="C155" s="6" t="s">
        <v>190</v>
      </c>
      <c r="E155" s="32">
        <f ca="1">E132</f>
        <v>225221663.81451568</v>
      </c>
      <c r="F155" s="6" t="str">
        <f>"Line "&amp;A132&amp;""</f>
        <v>Line 408</v>
      </c>
      <c r="H155" s="8">
        <f>A155</f>
        <v>508</v>
      </c>
      <c r="L155" s="24"/>
    </row>
    <row r="156" spans="1:12" x14ac:dyDescent="0.25">
      <c r="A156" s="8">
        <f>A155+1</f>
        <v>509</v>
      </c>
      <c r="C156" s="6" t="s">
        <v>30</v>
      </c>
      <c r="E156" s="32">
        <f>-'20-RevenueCredits'!H12-'20-RevenueCredits'!H91</f>
        <v>-26454115.438494232</v>
      </c>
      <c r="F156" s="6" t="s">
        <v>189</v>
      </c>
      <c r="G156" s="6" t="s">
        <v>186</v>
      </c>
      <c r="H156" s="8">
        <f>A156</f>
        <v>509</v>
      </c>
      <c r="K156" s="38"/>
      <c r="L156" s="24"/>
    </row>
    <row r="157" spans="1:12" x14ac:dyDescent="0.25">
      <c r="A157" s="8">
        <f>A156+1</f>
        <v>510</v>
      </c>
      <c r="C157" s="6" t="s">
        <v>188</v>
      </c>
      <c r="E157" s="32">
        <f>-'21-NPandS'!C40</f>
        <v>-17970379.575039465</v>
      </c>
      <c r="F157" s="6" t="s">
        <v>187</v>
      </c>
      <c r="G157" s="6" t="s">
        <v>186</v>
      </c>
      <c r="H157" s="8">
        <f>A157</f>
        <v>510</v>
      </c>
      <c r="L157" s="24"/>
    </row>
    <row r="158" spans="1:12" x14ac:dyDescent="0.25">
      <c r="A158" s="8">
        <f>A157+1</f>
        <v>511</v>
      </c>
      <c r="C158" s="6" t="s">
        <v>185</v>
      </c>
      <c r="E158" s="31">
        <f>'17-RegAssets-1'!E28</f>
        <v>0</v>
      </c>
      <c r="F158" s="6" t="s">
        <v>184</v>
      </c>
      <c r="G158" s="6" t="s">
        <v>183</v>
      </c>
      <c r="H158" s="8">
        <f>A158</f>
        <v>511</v>
      </c>
      <c r="L158" s="24"/>
    </row>
    <row r="159" spans="1:12" x14ac:dyDescent="0.25">
      <c r="A159" s="8">
        <f>A158+1</f>
        <v>512</v>
      </c>
      <c r="C159" s="30" t="s">
        <v>182</v>
      </c>
      <c r="D159" s="30"/>
      <c r="E159" s="29">
        <f ca="1">SUM(E147:E158)</f>
        <v>2820106850.5427361</v>
      </c>
      <c r="F159" s="6" t="str">
        <f>"Sum of Lines "&amp;A147&amp;" to Line "&amp;A158&amp;""</f>
        <v>Sum of Lines 500 to Line 511</v>
      </c>
      <c r="H159" s="8">
        <f>A159</f>
        <v>512</v>
      </c>
      <c r="K159" s="46"/>
      <c r="L159" s="24"/>
    </row>
    <row r="160" spans="1:12" x14ac:dyDescent="0.25">
      <c r="H160" s="8"/>
      <c r="K160" s="45"/>
      <c r="L160" s="24"/>
    </row>
    <row r="161" spans="1:12" x14ac:dyDescent="0.25">
      <c r="C161" s="44" t="s">
        <v>181</v>
      </c>
      <c r="D161" s="44"/>
      <c r="H161" s="8"/>
      <c r="K161" s="42"/>
      <c r="L161" s="24"/>
    </row>
    <row r="162" spans="1:12" x14ac:dyDescent="0.25">
      <c r="A162" s="8">
        <f>+A159+1</f>
        <v>513</v>
      </c>
      <c r="C162" s="6" t="s">
        <v>180</v>
      </c>
      <c r="E162" s="43">
        <f>'25-RFandUFactors'!E22</f>
        <v>7.9019999999999993E-3</v>
      </c>
      <c r="F162" s="6" t="s">
        <v>179</v>
      </c>
      <c r="H162" s="8">
        <f>A162</f>
        <v>513</v>
      </c>
      <c r="K162" s="42"/>
      <c r="L162" s="24"/>
    </row>
    <row r="163" spans="1:12" x14ac:dyDescent="0.25">
      <c r="A163" s="8">
        <f>A162+1</f>
        <v>514</v>
      </c>
      <c r="C163" s="6" t="s">
        <v>178</v>
      </c>
      <c r="D163" s="30"/>
      <c r="E163" s="41">
        <f>'25-RFandUFactors'!E23</f>
        <v>4.8226191383792108E-4</v>
      </c>
      <c r="F163" s="6" t="s">
        <v>177</v>
      </c>
      <c r="H163" s="8">
        <f>A163</f>
        <v>514</v>
      </c>
      <c r="L163" s="24"/>
    </row>
    <row r="164" spans="1:12" x14ac:dyDescent="0.25">
      <c r="A164" s="8">
        <f>A163+1</f>
        <v>515</v>
      </c>
      <c r="C164" s="30" t="s">
        <v>176</v>
      </c>
      <c r="D164" s="30"/>
      <c r="E164" s="29">
        <f ca="1">(E162+E163)*E159</f>
        <v>23644514.45995887</v>
      </c>
      <c r="F164" s="6" t="str">
        <f>"Line "&amp;A159&amp;" * (Line "&amp;A162&amp;" + Line "&amp;A163&amp;")"</f>
        <v>Line 512 * (Line 513 + Line 514)</v>
      </c>
      <c r="H164" s="8">
        <f>A164</f>
        <v>515</v>
      </c>
      <c r="L164" s="24"/>
    </row>
    <row r="165" spans="1:12" x14ac:dyDescent="0.25">
      <c r="H165" s="8"/>
      <c r="L165" s="24"/>
    </row>
    <row r="166" spans="1:12" x14ac:dyDescent="0.25">
      <c r="A166" s="8">
        <f>A164+1</f>
        <v>516</v>
      </c>
      <c r="C166" s="30" t="s">
        <v>161</v>
      </c>
      <c r="D166" s="30"/>
      <c r="E166" s="29">
        <f ca="1">E164+E159</f>
        <v>2843751365.0026951</v>
      </c>
      <c r="F166" s="6" t="str">
        <f>"Line "&amp;A159&amp;" + Line "&amp;A164&amp;""</f>
        <v>Line 512 + Line 515</v>
      </c>
      <c r="H166" s="8">
        <f>A166</f>
        <v>516</v>
      </c>
      <c r="L166" s="24"/>
    </row>
    <row r="167" spans="1:12" x14ac:dyDescent="0.25">
      <c r="C167" s="30"/>
      <c r="D167" s="30"/>
      <c r="E167" s="29"/>
      <c r="H167" s="8"/>
      <c r="L167" s="24"/>
    </row>
    <row r="168" spans="1:12" x14ac:dyDescent="0.25">
      <c r="C168" s="36" t="s">
        <v>175</v>
      </c>
      <c r="D168" s="35"/>
      <c r="E168" s="35"/>
      <c r="F168" s="35"/>
      <c r="G168" s="35"/>
      <c r="H168" s="8"/>
      <c r="K168" s="38"/>
      <c r="L168" s="24"/>
    </row>
    <row r="169" spans="1:12" x14ac:dyDescent="0.25">
      <c r="A169" s="33" t="s">
        <v>106</v>
      </c>
      <c r="B169" s="33"/>
      <c r="C169" s="33" t="s">
        <v>79</v>
      </c>
      <c r="E169" s="33" t="s">
        <v>155</v>
      </c>
      <c r="F169" s="33" t="s">
        <v>154</v>
      </c>
      <c r="G169" s="33" t="s">
        <v>153</v>
      </c>
      <c r="H169" s="33" t="str">
        <f>A169</f>
        <v>Line</v>
      </c>
      <c r="L169" s="24"/>
    </row>
    <row r="170" spans="1:12" x14ac:dyDescent="0.25">
      <c r="A170" s="8">
        <f>A166+1</f>
        <v>517</v>
      </c>
      <c r="C170" s="6" t="s">
        <v>174</v>
      </c>
      <c r="E170" s="29">
        <f>'30-WFSelfInsurance'!K11</f>
        <v>0</v>
      </c>
      <c r="F170" s="6" t="s">
        <v>173</v>
      </c>
      <c r="H170" s="8">
        <f>A170</f>
        <v>517</v>
      </c>
      <c r="L170" s="24"/>
    </row>
    <row r="171" spans="1:12" x14ac:dyDescent="0.25">
      <c r="A171" s="8">
        <f>A170+1</f>
        <v>518</v>
      </c>
      <c r="B171" s="8" t="s">
        <v>159</v>
      </c>
      <c r="C171" s="6" t="s">
        <v>172</v>
      </c>
      <c r="E171" s="40">
        <f>'30-WFSelfInsurance'!K26</f>
        <v>0</v>
      </c>
      <c r="F171" s="6" t="s">
        <v>171</v>
      </c>
      <c r="H171" s="8">
        <f>A171</f>
        <v>518</v>
      </c>
      <c r="I171" s="30" t="s">
        <v>159</v>
      </c>
      <c r="L171" s="24"/>
    </row>
    <row r="172" spans="1:12" x14ac:dyDescent="0.25">
      <c r="A172" s="8">
        <v>518</v>
      </c>
      <c r="B172" s="8" t="s">
        <v>168</v>
      </c>
      <c r="C172" s="6" t="s">
        <v>170</v>
      </c>
      <c r="E172" s="31">
        <f>'30-WFSelfInsurance'!K33</f>
        <v>-40263613.629999995</v>
      </c>
      <c r="F172" s="6" t="s">
        <v>169</v>
      </c>
      <c r="H172" s="8">
        <f>A172</f>
        <v>518</v>
      </c>
      <c r="I172" s="30" t="s">
        <v>168</v>
      </c>
      <c r="L172" s="24"/>
    </row>
    <row r="173" spans="1:12" x14ac:dyDescent="0.25">
      <c r="A173" s="8">
        <f>A171+1</f>
        <v>519</v>
      </c>
      <c r="C173" s="39" t="s">
        <v>167</v>
      </c>
      <c r="D173" s="30"/>
      <c r="E173" s="29">
        <f>SUM(E170:E172)</f>
        <v>-40263613.629999995</v>
      </c>
      <c r="F173" s="6" t="s">
        <v>166</v>
      </c>
      <c r="H173" s="8">
        <f>A173</f>
        <v>519</v>
      </c>
      <c r="L173" s="24"/>
    </row>
    <row r="174" spans="1:12" x14ac:dyDescent="0.25">
      <c r="C174" s="39"/>
      <c r="D174" s="30"/>
      <c r="E174" s="29"/>
      <c r="H174" s="8"/>
      <c r="L174" s="24"/>
    </row>
    <row r="175" spans="1:12" x14ac:dyDescent="0.25">
      <c r="A175" s="8">
        <f>A173+1</f>
        <v>520</v>
      </c>
      <c r="C175" s="30" t="s">
        <v>165</v>
      </c>
      <c r="D175" s="30"/>
      <c r="E175" s="31">
        <f>E173*(E162+E163)</f>
        <v>-337580.68227149436</v>
      </c>
      <c r="F175" s="6" t="str">
        <f>"Line "&amp;A173&amp;" * (Line "&amp;A162&amp;" + Line "&amp;A163&amp;")"</f>
        <v>Line 519 * (Line 513 + Line 514)</v>
      </c>
      <c r="H175" s="8">
        <f>A175</f>
        <v>520</v>
      </c>
      <c r="L175" s="24"/>
    </row>
    <row r="176" spans="1:12" x14ac:dyDescent="0.25">
      <c r="A176" s="8">
        <f>A175+1</f>
        <v>521</v>
      </c>
      <c r="C176" s="30" t="s">
        <v>164</v>
      </c>
      <c r="D176" s="30"/>
      <c r="E176" s="29">
        <f>E175+E173</f>
        <v>-40601194.312271491</v>
      </c>
      <c r="F176" s="6" t="s">
        <v>163</v>
      </c>
      <c r="H176" s="8">
        <f>A176</f>
        <v>521</v>
      </c>
      <c r="L176" s="24"/>
    </row>
    <row r="177" spans="1:12" x14ac:dyDescent="0.25">
      <c r="H177" s="8"/>
      <c r="L177" s="24"/>
    </row>
    <row r="178" spans="1:12" x14ac:dyDescent="0.25">
      <c r="A178" s="6"/>
      <c r="B178" s="6"/>
      <c r="C178" s="36" t="s">
        <v>162</v>
      </c>
      <c r="D178" s="35"/>
      <c r="E178" s="35"/>
      <c r="F178" s="35"/>
      <c r="G178" s="35"/>
      <c r="L178" s="24"/>
    </row>
    <row r="179" spans="1:12" x14ac:dyDescent="0.25">
      <c r="A179" s="33" t="s">
        <v>106</v>
      </c>
      <c r="B179" s="33"/>
      <c r="C179" s="33" t="s">
        <v>79</v>
      </c>
      <c r="E179" s="33" t="s">
        <v>155</v>
      </c>
      <c r="F179" s="33" t="s">
        <v>154</v>
      </c>
      <c r="G179" s="33" t="s">
        <v>153</v>
      </c>
      <c r="H179" s="33" t="str">
        <f>A179</f>
        <v>Line</v>
      </c>
      <c r="L179" s="24"/>
    </row>
    <row r="180" spans="1:12" x14ac:dyDescent="0.25">
      <c r="A180" s="8">
        <v>600</v>
      </c>
      <c r="C180" s="6" t="s">
        <v>161</v>
      </c>
      <c r="E180" s="32">
        <f ca="1">+E166</f>
        <v>2843751365.0026951</v>
      </c>
      <c r="F180" s="6" t="str">
        <f>"Line "&amp;A166&amp;""</f>
        <v>Line 516</v>
      </c>
      <c r="H180" s="8">
        <f>A180</f>
        <v>600</v>
      </c>
      <c r="L180" s="24"/>
    </row>
    <row r="181" spans="1:12" x14ac:dyDescent="0.25">
      <c r="A181" s="8">
        <v>600</v>
      </c>
      <c r="B181" s="8" t="s">
        <v>159</v>
      </c>
      <c r="C181" s="6" t="s">
        <v>160</v>
      </c>
      <c r="E181" s="32">
        <f>E176</f>
        <v>-40601194.312271491</v>
      </c>
      <c r="F181" s="6" t="str">
        <f>"Line "&amp;A176&amp;""</f>
        <v>Line 521</v>
      </c>
      <c r="H181" s="8">
        <f>A181</f>
        <v>600</v>
      </c>
      <c r="I181" s="8" t="s">
        <v>159</v>
      </c>
      <c r="K181" s="38"/>
      <c r="L181" s="24"/>
    </row>
    <row r="182" spans="1:12" x14ac:dyDescent="0.25">
      <c r="A182" s="8">
        <f>A180+1</f>
        <v>601</v>
      </c>
      <c r="C182" s="6" t="s">
        <v>158</v>
      </c>
      <c r="E182" s="32">
        <f ca="1">'2-ITRR'!D36</f>
        <v>345935261.90549731</v>
      </c>
      <c r="F182" s="6" t="str">
        <f>CONCATENATE("2-ITRR, L. ",'2-ITRR'!A36)</f>
        <v>2-ITRR, L. 209</v>
      </c>
      <c r="H182" s="8">
        <f>A182</f>
        <v>601</v>
      </c>
      <c r="L182" s="24"/>
    </row>
    <row r="183" spans="1:12" x14ac:dyDescent="0.25">
      <c r="A183" s="8">
        <f>A182+1</f>
        <v>602</v>
      </c>
      <c r="C183" s="6" t="s">
        <v>71</v>
      </c>
      <c r="E183" s="31">
        <f>'4-ATA'!B103</f>
        <v>-210934302.12815261</v>
      </c>
      <c r="F183" s="37" t="str">
        <f>CONCATENATE("4-ATA, L. ",'4-ATA'!A103)</f>
        <v>4-ATA, L. 404</v>
      </c>
      <c r="G183" s="6" t="s">
        <v>157</v>
      </c>
      <c r="H183" s="8">
        <f>A183</f>
        <v>602</v>
      </c>
      <c r="L183" s="24"/>
    </row>
    <row r="184" spans="1:12" x14ac:dyDescent="0.25">
      <c r="A184" s="8">
        <f>A183+1</f>
        <v>603</v>
      </c>
      <c r="C184" s="30" t="s">
        <v>147</v>
      </c>
      <c r="E184" s="29">
        <f ca="1">SUM(E180:E183)</f>
        <v>2938151130.4677677</v>
      </c>
      <c r="F184" s="6" t="str">
        <f>"Sum of Lines "&amp;A180&amp;" to Line "&amp;A183&amp;""</f>
        <v>Sum of Lines 600 to Line 602</v>
      </c>
      <c r="H184" s="8">
        <f>A184</f>
        <v>603</v>
      </c>
      <c r="L184" s="24"/>
    </row>
    <row r="185" spans="1:12" x14ac:dyDescent="0.25">
      <c r="H185" s="8"/>
      <c r="L185" s="24"/>
    </row>
    <row r="186" spans="1:12" x14ac:dyDescent="0.25">
      <c r="A186" s="6"/>
      <c r="B186" s="6"/>
      <c r="C186" s="36" t="s">
        <v>156</v>
      </c>
      <c r="D186" s="35"/>
      <c r="E186" s="35"/>
      <c r="F186" s="35"/>
      <c r="G186" s="35"/>
      <c r="L186" s="24"/>
    </row>
    <row r="187" spans="1:12" x14ac:dyDescent="0.25">
      <c r="A187" s="33" t="s">
        <v>106</v>
      </c>
      <c r="B187" s="33"/>
      <c r="C187" s="33" t="s">
        <v>79</v>
      </c>
      <c r="E187" s="33" t="s">
        <v>155</v>
      </c>
      <c r="F187" s="33" t="s">
        <v>154</v>
      </c>
      <c r="G187" s="33" t="s">
        <v>153</v>
      </c>
      <c r="H187" s="33" t="str">
        <f>A187</f>
        <v>Line</v>
      </c>
      <c r="L187" s="24"/>
    </row>
    <row r="188" spans="1:12" x14ac:dyDescent="0.25">
      <c r="A188" s="8">
        <v>700</v>
      </c>
      <c r="C188" s="6" t="s">
        <v>152</v>
      </c>
      <c r="E188" s="34">
        <f>'25-RFandUFactors'!E24</f>
        <v>7.0843748718778061E-3</v>
      </c>
      <c r="F188" s="6" t="s">
        <v>151</v>
      </c>
      <c r="G188" s="33"/>
      <c r="H188" s="8">
        <f>A188</f>
        <v>700</v>
      </c>
      <c r="L188" s="24"/>
    </row>
    <row r="189" spans="1:12" x14ac:dyDescent="0.25">
      <c r="E189" s="34"/>
      <c r="F189" s="33"/>
      <c r="G189" s="33"/>
      <c r="H189" s="8"/>
      <c r="L189" s="24"/>
    </row>
    <row r="190" spans="1:12" x14ac:dyDescent="0.25">
      <c r="A190" s="8">
        <f>A188+1</f>
        <v>701</v>
      </c>
      <c r="C190" s="6" t="s">
        <v>150</v>
      </c>
      <c r="E190" s="32">
        <f ca="1">E188*E184</f>
        <v>20814964.038465224</v>
      </c>
      <c r="F190" s="6" t="str">
        <f>"Line "&amp;A188&amp;" * Line "&amp;A184&amp;""</f>
        <v>Line 700 * Line 603</v>
      </c>
      <c r="G190" s="33"/>
      <c r="H190" s="8">
        <f>A190</f>
        <v>701</v>
      </c>
      <c r="L190" s="24"/>
    </row>
    <row r="191" spans="1:12" x14ac:dyDescent="0.25">
      <c r="A191" s="8">
        <f>A190+1</f>
        <v>702</v>
      </c>
      <c r="C191" s="6" t="s">
        <v>149</v>
      </c>
      <c r="E191" s="32">
        <f>'23-RetailSGTax'!D39</f>
        <v>4057096.0312638879</v>
      </c>
      <c r="F191" s="6" t="s">
        <v>148</v>
      </c>
      <c r="H191" s="8">
        <f>A191</f>
        <v>702</v>
      </c>
      <c r="L191" s="24"/>
    </row>
    <row r="192" spans="1:12" x14ac:dyDescent="0.25">
      <c r="A192" s="8">
        <f>A191+1</f>
        <v>703</v>
      </c>
      <c r="C192" s="6" t="s">
        <v>147</v>
      </c>
      <c r="E192" s="31">
        <f ca="1">E184</f>
        <v>2938151130.4677677</v>
      </c>
      <c r="F192" s="6" t="str">
        <f>"Line "&amp;A184&amp;""</f>
        <v>Line 603</v>
      </c>
      <c r="H192" s="8">
        <f>A192</f>
        <v>703</v>
      </c>
      <c r="L192" s="24"/>
    </row>
    <row r="193" spans="1:12" x14ac:dyDescent="0.25">
      <c r="A193" s="8">
        <f>A192+1</f>
        <v>704</v>
      </c>
      <c r="C193" s="30" t="s">
        <v>146</v>
      </c>
      <c r="E193" s="29">
        <f ca="1">SUM(E190:E192)</f>
        <v>2963023190.537497</v>
      </c>
      <c r="F193" s="6" t="str">
        <f>"Sum of Lines "&amp;A190&amp;" to Line "&amp;A192&amp;""</f>
        <v>Sum of Lines 701 to Line 703</v>
      </c>
      <c r="H193" s="8">
        <f>A193</f>
        <v>704</v>
      </c>
      <c r="L193" s="24"/>
    </row>
    <row r="194" spans="1:12" x14ac:dyDescent="0.25">
      <c r="E194" s="28"/>
    </row>
    <row r="195" spans="1:12" x14ac:dyDescent="0.25">
      <c r="E195" s="27"/>
      <c r="F195" s="26"/>
    </row>
    <row r="196" spans="1:12" x14ac:dyDescent="0.25">
      <c r="C196" s="25" t="s">
        <v>145</v>
      </c>
    </row>
    <row r="197" spans="1:12" ht="15" customHeight="1" x14ac:dyDescent="0.25">
      <c r="C197" s="6" t="s">
        <v>144</v>
      </c>
    </row>
    <row r="198" spans="1:12" x14ac:dyDescent="0.25">
      <c r="C198" s="6" t="s">
        <v>143</v>
      </c>
    </row>
    <row r="199" spans="1:12" x14ac:dyDescent="0.25">
      <c r="C199" s="6" t="s">
        <v>142</v>
      </c>
    </row>
    <row r="200" spans="1:12" ht="15" customHeight="1" x14ac:dyDescent="0.25">
      <c r="C200" s="6" t="s">
        <v>141</v>
      </c>
    </row>
    <row r="201" spans="1:12" x14ac:dyDescent="0.25">
      <c r="C201" s="6" t="s">
        <v>140</v>
      </c>
    </row>
    <row r="202" spans="1:12" x14ac:dyDescent="0.25">
      <c r="C202" s="6" t="s">
        <v>139</v>
      </c>
    </row>
    <row r="203" spans="1:12" ht="30" customHeight="1" x14ac:dyDescent="0.25">
      <c r="C203" s="6" t="s">
        <v>138</v>
      </c>
    </row>
    <row r="204" spans="1:12" x14ac:dyDescent="0.25">
      <c r="C204" s="6" t="s">
        <v>137</v>
      </c>
    </row>
    <row r="205" spans="1:12" x14ac:dyDescent="0.25">
      <c r="F205" s="24"/>
    </row>
    <row r="206" spans="1:12" x14ac:dyDescent="0.25">
      <c r="F206" s="24"/>
    </row>
    <row r="207" spans="1:12" x14ac:dyDescent="0.25">
      <c r="E207" s="24"/>
    </row>
    <row r="208" spans="1:12" x14ac:dyDescent="0.25">
      <c r="E208" s="24"/>
      <c r="F208" s="24"/>
    </row>
  </sheetData>
  <printOptions horizontalCentered="1"/>
  <pageMargins left="1" right="1" top="1" bottom="1" header="0.5" footer="0.5"/>
  <pageSetup scale="49" fitToHeight="0" orientation="landscape" r:id="rId1"/>
  <headerFooter>
    <oddHeader>&amp;R&amp;F</oddHeader>
  </headerFooter>
  <rowBreaks count="2" manualBreakCount="2">
    <brk id="75" max="8" man="1"/>
    <brk id="143" max="8" man="1"/>
  </rowBreaks>
  <customProperties>
    <customPr name="_pios_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0BF003-DDAE-4219-AD1E-3E369BE0A3C7}">
  <sheetPr>
    <pageSetUpPr fitToPage="1"/>
  </sheetPr>
  <dimension ref="A1:M38"/>
  <sheetViews>
    <sheetView view="pageBreakPreview" zoomScaleNormal="78" zoomScaleSheetLayoutView="100" workbookViewId="0">
      <selection activeCell="Q36" sqref="Q36"/>
    </sheetView>
  </sheetViews>
  <sheetFormatPr defaultColWidth="9.140625" defaultRowHeight="15" x14ac:dyDescent="0.25"/>
  <cols>
    <col min="1" max="1" width="7.140625" style="6" bestFit="1" customWidth="1"/>
    <col min="2" max="2" width="56.42578125" style="6" bestFit="1" customWidth="1"/>
    <col min="3" max="3" width="4.5703125" style="6" customWidth="1"/>
    <col min="4" max="4" width="21.5703125" style="6" bestFit="1" customWidth="1"/>
    <col min="5" max="5" width="62.140625" style="6" bestFit="1" customWidth="1"/>
    <col min="6" max="6" width="27" style="6" customWidth="1"/>
    <col min="7" max="7" width="7.140625" style="6" bestFit="1" customWidth="1"/>
    <col min="8" max="8" width="9.140625" style="6"/>
    <col min="9" max="9" width="12.85546875" style="6" bestFit="1" customWidth="1"/>
    <col min="10" max="10" width="20.42578125" style="6" bestFit="1" customWidth="1"/>
    <col min="11" max="11" width="9.140625" style="6"/>
    <col min="12" max="12" width="21.140625" style="6" bestFit="1" customWidth="1"/>
    <col min="13" max="16384" width="9.140625" style="6"/>
  </cols>
  <sheetData>
    <row r="1" spans="1:7" x14ac:dyDescent="0.25">
      <c r="B1" s="30" t="s">
        <v>396</v>
      </c>
      <c r="F1" s="76"/>
    </row>
    <row r="2" spans="1:7" x14ac:dyDescent="0.25">
      <c r="B2" s="30" t="s">
        <v>75</v>
      </c>
      <c r="F2" s="76" t="str">
        <f>CONCATENATE("Rate Year: ",'1-BaseTRR'!$G$2)</f>
        <v>Rate Year: 2027</v>
      </c>
    </row>
    <row r="3" spans="1:7" x14ac:dyDescent="0.25">
      <c r="F3" s="76" t="str">
        <f>CONCATENATE("Prior Year: ",'1-BaseTRR'!$G$3)</f>
        <v>Prior Year: 2025</v>
      </c>
    </row>
    <row r="4" spans="1:7" x14ac:dyDescent="0.25">
      <c r="B4" s="39"/>
      <c r="G4" s="33"/>
    </row>
    <row r="5" spans="1:7" x14ac:dyDescent="0.25">
      <c r="B5" s="83" t="s">
        <v>395</v>
      </c>
      <c r="C5" s="83"/>
      <c r="D5" s="35"/>
      <c r="E5" s="35"/>
      <c r="F5" s="35"/>
    </row>
    <row r="6" spans="1:7" x14ac:dyDescent="0.25">
      <c r="A6" s="33" t="s">
        <v>106</v>
      </c>
      <c r="B6" s="33" t="s">
        <v>79</v>
      </c>
      <c r="D6" s="33" t="s">
        <v>155</v>
      </c>
      <c r="E6" s="33" t="s">
        <v>154</v>
      </c>
      <c r="F6" s="33" t="s">
        <v>153</v>
      </c>
      <c r="G6" s="33" t="str">
        <f>A6</f>
        <v>Line</v>
      </c>
    </row>
    <row r="7" spans="1:7" x14ac:dyDescent="0.25">
      <c r="A7" s="8">
        <v>100</v>
      </c>
      <c r="B7" s="6" t="s">
        <v>394</v>
      </c>
      <c r="C7" s="30"/>
      <c r="G7" s="8">
        <f>A7</f>
        <v>100</v>
      </c>
    </row>
    <row r="8" spans="1:7" x14ac:dyDescent="0.25">
      <c r="A8" s="8"/>
      <c r="G8" s="8"/>
    </row>
    <row r="9" spans="1:7" x14ac:dyDescent="0.25">
      <c r="A9" s="8"/>
      <c r="B9" s="25" t="s">
        <v>393</v>
      </c>
      <c r="C9" s="25"/>
      <c r="G9" s="8"/>
    </row>
    <row r="10" spans="1:7" x14ac:dyDescent="0.25">
      <c r="A10" s="8">
        <f>A7+1</f>
        <v>101</v>
      </c>
      <c r="B10" s="6" t="s">
        <v>392</v>
      </c>
      <c r="D10" s="32">
        <f>'7-PlantInService'!AC25</f>
        <v>19967828199.293724</v>
      </c>
      <c r="E10" s="6" t="s">
        <v>362</v>
      </c>
      <c r="G10" s="8">
        <f>A10</f>
        <v>101</v>
      </c>
    </row>
    <row r="11" spans="1:7" x14ac:dyDescent="0.25">
      <c r="A11" s="8">
        <f>A10+1</f>
        <v>102</v>
      </c>
      <c r="B11" s="6" t="s">
        <v>391</v>
      </c>
      <c r="D11" s="31">
        <f>'10-AccDep'!AC27</f>
        <v>5175266817.9164543</v>
      </c>
      <c r="E11" s="6" t="s">
        <v>346</v>
      </c>
      <c r="G11" s="8">
        <f>A11</f>
        <v>102</v>
      </c>
    </row>
    <row r="12" spans="1:7" x14ac:dyDescent="0.25">
      <c r="A12" s="8">
        <f>A11+1</f>
        <v>103</v>
      </c>
      <c r="B12" s="30" t="s">
        <v>390</v>
      </c>
      <c r="D12" s="29">
        <f>D10-D11</f>
        <v>14792561381.37727</v>
      </c>
      <c r="E12" s="6" t="str">
        <f>"Line "&amp;A10&amp;" - Line "&amp;A11&amp;""</f>
        <v>Line 101 - Line 102</v>
      </c>
      <c r="G12" s="8">
        <f>A12</f>
        <v>103</v>
      </c>
    </row>
    <row r="13" spans="1:7" x14ac:dyDescent="0.25">
      <c r="A13" s="8"/>
      <c r="G13" s="8"/>
    </row>
    <row r="14" spans="1:7" x14ac:dyDescent="0.25">
      <c r="A14" s="8"/>
      <c r="B14" s="25" t="s">
        <v>389</v>
      </c>
      <c r="C14" s="25"/>
      <c r="G14" s="8"/>
    </row>
    <row r="15" spans="1:7" x14ac:dyDescent="0.25">
      <c r="A15" s="8">
        <f>A12+1</f>
        <v>104</v>
      </c>
      <c r="B15" s="6" t="s">
        <v>388</v>
      </c>
      <c r="D15" s="84">
        <f ca="1">'1-BaseTRR'!E159-(('1-BaseTRR'!E147+'1-BaseTRR'!E148)*0.7)</f>
        <v>2243953285.2233686</v>
      </c>
      <c r="E15" s="6" t="str">
        <f>CONCATENATE("1-BaseTRR, L. ",'1-BaseTRR'!A159," - [70%*(1-BaseTRR, L. 500 + L. 501 )]")</f>
        <v>1-BaseTRR, L. 512 - [70%*(1-BaseTRR, L. 500 + L. 501 )]</v>
      </c>
      <c r="G15" s="8">
        <f>A15</f>
        <v>104</v>
      </c>
    </row>
    <row r="16" spans="1:7" x14ac:dyDescent="0.25">
      <c r="A16" s="8" t="s">
        <v>387</v>
      </c>
      <c r="B16" s="6" t="s">
        <v>386</v>
      </c>
      <c r="D16" s="32">
        <f ca="1">-'1-BaseTRR'!E152</f>
        <v>-4417030</v>
      </c>
      <c r="E16" s="6" t="s">
        <v>385</v>
      </c>
      <c r="F16" s="6" t="s">
        <v>381</v>
      </c>
      <c r="G16" s="8" t="str">
        <f>A16</f>
        <v>104a</v>
      </c>
    </row>
    <row r="17" spans="1:13" x14ac:dyDescent="0.25">
      <c r="A17" s="8">
        <f>+A15+1</f>
        <v>105</v>
      </c>
      <c r="B17" s="6" t="s">
        <v>384</v>
      </c>
      <c r="C17" s="82"/>
      <c r="D17" s="32">
        <f>-+'1-BaseTRR'!E150+-'1-BaseTRR'!E151+'11-Depreciation'!E28</f>
        <v>-621571656.74232101</v>
      </c>
      <c r="E17" s="6" t="str">
        <f>CONCATENATE("1-BaseTRR, L. ",'1-BaseTRR'!A150," + L. ",'1-BaseTRR'!A151," - ","11-Depreciation, L. ",'11-Depreciation'!A28,", col 3 ")</f>
        <v xml:space="preserve">1-BaseTRR, L. 503 + L. 504 - 11-Depreciation, L. 200, col 3 </v>
      </c>
      <c r="F17" s="6" t="s">
        <v>381</v>
      </c>
      <c r="G17" s="8">
        <f>A17</f>
        <v>105</v>
      </c>
    </row>
    <row r="18" spans="1:13" ht="45" customHeight="1" x14ac:dyDescent="0.25">
      <c r="A18" s="8">
        <f>+A17+1</f>
        <v>106</v>
      </c>
      <c r="B18" s="6" t="s">
        <v>383</v>
      </c>
      <c r="D18" s="31">
        <f>-(('1-BaseTRR'!E26*'1-BaseTRR'!E70)*(1+('1-BaseTRR'!E101)/(1-'1-BaseTRR'!E101))+('1-BaseTRR'!E26*'1-BaseTRR'!E65))</f>
        <v>253892100.64651525</v>
      </c>
      <c r="E18" s="71" t="s">
        <v>382</v>
      </c>
      <c r="F18" s="6" t="s">
        <v>381</v>
      </c>
      <c r="G18" s="8">
        <f>A18</f>
        <v>106</v>
      </c>
      <c r="J18" s="24"/>
    </row>
    <row r="19" spans="1:13" x14ac:dyDescent="0.25">
      <c r="A19" s="8">
        <f>+A18+1</f>
        <v>107</v>
      </c>
      <c r="B19" s="30" t="s">
        <v>380</v>
      </c>
      <c r="D19" s="29">
        <f ca="1">SUM(D15:D18)</f>
        <v>1871856699.127563</v>
      </c>
      <c r="E19" s="6" t="str">
        <f>"Line "&amp;A15&amp;" + Line "&amp;A16&amp;" + Line "&amp;A17&amp;" + Line "&amp;A18&amp;""</f>
        <v>Line 104 + Line 104a + Line 105 + Line 106</v>
      </c>
      <c r="G19" s="8">
        <f>A19</f>
        <v>107</v>
      </c>
      <c r="J19" s="50"/>
    </row>
    <row r="20" spans="1:13" x14ac:dyDescent="0.25">
      <c r="A20" s="8">
        <f>+A19+1</f>
        <v>108</v>
      </c>
      <c r="B20" s="6" t="s">
        <v>376</v>
      </c>
      <c r="D20" s="67">
        <f ca="1">D19/D12</f>
        <v>0.12654040438757894</v>
      </c>
      <c r="E20" s="6" t="str">
        <f>"Line "&amp;A19&amp;" / Line "&amp;A12&amp;""</f>
        <v>Line 107 / Line 103</v>
      </c>
      <c r="G20" s="8">
        <f>A20</f>
        <v>108</v>
      </c>
    </row>
    <row r="21" spans="1:13" x14ac:dyDescent="0.25">
      <c r="A21" s="8"/>
      <c r="G21" s="8"/>
      <c r="J21" s="50"/>
    </row>
    <row r="22" spans="1:13" x14ac:dyDescent="0.25">
      <c r="B22" s="83" t="s">
        <v>379</v>
      </c>
      <c r="C22" s="83"/>
      <c r="D22" s="35"/>
      <c r="E22" s="35"/>
      <c r="F22" s="35"/>
    </row>
    <row r="23" spans="1:13" x14ac:dyDescent="0.25">
      <c r="A23" s="33" t="s">
        <v>106</v>
      </c>
      <c r="B23" s="33" t="s">
        <v>79</v>
      </c>
      <c r="D23" s="33" t="s">
        <v>155</v>
      </c>
      <c r="E23" s="33" t="s">
        <v>154</v>
      </c>
      <c r="F23" s="33" t="s">
        <v>153</v>
      </c>
      <c r="G23" s="33" t="str">
        <f>A23</f>
        <v>Line</v>
      </c>
      <c r="J23" s="50"/>
    </row>
    <row r="24" spans="1:13" x14ac:dyDescent="0.25">
      <c r="A24" s="8">
        <v>200</v>
      </c>
      <c r="B24" s="6" t="s">
        <v>378</v>
      </c>
      <c r="D24" s="32">
        <f>'9-PlantAdditions'!I40</f>
        <v>2173137026.7469592</v>
      </c>
      <c r="E24" s="6" t="s">
        <v>377</v>
      </c>
      <c r="G24" s="8">
        <f>A24</f>
        <v>200</v>
      </c>
      <c r="I24" s="24">
        <v>189477402.8752079</v>
      </c>
    </row>
    <row r="25" spans="1:13" x14ac:dyDescent="0.25">
      <c r="A25" s="8">
        <f>A24+1</f>
        <v>201</v>
      </c>
      <c r="B25" s="6" t="s">
        <v>376</v>
      </c>
      <c r="D25" s="49">
        <f ca="1">D20</f>
        <v>0.12654040438757894</v>
      </c>
      <c r="E25" s="6" t="str">
        <f>"Line "&amp;A20&amp;""</f>
        <v>Line 108</v>
      </c>
      <c r="G25" s="8">
        <f>A25</f>
        <v>201</v>
      </c>
      <c r="J25" s="26"/>
    </row>
    <row r="26" spans="1:13" x14ac:dyDescent="0.25">
      <c r="A26" s="8"/>
      <c r="D26" s="49"/>
      <c r="G26" s="8"/>
      <c r="J26" s="26"/>
    </row>
    <row r="27" spans="1:13" x14ac:dyDescent="0.25">
      <c r="A27" s="8">
        <f>+A25+1</f>
        <v>202</v>
      </c>
      <c r="B27" s="6" t="s">
        <v>375</v>
      </c>
      <c r="D27" s="32">
        <f ca="1">D24*D25</f>
        <v>274989638.15418118</v>
      </c>
      <c r="E27" s="6" t="str">
        <f>"Line "&amp;A24&amp;" * Line "&amp;A25&amp;""</f>
        <v>Line 200 * Line 201</v>
      </c>
      <c r="G27" s="8">
        <f>A27</f>
        <v>202</v>
      </c>
      <c r="J27" s="50"/>
    </row>
    <row r="28" spans="1:13" x14ac:dyDescent="0.25">
      <c r="A28" s="8">
        <f>+A27+1</f>
        <v>203</v>
      </c>
      <c r="B28" s="6" t="s">
        <v>374</v>
      </c>
      <c r="C28" s="82"/>
      <c r="D28" s="32">
        <f>'9-PlantAdditions'!F41</f>
        <v>70725316.267834246</v>
      </c>
      <c r="E28" s="6" t="str">
        <f>CONCATENATE("9-PlantAdditions, L. ",'9-PlantAdditions'!A41,", ",'9-PlantAdditions'!F11)</f>
        <v>9-PlantAdditions, L. 125, Col 3</v>
      </c>
      <c r="G28" s="8">
        <f>A28</f>
        <v>203</v>
      </c>
      <c r="J28" s="81"/>
      <c r="L28" s="50"/>
    </row>
    <row r="29" spans="1:13" x14ac:dyDescent="0.25">
      <c r="A29" s="8">
        <f>+A28+1</f>
        <v>204</v>
      </c>
      <c r="B29" s="6" t="s">
        <v>373</v>
      </c>
      <c r="D29" s="31">
        <f>+'14-ADIT'!M165</f>
        <v>-2655988.7367140297</v>
      </c>
      <c r="E29" s="6" t="str">
        <f>CONCATENATE("14-ADIT, L. ",'14-ADIT'!A165,", Col 11 ")</f>
        <v xml:space="preserve">14-ADIT, L. 728, Col 11 </v>
      </c>
      <c r="G29" s="8">
        <f>A29</f>
        <v>204</v>
      </c>
      <c r="J29" s="50"/>
      <c r="M29" s="50"/>
    </row>
    <row r="30" spans="1:13" x14ac:dyDescent="0.25">
      <c r="A30" s="8">
        <f>+A29+1</f>
        <v>205</v>
      </c>
      <c r="B30" s="30" t="s">
        <v>372</v>
      </c>
      <c r="D30" s="29">
        <f ca="1">SUM(D27:D29)</f>
        <v>343058965.68530142</v>
      </c>
      <c r="E30" s="6" t="str">
        <f>"Sum Line "&amp;A27&amp;" to Line "&amp;A29&amp;""</f>
        <v>Sum Line 202 to Line 204</v>
      </c>
      <c r="G30" s="8">
        <f>A30</f>
        <v>205</v>
      </c>
      <c r="J30" s="26"/>
    </row>
    <row r="31" spans="1:13" x14ac:dyDescent="0.25">
      <c r="A31" s="8"/>
      <c r="D31" s="51"/>
      <c r="G31" s="8"/>
      <c r="L31" s="50"/>
    </row>
    <row r="32" spans="1:13" x14ac:dyDescent="0.25">
      <c r="A32" s="8">
        <f>A30+1</f>
        <v>206</v>
      </c>
      <c r="B32" s="6" t="s">
        <v>180</v>
      </c>
      <c r="D32" s="34">
        <f>'1-BaseTRR'!E162</f>
        <v>7.9019999999999993E-3</v>
      </c>
      <c r="E32" s="6" t="str">
        <f>CONCATENATE("1-BaseTRR, L. ",'1-BaseTRR'!A162)</f>
        <v>1-BaseTRR, L. 513</v>
      </c>
      <c r="G32" s="8">
        <f>A32</f>
        <v>206</v>
      </c>
      <c r="J32" s="26"/>
      <c r="L32" s="50"/>
    </row>
    <row r="33" spans="1:12" x14ac:dyDescent="0.25">
      <c r="A33" s="8">
        <f>A32+1</f>
        <v>207</v>
      </c>
      <c r="B33" s="6" t="s">
        <v>178</v>
      </c>
      <c r="D33" s="80">
        <f>'1-BaseTRR'!E163</f>
        <v>4.8226191383792108E-4</v>
      </c>
      <c r="E33" s="6" t="str">
        <f>CONCATENATE("1-BaseTRR, L. ",'1-BaseTRR'!A163)</f>
        <v>1-BaseTRR, L. 514</v>
      </c>
      <c r="G33" s="8">
        <f>A33</f>
        <v>207</v>
      </c>
      <c r="L33" s="79"/>
    </row>
    <row r="34" spans="1:12" x14ac:dyDescent="0.25">
      <c r="A34" s="8">
        <f>A33+1</f>
        <v>208</v>
      </c>
      <c r="B34" s="30" t="s">
        <v>176</v>
      </c>
      <c r="D34" s="29">
        <f ca="1">(D32+D33)*D30</f>
        <v>2876296.220195903</v>
      </c>
      <c r="E34" s="6" t="str">
        <f>"Line "&amp;A30&amp;" * (Line "&amp;A33&amp;" + Line "&amp;A32&amp;")"</f>
        <v>Line 205 * (Line 207 + Line 206)</v>
      </c>
      <c r="G34" s="8">
        <f>A34</f>
        <v>208</v>
      </c>
    </row>
    <row r="35" spans="1:12" x14ac:dyDescent="0.25">
      <c r="A35" s="8"/>
      <c r="D35" s="32"/>
      <c r="G35" s="8"/>
    </row>
    <row r="36" spans="1:12" x14ac:dyDescent="0.25">
      <c r="A36" s="8">
        <f>A34+1</f>
        <v>209</v>
      </c>
      <c r="B36" s="30" t="s">
        <v>371</v>
      </c>
      <c r="D36" s="29">
        <f ca="1">D34+D30</f>
        <v>345935261.90549731</v>
      </c>
      <c r="E36" s="6" t="str">
        <f>"Line "&amp;A30&amp;" + Line "&amp;A34&amp;""</f>
        <v>Line 205 + Line 208</v>
      </c>
      <c r="G36" s="8">
        <f>A36</f>
        <v>209</v>
      </c>
    </row>
    <row r="38" spans="1:12" x14ac:dyDescent="0.25">
      <c r="B38" s="25"/>
    </row>
  </sheetData>
  <printOptions horizontalCentered="1"/>
  <pageMargins left="1" right="1" top="1" bottom="1" header="0.5" footer="0.5"/>
  <pageSetup scale="61" fitToHeight="0" orientation="landscape" r:id="rId1"/>
  <headerFooter>
    <oddHeader>&amp;R&amp;F</oddHeader>
  </headerFooter>
  <customProperties>
    <customPr name="_pios_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CBA453-7F70-4FB8-8360-766BFA5FAA6E}">
  <sheetPr>
    <pageSetUpPr fitToPage="1"/>
  </sheetPr>
  <dimension ref="A1:M124"/>
  <sheetViews>
    <sheetView view="pageBreakPreview" topLeftCell="A68" zoomScale="90" zoomScaleNormal="86" zoomScaleSheetLayoutView="90" workbookViewId="0">
      <selection activeCell="Q36" sqref="Q36"/>
    </sheetView>
  </sheetViews>
  <sheetFormatPr defaultColWidth="9.140625" defaultRowHeight="15" x14ac:dyDescent="0.25"/>
  <cols>
    <col min="1" max="1" width="7" style="8" bestFit="1" customWidth="1"/>
    <col min="2" max="2" width="2.140625" style="8" bestFit="1" customWidth="1"/>
    <col min="3" max="3" width="73.42578125" style="6" bestFit="1" customWidth="1"/>
    <col min="4" max="4" width="4.5703125" style="6" customWidth="1"/>
    <col min="5" max="5" width="22.5703125" style="6" bestFit="1" customWidth="1"/>
    <col min="6" max="6" width="47.85546875" style="6" customWidth="1"/>
    <col min="7" max="7" width="25.5703125" style="6" bestFit="1" customWidth="1"/>
    <col min="8" max="8" width="7" style="6" bestFit="1" customWidth="1"/>
    <col min="9" max="9" width="3.140625" style="6" customWidth="1"/>
    <col min="10" max="10" width="9.140625" style="6"/>
    <col min="11" max="11" width="12.85546875" style="6" bestFit="1" customWidth="1"/>
    <col min="12" max="16384" width="9.140625" style="6"/>
  </cols>
  <sheetData>
    <row r="1" spans="1:13" x14ac:dyDescent="0.25">
      <c r="C1" s="30" t="s">
        <v>449</v>
      </c>
      <c r="G1" s="76"/>
    </row>
    <row r="2" spans="1:13" x14ac:dyDescent="0.25">
      <c r="C2" s="39" t="s">
        <v>73</v>
      </c>
      <c r="F2" s="76"/>
      <c r="G2" s="76" t="str">
        <f>CONCATENATE("Prior Year: ",'1-BaseTRR'!$G$3)</f>
        <v>Prior Year: 2025</v>
      </c>
    </row>
    <row r="3" spans="1:13" x14ac:dyDescent="0.25">
      <c r="C3" s="77" t="s">
        <v>367</v>
      </c>
      <c r="F3" s="76"/>
    </row>
    <row r="4" spans="1:13" x14ac:dyDescent="0.25">
      <c r="A4" s="39"/>
      <c r="B4" s="39"/>
      <c r="C4" s="30"/>
      <c r="I4" s="76"/>
      <c r="J4" s="30"/>
    </row>
    <row r="5" spans="1:13" x14ac:dyDescent="0.25">
      <c r="C5" s="36" t="s">
        <v>365</v>
      </c>
      <c r="D5" s="75"/>
      <c r="E5" s="35"/>
      <c r="F5" s="35"/>
      <c r="G5" s="35"/>
    </row>
    <row r="6" spans="1:13" x14ac:dyDescent="0.25">
      <c r="A6" s="33" t="s">
        <v>106</v>
      </c>
      <c r="B6" s="33"/>
      <c r="C6" s="33" t="s">
        <v>79</v>
      </c>
      <c r="E6" s="33" t="s">
        <v>155</v>
      </c>
      <c r="F6" s="33" t="s">
        <v>154</v>
      </c>
      <c r="G6" s="33" t="s">
        <v>153</v>
      </c>
      <c r="H6" s="33" t="str">
        <f>A6</f>
        <v>Line</v>
      </c>
    </row>
    <row r="7" spans="1:13" x14ac:dyDescent="0.25">
      <c r="A7" s="6"/>
      <c r="B7" s="6"/>
      <c r="C7" s="44" t="s">
        <v>364</v>
      </c>
      <c r="D7" s="44"/>
    </row>
    <row r="8" spans="1:13" x14ac:dyDescent="0.25">
      <c r="A8" s="8">
        <v>100</v>
      </c>
      <c r="C8" s="6" t="s">
        <v>448</v>
      </c>
      <c r="E8" s="88">
        <f>'7-PlantInService'!AC26</f>
        <v>19168399951.402077</v>
      </c>
      <c r="F8" s="6" t="s">
        <v>447</v>
      </c>
      <c r="G8" s="6" t="s">
        <v>426</v>
      </c>
      <c r="H8" s="8">
        <f>A8</f>
        <v>100</v>
      </c>
      <c r="M8" s="86"/>
    </row>
    <row r="9" spans="1:13" x14ac:dyDescent="0.25">
      <c r="A9" s="8">
        <f>A8+1</f>
        <v>101</v>
      </c>
      <c r="C9" s="6" t="s">
        <v>361</v>
      </c>
      <c r="E9" s="32">
        <f>'7-PlantInService'!F93</f>
        <v>922953384.63948762</v>
      </c>
      <c r="F9" s="6" t="s">
        <v>446</v>
      </c>
      <c r="G9" s="6" t="s">
        <v>428</v>
      </c>
      <c r="H9" s="8">
        <f>A9</f>
        <v>101</v>
      </c>
      <c r="M9" s="86"/>
    </row>
    <row r="10" spans="1:13" x14ac:dyDescent="0.25">
      <c r="A10" s="8">
        <f>A9+1</f>
        <v>102</v>
      </c>
      <c r="C10" s="6" t="s">
        <v>445</v>
      </c>
      <c r="E10" s="92">
        <f ca="1">+'8-AbandonedProject'!N15</f>
        <v>1590492.9964599998</v>
      </c>
      <c r="F10" s="6" t="s">
        <v>444</v>
      </c>
      <c r="G10" s="6" t="s">
        <v>428</v>
      </c>
      <c r="H10" s="8">
        <f>A10</f>
        <v>102</v>
      </c>
      <c r="M10" s="86"/>
    </row>
    <row r="11" spans="1:13" x14ac:dyDescent="0.25">
      <c r="A11" s="8">
        <f>A10+1</f>
        <v>103</v>
      </c>
      <c r="C11" s="30" t="s">
        <v>357</v>
      </c>
      <c r="D11" s="30"/>
      <c r="E11" s="87">
        <f ca="1">SUM(E8:E10)</f>
        <v>20092943829.038025</v>
      </c>
      <c r="F11" s="38" t="str">
        <f>"Sum of Lines "&amp;A8&amp;" to "&amp;A10&amp;""</f>
        <v>Sum of Lines 100 to 102</v>
      </c>
      <c r="H11" s="8">
        <f>A11</f>
        <v>103</v>
      </c>
      <c r="M11" s="86"/>
    </row>
    <row r="12" spans="1:13" x14ac:dyDescent="0.25">
      <c r="E12" s="24"/>
      <c r="M12" s="86"/>
    </row>
    <row r="13" spans="1:13" x14ac:dyDescent="0.25">
      <c r="C13" s="44" t="s">
        <v>356</v>
      </c>
      <c r="D13" s="44"/>
      <c r="E13" s="24"/>
      <c r="M13" s="86"/>
    </row>
    <row r="14" spans="1:13" x14ac:dyDescent="0.25">
      <c r="A14" s="8">
        <f>A11+1</f>
        <v>104</v>
      </c>
      <c r="C14" s="6" t="s">
        <v>355</v>
      </c>
      <c r="E14" s="88">
        <f>'13-WorkCap'!E27</f>
        <v>96393973.582241237</v>
      </c>
      <c r="F14" s="6" t="s">
        <v>443</v>
      </c>
      <c r="G14" s="6" t="s">
        <v>426</v>
      </c>
      <c r="H14" s="8">
        <f>A14</f>
        <v>104</v>
      </c>
      <c r="M14" s="86"/>
    </row>
    <row r="15" spans="1:13" x14ac:dyDescent="0.25">
      <c r="A15" s="8">
        <f>A14+1</f>
        <v>105</v>
      </c>
      <c r="C15" s="6" t="s">
        <v>353</v>
      </c>
      <c r="E15" s="32">
        <f>'13-WorkCap'!F58</f>
        <v>47073965</v>
      </c>
      <c r="F15" s="6" t="s">
        <v>442</v>
      </c>
      <c r="G15" s="6" t="s">
        <v>426</v>
      </c>
      <c r="H15" s="8">
        <f>A15</f>
        <v>105</v>
      </c>
      <c r="M15" s="86"/>
    </row>
    <row r="16" spans="1:13" x14ac:dyDescent="0.25">
      <c r="A16" s="8">
        <f>A15+1</f>
        <v>106</v>
      </c>
      <c r="C16" s="6" t="s">
        <v>351</v>
      </c>
      <c r="E16" s="31">
        <f>'1-BaseTRR'!E16</f>
        <v>102504336.05560128</v>
      </c>
      <c r="F16" s="6" t="s">
        <v>441</v>
      </c>
      <c r="G16" s="71"/>
      <c r="H16" s="8">
        <f>A16</f>
        <v>106</v>
      </c>
      <c r="M16" s="86"/>
    </row>
    <row r="17" spans="1:13" x14ac:dyDescent="0.25">
      <c r="A17" s="8">
        <f>A16+1</f>
        <v>107</v>
      </c>
      <c r="C17" s="30" t="s">
        <v>349</v>
      </c>
      <c r="D17" s="30"/>
      <c r="E17" s="29">
        <f>SUM(E14:E16)</f>
        <v>245972274.63784254</v>
      </c>
      <c r="F17" s="38" t="str">
        <f>"Sum of Lines "&amp;A14&amp;" to "&amp;A16&amp;""</f>
        <v>Sum of Lines 104 to 106</v>
      </c>
      <c r="H17" s="8">
        <f>A17</f>
        <v>107</v>
      </c>
      <c r="M17" s="86"/>
    </row>
    <row r="18" spans="1:13" x14ac:dyDescent="0.25">
      <c r="E18" s="24"/>
      <c r="M18" s="86"/>
    </row>
    <row r="19" spans="1:13" x14ac:dyDescent="0.25">
      <c r="C19" s="44" t="s">
        <v>348</v>
      </c>
      <c r="D19" s="44"/>
      <c r="E19" s="24"/>
      <c r="M19" s="86"/>
    </row>
    <row r="20" spans="1:13" x14ac:dyDescent="0.25">
      <c r="A20" s="8">
        <f>A17+1</f>
        <v>108</v>
      </c>
      <c r="C20" s="6" t="s">
        <v>440</v>
      </c>
      <c r="E20" s="88">
        <f>-'10-AccDep'!AC28</f>
        <v>-4911133836.8465214</v>
      </c>
      <c r="F20" s="6" t="s">
        <v>439</v>
      </c>
      <c r="G20" s="6" t="s">
        <v>438</v>
      </c>
      <c r="H20" s="8">
        <f>A20</f>
        <v>108</v>
      </c>
      <c r="M20" s="86"/>
    </row>
    <row r="21" spans="1:13" x14ac:dyDescent="0.25">
      <c r="A21" s="8">
        <f>A20+1</f>
        <v>109</v>
      </c>
      <c r="C21" s="6" t="s">
        <v>345</v>
      </c>
      <c r="E21" s="31">
        <f>-'10-AccDep'!F92</f>
        <v>-286712259.16580647</v>
      </c>
      <c r="F21" s="6" t="s">
        <v>437</v>
      </c>
      <c r="G21" s="6" t="s">
        <v>431</v>
      </c>
      <c r="H21" s="8">
        <f>A21</f>
        <v>109</v>
      </c>
      <c r="M21" s="86"/>
    </row>
    <row r="22" spans="1:13" x14ac:dyDescent="0.25">
      <c r="A22" s="8">
        <f>A21+1</f>
        <v>110</v>
      </c>
      <c r="C22" s="30" t="s">
        <v>343</v>
      </c>
      <c r="D22" s="30"/>
      <c r="E22" s="94">
        <f>E20+E21</f>
        <v>-5197846096.0123281</v>
      </c>
      <c r="F22" s="6" t="str">
        <f>"Line "&amp;A20&amp;" + Line "&amp;A21&amp;""</f>
        <v>Line 108 + Line 109</v>
      </c>
      <c r="H22" s="8">
        <f>A22</f>
        <v>110</v>
      </c>
      <c r="M22" s="86"/>
    </row>
    <row r="23" spans="1:13" x14ac:dyDescent="0.25">
      <c r="E23" s="24"/>
      <c r="M23" s="86"/>
    </row>
    <row r="24" spans="1:13" x14ac:dyDescent="0.25">
      <c r="A24" s="8">
        <f>A22+1</f>
        <v>111</v>
      </c>
      <c r="B24" s="8" t="s">
        <v>159</v>
      </c>
      <c r="C24" s="39" t="s">
        <v>342</v>
      </c>
      <c r="D24" s="39"/>
      <c r="E24" s="32">
        <f>'14-ADIT'!D24</f>
        <v>-2083030189.5523596</v>
      </c>
      <c r="F24" s="6" t="s">
        <v>436</v>
      </c>
      <c r="G24" s="6" t="s">
        <v>434</v>
      </c>
      <c r="H24" s="8">
        <f>A24</f>
        <v>111</v>
      </c>
      <c r="I24" s="30" t="s">
        <v>159</v>
      </c>
      <c r="M24" s="86"/>
    </row>
    <row r="25" spans="1:13" x14ac:dyDescent="0.25">
      <c r="A25" s="8">
        <v>111</v>
      </c>
      <c r="B25" s="8" t="s">
        <v>168</v>
      </c>
      <c r="C25" s="39" t="s">
        <v>340</v>
      </c>
      <c r="D25" s="39"/>
      <c r="E25" s="31">
        <f>+'17-RegAssets-1'!C49</f>
        <v>-455937047.05041099</v>
      </c>
      <c r="F25" s="6" t="s">
        <v>435</v>
      </c>
      <c r="G25" s="6" t="s">
        <v>434</v>
      </c>
      <c r="H25" s="8">
        <f>A25</f>
        <v>111</v>
      </c>
      <c r="I25" s="30" t="s">
        <v>168</v>
      </c>
      <c r="M25" s="86"/>
    </row>
    <row r="26" spans="1:13" x14ac:dyDescent="0.25">
      <c r="A26" s="8">
        <v>111</v>
      </c>
      <c r="B26" s="8" t="s">
        <v>244</v>
      </c>
      <c r="C26" s="39" t="s">
        <v>338</v>
      </c>
      <c r="D26" s="39"/>
      <c r="E26" s="32">
        <f>+E24+E25</f>
        <v>-2538967236.6027708</v>
      </c>
      <c r="F26" s="6" t="str">
        <f>"Line "&amp;A24&amp;"a + Line "&amp;A25&amp;"b"</f>
        <v>Line 111a + Line 111b</v>
      </c>
      <c r="G26" s="6" t="s">
        <v>434</v>
      </c>
      <c r="H26" s="8">
        <f>A26</f>
        <v>111</v>
      </c>
      <c r="I26" s="30" t="s">
        <v>244</v>
      </c>
      <c r="M26" s="86"/>
    </row>
    <row r="27" spans="1:13" x14ac:dyDescent="0.25">
      <c r="A27" s="8">
        <f>A24+1</f>
        <v>112</v>
      </c>
      <c r="C27" s="30" t="s">
        <v>433</v>
      </c>
      <c r="D27" s="30"/>
      <c r="E27" s="32">
        <f>-'15-NUC'!C21</f>
        <v>-275515922.015836</v>
      </c>
      <c r="F27" s="6" t="s">
        <v>432</v>
      </c>
      <c r="G27" s="6" t="s">
        <v>431</v>
      </c>
      <c r="H27" s="8">
        <f>A27</f>
        <v>112</v>
      </c>
      <c r="M27" s="86"/>
    </row>
    <row r="28" spans="1:13" x14ac:dyDescent="0.25">
      <c r="A28" s="8">
        <f>A27+1</f>
        <v>113</v>
      </c>
      <c r="C28" s="30" t="str">
        <f>+'1-BaseTRR'!C28</f>
        <v>Unfunded Reserves</v>
      </c>
      <c r="D28" s="30"/>
      <c r="E28" s="32">
        <f>'16-UnfundedReserves'!D7</f>
        <v>-118333322.74000001</v>
      </c>
      <c r="F28" s="6" t="s">
        <v>430</v>
      </c>
      <c r="G28" s="6" t="s">
        <v>426</v>
      </c>
      <c r="H28" s="8">
        <f>A28</f>
        <v>113</v>
      </c>
      <c r="M28" s="86"/>
    </row>
    <row r="29" spans="1:13" x14ac:dyDescent="0.25">
      <c r="A29" s="8">
        <f>A28+1</f>
        <v>114</v>
      </c>
      <c r="C29" s="30" t="s">
        <v>333</v>
      </c>
      <c r="D29" s="30"/>
      <c r="E29" s="32">
        <f>'17-RegAssets-1'!E27</f>
        <v>0</v>
      </c>
      <c r="F29" s="6" t="s">
        <v>429</v>
      </c>
      <c r="G29" s="6" t="s">
        <v>428</v>
      </c>
      <c r="H29" s="8">
        <f>A29</f>
        <v>114</v>
      </c>
      <c r="M29" s="86"/>
    </row>
    <row r="30" spans="1:13" x14ac:dyDescent="0.25">
      <c r="A30" s="8">
        <f>A29+1</f>
        <v>115</v>
      </c>
      <c r="C30" s="30" t="s">
        <v>331</v>
      </c>
      <c r="D30" s="30"/>
      <c r="E30" s="32">
        <f>'32-CWIPIncentive'!R16</f>
        <v>43256601.700769231</v>
      </c>
      <c r="F30" s="6" t="s">
        <v>427</v>
      </c>
      <c r="G30" s="6" t="s">
        <v>426</v>
      </c>
      <c r="H30" s="8">
        <f>A30</f>
        <v>115</v>
      </c>
      <c r="M30" s="86"/>
    </row>
    <row r="31" spans="1:13" x14ac:dyDescent="0.25">
      <c r="C31" s="30"/>
      <c r="D31" s="30"/>
      <c r="E31" s="32"/>
      <c r="H31" s="8"/>
      <c r="M31" s="86"/>
    </row>
    <row r="32" spans="1:13" x14ac:dyDescent="0.25">
      <c r="A32" s="8">
        <f>A30+1</f>
        <v>116</v>
      </c>
      <c r="C32" s="30" t="s">
        <v>328</v>
      </c>
      <c r="D32" s="30"/>
      <c r="E32" s="29">
        <f ca="1">+E11+E17+E22+E26+E27+E29+E28+E30</f>
        <v>12251510128.005701</v>
      </c>
      <c r="F32" s="6" t="str">
        <f>"Sum of Lines "&amp;A11&amp;", "&amp;A17&amp;", "&amp;A22&amp;" and Lines "&amp;A26&amp;B26&amp;" to "&amp;A30&amp;""</f>
        <v>Sum of Lines 103, 107, 110 and Lines 111c to 115</v>
      </c>
      <c r="H32" s="8">
        <f>A32</f>
        <v>116</v>
      </c>
      <c r="M32" s="86"/>
    </row>
    <row r="33" spans="1:13" x14ac:dyDescent="0.25">
      <c r="H33" s="8"/>
      <c r="M33" s="86"/>
    </row>
    <row r="34" spans="1:13" x14ac:dyDescent="0.25">
      <c r="C34" s="36" t="s">
        <v>327</v>
      </c>
      <c r="D34" s="35"/>
      <c r="E34" s="35"/>
      <c r="F34" s="35"/>
      <c r="G34" s="35"/>
      <c r="M34" s="86"/>
    </row>
    <row r="35" spans="1:13" x14ac:dyDescent="0.25">
      <c r="C35" s="30" t="s">
        <v>413</v>
      </c>
      <c r="M35" s="86"/>
    </row>
    <row r="36" spans="1:13" x14ac:dyDescent="0.25">
      <c r="C36" s="6" t="s">
        <v>425</v>
      </c>
      <c r="M36" s="86"/>
    </row>
    <row r="37" spans="1:13" x14ac:dyDescent="0.25">
      <c r="C37" s="39"/>
      <c r="M37" s="86"/>
    </row>
    <row r="38" spans="1:13" ht="77.25" customHeight="1" x14ac:dyDescent="0.25">
      <c r="A38" s="33" t="s">
        <v>106</v>
      </c>
      <c r="B38" s="33"/>
      <c r="C38" s="33" t="s">
        <v>79</v>
      </c>
      <c r="E38" s="33" t="s">
        <v>155</v>
      </c>
      <c r="F38" s="33" t="s">
        <v>154</v>
      </c>
      <c r="G38" s="33" t="s">
        <v>153</v>
      </c>
      <c r="H38" s="33" t="str">
        <f>A38</f>
        <v>Line</v>
      </c>
      <c r="M38" s="86"/>
    </row>
    <row r="39" spans="1:13" x14ac:dyDescent="0.25">
      <c r="A39" s="8">
        <v>200</v>
      </c>
      <c r="C39" s="6" t="s">
        <v>424</v>
      </c>
      <c r="E39" s="93">
        <v>0.1038</v>
      </c>
      <c r="F39" s="89" t="s">
        <v>423</v>
      </c>
      <c r="G39" s="6" t="s">
        <v>422</v>
      </c>
      <c r="H39" s="8">
        <f>A39</f>
        <v>200</v>
      </c>
      <c r="L39" s="23"/>
      <c r="M39" s="86"/>
    </row>
    <row r="40" spans="1:13" x14ac:dyDescent="0.25">
      <c r="C40" s="39"/>
      <c r="L40" s="23"/>
      <c r="M40" s="86"/>
    </row>
    <row r="41" spans="1:13" x14ac:dyDescent="0.25">
      <c r="C41" s="44" t="s">
        <v>300</v>
      </c>
      <c r="D41" s="44"/>
      <c r="L41" s="23"/>
      <c r="M41" s="86"/>
    </row>
    <row r="42" spans="1:13" x14ac:dyDescent="0.25">
      <c r="A42" s="8">
        <f>A39+1</f>
        <v>201</v>
      </c>
      <c r="C42" s="6" t="s">
        <v>299</v>
      </c>
      <c r="E42" s="67">
        <f>'1-BaseTRR'!E65</f>
        <v>2.3408700000000001E-2</v>
      </c>
      <c r="F42" s="71" t="str">
        <f>CONCATENATE("1-BaseTRR, L. ",'1-BaseTRR'!A65)</f>
        <v>1-BaseTRR, L. 216</v>
      </c>
      <c r="H42" s="8">
        <f>A42</f>
        <v>201</v>
      </c>
      <c r="L42" s="23"/>
      <c r="M42" s="86"/>
    </row>
    <row r="43" spans="1:13" x14ac:dyDescent="0.25">
      <c r="A43" s="8">
        <f>A42+1</f>
        <v>202</v>
      </c>
      <c r="C43" s="6" t="s">
        <v>298</v>
      </c>
      <c r="E43" s="67">
        <f>'1-BaseTRR'!E66</f>
        <v>1.6563475212480797E-4</v>
      </c>
      <c r="F43" s="6" t="str">
        <f>CONCATENATE("1-BaseTRR, L. ",'1-BaseTRR'!A66)</f>
        <v>1-BaseTRR, L. 217</v>
      </c>
      <c r="H43" s="8">
        <f>A43</f>
        <v>202</v>
      </c>
      <c r="L43" s="23"/>
      <c r="M43" s="86"/>
    </row>
    <row r="44" spans="1:13" x14ac:dyDescent="0.25">
      <c r="A44" s="8">
        <f>A43+1</f>
        <v>203</v>
      </c>
      <c r="C44" s="6" t="s">
        <v>297</v>
      </c>
      <c r="E44" s="66">
        <f>E39*'1-BaseTRR'!E54</f>
        <v>5.1900000000000002E-2</v>
      </c>
      <c r="F44" s="6" t="str">
        <f>CONCATENATE("Line ",A39," * ","1-BaseTRR, L. ",'1-BaseTRR'!A54)</f>
        <v>Line 200 * 1-BaseTRR, L. 210</v>
      </c>
      <c r="H44" s="8">
        <f>A44</f>
        <v>203</v>
      </c>
      <c r="L44" s="23"/>
      <c r="M44" s="86"/>
    </row>
    <row r="45" spans="1:13" x14ac:dyDescent="0.25">
      <c r="A45" s="8">
        <f>A44+1</f>
        <v>204</v>
      </c>
      <c r="C45" s="30" t="s">
        <v>296</v>
      </c>
      <c r="D45" s="30"/>
      <c r="E45" s="62">
        <f>SUM(E42:E44)</f>
        <v>7.5474334752124811E-2</v>
      </c>
      <c r="F45" s="38" t="str">
        <f>"Sum of Lines "&amp;A42&amp;" to "&amp;A44&amp;""</f>
        <v>Sum of Lines 201 to 203</v>
      </c>
      <c r="H45" s="8">
        <f>A45</f>
        <v>204</v>
      </c>
      <c r="L45" s="23"/>
      <c r="M45" s="86"/>
    </row>
    <row r="46" spans="1:13" x14ac:dyDescent="0.25">
      <c r="L46" s="23"/>
      <c r="M46" s="86"/>
    </row>
    <row r="47" spans="1:13" x14ac:dyDescent="0.25">
      <c r="A47" s="8">
        <f>A45+1</f>
        <v>205</v>
      </c>
      <c r="C47" s="30" t="s">
        <v>295</v>
      </c>
      <c r="D47" s="30"/>
      <c r="E47" s="62">
        <f>E43+E44</f>
        <v>5.2065634752124806E-2</v>
      </c>
      <c r="F47" s="6" t="str">
        <f>"Line "&amp;A43&amp;" + Line "&amp;A44&amp;""</f>
        <v>Line 202 + Line 203</v>
      </c>
      <c r="H47" s="8">
        <f>A47</f>
        <v>205</v>
      </c>
      <c r="L47" s="23"/>
      <c r="M47" s="86"/>
    </row>
    <row r="48" spans="1:13" x14ac:dyDescent="0.25">
      <c r="A48" s="8">
        <f>A47+1</f>
        <v>206</v>
      </c>
      <c r="C48" s="30" t="s">
        <v>294</v>
      </c>
      <c r="D48" s="30"/>
      <c r="E48" s="62">
        <f>'1-BaseTRR'!E71</f>
        <v>0</v>
      </c>
      <c r="F48" s="6" t="str">
        <f>CONCATENATE("1-BaseTRR, L. ",'1-BaseTRR'!A71)</f>
        <v>1-BaseTRR, L. 221</v>
      </c>
      <c r="H48" s="8">
        <f>A48</f>
        <v>206</v>
      </c>
      <c r="L48" s="23"/>
      <c r="M48" s="86"/>
    </row>
    <row r="49" spans="1:13" x14ac:dyDescent="0.25">
      <c r="H49" s="8"/>
      <c r="L49" s="23"/>
      <c r="M49" s="86"/>
    </row>
    <row r="50" spans="1:13" x14ac:dyDescent="0.25">
      <c r="A50" s="8">
        <f>A48+1</f>
        <v>207</v>
      </c>
      <c r="C50" s="6" t="s">
        <v>293</v>
      </c>
      <c r="D50" s="30"/>
      <c r="E50" s="88">
        <f ca="1">E45*E32</f>
        <v>924674576.62014973</v>
      </c>
      <c r="F50" s="6" t="str">
        <f>"Line "&amp;A45&amp;" * Line "&amp;A32&amp;""</f>
        <v>Line 204 * Line 116</v>
      </c>
      <c r="H50" s="8">
        <f>A50</f>
        <v>207</v>
      </c>
      <c r="L50" s="23"/>
      <c r="M50" s="86"/>
    </row>
    <row r="51" spans="1:13" x14ac:dyDescent="0.25">
      <c r="A51" s="8">
        <f>A50+1</f>
        <v>208</v>
      </c>
      <c r="C51" s="6" t="s">
        <v>421</v>
      </c>
      <c r="D51" s="30"/>
      <c r="E51" s="32">
        <f ca="1">E48*E10</f>
        <v>0</v>
      </c>
      <c r="F51" s="6" t="str">
        <f>"Line "&amp;A10&amp;" * Line "&amp;A48&amp;""</f>
        <v>Line 102 * Line 206</v>
      </c>
      <c r="H51" s="8">
        <f>A51</f>
        <v>208</v>
      </c>
      <c r="L51" s="23"/>
      <c r="M51" s="86"/>
    </row>
    <row r="52" spans="1:13" x14ac:dyDescent="0.25">
      <c r="A52" s="8">
        <f>A51+1</f>
        <v>209</v>
      </c>
      <c r="C52" s="30" t="s">
        <v>291</v>
      </c>
      <c r="D52" s="30"/>
      <c r="E52" s="29">
        <f ca="1">E50-E51</f>
        <v>924674576.62014973</v>
      </c>
      <c r="F52" s="6" t="str">
        <f>"Line "&amp;A50&amp;" - Line "&amp;A51&amp;""</f>
        <v>Line 207 - Line 208</v>
      </c>
      <c r="H52" s="8">
        <f>A52</f>
        <v>209</v>
      </c>
      <c r="L52" s="23"/>
      <c r="M52" s="86"/>
    </row>
    <row r="53" spans="1:13" x14ac:dyDescent="0.25">
      <c r="M53" s="86"/>
    </row>
    <row r="54" spans="1:13" x14ac:dyDescent="0.25">
      <c r="C54" s="36" t="s">
        <v>420</v>
      </c>
      <c r="D54" s="35"/>
      <c r="E54" s="35"/>
      <c r="F54" s="35"/>
      <c r="G54" s="35"/>
      <c r="M54" s="86"/>
    </row>
    <row r="55" spans="1:13" x14ac:dyDescent="0.25">
      <c r="C55" s="30" t="s">
        <v>413</v>
      </c>
      <c r="M55" s="86"/>
    </row>
    <row r="56" spans="1:13" x14ac:dyDescent="0.25">
      <c r="C56" s="6" t="s">
        <v>419</v>
      </c>
      <c r="M56" s="86"/>
    </row>
    <row r="57" spans="1:13" x14ac:dyDescent="0.25">
      <c r="C57" s="39"/>
      <c r="M57" s="86"/>
    </row>
    <row r="58" spans="1:13" x14ac:dyDescent="0.25">
      <c r="A58" s="33" t="s">
        <v>106</v>
      </c>
      <c r="B58" s="33"/>
      <c r="C58" s="33" t="s">
        <v>79</v>
      </c>
      <c r="E58" s="33" t="s">
        <v>155</v>
      </c>
      <c r="F58" s="33" t="s">
        <v>154</v>
      </c>
      <c r="G58" s="33" t="s">
        <v>153</v>
      </c>
      <c r="H58" s="33" t="str">
        <f>A58</f>
        <v>Line</v>
      </c>
      <c r="M58" s="86"/>
    </row>
    <row r="59" spans="1:13" x14ac:dyDescent="0.25">
      <c r="A59" s="8">
        <v>300</v>
      </c>
      <c r="C59" s="6" t="s">
        <v>265</v>
      </c>
      <c r="E59" s="50">
        <f>'22-TaxRates'!C14</f>
        <v>0.21</v>
      </c>
      <c r="F59" s="6" t="s">
        <v>418</v>
      </c>
      <c r="H59" s="8">
        <f>A59</f>
        <v>300</v>
      </c>
      <c r="M59" s="86"/>
    </row>
    <row r="60" spans="1:13" x14ac:dyDescent="0.25">
      <c r="A60" s="8">
        <f>A59+1</f>
        <v>301</v>
      </c>
      <c r="C60" s="6" t="s">
        <v>263</v>
      </c>
      <c r="E60" s="66">
        <f>'22-TaxRates'!C15</f>
        <v>8.8400000000000006E-2</v>
      </c>
      <c r="F60" s="6" t="s">
        <v>417</v>
      </c>
      <c r="H60" s="8">
        <f>A60</f>
        <v>301</v>
      </c>
      <c r="M60" s="86"/>
    </row>
    <row r="61" spans="1:13" x14ac:dyDescent="0.25">
      <c r="A61" s="8">
        <f>A60+1</f>
        <v>302</v>
      </c>
      <c r="C61" s="30" t="s">
        <v>261</v>
      </c>
      <c r="D61" s="30"/>
      <c r="E61" s="62">
        <f>(E59+E60)-(E59*E60)</f>
        <v>0.27983599999999997</v>
      </c>
      <c r="F61" s="6" t="str">
        <f>"(Line "&amp;A59&amp;" + Line "&amp;A60&amp;") - (Line "&amp;A59&amp;" * Line "&amp;A60&amp;")"</f>
        <v>(Line 300 + Line 301) - (Line 300 * Line 301)</v>
      </c>
      <c r="H61" s="8">
        <f>A61</f>
        <v>302</v>
      </c>
      <c r="M61" s="86"/>
    </row>
    <row r="62" spans="1:13" x14ac:dyDescent="0.25">
      <c r="M62" s="86"/>
    </row>
    <row r="63" spans="1:13" x14ac:dyDescent="0.25">
      <c r="A63" s="8">
        <f>A61+1</f>
        <v>303</v>
      </c>
      <c r="C63" s="30" t="s">
        <v>215</v>
      </c>
      <c r="E63" s="87">
        <f ca="1">(((E68*E69)+E72-E73)*(E70/(1-E70)))+E71/(1-E70)</f>
        <v>215238084.74399951</v>
      </c>
      <c r="F63" s="6" t="str">
        <f>"Line "&amp;A65</f>
        <v>Line 304</v>
      </c>
      <c r="H63" s="8">
        <f>A63</f>
        <v>303</v>
      </c>
      <c r="M63" s="86"/>
    </row>
    <row r="64" spans="1:13" x14ac:dyDescent="0.25">
      <c r="M64" s="86"/>
    </row>
    <row r="65" spans="1:13" x14ac:dyDescent="0.25">
      <c r="A65" s="8">
        <f>A63+1</f>
        <v>304</v>
      </c>
      <c r="C65" s="6" t="s">
        <v>416</v>
      </c>
      <c r="H65" s="8">
        <f>A65</f>
        <v>304</v>
      </c>
      <c r="M65" s="86"/>
    </row>
    <row r="66" spans="1:13" x14ac:dyDescent="0.25">
      <c r="M66" s="86"/>
    </row>
    <row r="67" spans="1:13" x14ac:dyDescent="0.25">
      <c r="C67" s="6" t="s">
        <v>213</v>
      </c>
      <c r="M67" s="86"/>
    </row>
    <row r="68" spans="1:13" x14ac:dyDescent="0.25">
      <c r="A68" s="8">
        <f>A65+1</f>
        <v>305</v>
      </c>
      <c r="C68" s="47" t="s">
        <v>212</v>
      </c>
      <c r="D68" s="47"/>
      <c r="E68" s="88">
        <f ca="1">+E32</f>
        <v>12251510128.005701</v>
      </c>
      <c r="F68" s="6" t="str">
        <f>"Line "&amp;A32</f>
        <v>Line 116</v>
      </c>
      <c r="G68" s="51"/>
      <c r="H68" s="8">
        <f>A68</f>
        <v>305</v>
      </c>
      <c r="M68" s="86"/>
    </row>
    <row r="69" spans="1:13" x14ac:dyDescent="0.25">
      <c r="A69" s="8">
        <f>A68+1</f>
        <v>306</v>
      </c>
      <c r="C69" s="47" t="s">
        <v>211</v>
      </c>
      <c r="D69" s="47"/>
      <c r="E69" s="50">
        <f>E47</f>
        <v>5.2065634752124806E-2</v>
      </c>
      <c r="F69" s="6" t="str">
        <f>"Line "&amp;A47</f>
        <v>Line 205</v>
      </c>
      <c r="H69" s="8">
        <f>A69</f>
        <v>306</v>
      </c>
      <c r="M69" s="86"/>
    </row>
    <row r="70" spans="1:13" x14ac:dyDescent="0.25">
      <c r="A70" s="8">
        <f>A69+1</f>
        <v>307</v>
      </c>
      <c r="C70" s="47" t="s">
        <v>210</v>
      </c>
      <c r="D70" s="47"/>
      <c r="E70" s="49">
        <f>E61</f>
        <v>0.27983599999999997</v>
      </c>
      <c r="F70" s="6" t="str">
        <f>"Line "&amp;A61</f>
        <v>Line 302</v>
      </c>
      <c r="H70" s="8">
        <f>A70</f>
        <v>307</v>
      </c>
      <c r="M70" s="86"/>
    </row>
    <row r="71" spans="1:13" x14ac:dyDescent="0.25">
      <c r="A71" s="8">
        <f>A70+1</f>
        <v>308</v>
      </c>
      <c r="C71" s="47" t="s">
        <v>209</v>
      </c>
      <c r="D71" s="47"/>
      <c r="E71" s="88">
        <f>'1-BaseTRR'!E130</f>
        <v>-29982417.32992404</v>
      </c>
      <c r="F71" s="6" t="str">
        <f>CONCATENATE("1-BaseTRR, L. ",'1-BaseTRR'!A130)</f>
        <v>1-BaseTRR, L. 407</v>
      </c>
      <c r="H71" s="8">
        <f>A71</f>
        <v>308</v>
      </c>
      <c r="M71" s="86"/>
    </row>
    <row r="72" spans="1:13" x14ac:dyDescent="0.25">
      <c r="A72" s="8">
        <f>A71+1</f>
        <v>309</v>
      </c>
      <c r="C72" s="47" t="s">
        <v>208</v>
      </c>
      <c r="D72" s="47"/>
      <c r="E72" s="88">
        <f>'1-BaseTRR'!E112</f>
        <v>23180033.05532093</v>
      </c>
      <c r="F72" s="6" t="str">
        <f>CONCATENATE("1-BaseTRR, L. ",'1-BaseTRR'!A112)</f>
        <v>1-BaseTRR, L. 404</v>
      </c>
      <c r="H72" s="8">
        <f>A72</f>
        <v>309</v>
      </c>
      <c r="M72" s="86"/>
    </row>
    <row r="73" spans="1:13" x14ac:dyDescent="0.25">
      <c r="A73" s="8">
        <f>A72+1</f>
        <v>310</v>
      </c>
      <c r="C73" s="47" t="s">
        <v>415</v>
      </c>
      <c r="D73" s="47"/>
      <c r="E73" s="32">
        <f ca="1">E51</f>
        <v>0</v>
      </c>
      <c r="F73" s="6" t="str">
        <f>"Line "&amp;A51&amp;""</f>
        <v>Line 208</v>
      </c>
      <c r="H73" s="8">
        <f>A73</f>
        <v>310</v>
      </c>
      <c r="M73" s="86"/>
    </row>
    <row r="74" spans="1:13" x14ac:dyDescent="0.25">
      <c r="M74" s="86"/>
    </row>
    <row r="75" spans="1:13" x14ac:dyDescent="0.25">
      <c r="C75" s="36" t="s">
        <v>414</v>
      </c>
      <c r="D75" s="35"/>
      <c r="E75" s="35"/>
      <c r="F75" s="35"/>
      <c r="G75" s="35"/>
      <c r="M75" s="86"/>
    </row>
    <row r="76" spans="1:13" x14ac:dyDescent="0.25">
      <c r="C76" s="30" t="s">
        <v>413</v>
      </c>
      <c r="M76" s="86"/>
    </row>
    <row r="77" spans="1:13" ht="14.45" customHeight="1" x14ac:dyDescent="0.25">
      <c r="C77" s="6" t="str">
        <f>"1) Input the Annual True-up Adjustment that was included in the Prior Year's rates on Line "&amp;A109&amp;" and input the Rate Year the ATA trued-up."</f>
        <v>1) Input the Annual True-up Adjustment that was included in the Prior Year's rates on Line 419 and input the Rate Year the ATA trued-up.</v>
      </c>
      <c r="M77" s="86"/>
    </row>
    <row r="78" spans="1:13" x14ac:dyDescent="0.25">
      <c r="C78" s="6" t="s">
        <v>412</v>
      </c>
      <c r="M78" s="86"/>
    </row>
    <row r="79" spans="1:13" x14ac:dyDescent="0.25">
      <c r="C79" s="38"/>
      <c r="M79" s="86"/>
    </row>
    <row r="80" spans="1:13" x14ac:dyDescent="0.25">
      <c r="A80" s="33" t="s">
        <v>106</v>
      </c>
      <c r="B80" s="33"/>
      <c r="C80" s="33" t="s">
        <v>79</v>
      </c>
      <c r="E80" s="33" t="s">
        <v>155</v>
      </c>
      <c r="F80" s="33" t="s">
        <v>154</v>
      </c>
      <c r="G80" s="33" t="s">
        <v>153</v>
      </c>
      <c r="H80" s="33" t="str">
        <f>A80</f>
        <v>Line</v>
      </c>
      <c r="M80" s="86"/>
    </row>
    <row r="81" spans="1:13" x14ac:dyDescent="0.25">
      <c r="C81" s="44" t="s">
        <v>205</v>
      </c>
      <c r="D81" s="44"/>
      <c r="M81" s="86"/>
    </row>
    <row r="82" spans="1:13" x14ac:dyDescent="0.25">
      <c r="A82" s="8">
        <v>400</v>
      </c>
      <c r="C82" s="6" t="s">
        <v>204</v>
      </c>
      <c r="E82" s="88">
        <f>'1-BaseTRR'!E147</f>
        <v>718794370.43350494</v>
      </c>
      <c r="F82" s="6" t="str">
        <f>CONCATENATE("1-BaseTRR, L. ",'1-BaseTRR'!A147)</f>
        <v>1-BaseTRR, L. 500</v>
      </c>
      <c r="H82" s="8">
        <f>A82</f>
        <v>400</v>
      </c>
      <c r="M82" s="86"/>
    </row>
    <row r="83" spans="1:13" x14ac:dyDescent="0.25">
      <c r="A83" s="8">
        <f>A82+1</f>
        <v>401</v>
      </c>
      <c r="C83" s="6" t="s">
        <v>202</v>
      </c>
      <c r="E83" s="88">
        <f>'1-BaseTRR'!E148</f>
        <v>104282151.45130536</v>
      </c>
      <c r="F83" s="6" t="str">
        <f>CONCATENATE("1-BaseTRR, L. ",'1-BaseTRR'!A148)</f>
        <v>1-BaseTRR, L. 501</v>
      </c>
      <c r="H83" s="8">
        <f>A83</f>
        <v>401</v>
      </c>
      <c r="M83" s="86"/>
    </row>
    <row r="84" spans="1:13" x14ac:dyDescent="0.25">
      <c r="A84" s="8">
        <f>A83+1</f>
        <v>402</v>
      </c>
      <c r="C84" s="6" t="s">
        <v>200</v>
      </c>
      <c r="E84" s="88">
        <f>'1-BaseTRR'!E149</f>
        <v>5015398.8748418232</v>
      </c>
      <c r="F84" s="6" t="str">
        <f>CONCATENATE("1-BaseTRR, L. ",'1-BaseTRR'!A149)</f>
        <v>1-BaseTRR, L. 502</v>
      </c>
      <c r="H84" s="8">
        <f>A84</f>
        <v>402</v>
      </c>
      <c r="M84" s="86"/>
    </row>
    <row r="85" spans="1:13" x14ac:dyDescent="0.25">
      <c r="A85" s="8">
        <f>A84+1</f>
        <v>403</v>
      </c>
      <c r="C85" s="6" t="s">
        <v>198</v>
      </c>
      <c r="E85" s="88">
        <f>'1-BaseTRR'!E150</f>
        <v>669281842.86362839</v>
      </c>
      <c r="F85" s="6" t="str">
        <f>CONCATENATE("1-BaseTRR, L. ",'1-BaseTRR'!A150)</f>
        <v>1-BaseTRR, L. 503</v>
      </c>
      <c r="H85" s="8">
        <f>A85</f>
        <v>403</v>
      </c>
      <c r="M85" s="86"/>
    </row>
    <row r="86" spans="1:13" x14ac:dyDescent="0.25">
      <c r="A86" s="8">
        <f>A85+1</f>
        <v>404</v>
      </c>
      <c r="C86" s="6" t="s">
        <v>194</v>
      </c>
      <c r="E86" s="88">
        <f ca="1">+'8-AbandonedProject'!I15</f>
        <v>4417030</v>
      </c>
      <c r="F86" s="6" t="s">
        <v>193</v>
      </c>
      <c r="H86" s="8">
        <f>A86</f>
        <v>404</v>
      </c>
      <c r="M86" s="86"/>
    </row>
    <row r="87" spans="1:13" x14ac:dyDescent="0.25">
      <c r="A87" s="8">
        <f>A86+1</f>
        <v>405</v>
      </c>
      <c r="C87" s="6" t="s">
        <v>192</v>
      </c>
      <c r="E87" s="88">
        <f ca="1">E52</f>
        <v>924674576.62014973</v>
      </c>
      <c r="F87" s="6" t="str">
        <f>"Line "&amp;A52&amp;""</f>
        <v>Line 209</v>
      </c>
      <c r="H87" s="8">
        <f>A87</f>
        <v>405</v>
      </c>
      <c r="M87" s="86"/>
    </row>
    <row r="88" spans="1:13" x14ac:dyDescent="0.25">
      <c r="A88" s="8">
        <f>A87+1</f>
        <v>406</v>
      </c>
      <c r="C88" s="6" t="s">
        <v>191</v>
      </c>
      <c r="E88" s="88">
        <f>'1-BaseTRR'!E154</f>
        <v>171582952.26747984</v>
      </c>
      <c r="F88" s="6" t="str">
        <f>CONCATENATE("1-BaseTRR, L. ",'1-BaseTRR'!A154)</f>
        <v>1-BaseTRR, L. 507</v>
      </c>
      <c r="H88" s="8">
        <f>A88</f>
        <v>406</v>
      </c>
      <c r="M88" s="86"/>
    </row>
    <row r="89" spans="1:13" x14ac:dyDescent="0.25">
      <c r="A89" s="8">
        <f>A88+1</f>
        <v>407</v>
      </c>
      <c r="C89" s="6" t="s">
        <v>190</v>
      </c>
      <c r="E89" s="88">
        <f ca="1">E63</f>
        <v>215238084.74399951</v>
      </c>
      <c r="F89" s="6" t="str">
        <f>"Line "&amp;A63&amp;""</f>
        <v>Line 303</v>
      </c>
      <c r="H89" s="8">
        <f>A89</f>
        <v>407</v>
      </c>
      <c r="M89" s="86"/>
    </row>
    <row r="90" spans="1:13" x14ac:dyDescent="0.25">
      <c r="A90" s="8">
        <f>A89+1</f>
        <v>408</v>
      </c>
      <c r="C90" s="6" t="s">
        <v>30</v>
      </c>
      <c r="E90" s="32">
        <f>-'20-RevenueCredits'!H12-'20-RevenueCredits'!H92</f>
        <v>-26454115.438494232</v>
      </c>
      <c r="F90" s="6" t="s">
        <v>411</v>
      </c>
      <c r="G90" s="6" t="s">
        <v>186</v>
      </c>
      <c r="H90" s="8">
        <f>A90</f>
        <v>408</v>
      </c>
      <c r="M90" s="86"/>
    </row>
    <row r="91" spans="1:13" x14ac:dyDescent="0.25">
      <c r="A91" s="8">
        <f>A90+1</f>
        <v>409</v>
      </c>
      <c r="C91" s="6" t="s">
        <v>188</v>
      </c>
      <c r="E91" s="88">
        <f>'1-BaseTRR'!E157</f>
        <v>-17970379.575039465</v>
      </c>
      <c r="F91" s="6" t="str">
        <f>CONCATENATE("1-BaseTRR, L. ",'1-BaseTRR'!A157)</f>
        <v>1-BaseTRR, L. 510</v>
      </c>
      <c r="G91" s="6" t="s">
        <v>186</v>
      </c>
      <c r="H91" s="8">
        <f>A91</f>
        <v>409</v>
      </c>
      <c r="M91" s="86"/>
    </row>
    <row r="92" spans="1:13" x14ac:dyDescent="0.25">
      <c r="A92" s="8">
        <f>A91+1</f>
        <v>410</v>
      </c>
      <c r="C92" s="6" t="s">
        <v>185</v>
      </c>
      <c r="E92" s="92">
        <f>'1-BaseTRR'!E158</f>
        <v>0</v>
      </c>
      <c r="F92" s="6" t="str">
        <f>CONCATENATE("1-BaseTRR, L. ",'1-BaseTRR'!A158)</f>
        <v>1-BaseTRR, L. 511</v>
      </c>
      <c r="H92" s="8">
        <f>A92</f>
        <v>410</v>
      </c>
      <c r="M92" s="86"/>
    </row>
    <row r="93" spans="1:13" x14ac:dyDescent="0.25">
      <c r="A93" s="8">
        <f>A92+1</f>
        <v>411</v>
      </c>
      <c r="C93" s="30" t="s">
        <v>182</v>
      </c>
      <c r="D93" s="30"/>
      <c r="E93" s="29">
        <f ca="1">SUM(E82:E92)</f>
        <v>2768861912.2413759</v>
      </c>
      <c r="F93" s="6" t="str">
        <f>"Sum Lines "&amp;A82&amp;" to "&amp;A92&amp;""</f>
        <v>Sum Lines 400 to 410</v>
      </c>
      <c r="H93" s="8">
        <f>A93</f>
        <v>411</v>
      </c>
      <c r="M93" s="86"/>
    </row>
    <row r="94" spans="1:13" x14ac:dyDescent="0.25">
      <c r="H94" s="8"/>
      <c r="M94" s="86"/>
    </row>
    <row r="95" spans="1:13" x14ac:dyDescent="0.25">
      <c r="C95" s="44" t="s">
        <v>8</v>
      </c>
      <c r="E95" s="40"/>
      <c r="H95" s="8"/>
      <c r="M95" s="86"/>
    </row>
    <row r="96" spans="1:13" x14ac:dyDescent="0.25">
      <c r="A96" s="8">
        <f>A93+1</f>
        <v>412</v>
      </c>
      <c r="C96" s="6" t="s">
        <v>174</v>
      </c>
      <c r="E96" s="90">
        <v>102312292.69261318</v>
      </c>
      <c r="F96" s="89" t="s">
        <v>410</v>
      </c>
      <c r="G96" s="6" t="s">
        <v>183</v>
      </c>
      <c r="H96" s="8">
        <f>A96</f>
        <v>412</v>
      </c>
      <c r="M96" s="86"/>
    </row>
    <row r="97" spans="1:13" x14ac:dyDescent="0.25">
      <c r="A97" s="8">
        <f>A96+1</f>
        <v>413</v>
      </c>
      <c r="B97" s="8" t="s">
        <v>159</v>
      </c>
      <c r="C97" s="6" t="s">
        <v>172</v>
      </c>
      <c r="E97" s="90">
        <v>0</v>
      </c>
      <c r="F97" s="89" t="s">
        <v>409</v>
      </c>
      <c r="G97" s="6" t="s">
        <v>183</v>
      </c>
      <c r="H97" s="8">
        <f>A97</f>
        <v>413</v>
      </c>
      <c r="I97" s="30" t="s">
        <v>159</v>
      </c>
      <c r="M97" s="86"/>
    </row>
    <row r="98" spans="1:13" x14ac:dyDescent="0.25">
      <c r="A98" s="8">
        <v>413</v>
      </c>
      <c r="B98" s="8" t="s">
        <v>168</v>
      </c>
      <c r="C98" s="6" t="s">
        <v>170</v>
      </c>
      <c r="E98" s="90">
        <v>0</v>
      </c>
      <c r="F98" s="89" t="s">
        <v>408</v>
      </c>
      <c r="G98" s="6" t="s">
        <v>183</v>
      </c>
      <c r="H98" s="8">
        <f>A98</f>
        <v>413</v>
      </c>
      <c r="I98" s="30" t="s">
        <v>168</v>
      </c>
      <c r="M98" s="86"/>
    </row>
    <row r="99" spans="1:13" x14ac:dyDescent="0.25">
      <c r="A99" s="8">
        <f>A97+1</f>
        <v>414</v>
      </c>
      <c r="C99" s="6" t="s">
        <v>407</v>
      </c>
      <c r="E99" s="40">
        <f>E96+E97+E98</f>
        <v>102312292.69261318</v>
      </c>
      <c r="F99" s="6" t="str">
        <f>"Line "&amp;A96&amp;" + Line "&amp;A97&amp;"a + Line "&amp;A98&amp;"b"</f>
        <v>Line 412 + Line 413a + Line 413b</v>
      </c>
      <c r="H99" s="8">
        <f>A99</f>
        <v>414</v>
      </c>
      <c r="M99" s="86"/>
    </row>
    <row r="100" spans="1:13" x14ac:dyDescent="0.25">
      <c r="E100" s="91"/>
      <c r="F100" s="30"/>
      <c r="H100" s="8"/>
      <c r="M100" s="86"/>
    </row>
    <row r="101" spans="1:13" x14ac:dyDescent="0.25">
      <c r="C101" s="44" t="s">
        <v>181</v>
      </c>
      <c r="D101" s="44"/>
      <c r="M101" s="86"/>
    </row>
    <row r="102" spans="1:13" x14ac:dyDescent="0.25">
      <c r="A102" s="8">
        <f>A99+1</f>
        <v>415</v>
      </c>
      <c r="C102" s="6" t="s">
        <v>180</v>
      </c>
      <c r="E102" s="34">
        <f>'1-BaseTRR'!E162</f>
        <v>7.9019999999999993E-3</v>
      </c>
      <c r="F102" s="6" t="str">
        <f>CONCATENATE("1-BaseTRR, L. ",'1-BaseTRR'!A162)</f>
        <v>1-BaseTRR, L. 513</v>
      </c>
      <c r="H102" s="8">
        <f>A102</f>
        <v>415</v>
      </c>
      <c r="M102" s="86"/>
    </row>
    <row r="103" spans="1:13" x14ac:dyDescent="0.25">
      <c r="A103" s="8">
        <f>A102+1</f>
        <v>416</v>
      </c>
      <c r="C103" s="6" t="s">
        <v>178</v>
      </c>
      <c r="D103" s="30"/>
      <c r="E103" s="80">
        <f>'1-BaseTRR'!E163</f>
        <v>4.8226191383792108E-4</v>
      </c>
      <c r="F103" s="6" t="str">
        <f>CONCATENATE("1-BaseTRR, L. ",'1-BaseTRR'!A163)</f>
        <v>1-BaseTRR, L. 514</v>
      </c>
      <c r="H103" s="8">
        <f>A103</f>
        <v>416</v>
      </c>
      <c r="M103" s="86"/>
    </row>
    <row r="104" spans="1:13" x14ac:dyDescent="0.25">
      <c r="A104" s="8">
        <f>A103+1</f>
        <v>417</v>
      </c>
      <c r="C104" s="30" t="s">
        <v>176</v>
      </c>
      <c r="D104" s="30"/>
      <c r="E104" s="29">
        <f ca="1">(E93+E99)*(E102+E103)</f>
        <v>24072676.534421917</v>
      </c>
      <c r="F104" s="6" t="str">
        <f>"(Line "&amp;A93&amp;" + Line "&amp;A99&amp;") * ( Line "&amp;A102&amp;" + Line "&amp;A103&amp;")"</f>
        <v>(Line 411 + Line 414) * ( Line 415 + Line 416)</v>
      </c>
      <c r="H104" s="8">
        <f>A104</f>
        <v>417</v>
      </c>
      <c r="M104" s="86"/>
    </row>
    <row r="105" spans="1:13" x14ac:dyDescent="0.25">
      <c r="C105" s="30"/>
      <c r="D105" s="30"/>
      <c r="E105" s="88"/>
      <c r="H105" s="8"/>
      <c r="M105" s="86"/>
    </row>
    <row r="106" spans="1:13" x14ac:dyDescent="0.25">
      <c r="A106" s="8">
        <f>A104+1</f>
        <v>418</v>
      </c>
      <c r="C106" s="30" t="s">
        <v>406</v>
      </c>
      <c r="D106" s="30"/>
      <c r="E106" s="29">
        <f ca="1">E93+E99+E104</f>
        <v>2895246881.468411</v>
      </c>
      <c r="F106" s="6" t="str">
        <f>"Line "&amp;A93&amp;" + Line "&amp;A99&amp;" + Line "&amp;A104&amp;""</f>
        <v>Line 411 + Line 414 + Line 417</v>
      </c>
      <c r="H106" s="8">
        <f>A106</f>
        <v>418</v>
      </c>
      <c r="M106" s="86"/>
    </row>
    <row r="107" spans="1:13" x14ac:dyDescent="0.25">
      <c r="C107" s="30"/>
      <c r="D107" s="30"/>
      <c r="E107" s="88"/>
      <c r="H107" s="8"/>
      <c r="M107" s="86"/>
    </row>
    <row r="108" spans="1:13" x14ac:dyDescent="0.25">
      <c r="C108" s="44" t="s">
        <v>71</v>
      </c>
      <c r="D108" s="30"/>
      <c r="E108" s="88"/>
      <c r="H108" s="8"/>
      <c r="M108" s="86"/>
    </row>
    <row r="109" spans="1:13" x14ac:dyDescent="0.25">
      <c r="A109" s="8">
        <f>A106+1</f>
        <v>419</v>
      </c>
      <c r="C109" s="6" t="s">
        <v>405</v>
      </c>
      <c r="E109" s="90">
        <v>-340843817</v>
      </c>
      <c r="F109" s="89" t="s">
        <v>404</v>
      </c>
      <c r="H109" s="8">
        <f>A109</f>
        <v>419</v>
      </c>
      <c r="M109" s="86"/>
    </row>
    <row r="110" spans="1:13" x14ac:dyDescent="0.25">
      <c r="E110" s="24"/>
      <c r="H110" s="8"/>
      <c r="M110" s="86"/>
    </row>
    <row r="111" spans="1:13" x14ac:dyDescent="0.25">
      <c r="A111" s="8">
        <f>A109+1</f>
        <v>420</v>
      </c>
      <c r="C111" s="30" t="s">
        <v>403</v>
      </c>
      <c r="E111" s="87">
        <f ca="1">E109+E106</f>
        <v>2554403064.468411</v>
      </c>
      <c r="F111" s="6" t="str">
        <f>"Line "&amp;A106&amp;" + Line "&amp;A109&amp;""</f>
        <v>Line 418 + Line 419</v>
      </c>
      <c r="H111" s="8">
        <f>A111</f>
        <v>420</v>
      </c>
      <c r="M111" s="86"/>
    </row>
    <row r="112" spans="1:13" x14ac:dyDescent="0.25">
      <c r="C112" s="30"/>
      <c r="D112" s="30"/>
      <c r="E112" s="88"/>
      <c r="H112" s="8"/>
      <c r="M112" s="86"/>
    </row>
    <row r="113" spans="1:13" x14ac:dyDescent="0.25">
      <c r="C113" s="44" t="s">
        <v>402</v>
      </c>
      <c r="D113" s="30"/>
      <c r="E113" s="88"/>
      <c r="H113" s="8"/>
      <c r="M113" s="86"/>
    </row>
    <row r="114" spans="1:13" x14ac:dyDescent="0.25">
      <c r="A114" s="8">
        <f>A111+1</f>
        <v>421</v>
      </c>
      <c r="C114" s="6" t="s">
        <v>152</v>
      </c>
      <c r="D114" s="30"/>
      <c r="E114" s="34">
        <f>'1-BaseTRR'!E188</f>
        <v>7.0843748718778061E-3</v>
      </c>
      <c r="F114" s="6" t="str">
        <f>CONCATENATE("1-BaseTRR, L. ",'1-BaseTRR'!A188)</f>
        <v>1-BaseTRR, L. 700</v>
      </c>
      <c r="H114" s="8">
        <f>A114</f>
        <v>421</v>
      </c>
      <c r="M114" s="86"/>
    </row>
    <row r="115" spans="1:13" x14ac:dyDescent="0.25">
      <c r="A115" s="8">
        <f>A114+1</f>
        <v>422</v>
      </c>
      <c r="C115" s="6" t="s">
        <v>150</v>
      </c>
      <c r="E115" s="88">
        <f ca="1">E114*E111</f>
        <v>18096348.882567674</v>
      </c>
      <c r="F115" s="6" t="str">
        <f>"Line "&amp;A111&amp;" * Line "&amp;A114&amp;""</f>
        <v>Line 420 * Line 421</v>
      </c>
      <c r="H115" s="8">
        <f>A115</f>
        <v>422</v>
      </c>
      <c r="M115" s="86"/>
    </row>
    <row r="116" spans="1:13" x14ac:dyDescent="0.25">
      <c r="A116" s="8">
        <f>A115+1</f>
        <v>423</v>
      </c>
      <c r="C116" s="6" t="s">
        <v>149</v>
      </c>
      <c r="E116" s="88">
        <f>+'23-RetailSGTax'!E39</f>
        <v>4154033.609587614</v>
      </c>
      <c r="F116" s="6" t="s">
        <v>401</v>
      </c>
      <c r="H116" s="8">
        <f>A116</f>
        <v>423</v>
      </c>
      <c r="M116" s="86"/>
    </row>
    <row r="117" spans="1:13" x14ac:dyDescent="0.25">
      <c r="H117" s="8"/>
      <c r="M117" s="86"/>
    </row>
    <row r="118" spans="1:13" x14ac:dyDescent="0.25">
      <c r="A118" s="8">
        <f>A116+1</f>
        <v>424</v>
      </c>
      <c r="C118" s="30" t="s">
        <v>73</v>
      </c>
      <c r="D118" s="30"/>
      <c r="E118" s="87">
        <f ca="1">E111+E115+E116</f>
        <v>2576653446.9605665</v>
      </c>
      <c r="F118" s="6" t="str">
        <f>"Line "&amp;A111&amp;" + Line "&amp;A115&amp;" + Line "&amp;A116&amp;""</f>
        <v>Line 420 + Line 422 + Line 423</v>
      </c>
      <c r="G118" s="6" t="s">
        <v>99</v>
      </c>
      <c r="H118" s="8">
        <f>A118</f>
        <v>424</v>
      </c>
      <c r="M118" s="86"/>
    </row>
    <row r="119" spans="1:13" x14ac:dyDescent="0.25">
      <c r="E119" s="51"/>
      <c r="H119" s="8"/>
      <c r="L119" s="24"/>
      <c r="M119" s="86"/>
    </row>
    <row r="120" spans="1:13" ht="15" customHeight="1" x14ac:dyDescent="0.25">
      <c r="C120" s="25" t="s">
        <v>145</v>
      </c>
      <c r="D120" s="71"/>
      <c r="E120" s="71"/>
      <c r="F120" s="71"/>
      <c r="G120" s="71"/>
      <c r="M120" s="86"/>
    </row>
    <row r="121" spans="1:13" ht="14.45" customHeight="1" x14ac:dyDescent="0.25">
      <c r="C121" s="6" t="s">
        <v>400</v>
      </c>
    </row>
    <row r="122" spans="1:13" x14ac:dyDescent="0.25">
      <c r="C122" s="6" t="s">
        <v>399</v>
      </c>
    </row>
    <row r="123" spans="1:13" ht="46.5" customHeight="1" x14ac:dyDescent="0.25">
      <c r="C123" s="6" t="s">
        <v>398</v>
      </c>
    </row>
    <row r="124" spans="1:13" ht="45" x14ac:dyDescent="0.25">
      <c r="C124" s="85" t="s">
        <v>397</v>
      </c>
      <c r="D124" s="85"/>
      <c r="E124" s="85"/>
      <c r="F124" s="85"/>
      <c r="G124" s="85"/>
    </row>
  </sheetData>
  <printOptions horizontalCentered="1"/>
  <pageMargins left="1" right="1" top="1" bottom="1" header="0.5" footer="0.5"/>
  <pageSetup scale="59" fitToHeight="3" orientation="landscape" r:id="rId1"/>
  <headerFooter>
    <oddHeader>&amp;R&amp;F</oddHeader>
  </headerFooter>
  <rowBreaks count="1" manualBreakCount="1">
    <brk id="52" max="8" man="1"/>
  </rowBreaks>
  <customProperties>
    <customPr name="_pios_id" r:id="rId2"/>
  </customProperti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ECB6FA-C6DE-410D-B021-1DAD4763358C}">
  <sheetPr>
    <pageSetUpPr fitToPage="1"/>
  </sheetPr>
  <dimension ref="A1:L155"/>
  <sheetViews>
    <sheetView view="pageBreakPreview" topLeftCell="A112" zoomScale="90" zoomScaleNormal="78" zoomScaleSheetLayoutView="90" workbookViewId="0">
      <selection activeCell="Q36" sqref="Q36"/>
    </sheetView>
  </sheetViews>
  <sheetFormatPr defaultColWidth="9.140625" defaultRowHeight="15" x14ac:dyDescent="0.25"/>
  <cols>
    <col min="1" max="1" width="7" style="6" bestFit="1" customWidth="1"/>
    <col min="2" max="2" width="19.85546875" style="6" customWidth="1"/>
    <col min="3" max="3" width="20.5703125" style="6" customWidth="1"/>
    <col min="4" max="4" width="17.140625" style="6" customWidth="1"/>
    <col min="5" max="5" width="19.85546875" style="6" customWidth="1"/>
    <col min="6" max="6" width="22.5703125" style="6" customWidth="1"/>
    <col min="7" max="7" width="25.42578125" style="6" bestFit="1" customWidth="1"/>
    <col min="8" max="8" width="16.85546875" style="6" customWidth="1"/>
    <col min="9" max="9" width="21.5703125" style="6" customWidth="1"/>
    <col min="10" max="10" width="23.140625" style="6" customWidth="1"/>
    <col min="11" max="11" width="25.42578125" style="6" bestFit="1" customWidth="1"/>
    <col min="12" max="12" width="7" style="6" bestFit="1" customWidth="1"/>
    <col min="13" max="16384" width="9.140625" style="6"/>
  </cols>
  <sheetData>
    <row r="1" spans="1:12" x14ac:dyDescent="0.25">
      <c r="B1" s="30" t="s">
        <v>567</v>
      </c>
      <c r="K1" s="76"/>
    </row>
    <row r="2" spans="1:12" x14ac:dyDescent="0.25">
      <c r="B2" s="30" t="s">
        <v>71</v>
      </c>
      <c r="K2" s="76" t="str">
        <f>CONCATENATE("Rate Year: ",'1-BaseTRR'!$G$2)</f>
        <v>Rate Year: 2027</v>
      </c>
    </row>
    <row r="3" spans="1:12" x14ac:dyDescent="0.25">
      <c r="B3" s="77" t="s">
        <v>367</v>
      </c>
      <c r="K3" s="76" t="str">
        <f>CONCATENATE("Prior Year: ",'1-BaseTRR'!$G$3)</f>
        <v>Prior Year: 2025</v>
      </c>
    </row>
    <row r="5" spans="1:12" x14ac:dyDescent="0.25">
      <c r="B5" s="83" t="s">
        <v>566</v>
      </c>
      <c r="C5" s="35"/>
      <c r="D5" s="35"/>
      <c r="E5" s="35"/>
      <c r="F5" s="35"/>
      <c r="G5" s="35"/>
      <c r="H5" s="35"/>
      <c r="I5" s="35"/>
      <c r="J5" s="35"/>
      <c r="K5" s="35"/>
    </row>
    <row r="6" spans="1:12" x14ac:dyDescent="0.25">
      <c r="B6" s="25" t="s">
        <v>413</v>
      </c>
    </row>
    <row r="7" spans="1:12" x14ac:dyDescent="0.25">
      <c r="B7" s="6" t="s">
        <v>565</v>
      </c>
    </row>
    <row r="8" spans="1:12" x14ac:dyDescent="0.25">
      <c r="B8" s="6" t="str">
        <f>"2) Input the Total Sales from the Prior Year FERC Form 1 on Line "&amp;A28&amp;".  The total on Line "&amp;A26&amp;", col 8, should match the total on Line "&amp;A28&amp;". "</f>
        <v xml:space="preserve">2) Input the Total Sales from the Prior Year FERC Form 1 on Line 113.  The total on Line 112, col 8, should match the total on Line 113. </v>
      </c>
    </row>
    <row r="9" spans="1:12" x14ac:dyDescent="0.25">
      <c r="B9" s="71"/>
      <c r="C9" s="71"/>
      <c r="D9" s="71"/>
      <c r="E9" s="71"/>
      <c r="F9" s="71"/>
      <c r="G9" s="71"/>
      <c r="H9" s="71"/>
      <c r="I9" s="71"/>
      <c r="J9" s="71"/>
      <c r="K9" s="71"/>
    </row>
    <row r="10" spans="1:12" x14ac:dyDescent="0.25">
      <c r="B10" s="30"/>
      <c r="C10" s="33" t="s">
        <v>492</v>
      </c>
      <c r="D10" s="33" t="s">
        <v>491</v>
      </c>
      <c r="E10" s="33" t="s">
        <v>490</v>
      </c>
      <c r="F10" s="33" t="s">
        <v>489</v>
      </c>
      <c r="G10" s="33" t="s">
        <v>519</v>
      </c>
      <c r="H10" s="33" t="s">
        <v>518</v>
      </c>
      <c r="I10" s="33" t="s">
        <v>517</v>
      </c>
      <c r="J10" s="33" t="s">
        <v>538</v>
      </c>
    </row>
    <row r="11" spans="1:12" x14ac:dyDescent="0.25">
      <c r="B11" s="30"/>
      <c r="C11" s="23" t="s">
        <v>99</v>
      </c>
      <c r="D11" s="23" t="s">
        <v>183</v>
      </c>
      <c r="E11" s="8"/>
      <c r="F11" s="8"/>
      <c r="G11" s="8"/>
      <c r="H11" s="8"/>
      <c r="I11" s="8"/>
      <c r="J11" s="23" t="s">
        <v>564</v>
      </c>
    </row>
    <row r="12" spans="1:12" x14ac:dyDescent="0.25">
      <c r="B12" s="30"/>
      <c r="C12" s="8" t="s">
        <v>531</v>
      </c>
      <c r="D12" s="8" t="s">
        <v>557</v>
      </c>
      <c r="E12" s="8"/>
      <c r="F12" s="8"/>
      <c r="G12" s="8" t="s">
        <v>563</v>
      </c>
      <c r="H12" s="8" t="s">
        <v>562</v>
      </c>
      <c r="I12" s="8"/>
      <c r="J12" s="23"/>
    </row>
    <row r="13" spans="1:12" x14ac:dyDescent="0.25">
      <c r="A13" s="33" t="s">
        <v>106</v>
      </c>
      <c r="B13" s="33" t="s">
        <v>483</v>
      </c>
      <c r="C13" s="33" t="s">
        <v>529</v>
      </c>
      <c r="D13" s="33" t="s">
        <v>529</v>
      </c>
      <c r="E13" s="33" t="s">
        <v>561</v>
      </c>
      <c r="F13" s="33" t="s">
        <v>560</v>
      </c>
      <c r="G13" s="33" t="s">
        <v>559</v>
      </c>
      <c r="H13" s="33" t="s">
        <v>558</v>
      </c>
      <c r="I13" s="33" t="s">
        <v>557</v>
      </c>
      <c r="J13" s="33" t="s">
        <v>556</v>
      </c>
      <c r="K13" s="33"/>
      <c r="L13" s="33" t="str">
        <f>A13</f>
        <v>Line</v>
      </c>
    </row>
    <row r="14" spans="1:12" x14ac:dyDescent="0.25">
      <c r="A14" s="8">
        <v>100</v>
      </c>
      <c r="B14" s="6" t="s">
        <v>555</v>
      </c>
      <c r="C14" s="120">
        <v>220387386</v>
      </c>
      <c r="D14" s="120">
        <v>-33580912</v>
      </c>
      <c r="E14" s="120">
        <v>733716446</v>
      </c>
      <c r="F14" s="120">
        <v>334669110</v>
      </c>
      <c r="G14" s="120">
        <v>146559784</v>
      </c>
      <c r="H14" s="120">
        <v>-10660708</v>
      </c>
      <c r="I14" s="120">
        <v>59768642</v>
      </c>
      <c r="J14" s="88">
        <f>SUM(C14:I14)</f>
        <v>1450859748</v>
      </c>
      <c r="K14" s="28"/>
      <c r="L14" s="8">
        <f>A14</f>
        <v>100</v>
      </c>
    </row>
    <row r="15" spans="1:12" x14ac:dyDescent="0.25">
      <c r="A15" s="8">
        <f>A14+1</f>
        <v>101</v>
      </c>
      <c r="B15" s="6" t="s">
        <v>554</v>
      </c>
      <c r="C15" s="120">
        <v>198453701.68000001</v>
      </c>
      <c r="D15" s="120">
        <v>-53866137.07</v>
      </c>
      <c r="E15" s="120">
        <v>646072733.15999997</v>
      </c>
      <c r="F15" s="120">
        <v>271075333.29000002</v>
      </c>
      <c r="G15" s="120">
        <v>123832772.91</v>
      </c>
      <c r="H15" s="120">
        <v>-1924887.47</v>
      </c>
      <c r="I15" s="120">
        <v>51797503.460000001</v>
      </c>
      <c r="J15" s="88">
        <f>SUM(C15:I15)</f>
        <v>1235441019.96</v>
      </c>
      <c r="K15" s="28"/>
      <c r="L15" s="8">
        <f>A15</f>
        <v>101</v>
      </c>
    </row>
    <row r="16" spans="1:12" x14ac:dyDescent="0.25">
      <c r="A16" s="8">
        <f>A15+1</f>
        <v>102</v>
      </c>
      <c r="B16" s="6" t="s">
        <v>553</v>
      </c>
      <c r="C16" s="120">
        <v>209278164.66999999</v>
      </c>
      <c r="D16" s="120">
        <v>-51009566.640000001</v>
      </c>
      <c r="E16" s="120">
        <v>686436812.12</v>
      </c>
      <c r="F16" s="120">
        <v>276950503.33999997</v>
      </c>
      <c r="G16" s="120">
        <v>134017210.45999999</v>
      </c>
      <c r="H16" s="120">
        <v>-2368142.9</v>
      </c>
      <c r="I16" s="120">
        <v>55505622.469999999</v>
      </c>
      <c r="J16" s="88">
        <f>SUM(C16:I16)</f>
        <v>1308810603.52</v>
      </c>
      <c r="K16" s="28"/>
      <c r="L16" s="8">
        <f>A16</f>
        <v>102</v>
      </c>
    </row>
    <row r="17" spans="1:12" x14ac:dyDescent="0.25">
      <c r="A17" s="8">
        <f>A16+1</f>
        <v>103</v>
      </c>
      <c r="B17" s="6" t="s">
        <v>552</v>
      </c>
      <c r="C17" s="120">
        <v>217652321.66</v>
      </c>
      <c r="D17" s="120">
        <v>-42322598.799999997</v>
      </c>
      <c r="E17" s="120">
        <v>351564445.77999997</v>
      </c>
      <c r="F17" s="120">
        <v>270883274.66000003</v>
      </c>
      <c r="G17" s="120">
        <v>136112827.77000001</v>
      </c>
      <c r="H17" s="120">
        <v>-2667834.7400000002</v>
      </c>
      <c r="I17" s="120">
        <v>56200047.420000002</v>
      </c>
      <c r="J17" s="88">
        <f>SUM(C17:I17)</f>
        <v>987422483.74999988</v>
      </c>
      <c r="K17" s="28"/>
      <c r="L17" s="8">
        <f>A17</f>
        <v>103</v>
      </c>
    </row>
    <row r="18" spans="1:12" x14ac:dyDescent="0.25">
      <c r="A18" s="8">
        <f>A17+1</f>
        <v>104</v>
      </c>
      <c r="B18" s="6" t="s">
        <v>474</v>
      </c>
      <c r="C18" s="120">
        <v>207642572.38999999</v>
      </c>
      <c r="D18" s="120">
        <v>-41146312.289999999</v>
      </c>
      <c r="E18" s="120">
        <v>701750275.94000006</v>
      </c>
      <c r="F18" s="120">
        <v>272117348.69</v>
      </c>
      <c r="G18" s="120">
        <v>133421680.7</v>
      </c>
      <c r="H18" s="120">
        <v>-2290674.64</v>
      </c>
      <c r="I18" s="120">
        <v>55275930.020000003</v>
      </c>
      <c r="J18" s="88">
        <f>SUM(C18:I18)</f>
        <v>1326770820.8099999</v>
      </c>
      <c r="K18" s="28"/>
      <c r="L18" s="8">
        <f>A18</f>
        <v>104</v>
      </c>
    </row>
    <row r="19" spans="1:12" x14ac:dyDescent="0.25">
      <c r="A19" s="8">
        <f>A18+1</f>
        <v>105</v>
      </c>
      <c r="B19" s="6" t="s">
        <v>551</v>
      </c>
      <c r="C19" s="120">
        <v>236599181.16</v>
      </c>
      <c r="D19" s="120">
        <v>-47319870.450000003</v>
      </c>
      <c r="E19" s="120">
        <v>852073656.09000003</v>
      </c>
      <c r="F19" s="120">
        <v>368552972.89999998</v>
      </c>
      <c r="G19" s="120">
        <v>153000670.91999999</v>
      </c>
      <c r="H19" s="120">
        <v>-2586734.2200000002</v>
      </c>
      <c r="I19" s="120">
        <v>63370763.200000003</v>
      </c>
      <c r="J19" s="88">
        <f>SUM(C19:I19)</f>
        <v>1623690639.5999999</v>
      </c>
      <c r="K19" s="28"/>
      <c r="L19" s="8">
        <f>A19</f>
        <v>105</v>
      </c>
    </row>
    <row r="20" spans="1:12" x14ac:dyDescent="0.25">
      <c r="A20" s="8">
        <f>A19+1</f>
        <v>106</v>
      </c>
      <c r="B20" s="6" t="s">
        <v>550</v>
      </c>
      <c r="C20" s="120">
        <v>267430791.84</v>
      </c>
      <c r="D20" s="120">
        <v>-54762840.590000004</v>
      </c>
      <c r="E20" s="120">
        <v>1104373779.3</v>
      </c>
      <c r="F20" s="120">
        <v>507410696.97000003</v>
      </c>
      <c r="G20" s="120">
        <v>175606791.44999999</v>
      </c>
      <c r="H20" s="120">
        <v>-3025467.31</v>
      </c>
      <c r="I20" s="120">
        <v>71891289.180000007</v>
      </c>
      <c r="J20" s="88">
        <f>SUM(C20:I20)</f>
        <v>2068925040.8400002</v>
      </c>
      <c r="K20" s="28"/>
      <c r="L20" s="8">
        <f>A20</f>
        <v>106</v>
      </c>
    </row>
    <row r="21" spans="1:12" x14ac:dyDescent="0.25">
      <c r="A21" s="8">
        <f>A20+1</f>
        <v>107</v>
      </c>
      <c r="B21" s="6" t="s">
        <v>549</v>
      </c>
      <c r="C21" s="120">
        <v>255819782.56999999</v>
      </c>
      <c r="D21" s="120">
        <v>-52751542.049999997</v>
      </c>
      <c r="E21" s="120">
        <v>1060776294.08</v>
      </c>
      <c r="F21" s="120">
        <v>487134335.88</v>
      </c>
      <c r="G21" s="120">
        <v>162192114.03</v>
      </c>
      <c r="H21" s="120">
        <v>-2320276.91</v>
      </c>
      <c r="I21" s="120">
        <v>67186386.159999996</v>
      </c>
      <c r="J21" s="88">
        <f>SUM(C21:I21)</f>
        <v>1978037093.76</v>
      </c>
      <c r="K21" s="28"/>
      <c r="L21" s="8">
        <f>A21</f>
        <v>107</v>
      </c>
    </row>
    <row r="22" spans="1:12" x14ac:dyDescent="0.25">
      <c r="A22" s="8">
        <f>A21+1</f>
        <v>108</v>
      </c>
      <c r="B22" s="6" t="s">
        <v>548</v>
      </c>
      <c r="C22" s="120">
        <v>266745816.33000001</v>
      </c>
      <c r="D22" s="120">
        <v>-55423834.509999998</v>
      </c>
      <c r="E22" s="120">
        <v>1084888184.73</v>
      </c>
      <c r="F22" s="120">
        <v>485731796.26999998</v>
      </c>
      <c r="G22" s="120">
        <v>167628392.69999999</v>
      </c>
      <c r="H22" s="120">
        <v>-2226892.64</v>
      </c>
      <c r="I22" s="120">
        <v>67087287.109999999</v>
      </c>
      <c r="J22" s="88">
        <f>SUM(C22:I22)</f>
        <v>2014430749.9899998</v>
      </c>
      <c r="K22" s="28"/>
      <c r="L22" s="8">
        <f>A22</f>
        <v>108</v>
      </c>
    </row>
    <row r="23" spans="1:12" x14ac:dyDescent="0.25">
      <c r="A23" s="8">
        <f>A22+1</f>
        <v>109</v>
      </c>
      <c r="B23" s="6" t="s">
        <v>547</v>
      </c>
      <c r="C23" s="120">
        <v>244018930.05000001</v>
      </c>
      <c r="D23" s="120">
        <v>-50154198.579999998</v>
      </c>
      <c r="E23" s="120">
        <v>560351819.38999999</v>
      </c>
      <c r="F23" s="120">
        <v>391410488.30000001</v>
      </c>
      <c r="G23" s="120">
        <v>154615403.90000001</v>
      </c>
      <c r="H23" s="120">
        <v>-1969265.37</v>
      </c>
      <c r="I23" s="120">
        <v>60881680.310000002</v>
      </c>
      <c r="J23" s="88">
        <f>SUM(C23:I23)</f>
        <v>1359154858.0000002</v>
      </c>
      <c r="K23" s="28"/>
      <c r="L23" s="8">
        <f>A23</f>
        <v>109</v>
      </c>
    </row>
    <row r="24" spans="1:12" x14ac:dyDescent="0.25">
      <c r="A24" s="8">
        <f>A23+1</f>
        <v>110</v>
      </c>
      <c r="B24" s="6" t="s">
        <v>546</v>
      </c>
      <c r="C24" s="120">
        <v>184089882.47</v>
      </c>
      <c r="D24" s="120">
        <v>-37726493.009999998</v>
      </c>
      <c r="E24" s="120">
        <v>568023643.32000005</v>
      </c>
      <c r="F24" s="120">
        <v>238664124.21000001</v>
      </c>
      <c r="G24" s="120">
        <v>117739541.20999999</v>
      </c>
      <c r="H24" s="120">
        <v>-1421458.09</v>
      </c>
      <c r="I24" s="120">
        <v>41887580.880000003</v>
      </c>
      <c r="J24" s="88">
        <f>SUM(C24:I24)</f>
        <v>1111256820.9900002</v>
      </c>
      <c r="K24" s="28"/>
      <c r="L24" s="8">
        <f>A24</f>
        <v>110</v>
      </c>
    </row>
    <row r="25" spans="1:12" x14ac:dyDescent="0.25">
      <c r="A25" s="8">
        <f>A24+1</f>
        <v>111</v>
      </c>
      <c r="B25" s="6" t="s">
        <v>545</v>
      </c>
      <c r="C25" s="120">
        <v>241434597.49000001</v>
      </c>
      <c r="D25" s="120">
        <v>-51075704.609999999</v>
      </c>
      <c r="E25" s="120">
        <v>757167687.87</v>
      </c>
      <c r="F25" s="120">
        <v>306274120.13</v>
      </c>
      <c r="G25" s="120">
        <v>150239840.66999999</v>
      </c>
      <c r="H25" s="120">
        <v>-1683644.68</v>
      </c>
      <c r="I25" s="120">
        <v>56000785.979999997</v>
      </c>
      <c r="J25" s="88">
        <f>SUM(C25:I25)</f>
        <v>1458357682.8500001</v>
      </c>
      <c r="K25" s="28"/>
      <c r="L25" s="8">
        <f>A25</f>
        <v>111</v>
      </c>
    </row>
    <row r="26" spans="1:12" x14ac:dyDescent="0.25">
      <c r="A26" s="8">
        <f>A25+1</f>
        <v>112</v>
      </c>
      <c r="B26" s="6" t="s">
        <v>544</v>
      </c>
      <c r="C26" s="87">
        <f>SUM(C14:C25)</f>
        <v>2749553128.3099995</v>
      </c>
      <c r="D26" s="87">
        <f>SUM(D14:D25)</f>
        <v>-571140010.60000002</v>
      </c>
      <c r="E26" s="87">
        <f>SUM(E14:E25)</f>
        <v>9107195777.7799988</v>
      </c>
      <c r="F26" s="87">
        <f>SUM(F14:F25)</f>
        <v>4210874104.6400008</v>
      </c>
      <c r="G26" s="87">
        <f>SUM(G14:G25)</f>
        <v>1754967030.7200003</v>
      </c>
      <c r="H26" s="87">
        <f>SUM(H14:H25)</f>
        <v>-35145986.969999999</v>
      </c>
      <c r="I26" s="87">
        <f>SUM(I14:I25)</f>
        <v>706853518.18999994</v>
      </c>
      <c r="J26" s="87">
        <f>SUM(J14:J25)</f>
        <v>17923157562.07</v>
      </c>
      <c r="K26" s="28"/>
      <c r="L26" s="8">
        <f>A26</f>
        <v>112</v>
      </c>
    </row>
    <row r="27" spans="1:12" x14ac:dyDescent="0.25">
      <c r="A27" s="8"/>
      <c r="L27" s="8"/>
    </row>
    <row r="28" spans="1:12" x14ac:dyDescent="0.25">
      <c r="A28" s="8">
        <f>A26+1</f>
        <v>113</v>
      </c>
      <c r="I28" s="76" t="s">
        <v>543</v>
      </c>
      <c r="J28" s="90">
        <v>17923098590</v>
      </c>
      <c r="L28" s="8">
        <f>A28</f>
        <v>113</v>
      </c>
    </row>
    <row r="29" spans="1:12" x14ac:dyDescent="0.25">
      <c r="J29" s="24"/>
      <c r="L29" s="8"/>
    </row>
    <row r="30" spans="1:12" x14ac:dyDescent="0.25">
      <c r="B30" s="83" t="s">
        <v>542</v>
      </c>
      <c r="C30" s="35"/>
      <c r="D30" s="35"/>
      <c r="E30" s="35"/>
      <c r="F30" s="35"/>
      <c r="G30" s="35"/>
      <c r="H30" s="35"/>
      <c r="I30" s="35"/>
      <c r="J30" s="35"/>
      <c r="K30" s="35"/>
    </row>
    <row r="31" spans="1:12" x14ac:dyDescent="0.25">
      <c r="B31" s="25" t="s">
        <v>413</v>
      </c>
    </row>
    <row r="32" spans="1:12" ht="14.45" customHeight="1" x14ac:dyDescent="0.25">
      <c r="B32" s="6" t="str">
        <f>"1) Input any corrections or adjustments from previous Annual Update Filings on Line "&amp;A44&amp;". Input the Corrected Principle in "&amp;G38&amp;" and the Accumulated Interest in "&amp;J38&amp;". A workpaper must accompany any correction or adjustment."</f>
        <v>1) Input any corrections or adjustments from previous Annual Update Filings on Line 201. Input the Corrected Principle in Col 5 and the Accumulated Interest in Col 8. A workpaper must accompany any correction or adjustment.</v>
      </c>
    </row>
    <row r="33" spans="1:12" x14ac:dyDescent="0.25">
      <c r="B33" s="6" t="s">
        <v>541</v>
      </c>
    </row>
    <row r="34" spans="1:12" x14ac:dyDescent="0.25">
      <c r="B34" s="30"/>
    </row>
    <row r="35" spans="1:12" x14ac:dyDescent="0.25">
      <c r="A35" s="33" t="s">
        <v>106</v>
      </c>
      <c r="B35" s="33" t="s">
        <v>540</v>
      </c>
      <c r="C35" s="33" t="s">
        <v>539</v>
      </c>
      <c r="L35" s="33" t="str">
        <f>A35</f>
        <v>Line</v>
      </c>
    </row>
    <row r="36" spans="1:12" x14ac:dyDescent="0.25">
      <c r="A36" s="8">
        <v>200</v>
      </c>
      <c r="B36" s="46">
        <f ca="1">'3-True-upTRR'!$E$118</f>
        <v>2576653446.9605665</v>
      </c>
      <c r="C36" s="38" t="str">
        <f>"3-True-up TRR, L. "&amp;'3-True-upTRR'!$A$118&amp;""</f>
        <v>3-True-up TRR, L. 424</v>
      </c>
      <c r="L36" s="8">
        <f>A36</f>
        <v>200</v>
      </c>
    </row>
    <row r="37" spans="1:12" x14ac:dyDescent="0.25">
      <c r="A37" s="8"/>
    </row>
    <row r="38" spans="1:12" x14ac:dyDescent="0.25">
      <c r="A38" s="8"/>
      <c r="B38" s="8"/>
      <c r="C38" s="33" t="s">
        <v>492</v>
      </c>
      <c r="D38" s="33" t="s">
        <v>491</v>
      </c>
      <c r="E38" s="33" t="s">
        <v>490</v>
      </c>
      <c r="F38" s="33" t="s">
        <v>489</v>
      </c>
      <c r="G38" s="33" t="s">
        <v>519</v>
      </c>
      <c r="H38" s="33" t="s">
        <v>518</v>
      </c>
      <c r="I38" s="33" t="s">
        <v>517</v>
      </c>
      <c r="J38" s="33" t="s">
        <v>538</v>
      </c>
      <c r="K38" s="33" t="s">
        <v>537</v>
      </c>
    </row>
    <row r="39" spans="1:12" x14ac:dyDescent="0.25">
      <c r="A39" s="8"/>
      <c r="B39" s="8"/>
      <c r="C39" s="8"/>
      <c r="D39" s="23" t="s">
        <v>157</v>
      </c>
      <c r="E39" s="23" t="s">
        <v>350</v>
      </c>
      <c r="F39" s="23" t="str">
        <f>""&amp;D38&amp;" - "&amp;E38&amp;""</f>
        <v>Col 2 - Col 3</v>
      </c>
      <c r="G39" s="23" t="s">
        <v>536</v>
      </c>
      <c r="H39" s="23" t="s">
        <v>535</v>
      </c>
      <c r="I39" s="23" t="s">
        <v>534</v>
      </c>
      <c r="J39" s="23" t="s">
        <v>533</v>
      </c>
      <c r="K39" s="23" t="str">
        <f>""&amp;G38&amp;" + "&amp;J38&amp;""</f>
        <v>Col 5 + Col 8</v>
      </c>
    </row>
    <row r="40" spans="1:12" x14ac:dyDescent="0.25">
      <c r="A40" s="8"/>
      <c r="B40" s="8"/>
      <c r="C40" s="8"/>
      <c r="D40" s="8"/>
      <c r="E40" s="8"/>
      <c r="F40" s="8"/>
      <c r="G40" s="8" t="s">
        <v>532</v>
      </c>
      <c r="H40" s="8"/>
      <c r="I40" s="8"/>
      <c r="J40" s="8"/>
      <c r="K40" s="8" t="s">
        <v>532</v>
      </c>
    </row>
    <row r="41" spans="1:12" x14ac:dyDescent="0.25">
      <c r="A41" s="8"/>
      <c r="B41" s="8"/>
      <c r="C41" s="8"/>
      <c r="D41" s="8" t="s">
        <v>531</v>
      </c>
      <c r="E41" s="8" t="s">
        <v>531</v>
      </c>
      <c r="F41" s="8" t="s">
        <v>531</v>
      </c>
      <c r="G41" s="8" t="s">
        <v>530</v>
      </c>
      <c r="H41" s="8"/>
      <c r="I41" s="8"/>
      <c r="J41" s="8"/>
      <c r="K41" s="8" t="s">
        <v>530</v>
      </c>
    </row>
    <row r="42" spans="1:12" x14ac:dyDescent="0.25">
      <c r="A42" s="8"/>
      <c r="B42" s="8"/>
      <c r="C42" s="8"/>
      <c r="D42" s="8" t="s">
        <v>527</v>
      </c>
      <c r="E42" s="8" t="s">
        <v>529</v>
      </c>
      <c r="F42" s="8" t="s">
        <v>528</v>
      </c>
      <c r="G42" s="8" t="s">
        <v>525</v>
      </c>
      <c r="H42" s="8" t="s">
        <v>511</v>
      </c>
      <c r="I42" s="8" t="s">
        <v>527</v>
      </c>
      <c r="J42" s="8" t="s">
        <v>526</v>
      </c>
      <c r="K42" s="8" t="s">
        <v>525</v>
      </c>
    </row>
    <row r="43" spans="1:12" x14ac:dyDescent="0.25">
      <c r="A43" s="8"/>
      <c r="B43" s="33" t="s">
        <v>483</v>
      </c>
      <c r="C43" s="33" t="s">
        <v>510</v>
      </c>
      <c r="D43" s="33" t="s">
        <v>486</v>
      </c>
      <c r="E43" s="33" t="s">
        <v>524</v>
      </c>
      <c r="F43" s="33" t="s">
        <v>523</v>
      </c>
      <c r="G43" s="33" t="s">
        <v>507</v>
      </c>
      <c r="H43" s="119" t="s">
        <v>505</v>
      </c>
      <c r="I43" s="33" t="s">
        <v>522</v>
      </c>
      <c r="J43" s="33" t="s">
        <v>522</v>
      </c>
      <c r="K43" s="33" t="s">
        <v>521</v>
      </c>
    </row>
    <row r="44" spans="1:12" x14ac:dyDescent="0.25">
      <c r="A44" s="8">
        <f>A36+1</f>
        <v>201</v>
      </c>
      <c r="B44" s="6" t="s">
        <v>467</v>
      </c>
      <c r="C44" s="23">
        <f>C45-1</f>
        <v>2024</v>
      </c>
      <c r="D44" s="23" t="s">
        <v>408</v>
      </c>
      <c r="E44" s="23" t="s">
        <v>408</v>
      </c>
      <c r="F44" s="23" t="s">
        <v>408</v>
      </c>
      <c r="G44" s="90">
        <v>-2082186.2689896524</v>
      </c>
      <c r="H44" s="23" t="s">
        <v>408</v>
      </c>
      <c r="I44" s="23" t="s">
        <v>408</v>
      </c>
      <c r="J44" s="90">
        <v>-88612.490000002086</v>
      </c>
      <c r="K44" s="88">
        <f>ROUND((G44+J44),2)</f>
        <v>-2170798.7599999998</v>
      </c>
      <c r="L44" s="8">
        <f>A44</f>
        <v>201</v>
      </c>
    </row>
    <row r="45" spans="1:12" x14ac:dyDescent="0.25">
      <c r="A45" s="8">
        <f>A44+1</f>
        <v>202</v>
      </c>
      <c r="B45" s="6" t="s">
        <v>478</v>
      </c>
      <c r="C45" s="23">
        <f>'1-BaseTRR'!$G$3</f>
        <v>2025</v>
      </c>
      <c r="D45" s="88">
        <f ca="1">IF($D$110="No",$B$36*D116,IF(F116="No",0,IF(F116="Yes",D116*$B$36,0)))</f>
        <v>208267668.41640034</v>
      </c>
      <c r="E45" s="88">
        <f>IF($D$110="No",C14,IF(F116="No",0,IF(F116="Yes",C14,0)))</f>
        <v>220387386</v>
      </c>
      <c r="F45" s="88">
        <f ca="1">D45-E45</f>
        <v>-12119717.583599657</v>
      </c>
      <c r="G45" s="88">
        <f ca="1">F45+G44</f>
        <v>-14201903.852589309</v>
      </c>
      <c r="H45" s="118">
        <v>8.0399999999999999E-2</v>
      </c>
      <c r="I45" s="88">
        <f ca="1">ROUND((F45/2+K44)*H45/12,2)</f>
        <v>-55145.41</v>
      </c>
      <c r="J45" s="88">
        <f ca="1">I45+J44</f>
        <v>-143757.90000000209</v>
      </c>
      <c r="K45" s="88">
        <f ca="1">ROUND((G45+J45),2)</f>
        <v>-14345661.75</v>
      </c>
      <c r="L45" s="8">
        <f>A45</f>
        <v>202</v>
      </c>
    </row>
    <row r="46" spans="1:12" x14ac:dyDescent="0.25">
      <c r="A46" s="8">
        <f>A45+1</f>
        <v>203</v>
      </c>
      <c r="B46" s="6" t="s">
        <v>477</v>
      </c>
      <c r="C46" s="23">
        <f>'1-BaseTRR'!$G$3</f>
        <v>2025</v>
      </c>
      <c r="D46" s="88">
        <f ca="1">IF($D$110="No",$B$36*D117,IF(F117="No",0,IF(F117="Yes",D117*$B$36,0)))</f>
        <v>183367289.16937232</v>
      </c>
      <c r="E46" s="88">
        <f>IF($D$110="No",C15,IF(F117="No",0,IF(F117="Yes",C15,0)))</f>
        <v>198453701.68000001</v>
      </c>
      <c r="F46" s="88">
        <f ca="1">D46-E46</f>
        <v>-15086412.510627687</v>
      </c>
      <c r="G46" s="88">
        <f ca="1">F46+G45</f>
        <v>-29288316.363216996</v>
      </c>
      <c r="H46" s="118">
        <v>8.0399999999999999E-2</v>
      </c>
      <c r="I46" s="88">
        <f ca="1">ROUND((F46/2+K45)*H46/12,2)</f>
        <v>-146655.42000000001</v>
      </c>
      <c r="J46" s="88">
        <f ca="1">I46+J45</f>
        <v>-290413.3200000021</v>
      </c>
      <c r="K46" s="88">
        <f ca="1">ROUND((G46+J46),2)</f>
        <v>-29578729.68</v>
      </c>
      <c r="L46" s="8">
        <f>A46</f>
        <v>203</v>
      </c>
    </row>
    <row r="47" spans="1:12" x14ac:dyDescent="0.25">
      <c r="A47" s="8">
        <f>A46+1</f>
        <v>204</v>
      </c>
      <c r="B47" s="6" t="s">
        <v>476</v>
      </c>
      <c r="C47" s="23">
        <f>'1-BaseTRR'!$G$3</f>
        <v>2025</v>
      </c>
      <c r="D47" s="88">
        <f ca="1">IF($D$110="No",$B$36*D118,IF(F118="No",0,IF(F118="Yes",D118*$B$36,0)))</f>
        <v>194233874.46247649</v>
      </c>
      <c r="E47" s="88">
        <f>IF($D$110="No",C16,IF(F118="No",0,IF(F118="Yes",C16,0)))</f>
        <v>209278164.66999999</v>
      </c>
      <c r="F47" s="88">
        <f ca="1">D47-E47</f>
        <v>-15044290.207523495</v>
      </c>
      <c r="G47" s="88">
        <f ca="1">F47+G46</f>
        <v>-44332606.570740491</v>
      </c>
      <c r="H47" s="118">
        <v>8.0399999999999999E-2</v>
      </c>
      <c r="I47" s="88">
        <f ca="1">ROUND((F47/2+K46)*H47/12,2)</f>
        <v>-248575.86</v>
      </c>
      <c r="J47" s="88">
        <f ca="1">I47+J46</f>
        <v>-538989.18000000203</v>
      </c>
      <c r="K47" s="88">
        <f ca="1">ROUND((G47+J47),2)</f>
        <v>-44871595.75</v>
      </c>
      <c r="L47" s="8">
        <f>A47</f>
        <v>204</v>
      </c>
    </row>
    <row r="48" spans="1:12" x14ac:dyDescent="0.25">
      <c r="A48" s="8">
        <f>A47+1</f>
        <v>205</v>
      </c>
      <c r="B48" s="6" t="s">
        <v>475</v>
      </c>
      <c r="C48" s="23">
        <f>'1-BaseTRR'!$G$3</f>
        <v>2025</v>
      </c>
      <c r="D48" s="88">
        <f ca="1">IF($D$110="No",$B$36*D119,IF(F119="No",0,IF(F119="Yes",D119*$B$36,0)))</f>
        <v>190098410.11595342</v>
      </c>
      <c r="E48" s="88">
        <f>IF($D$110="No",C17,IF(F119="No",0,IF(F119="Yes",C17,0)))</f>
        <v>217652321.66</v>
      </c>
      <c r="F48" s="88">
        <f ca="1">D48-E48</f>
        <v>-27553911.544046581</v>
      </c>
      <c r="G48" s="88">
        <f ca="1">F48+G47</f>
        <v>-71886518.114787072</v>
      </c>
      <c r="H48" s="118">
        <v>7.5499999999999998E-2</v>
      </c>
      <c r="I48" s="88">
        <f ca="1">ROUND((F48/2+K47)*H48/12,2)</f>
        <v>-368997.14</v>
      </c>
      <c r="J48" s="88">
        <f ca="1">I48+J47</f>
        <v>-907986.32000000204</v>
      </c>
      <c r="K48" s="88">
        <f ca="1">ROUND((G48+J48),2)</f>
        <v>-72794504.430000007</v>
      </c>
      <c r="L48" s="8">
        <f>A48</f>
        <v>205</v>
      </c>
    </row>
    <row r="49" spans="1:12" x14ac:dyDescent="0.25">
      <c r="A49" s="8">
        <f>A48+1</f>
        <v>206</v>
      </c>
      <c r="B49" s="6" t="s">
        <v>474</v>
      </c>
      <c r="C49" s="23">
        <f>'1-BaseTRR'!$G$3</f>
        <v>2025</v>
      </c>
      <c r="D49" s="88">
        <f ca="1">IF($D$110="No",$B$36*D120,IF(F120="No",0,IF(F120="Yes",D120*$B$36,0)))</f>
        <v>214646534.97406003</v>
      </c>
      <c r="E49" s="88">
        <f>IF($D$110="No",C18,IF(F120="No",0,IF(F120="Yes",C18,0)))</f>
        <v>207642572.38999999</v>
      </c>
      <c r="F49" s="88">
        <f ca="1">D49-E49</f>
        <v>7003962.5840600431</v>
      </c>
      <c r="G49" s="88">
        <f ca="1">F49+G48</f>
        <v>-64882555.530727029</v>
      </c>
      <c r="H49" s="118">
        <v>7.5499999999999998E-2</v>
      </c>
      <c r="I49" s="88">
        <f ca="1">ROUND((F49/2+K48)*H49/12,2)</f>
        <v>-435965.46</v>
      </c>
      <c r="J49" s="88">
        <f ca="1">I49+J48</f>
        <v>-1343951.7800000021</v>
      </c>
      <c r="K49" s="88">
        <f ca="1">ROUND((G49+J49),2)</f>
        <v>-66226507.310000002</v>
      </c>
      <c r="L49" s="8">
        <f>A49</f>
        <v>206</v>
      </c>
    </row>
    <row r="50" spans="1:12" x14ac:dyDescent="0.25">
      <c r="A50" s="8">
        <f>A49+1</f>
        <v>207</v>
      </c>
      <c r="B50" s="6" t="s">
        <v>473</v>
      </c>
      <c r="C50" s="23">
        <f>'1-BaseTRR'!$G$3</f>
        <v>2025</v>
      </c>
      <c r="D50" s="88">
        <f ca="1">IF($D$110="No",$B$36*D121,IF(F121="No",0,IF(F121="Yes",D121*$B$36,0)))</f>
        <v>228765848.72001883</v>
      </c>
      <c r="E50" s="88">
        <f>IF($D$110="No",C19,IF(F121="No",0,IF(F121="Yes",C19,0)))</f>
        <v>236599181.16</v>
      </c>
      <c r="F50" s="88">
        <f ca="1">D50-E50</f>
        <v>-7833332.4399811625</v>
      </c>
      <c r="G50" s="88">
        <f ca="1">F50+G49</f>
        <v>-72715887.970708191</v>
      </c>
      <c r="H50" s="118">
        <v>7.5499999999999998E-2</v>
      </c>
      <c r="I50" s="88">
        <f ca="1">ROUND((F50/2+K49)*H50/12,2)</f>
        <v>-441317.47</v>
      </c>
      <c r="J50" s="88">
        <f ca="1">I50+J49</f>
        <v>-1785269.2500000021</v>
      </c>
      <c r="K50" s="88">
        <f ca="1">ROUND((G50+J50),2)</f>
        <v>-74501157.219999999</v>
      </c>
      <c r="L50" s="8">
        <f>A50</f>
        <v>207</v>
      </c>
    </row>
    <row r="51" spans="1:12" x14ac:dyDescent="0.25">
      <c r="A51" s="8">
        <f>A50+1</f>
        <v>208</v>
      </c>
      <c r="B51" s="6" t="s">
        <v>472</v>
      </c>
      <c r="C51" s="23">
        <f>'1-BaseTRR'!$G$3</f>
        <v>2025</v>
      </c>
      <c r="D51" s="88">
        <f ca="1">IF($D$110="No",$B$36*D122,IF(F122="No",0,IF(F122="Yes",D122*$B$36,0)))</f>
        <v>247017479.16418046</v>
      </c>
      <c r="E51" s="88">
        <f>IF($D$110="No",C20,IF(F122="No",0,IF(F122="Yes",C20,0)))</f>
        <v>267430791.84</v>
      </c>
      <c r="F51" s="88">
        <f ca="1">D51-E51</f>
        <v>-20413312.675819546</v>
      </c>
      <c r="G51" s="88">
        <f ca="1">F51+G50</f>
        <v>-93129200.646527737</v>
      </c>
      <c r="H51" s="118">
        <v>7.4999999999999997E-2</v>
      </c>
      <c r="I51" s="88">
        <f ca="1">ROUND((F51/2+K50)*H51/12,2)</f>
        <v>-529423.82999999996</v>
      </c>
      <c r="J51" s="88">
        <f ca="1">I51+J50</f>
        <v>-2314693.0800000019</v>
      </c>
      <c r="K51" s="88">
        <f ca="1">ROUND((G51+J51),2)</f>
        <v>-95443893.730000004</v>
      </c>
      <c r="L51" s="8">
        <f>A51</f>
        <v>208</v>
      </c>
    </row>
    <row r="52" spans="1:12" x14ac:dyDescent="0.25">
      <c r="A52" s="8">
        <f>A51+1</f>
        <v>209</v>
      </c>
      <c r="B52" s="6" t="s">
        <v>471</v>
      </c>
      <c r="C52" s="23">
        <f>'1-BaseTRR'!$G$3</f>
        <v>2025</v>
      </c>
      <c r="D52" s="88">
        <f ca="1">IF($D$110="No",$B$36*D123,IF(F123="No",0,IF(F123="Yes",D123*$B$36,0)))</f>
        <v>260330638.91481516</v>
      </c>
      <c r="E52" s="88">
        <f>IF($D$110="No",C21,IF(F123="No",0,IF(F123="Yes",C21,0)))</f>
        <v>255819782.56999999</v>
      </c>
      <c r="F52" s="88">
        <f ca="1">D52-E52</f>
        <v>4510856.3448151648</v>
      </c>
      <c r="G52" s="88">
        <f ca="1">F52+G51</f>
        <v>-88618344.301712573</v>
      </c>
      <c r="H52" s="118">
        <v>7.4999999999999997E-2</v>
      </c>
      <c r="I52" s="88">
        <f ca="1">ROUND((F52/2+K51)*H52/12,2)</f>
        <v>-582427.91</v>
      </c>
      <c r="J52" s="88">
        <f ca="1">I52+J51</f>
        <v>-2897120.9900000021</v>
      </c>
      <c r="K52" s="88">
        <f ca="1">ROUND((G52+J52),2)</f>
        <v>-91515465.290000007</v>
      </c>
      <c r="L52" s="8">
        <f>A52</f>
        <v>209</v>
      </c>
    </row>
    <row r="53" spans="1:12" x14ac:dyDescent="0.25">
      <c r="A53" s="8">
        <f>A52+1</f>
        <v>210</v>
      </c>
      <c r="B53" s="6" t="s">
        <v>470</v>
      </c>
      <c r="C53" s="23">
        <f>'1-BaseTRR'!$G$3</f>
        <v>2025</v>
      </c>
      <c r="D53" s="88">
        <f ca="1">IF($D$110="No",$B$36*D124,IF(F124="No",0,IF(F124="Yes",D124*$B$36,0)))</f>
        <v>236953614.48751014</v>
      </c>
      <c r="E53" s="88">
        <f>IF($D$110="No",C22,IF(F124="No",0,IF(F124="Yes",C22,0)))</f>
        <v>266745816.33000001</v>
      </c>
      <c r="F53" s="88">
        <f ca="1">D53-E53</f>
        <v>-29792201.842489868</v>
      </c>
      <c r="G53" s="88">
        <f ca="1">F53+G52</f>
        <v>-118410546.14420244</v>
      </c>
      <c r="H53" s="118">
        <v>7.4999999999999997E-2</v>
      </c>
      <c r="I53" s="88">
        <f ca="1">ROUND((F53/2+K52)*H53/12,2)</f>
        <v>-665072.29</v>
      </c>
      <c r="J53" s="88">
        <f ca="1">I53+J52</f>
        <v>-3562193.2800000021</v>
      </c>
      <c r="K53" s="88">
        <f ca="1">ROUND((G53+J53),2)</f>
        <v>-121972739.42</v>
      </c>
      <c r="L53" s="8">
        <f>A53</f>
        <v>210</v>
      </c>
    </row>
    <row r="54" spans="1:12" x14ac:dyDescent="0.25">
      <c r="A54" s="8">
        <f>A53+1</f>
        <v>211</v>
      </c>
      <c r="B54" s="6" t="s">
        <v>469</v>
      </c>
      <c r="C54" s="23">
        <f>'1-BaseTRR'!$G$3</f>
        <v>2025</v>
      </c>
      <c r="D54" s="88">
        <f ca="1">IF($D$110="No",$B$36*D125,IF(F125="No",0,IF(F125="Yes",D125*$B$36,0)))</f>
        <v>204600653.91818485</v>
      </c>
      <c r="E54" s="88">
        <f>IF($D$110="No",C23,IF(F125="No",0,IF(F125="Yes",C23,0)))</f>
        <v>244018930.05000001</v>
      </c>
      <c r="F54" s="88">
        <f ca="1">D54-E54</f>
        <v>-39418276.131815165</v>
      </c>
      <c r="G54" s="88">
        <f ca="1">F54+G53</f>
        <v>-157828822.27601761</v>
      </c>
      <c r="H54" s="118">
        <v>7.4999999999999997E-2</v>
      </c>
      <c r="I54" s="88">
        <f ca="1">ROUND((F54/2+K53)*H54/12,2)</f>
        <v>-885511.73</v>
      </c>
      <c r="J54" s="88">
        <f ca="1">I54+J53</f>
        <v>-4447705.0100000016</v>
      </c>
      <c r="K54" s="88">
        <f ca="1">ROUND((G54+J54),2)</f>
        <v>-162276527.28999999</v>
      </c>
      <c r="L54" s="8">
        <f>A54</f>
        <v>211</v>
      </c>
    </row>
    <row r="55" spans="1:12" x14ac:dyDescent="0.25">
      <c r="A55" s="8">
        <f>A54+1</f>
        <v>212</v>
      </c>
      <c r="B55" s="6" t="s">
        <v>468</v>
      </c>
      <c r="C55" s="23">
        <f>'1-BaseTRR'!$G$3</f>
        <v>2025</v>
      </c>
      <c r="D55" s="88">
        <f ca="1">IF($D$110="No",$B$36*D126,IF(F126="No",0,IF(F126="Yes",D126*$B$36,0)))</f>
        <v>193310730.4425405</v>
      </c>
      <c r="E55" s="88">
        <f>IF($D$110="No",C24,IF(F126="No",0,IF(F126="Yes",C24,0)))</f>
        <v>184089882.47</v>
      </c>
      <c r="F55" s="88">
        <f ca="1">D55-E55</f>
        <v>9220847.9725404978</v>
      </c>
      <c r="G55" s="88">
        <f ca="1">F55+G54</f>
        <v>-148607974.30347711</v>
      </c>
      <c r="H55" s="118">
        <v>7.4999999999999997E-2</v>
      </c>
      <c r="I55" s="88">
        <f ca="1">ROUND((F55/2+K54)*H55/12,2)</f>
        <v>-985413.15</v>
      </c>
      <c r="J55" s="88">
        <f ca="1">I55+J54</f>
        <v>-5433118.160000002</v>
      </c>
      <c r="K55" s="88">
        <f ca="1">ROUND((G55+J55),2)</f>
        <v>-154041092.46000001</v>
      </c>
      <c r="L55" s="8">
        <f>A55</f>
        <v>212</v>
      </c>
    </row>
    <row r="56" spans="1:12" x14ac:dyDescent="0.25">
      <c r="A56" s="8">
        <f>A55+1</f>
        <v>213</v>
      </c>
      <c r="B56" s="6" t="s">
        <v>467</v>
      </c>
      <c r="C56" s="23">
        <f>'1-BaseTRR'!$G$3</f>
        <v>2025</v>
      </c>
      <c r="D56" s="88">
        <f ca="1">IF($D$110="No",$B$36*D127,IF(F127="No",0,IF(F127="Yes",D127*$B$36,0)))</f>
        <v>215060704.17505381</v>
      </c>
      <c r="E56" s="88">
        <f>IF($D$110="No",C25,IF(F127="No",0,IF(F127="Yes",C25,0)))</f>
        <v>241434597.49000001</v>
      </c>
      <c r="F56" s="88">
        <f ca="1">D56-E56</f>
        <v>-26373893.314946204</v>
      </c>
      <c r="G56" s="88">
        <f ca="1">F56+G55</f>
        <v>-174981867.61842331</v>
      </c>
      <c r="H56" s="118">
        <v>7.4999999999999997E-2</v>
      </c>
      <c r="I56" s="88">
        <f ca="1">ROUND((F56/2+K55)*H56/12,2)</f>
        <v>-1045175.24</v>
      </c>
      <c r="J56" s="88">
        <f ca="1">I56+J55</f>
        <v>-6478293.4000000022</v>
      </c>
      <c r="K56" s="88">
        <f ca="1">ROUND((G56+J56),2)</f>
        <v>-181460161.02000001</v>
      </c>
      <c r="L56" s="8">
        <f>A56</f>
        <v>213</v>
      </c>
    </row>
    <row r="57" spans="1:12" x14ac:dyDescent="0.25">
      <c r="A57" s="8">
        <f>A56+1</f>
        <v>214</v>
      </c>
      <c r="B57" s="6" t="s">
        <v>478</v>
      </c>
      <c r="C57" s="23">
        <f>C56+1</f>
        <v>2026</v>
      </c>
      <c r="D57" s="23" t="s">
        <v>408</v>
      </c>
      <c r="E57" s="23" t="s">
        <v>408</v>
      </c>
      <c r="F57" s="102">
        <v>0</v>
      </c>
      <c r="G57" s="88">
        <f ca="1">F57+G56</f>
        <v>-174981867.61842331</v>
      </c>
      <c r="H57" s="117">
        <v>7.1999999999999995E-2</v>
      </c>
      <c r="I57" s="88">
        <f ca="1">ROUND((F57/2+K56)*H57/12,2)</f>
        <v>-1088760.97</v>
      </c>
      <c r="J57" s="88">
        <f ca="1">I57+J56</f>
        <v>-7567054.370000002</v>
      </c>
      <c r="K57" s="88">
        <f ca="1">ROUND((G57+J57),2)</f>
        <v>-182548921.99000001</v>
      </c>
      <c r="L57" s="8">
        <f>A57</f>
        <v>214</v>
      </c>
    </row>
    <row r="58" spans="1:12" x14ac:dyDescent="0.25">
      <c r="A58" s="8">
        <f>A57+1</f>
        <v>215</v>
      </c>
      <c r="B58" s="6" t="s">
        <v>477</v>
      </c>
      <c r="C58" s="23">
        <f>$C$57</f>
        <v>2026</v>
      </c>
      <c r="D58" s="23" t="s">
        <v>408</v>
      </c>
      <c r="E58" s="23" t="s">
        <v>408</v>
      </c>
      <c r="F58" s="102">
        <v>0</v>
      </c>
      <c r="G58" s="88">
        <f ca="1">F58+G57</f>
        <v>-174981867.61842331</v>
      </c>
      <c r="H58" s="117">
        <v>7.1999999999999995E-2</v>
      </c>
      <c r="I58" s="88">
        <f ca="1">ROUND((F58/2+K57)*H58/12,2)</f>
        <v>-1095293.53</v>
      </c>
      <c r="J58" s="88">
        <f ca="1">I58+J57</f>
        <v>-8662347.9000000022</v>
      </c>
      <c r="K58" s="88">
        <f ca="1">ROUND((G58+J58),2)</f>
        <v>-183644215.52000001</v>
      </c>
      <c r="L58" s="8">
        <f>A58</f>
        <v>215</v>
      </c>
    </row>
    <row r="59" spans="1:12" x14ac:dyDescent="0.25">
      <c r="A59" s="8">
        <f>A58+1</f>
        <v>216</v>
      </c>
      <c r="B59" s="6" t="s">
        <v>476</v>
      </c>
      <c r="C59" s="23">
        <f>$C$57</f>
        <v>2026</v>
      </c>
      <c r="D59" s="23" t="s">
        <v>408</v>
      </c>
      <c r="E59" s="23" t="s">
        <v>408</v>
      </c>
      <c r="F59" s="102">
        <v>0</v>
      </c>
      <c r="G59" s="88">
        <f ca="1">F59+G58</f>
        <v>-174981867.61842331</v>
      </c>
      <c r="H59" s="117">
        <v>7.1999999999999995E-2</v>
      </c>
      <c r="I59" s="88">
        <f ca="1">ROUND((F59/2+K58)*H59/12,2)</f>
        <v>-1101865.29</v>
      </c>
      <c r="J59" s="88">
        <f ca="1">I59+J58</f>
        <v>-9764213.1900000013</v>
      </c>
      <c r="K59" s="88">
        <f ca="1">ROUND((G59+J59),2)</f>
        <v>-184746080.81</v>
      </c>
      <c r="L59" s="8">
        <f>A59</f>
        <v>216</v>
      </c>
    </row>
    <row r="60" spans="1:12" x14ac:dyDescent="0.25">
      <c r="A60" s="8">
        <f>A59+1</f>
        <v>217</v>
      </c>
      <c r="B60" s="6" t="s">
        <v>475</v>
      </c>
      <c r="C60" s="23">
        <f>$C$57</f>
        <v>2026</v>
      </c>
      <c r="D60" s="23" t="s">
        <v>408</v>
      </c>
      <c r="E60" s="23" t="s">
        <v>408</v>
      </c>
      <c r="F60" s="102">
        <v>0</v>
      </c>
      <c r="G60" s="88">
        <f ca="1">F60+G59</f>
        <v>-174981867.61842331</v>
      </c>
      <c r="H60" s="117">
        <v>6.7799999999999999E-2</v>
      </c>
      <c r="I60" s="88">
        <f ca="1">ROUND((F60/2+K59)*H60/12,2)</f>
        <v>-1043815.36</v>
      </c>
      <c r="J60" s="88">
        <f ca="1">I60+J59</f>
        <v>-10808028.550000001</v>
      </c>
      <c r="K60" s="88">
        <f ca="1">ROUND((G60+J60),2)</f>
        <v>-185789896.16999999</v>
      </c>
      <c r="L60" s="8">
        <f>A60</f>
        <v>217</v>
      </c>
    </row>
    <row r="61" spans="1:12" x14ac:dyDescent="0.25">
      <c r="A61" s="8">
        <f>A60+1</f>
        <v>218</v>
      </c>
      <c r="B61" s="6" t="s">
        <v>474</v>
      </c>
      <c r="C61" s="23">
        <f>$C$57</f>
        <v>2026</v>
      </c>
      <c r="D61" s="23" t="s">
        <v>408</v>
      </c>
      <c r="E61" s="23" t="s">
        <v>408</v>
      </c>
      <c r="F61" s="102">
        <v>0</v>
      </c>
      <c r="G61" s="88">
        <f ca="1">F61+G60</f>
        <v>-174981867.61842331</v>
      </c>
      <c r="H61" s="117">
        <v>6.7799999999999999E-2</v>
      </c>
      <c r="I61" s="88">
        <f ca="1">ROUND((F61/2+K60)*H61/12,2)</f>
        <v>-1049712.9099999999</v>
      </c>
      <c r="J61" s="88">
        <f ca="1">I61+J60</f>
        <v>-11857741.460000001</v>
      </c>
      <c r="K61" s="88">
        <f ca="1">ROUND((G61+J61),2)</f>
        <v>-186839609.08000001</v>
      </c>
      <c r="L61" s="8">
        <f>A61</f>
        <v>218</v>
      </c>
    </row>
    <row r="62" spans="1:12" x14ac:dyDescent="0.25">
      <c r="A62" s="8">
        <f>A61+1</f>
        <v>219</v>
      </c>
      <c r="B62" s="6" t="s">
        <v>473</v>
      </c>
      <c r="C62" s="23">
        <f>$C$57</f>
        <v>2026</v>
      </c>
      <c r="D62" s="23" t="s">
        <v>408</v>
      </c>
      <c r="E62" s="23" t="s">
        <v>408</v>
      </c>
      <c r="F62" s="102">
        <v>0</v>
      </c>
      <c r="G62" s="88">
        <f ca="1">F62+G61</f>
        <v>-174981867.61842331</v>
      </c>
      <c r="H62" s="117">
        <v>6.7799999999999999E-2</v>
      </c>
      <c r="I62" s="88">
        <f ca="1">ROUND((F62/2+K61)*H62/12,2)</f>
        <v>-1055643.79</v>
      </c>
      <c r="J62" s="88">
        <f ca="1">I62+J61</f>
        <v>-12913385.25</v>
      </c>
      <c r="K62" s="88">
        <f ca="1">ROUND((G62+J62),2)</f>
        <v>-187895252.87</v>
      </c>
      <c r="L62" s="8">
        <f>A62</f>
        <v>219</v>
      </c>
    </row>
    <row r="63" spans="1:12" x14ac:dyDescent="0.25">
      <c r="A63" s="8">
        <f>A62+1</f>
        <v>220</v>
      </c>
      <c r="B63" s="6" t="s">
        <v>472</v>
      </c>
      <c r="C63" s="23">
        <f>$C$57</f>
        <v>2026</v>
      </c>
      <c r="D63" s="23" t="s">
        <v>408</v>
      </c>
      <c r="E63" s="23" t="s">
        <v>408</v>
      </c>
      <c r="F63" s="102">
        <v>0</v>
      </c>
      <c r="G63" s="88">
        <f ca="1">F63+G62</f>
        <v>-174981867.61842331</v>
      </c>
      <c r="H63" s="117">
        <v>6.7799999999999999E-2</v>
      </c>
      <c r="I63" s="88">
        <f ca="1">ROUND((F63/2+K62)*H63/12,2)</f>
        <v>-1061608.18</v>
      </c>
      <c r="J63" s="88">
        <f ca="1">I63+J62</f>
        <v>-13974993.43</v>
      </c>
      <c r="K63" s="88">
        <f ca="1">ROUND((G63+J63),2)</f>
        <v>-188956861.05000001</v>
      </c>
      <c r="L63" s="8">
        <f>A63</f>
        <v>220</v>
      </c>
    </row>
    <row r="64" spans="1:12" x14ac:dyDescent="0.25">
      <c r="A64" s="8">
        <f>A63+1</f>
        <v>221</v>
      </c>
      <c r="B64" s="6" t="s">
        <v>471</v>
      </c>
      <c r="C64" s="23">
        <f>$C$57</f>
        <v>2026</v>
      </c>
      <c r="D64" s="23" t="s">
        <v>408</v>
      </c>
      <c r="E64" s="23" t="s">
        <v>408</v>
      </c>
      <c r="F64" s="102">
        <v>0</v>
      </c>
      <c r="G64" s="88">
        <f ca="1">F64+G63</f>
        <v>-174981867.61842331</v>
      </c>
      <c r="H64" s="117">
        <v>6.7799999999999999E-2</v>
      </c>
      <c r="I64" s="88">
        <f ca="1">ROUND((F64/2+K63)*H64/12,2)</f>
        <v>-1067606.26</v>
      </c>
      <c r="J64" s="88">
        <f ca="1">I64+J63</f>
        <v>-15042599.689999999</v>
      </c>
      <c r="K64" s="88">
        <f ca="1">ROUND((G64+J64),2)</f>
        <v>-190024467.31</v>
      </c>
      <c r="L64" s="8">
        <f>A64</f>
        <v>221</v>
      </c>
    </row>
    <row r="65" spans="1:12" x14ac:dyDescent="0.25">
      <c r="A65" s="8">
        <f>A64+1</f>
        <v>222</v>
      </c>
      <c r="B65" s="6" t="s">
        <v>470</v>
      </c>
      <c r="C65" s="23">
        <f>$C$57</f>
        <v>2026</v>
      </c>
      <c r="D65" s="23" t="s">
        <v>408</v>
      </c>
      <c r="E65" s="23" t="s">
        <v>408</v>
      </c>
      <c r="F65" s="102">
        <v>0</v>
      </c>
      <c r="G65" s="88">
        <f ca="1">F65+G64</f>
        <v>-174981867.61842331</v>
      </c>
      <c r="H65" s="117">
        <v>6.7799999999999999E-2</v>
      </c>
      <c r="I65" s="88">
        <f ca="1">ROUND((F65/2+K64)*H65/12,2)</f>
        <v>-1073638.24</v>
      </c>
      <c r="J65" s="88">
        <f ca="1">I65+J64</f>
        <v>-16116237.93</v>
      </c>
      <c r="K65" s="88">
        <f ca="1">ROUND((G65+J65),2)</f>
        <v>-191098105.55000001</v>
      </c>
      <c r="L65" s="8">
        <f>A65</f>
        <v>222</v>
      </c>
    </row>
    <row r="66" spans="1:12" x14ac:dyDescent="0.25">
      <c r="A66" s="8">
        <f>A65+1</f>
        <v>223</v>
      </c>
      <c r="B66" s="6" t="s">
        <v>469</v>
      </c>
      <c r="C66" s="23">
        <f>$C$57</f>
        <v>2026</v>
      </c>
      <c r="D66" s="23" t="s">
        <v>408</v>
      </c>
      <c r="E66" s="23" t="s">
        <v>408</v>
      </c>
      <c r="F66" s="102">
        <v>0</v>
      </c>
      <c r="G66" s="88">
        <f ca="1">F66+G65</f>
        <v>-174981867.61842331</v>
      </c>
      <c r="H66" s="117">
        <v>6.7799999999999999E-2</v>
      </c>
      <c r="I66" s="88">
        <f ca="1">ROUND((F66/2+K65)*H66/12,2)</f>
        <v>-1079704.3</v>
      </c>
      <c r="J66" s="88">
        <f ca="1">I66+J65</f>
        <v>-17195942.23</v>
      </c>
      <c r="K66" s="88">
        <f ca="1">ROUND((G66+J66),2)</f>
        <v>-192177809.84999999</v>
      </c>
      <c r="L66" s="8">
        <f>A66</f>
        <v>223</v>
      </c>
    </row>
    <row r="67" spans="1:12" x14ac:dyDescent="0.25">
      <c r="A67" s="8">
        <f>A66+1</f>
        <v>224</v>
      </c>
      <c r="B67" s="6" t="s">
        <v>468</v>
      </c>
      <c r="C67" s="23">
        <f>$C$57</f>
        <v>2026</v>
      </c>
      <c r="D67" s="23" t="s">
        <v>408</v>
      </c>
      <c r="E67" s="23" t="s">
        <v>408</v>
      </c>
      <c r="F67" s="102">
        <v>0</v>
      </c>
      <c r="G67" s="88">
        <f ca="1">F67+G66</f>
        <v>-174981867.61842331</v>
      </c>
      <c r="H67" s="117">
        <v>6.7799999999999999E-2</v>
      </c>
      <c r="I67" s="88">
        <f ca="1">ROUND((F67/2+K66)*H67/12,2)</f>
        <v>-1085804.6299999999</v>
      </c>
      <c r="J67" s="88">
        <f ca="1">I67+J66</f>
        <v>-18281746.859999999</v>
      </c>
      <c r="K67" s="88">
        <f ca="1">ROUND((G67+J67),2)</f>
        <v>-193263614.47999999</v>
      </c>
      <c r="L67" s="8">
        <f>A67</f>
        <v>224</v>
      </c>
    </row>
    <row r="68" spans="1:12" x14ac:dyDescent="0.25">
      <c r="A68" s="8">
        <f>A67+1</f>
        <v>225</v>
      </c>
      <c r="B68" s="6" t="s">
        <v>467</v>
      </c>
      <c r="C68" s="23">
        <f>$C$57</f>
        <v>2026</v>
      </c>
      <c r="D68" s="23" t="s">
        <v>408</v>
      </c>
      <c r="E68" s="23" t="s">
        <v>408</v>
      </c>
      <c r="F68" s="102">
        <v>0</v>
      </c>
      <c r="G68" s="88">
        <f ca="1">F68+G67</f>
        <v>-174981867.61842331</v>
      </c>
      <c r="H68" s="117">
        <v>6.7799999999999999E-2</v>
      </c>
      <c r="I68" s="88">
        <f ca="1">ROUND((F68/2+K67)*H68/12,2)</f>
        <v>-1091939.42</v>
      </c>
      <c r="J68" s="88">
        <f ca="1">I68+J67</f>
        <v>-19373686.280000001</v>
      </c>
      <c r="K68" s="88">
        <f ca="1">ROUND((G68+J68),2)</f>
        <v>-194355553.90000001</v>
      </c>
      <c r="L68" s="8">
        <f>A68</f>
        <v>225</v>
      </c>
    </row>
    <row r="69" spans="1:12" x14ac:dyDescent="0.25">
      <c r="A69" s="8"/>
      <c r="D69" s="24">
        <f ca="1">SUM(D45:D68)</f>
        <v>2576653446.9605665</v>
      </c>
      <c r="E69" s="102"/>
      <c r="G69" s="102"/>
      <c r="I69" s="102"/>
      <c r="J69" s="102"/>
      <c r="K69" s="102"/>
    </row>
    <row r="70" spans="1:12" x14ac:dyDescent="0.25">
      <c r="A70" s="8"/>
      <c r="B70" s="83" t="s">
        <v>520</v>
      </c>
      <c r="C70" s="35"/>
      <c r="D70" s="35"/>
      <c r="E70" s="35"/>
      <c r="F70" s="35"/>
      <c r="G70" s="35"/>
      <c r="H70" s="35"/>
      <c r="I70" s="35"/>
      <c r="J70" s="35"/>
      <c r="K70" s="35"/>
    </row>
    <row r="71" spans="1:12" x14ac:dyDescent="0.25">
      <c r="A71" s="8"/>
      <c r="B71" s="44" t="s">
        <v>464</v>
      </c>
    </row>
    <row r="72" spans="1:12" ht="14.45" customHeight="1" x14ac:dyDescent="0.25">
      <c r="A72" s="8"/>
      <c r="B72" s="6" t="str">
        <f>"1) Input the Total Amortization amount on Line "&amp;A91&amp;" that will set the December Month Ending Balance on Line "&amp;A90&amp;", "&amp;I74&amp;" equal to $0. (Hint: Use the Goal Seek Function to set the December Month Ending Balance in Col 7 to equal $0)"</f>
        <v>1) Input the Total Amortization amount on Line 312 that will set the December Month Ending Balance on Line 311, Col 7 equal to $0. (Hint: Use the Goal Seek Function to set the December Month Ending Balance in Col 7 to equal $0)</v>
      </c>
    </row>
    <row r="73" spans="1:12" x14ac:dyDescent="0.25">
      <c r="A73" s="8"/>
    </row>
    <row r="74" spans="1:12" x14ac:dyDescent="0.25">
      <c r="C74" s="33" t="s">
        <v>492</v>
      </c>
      <c r="D74" s="33" t="s">
        <v>491</v>
      </c>
      <c r="E74" s="33" t="s">
        <v>490</v>
      </c>
      <c r="F74" s="33" t="s">
        <v>489</v>
      </c>
      <c r="G74" s="33" t="s">
        <v>519</v>
      </c>
      <c r="H74" s="33" t="s">
        <v>518</v>
      </c>
      <c r="I74" s="33" t="s">
        <v>517</v>
      </c>
    </row>
    <row r="75" spans="1:12" x14ac:dyDescent="0.25">
      <c r="C75" s="23"/>
      <c r="D75" s="23" t="s">
        <v>516</v>
      </c>
      <c r="E75" s="23"/>
      <c r="F75" s="23" t="str">
        <f>""&amp;D74&amp;" + "&amp;E74&amp;""</f>
        <v>Col 2 + Col 3</v>
      </c>
      <c r="G75" s="23" t="s">
        <v>515</v>
      </c>
      <c r="H75" s="23" t="s">
        <v>514</v>
      </c>
      <c r="I75" s="23" t="str">
        <f>""&amp;F74&amp;" + "&amp;G74&amp;""</f>
        <v>Col 4 + Col 5</v>
      </c>
    </row>
    <row r="76" spans="1:12" x14ac:dyDescent="0.25">
      <c r="B76" s="8"/>
      <c r="C76" s="8"/>
      <c r="D76" s="8" t="s">
        <v>483</v>
      </c>
      <c r="E76" s="105"/>
      <c r="F76" s="8" t="s">
        <v>483</v>
      </c>
      <c r="G76" s="8"/>
      <c r="H76" s="8"/>
      <c r="I76" s="8"/>
    </row>
    <row r="77" spans="1:12" x14ac:dyDescent="0.25">
      <c r="B77" s="8"/>
      <c r="C77" s="8"/>
      <c r="D77" s="8" t="s">
        <v>513</v>
      </c>
      <c r="E77" s="105"/>
      <c r="F77" s="8" t="s">
        <v>504</v>
      </c>
      <c r="G77" s="8" t="s">
        <v>512</v>
      </c>
      <c r="H77" s="8" t="s">
        <v>511</v>
      </c>
      <c r="I77" s="8" t="s">
        <v>483</v>
      </c>
    </row>
    <row r="78" spans="1:12" x14ac:dyDescent="0.25">
      <c r="A78" s="33" t="s">
        <v>106</v>
      </c>
      <c r="B78" s="33" t="s">
        <v>483</v>
      </c>
      <c r="C78" s="33" t="s">
        <v>510</v>
      </c>
      <c r="D78" s="33" t="s">
        <v>509</v>
      </c>
      <c r="E78" s="33" t="s">
        <v>508</v>
      </c>
      <c r="F78" s="33" t="s">
        <v>507</v>
      </c>
      <c r="G78" s="33" t="s">
        <v>506</v>
      </c>
      <c r="H78" s="33" t="s">
        <v>505</v>
      </c>
      <c r="I78" s="33" t="s">
        <v>504</v>
      </c>
      <c r="L78" s="33" t="str">
        <f>A78</f>
        <v>Line</v>
      </c>
    </row>
    <row r="79" spans="1:12" x14ac:dyDescent="0.25">
      <c r="A79" s="8">
        <v>300</v>
      </c>
      <c r="B79" s="6" t="s">
        <v>478</v>
      </c>
      <c r="C79" s="23">
        <f>'1-BaseTRR'!$G$2</f>
        <v>2027</v>
      </c>
      <c r="D79" s="88">
        <f ca="1">K68</f>
        <v>-194355553.90000001</v>
      </c>
      <c r="E79" s="88">
        <f>$E$91/12</f>
        <v>16749929.975941196</v>
      </c>
      <c r="F79" s="88">
        <f ca="1">D79+E79</f>
        <v>-177605623.92405879</v>
      </c>
      <c r="G79" s="88">
        <f ca="1">ROUND(((D79+F79)/2)*H79/12,2)</f>
        <v>-1050790.33</v>
      </c>
      <c r="H79" s="116">
        <f>$H$68</f>
        <v>6.7799999999999999E-2</v>
      </c>
      <c r="I79" s="88">
        <f ca="1">ROUND(G79+F79,2)</f>
        <v>-178656414.25</v>
      </c>
      <c r="L79" s="8">
        <f>A79</f>
        <v>300</v>
      </c>
    </row>
    <row r="80" spans="1:12" x14ac:dyDescent="0.25">
      <c r="A80" s="8">
        <f>A79+1</f>
        <v>301</v>
      </c>
      <c r="B80" s="6" t="s">
        <v>477</v>
      </c>
      <c r="C80" s="23">
        <f>'1-BaseTRR'!$G$2</f>
        <v>2027</v>
      </c>
      <c r="D80" s="88">
        <f ca="1">I79</f>
        <v>-178656414.25</v>
      </c>
      <c r="E80" s="88">
        <f>$E$91/12</f>
        <v>16749929.975941196</v>
      </c>
      <c r="F80" s="88">
        <f ca="1">D80+E80</f>
        <v>-161906484.27405882</v>
      </c>
      <c r="G80" s="88">
        <f ca="1">ROUND(((D80+F80)/2)*H80/12,2)</f>
        <v>-962090.19</v>
      </c>
      <c r="H80" s="116">
        <f>$H$68</f>
        <v>6.7799999999999999E-2</v>
      </c>
      <c r="I80" s="88">
        <f ca="1">ROUND(G80+F80,2)</f>
        <v>-162868574.46000001</v>
      </c>
      <c r="L80" s="8">
        <f>A80</f>
        <v>301</v>
      </c>
    </row>
    <row r="81" spans="1:12" x14ac:dyDescent="0.25">
      <c r="A81" s="8">
        <f>A80+1</f>
        <v>302</v>
      </c>
      <c r="B81" s="6" t="s">
        <v>476</v>
      </c>
      <c r="C81" s="23">
        <f>'1-BaseTRR'!$G$2</f>
        <v>2027</v>
      </c>
      <c r="D81" s="88">
        <f ca="1">I80</f>
        <v>-162868574.46000001</v>
      </c>
      <c r="E81" s="88">
        <f>$E$91/12</f>
        <v>16749929.975941196</v>
      </c>
      <c r="F81" s="88">
        <f ca="1">D81+E81</f>
        <v>-146118644.4840588</v>
      </c>
      <c r="G81" s="88">
        <f ca="1">ROUND(((D81+F81)/2)*H81/12,2)</f>
        <v>-872888.89</v>
      </c>
      <c r="H81" s="116">
        <f>$H$68</f>
        <v>6.7799999999999999E-2</v>
      </c>
      <c r="I81" s="88">
        <f ca="1">ROUND(G81+F81,2)</f>
        <v>-146991533.37</v>
      </c>
      <c r="L81" s="8">
        <f>A81</f>
        <v>302</v>
      </c>
    </row>
    <row r="82" spans="1:12" x14ac:dyDescent="0.25">
      <c r="A82" s="8">
        <f>A81+1</f>
        <v>303</v>
      </c>
      <c r="B82" s="6" t="s">
        <v>475</v>
      </c>
      <c r="C82" s="23">
        <f>'1-BaseTRR'!$G$2</f>
        <v>2027</v>
      </c>
      <c r="D82" s="88">
        <f ca="1">I81</f>
        <v>-146991533.37</v>
      </c>
      <c r="E82" s="88">
        <f>$E$91/12</f>
        <v>16749929.975941196</v>
      </c>
      <c r="F82" s="88">
        <f ca="1">D82+E82</f>
        <v>-130241603.39405881</v>
      </c>
      <c r="G82" s="88">
        <f ca="1">ROUND(((D82+F82)/2)*H82/12,2)</f>
        <v>-783183.61</v>
      </c>
      <c r="H82" s="116">
        <f>$H$68</f>
        <v>6.7799999999999999E-2</v>
      </c>
      <c r="I82" s="88">
        <f ca="1">ROUND(G82+F82,2)</f>
        <v>-131024787</v>
      </c>
      <c r="L82" s="8">
        <f>A82</f>
        <v>303</v>
      </c>
    </row>
    <row r="83" spans="1:12" x14ac:dyDescent="0.25">
      <c r="A83" s="8">
        <f>A82+1</f>
        <v>304</v>
      </c>
      <c r="B83" s="6" t="s">
        <v>474</v>
      </c>
      <c r="C83" s="23">
        <f>'1-BaseTRR'!$G$2</f>
        <v>2027</v>
      </c>
      <c r="D83" s="88">
        <f ca="1">I82</f>
        <v>-131024787</v>
      </c>
      <c r="E83" s="88">
        <f>$E$91/12</f>
        <v>16749929.975941196</v>
      </c>
      <c r="F83" s="88">
        <f ca="1">D83+E83</f>
        <v>-114274857.0240588</v>
      </c>
      <c r="G83" s="88">
        <f ca="1">ROUND(((D83+F83)/2)*H83/12,2)</f>
        <v>-692971.49</v>
      </c>
      <c r="H83" s="116">
        <f>$H$68</f>
        <v>6.7799999999999999E-2</v>
      </c>
      <c r="I83" s="88">
        <f ca="1">ROUND(G83+F83,2)</f>
        <v>-114967828.51000001</v>
      </c>
      <c r="L83" s="8">
        <f>A83</f>
        <v>304</v>
      </c>
    </row>
    <row r="84" spans="1:12" x14ac:dyDescent="0.25">
      <c r="A84" s="8">
        <f>A83+1</f>
        <v>305</v>
      </c>
      <c r="B84" s="6" t="s">
        <v>473</v>
      </c>
      <c r="C84" s="23">
        <f>'1-BaseTRR'!$G$2</f>
        <v>2027</v>
      </c>
      <c r="D84" s="88">
        <f ca="1">I83</f>
        <v>-114967828.51000001</v>
      </c>
      <c r="E84" s="88">
        <f>$E$91/12</f>
        <v>16749929.975941196</v>
      </c>
      <c r="F84" s="88">
        <f ca="1">D84+E84</f>
        <v>-98217898.534058809</v>
      </c>
      <c r="G84" s="88">
        <f ca="1">ROUND(((D84+F84)/2)*H84/12,2)</f>
        <v>-602249.68000000005</v>
      </c>
      <c r="H84" s="116">
        <f>$H$68</f>
        <v>6.7799999999999999E-2</v>
      </c>
      <c r="I84" s="88">
        <f ca="1">ROUND(G84+F84,2)</f>
        <v>-98820148.209999993</v>
      </c>
      <c r="L84" s="8">
        <f>A84</f>
        <v>305</v>
      </c>
    </row>
    <row r="85" spans="1:12" x14ac:dyDescent="0.25">
      <c r="A85" s="8">
        <f>A84+1</f>
        <v>306</v>
      </c>
      <c r="B85" s="6" t="s">
        <v>472</v>
      </c>
      <c r="C85" s="23">
        <f>'1-BaseTRR'!$G$2</f>
        <v>2027</v>
      </c>
      <c r="D85" s="88">
        <f ca="1">I84</f>
        <v>-98820148.209999993</v>
      </c>
      <c r="E85" s="88">
        <f>$E$91/12</f>
        <v>16749929.975941196</v>
      </c>
      <c r="F85" s="88">
        <f ca="1">D85+E85</f>
        <v>-82070218.234058797</v>
      </c>
      <c r="G85" s="88">
        <f ca="1">ROUND(((D85+F85)/2)*H85/12,2)</f>
        <v>-511015.29</v>
      </c>
      <c r="H85" s="116">
        <f>$H$68</f>
        <v>6.7799999999999999E-2</v>
      </c>
      <c r="I85" s="88">
        <f ca="1">ROUND(G85+F85,2)</f>
        <v>-82581233.519999996</v>
      </c>
      <c r="L85" s="8">
        <f>A85</f>
        <v>306</v>
      </c>
    </row>
    <row r="86" spans="1:12" x14ac:dyDescent="0.25">
      <c r="A86" s="8">
        <f>A85+1</f>
        <v>307</v>
      </c>
      <c r="B86" s="6" t="s">
        <v>471</v>
      </c>
      <c r="C86" s="23">
        <f>'1-BaseTRR'!$G$2</f>
        <v>2027</v>
      </c>
      <c r="D86" s="88">
        <f ca="1">I85</f>
        <v>-82581233.519999996</v>
      </c>
      <c r="E86" s="88">
        <f>$E$91/12</f>
        <v>16749929.975941196</v>
      </c>
      <c r="F86" s="88">
        <f ca="1">D86+E86</f>
        <v>-65831303.5440588</v>
      </c>
      <c r="G86" s="88">
        <f ca="1">ROUND(((D86+F86)/2)*H86/12,2)</f>
        <v>-419265.42</v>
      </c>
      <c r="H86" s="116">
        <f>$H$68</f>
        <v>6.7799999999999999E-2</v>
      </c>
      <c r="I86" s="88">
        <f ca="1">ROUND(G86+F86,2)</f>
        <v>-66250568.960000001</v>
      </c>
      <c r="L86" s="8">
        <f>A86</f>
        <v>307</v>
      </c>
    </row>
    <row r="87" spans="1:12" x14ac:dyDescent="0.25">
      <c r="A87" s="8">
        <f>A86+1</f>
        <v>308</v>
      </c>
      <c r="B87" s="6" t="s">
        <v>470</v>
      </c>
      <c r="C87" s="23">
        <f>'1-BaseTRR'!$G$2</f>
        <v>2027</v>
      </c>
      <c r="D87" s="88">
        <f ca="1">I86</f>
        <v>-66250568.960000001</v>
      </c>
      <c r="E87" s="88">
        <f>$E$91/12</f>
        <v>16749929.975941196</v>
      </c>
      <c r="F87" s="88">
        <f ca="1">D87+E87</f>
        <v>-49500638.984058805</v>
      </c>
      <c r="G87" s="88">
        <f ca="1">ROUND(((D87+F87)/2)*H87/12,2)</f>
        <v>-326997.15999999997</v>
      </c>
      <c r="H87" s="116">
        <f>$H$68</f>
        <v>6.7799999999999999E-2</v>
      </c>
      <c r="I87" s="88">
        <f ca="1">ROUND(G87+F87,2)</f>
        <v>-49827636.140000001</v>
      </c>
      <c r="L87" s="8">
        <f>A87</f>
        <v>308</v>
      </c>
    </row>
    <row r="88" spans="1:12" x14ac:dyDescent="0.25">
      <c r="A88" s="8">
        <f>A87+1</f>
        <v>309</v>
      </c>
      <c r="B88" s="6" t="s">
        <v>469</v>
      </c>
      <c r="C88" s="23">
        <f>'1-BaseTRR'!$G$2</f>
        <v>2027</v>
      </c>
      <c r="D88" s="88">
        <f ca="1">I87</f>
        <v>-49827636.140000001</v>
      </c>
      <c r="E88" s="88">
        <f>$E$91/12</f>
        <v>16749929.975941196</v>
      </c>
      <c r="F88" s="88">
        <f ca="1">D88+E88</f>
        <v>-33077706.164058805</v>
      </c>
      <c r="G88" s="88">
        <f ca="1">ROUND(((D88+F88)/2)*H88/12,2)</f>
        <v>-234207.59</v>
      </c>
      <c r="H88" s="116">
        <f>$H$68</f>
        <v>6.7799999999999999E-2</v>
      </c>
      <c r="I88" s="88">
        <f ca="1">ROUND(G88+F88,2)</f>
        <v>-33311913.75</v>
      </c>
      <c r="L88" s="8">
        <f>A88</f>
        <v>309</v>
      </c>
    </row>
    <row r="89" spans="1:12" x14ac:dyDescent="0.25">
      <c r="A89" s="8">
        <f>A88+1</f>
        <v>310</v>
      </c>
      <c r="B89" s="6" t="s">
        <v>468</v>
      </c>
      <c r="C89" s="23">
        <f>'1-BaseTRR'!$G$2</f>
        <v>2027</v>
      </c>
      <c r="D89" s="88">
        <f ca="1">I88</f>
        <v>-33311913.75</v>
      </c>
      <c r="E89" s="88">
        <f>$E$91/12</f>
        <v>16749929.975941196</v>
      </c>
      <c r="F89" s="88">
        <f ca="1">D89+E89</f>
        <v>-16561983.774058804</v>
      </c>
      <c r="G89" s="88">
        <f ca="1">ROUND(((D89+F89)/2)*H89/12,2)</f>
        <v>-140893.76000000001</v>
      </c>
      <c r="H89" s="116">
        <f>$H$68</f>
        <v>6.7799999999999999E-2</v>
      </c>
      <c r="I89" s="88">
        <f ca="1">ROUND(G89+F89,2)</f>
        <v>-16702877.529999999</v>
      </c>
      <c r="L89" s="8">
        <f>A89</f>
        <v>310</v>
      </c>
    </row>
    <row r="90" spans="1:12" x14ac:dyDescent="0.25">
      <c r="A90" s="8">
        <f>A89+1</f>
        <v>311</v>
      </c>
      <c r="B90" s="6" t="s">
        <v>467</v>
      </c>
      <c r="C90" s="23">
        <f>'1-BaseTRR'!$G$2</f>
        <v>2027</v>
      </c>
      <c r="D90" s="88">
        <f ca="1">I89</f>
        <v>-16702877.529999999</v>
      </c>
      <c r="E90" s="88">
        <f>$E$91/12</f>
        <v>16749929.975941196</v>
      </c>
      <c r="F90" s="88">
        <f ca="1">D90+E90</f>
        <v>47052.445941196755</v>
      </c>
      <c r="G90" s="88">
        <f ca="1">ROUND(((D90+F90)/2)*H90/12,2)</f>
        <v>-47052.71</v>
      </c>
      <c r="H90" s="116">
        <f>$H$68</f>
        <v>6.7799999999999999E-2</v>
      </c>
      <c r="I90" s="88">
        <f ca="1">ROUND(G90+F90,2)</f>
        <v>-0.26</v>
      </c>
      <c r="J90" s="6" t="str">
        <f ca="1">IF(OR(I90&gt;1,I90&lt;-0.1),"Incomplete.  Goal Seek is required to run.","Goal Seek has been run.")</f>
        <v>Incomplete.  Goal Seek is required to run.</v>
      </c>
      <c r="L90" s="8">
        <f>A90</f>
        <v>311</v>
      </c>
    </row>
    <row r="91" spans="1:12" x14ac:dyDescent="0.25">
      <c r="A91" s="8">
        <f>A90+1</f>
        <v>312</v>
      </c>
      <c r="D91" s="76" t="s">
        <v>503</v>
      </c>
      <c r="E91" s="112">
        <v>200999159.71129435</v>
      </c>
      <c r="G91" s="115"/>
      <c r="H91" s="114"/>
      <c r="L91" s="8">
        <f>A91</f>
        <v>312</v>
      </c>
    </row>
    <row r="93" spans="1:12" x14ac:dyDescent="0.25">
      <c r="B93" s="83" t="s">
        <v>502</v>
      </c>
      <c r="C93" s="35"/>
      <c r="D93" s="35"/>
      <c r="E93" s="35"/>
      <c r="F93" s="35"/>
      <c r="G93" s="35"/>
      <c r="H93" s="35"/>
      <c r="I93" s="35"/>
      <c r="J93" s="35"/>
      <c r="K93" s="35"/>
    </row>
    <row r="94" spans="1:12" ht="57.75" customHeight="1" x14ac:dyDescent="0.25">
      <c r="A94" s="33" t="s">
        <v>106</v>
      </c>
      <c r="B94" s="110" t="s">
        <v>501</v>
      </c>
      <c r="C94" s="33" t="s">
        <v>154</v>
      </c>
      <c r="L94" s="33" t="str">
        <f>A94</f>
        <v>Line</v>
      </c>
    </row>
    <row r="95" spans="1:12" x14ac:dyDescent="0.25">
      <c r="A95" s="8">
        <v>400</v>
      </c>
      <c r="B95" s="88">
        <f>-E91</f>
        <v>-200999159.71129435</v>
      </c>
      <c r="C95" s="6" t="str">
        <f>"Negative Line "&amp;A91&amp;", "&amp;E74&amp;""</f>
        <v>Negative Line 312, Col 3</v>
      </c>
      <c r="L95" s="8">
        <f>A95</f>
        <v>400</v>
      </c>
    </row>
    <row r="96" spans="1:12" x14ac:dyDescent="0.25">
      <c r="A96" s="8">
        <f>A95+1</f>
        <v>401</v>
      </c>
      <c r="B96" s="112">
        <v>-9935142.4168582633</v>
      </c>
      <c r="C96" s="89" t="s">
        <v>500</v>
      </c>
      <c r="D96" s="89"/>
      <c r="E96" s="89"/>
      <c r="F96" s="6" t="s">
        <v>499</v>
      </c>
      <c r="L96" s="8">
        <f>A96</f>
        <v>401</v>
      </c>
    </row>
    <row r="97" spans="1:12" x14ac:dyDescent="0.25">
      <c r="A97" s="8">
        <f>A96+1</f>
        <v>402</v>
      </c>
      <c r="B97" s="113">
        <f>B95+B96</f>
        <v>-210934302.12815261</v>
      </c>
      <c r="C97" s="6" t="str">
        <f>"Line "&amp;A95&amp;" + Line "&amp;A96&amp;""</f>
        <v>Line 400 + Line 401</v>
      </c>
      <c r="L97" s="8">
        <f>A97</f>
        <v>402</v>
      </c>
    </row>
    <row r="98" spans="1:12" x14ac:dyDescent="0.25">
      <c r="A98" s="8"/>
      <c r="B98" s="88"/>
      <c r="L98" s="8"/>
    </row>
    <row r="99" spans="1:12" ht="62.25" customHeight="1" x14ac:dyDescent="0.25">
      <c r="B99" s="110" t="s">
        <v>498</v>
      </c>
      <c r="C99" s="33" t="s">
        <v>154</v>
      </c>
      <c r="L99" s="8"/>
    </row>
    <row r="100" spans="1:12" x14ac:dyDescent="0.25">
      <c r="A100" s="8">
        <f>A97+1</f>
        <v>403</v>
      </c>
      <c r="B100" s="112"/>
      <c r="C100" s="111"/>
      <c r="D100" s="89"/>
      <c r="E100" s="6" t="s">
        <v>497</v>
      </c>
      <c r="L100" s="8">
        <f>A100</f>
        <v>403</v>
      </c>
    </row>
    <row r="101" spans="1:12" x14ac:dyDescent="0.25">
      <c r="A101" s="8"/>
    </row>
    <row r="102" spans="1:12" x14ac:dyDescent="0.25">
      <c r="A102" s="8"/>
      <c r="B102" s="110" t="s">
        <v>496</v>
      </c>
      <c r="C102" s="33" t="s">
        <v>154</v>
      </c>
    </row>
    <row r="103" spans="1:12" x14ac:dyDescent="0.25">
      <c r="A103" s="8">
        <f>A100+1</f>
        <v>404</v>
      </c>
      <c r="B103" s="40">
        <f>IF('1-BaseTRR'!G3&gt;2023,B97,B100)</f>
        <v>-210934302.12815261</v>
      </c>
      <c r="C103" s="6" t="str">
        <f>"Line "&amp;A100&amp;" if PY is 2022 or 2023, Line "&amp;A97&amp;" if PY is 2024 and after."</f>
        <v>Line 403 if PY is 2022 or 2023, Line 402 if PY is 2024 and after.</v>
      </c>
      <c r="L103" s="8">
        <f>A103</f>
        <v>404</v>
      </c>
    </row>
    <row r="104" spans="1:12" x14ac:dyDescent="0.25">
      <c r="A104" s="8"/>
    </row>
    <row r="105" spans="1:12" x14ac:dyDescent="0.25">
      <c r="A105" s="8"/>
      <c r="B105" s="83" t="s">
        <v>495</v>
      </c>
      <c r="C105" s="35"/>
      <c r="D105" s="109"/>
      <c r="E105" s="108"/>
      <c r="F105" s="35"/>
      <c r="G105" s="108"/>
      <c r="H105" s="35"/>
      <c r="I105" s="108"/>
      <c r="J105" s="108"/>
      <c r="K105" s="108"/>
    </row>
    <row r="106" spans="1:12" x14ac:dyDescent="0.25">
      <c r="A106" s="8"/>
      <c r="B106" s="44" t="s">
        <v>464</v>
      </c>
      <c r="D106" s="26"/>
      <c r="E106" s="102"/>
      <c r="G106" s="102"/>
      <c r="I106" s="102"/>
      <c r="J106" s="102"/>
      <c r="K106" s="102"/>
    </row>
    <row r="107" spans="1:12" x14ac:dyDescent="0.25">
      <c r="A107" s="8"/>
      <c r="B107" s="6" t="str">
        <f>"1) On Line "&amp;$A$110&amp;", Input 'No' for a Full Year True-up, otherwise Input 'Yes' for a Partial Year True-up"</f>
        <v>1) On Line 500, Input 'No' for a Full Year True-up, otherwise Input 'Yes' for a Partial Year True-up</v>
      </c>
    </row>
    <row r="108" spans="1:12" x14ac:dyDescent="0.25">
      <c r="A108" s="8"/>
      <c r="B108" s="6" t="str">
        <f>"2) If Line "&amp;$A$110&amp;" is 'Yes', Input 'Yes' or 'No'  in "&amp;$F$112&amp;" for each month that the Formula Rate was in effect in the Prior Year and Input the True-up TRR Allocation Factors into "&amp;D112&amp;"."</f>
        <v>2) If Line 500 is 'Yes', Input 'Yes' or 'No'  in Col 4 for each month that the Formula Rate was in effect in the Prior Year and Input the True-up TRR Allocation Factors into Col 2.</v>
      </c>
    </row>
    <row r="109" spans="1:12" x14ac:dyDescent="0.25">
      <c r="A109" s="33" t="s">
        <v>106</v>
      </c>
      <c r="D109" s="26"/>
      <c r="E109" s="102"/>
      <c r="G109" s="102"/>
      <c r="I109" s="102"/>
      <c r="J109" s="102"/>
      <c r="K109" s="102"/>
      <c r="L109" s="33" t="str">
        <f>A109</f>
        <v>Line</v>
      </c>
    </row>
    <row r="110" spans="1:12" x14ac:dyDescent="0.25">
      <c r="A110" s="8">
        <v>500</v>
      </c>
      <c r="B110" s="39" t="s">
        <v>494</v>
      </c>
      <c r="D110" s="107" t="s">
        <v>493</v>
      </c>
      <c r="L110" s="8">
        <f>A110</f>
        <v>500</v>
      </c>
    </row>
    <row r="111" spans="1:12" x14ac:dyDescent="0.25">
      <c r="A111" s="8"/>
      <c r="D111" s="26"/>
      <c r="E111" s="102"/>
      <c r="G111" s="102"/>
      <c r="I111" s="102"/>
      <c r="J111" s="102"/>
      <c r="K111" s="102"/>
    </row>
    <row r="112" spans="1:12" x14ac:dyDescent="0.25">
      <c r="A112" s="8"/>
      <c r="C112" s="8" t="s">
        <v>492</v>
      </c>
      <c r="D112" s="8" t="s">
        <v>491</v>
      </c>
      <c r="E112" s="8" t="s">
        <v>490</v>
      </c>
      <c r="F112" s="8" t="s">
        <v>489</v>
      </c>
      <c r="I112" s="102"/>
      <c r="J112" s="102"/>
      <c r="K112" s="102"/>
    </row>
    <row r="113" spans="1:12" x14ac:dyDescent="0.25">
      <c r="A113" s="8"/>
      <c r="C113" s="8"/>
      <c r="D113" s="23" t="s">
        <v>488</v>
      </c>
      <c r="E113" s="23" t="s">
        <v>487</v>
      </c>
      <c r="F113" s="23"/>
      <c r="I113" s="102"/>
      <c r="J113" s="102"/>
      <c r="K113" s="102"/>
    </row>
    <row r="114" spans="1:12" x14ac:dyDescent="0.25">
      <c r="A114" s="8"/>
      <c r="B114" s="30"/>
      <c r="C114" s="8"/>
      <c r="D114" s="106" t="s">
        <v>486</v>
      </c>
      <c r="E114" s="8" t="s">
        <v>485</v>
      </c>
      <c r="F114" s="105" t="s">
        <v>484</v>
      </c>
      <c r="I114" s="102"/>
      <c r="J114" s="102"/>
      <c r="K114" s="102"/>
    </row>
    <row r="115" spans="1:12" x14ac:dyDescent="0.25">
      <c r="B115" s="33" t="s">
        <v>483</v>
      </c>
      <c r="C115" s="33" t="s">
        <v>482</v>
      </c>
      <c r="D115" s="33" t="s">
        <v>481</v>
      </c>
      <c r="E115" s="104" t="s">
        <v>480</v>
      </c>
      <c r="F115" s="103" t="s">
        <v>479</v>
      </c>
      <c r="H115" s="102"/>
      <c r="J115" s="102"/>
      <c r="K115" s="102"/>
    </row>
    <row r="116" spans="1:12" x14ac:dyDescent="0.25">
      <c r="A116" s="8">
        <f>A110+1</f>
        <v>501</v>
      </c>
      <c r="B116" s="6" t="s">
        <v>478</v>
      </c>
      <c r="C116" s="23">
        <f>C45</f>
        <v>2025</v>
      </c>
      <c r="D116" s="68">
        <f>E116/$E$128</f>
        <v>8.082874655187873E-2</v>
      </c>
      <c r="E116" s="101">
        <v>6703127.5705696298</v>
      </c>
      <c r="F116" s="98"/>
      <c r="H116" s="102"/>
      <c r="J116" s="102"/>
      <c r="K116" s="102"/>
      <c r="L116" s="8">
        <f>A116</f>
        <v>501</v>
      </c>
    </row>
    <row r="117" spans="1:12" x14ac:dyDescent="0.25">
      <c r="A117" s="8">
        <f>A116+1</f>
        <v>502</v>
      </c>
      <c r="B117" s="6" t="s">
        <v>477</v>
      </c>
      <c r="C117" s="23">
        <f>C46</f>
        <v>2025</v>
      </c>
      <c r="D117" s="68">
        <f>E117/$E$128</f>
        <v>7.1164901661755597E-2</v>
      </c>
      <c r="E117" s="101">
        <v>5901704.9593812199</v>
      </c>
      <c r="F117" s="98"/>
      <c r="H117" s="102"/>
      <c r="J117" s="102"/>
      <c r="K117" s="102"/>
      <c r="L117" s="8">
        <f>A117</f>
        <v>502</v>
      </c>
    </row>
    <row r="118" spans="1:12" x14ac:dyDescent="0.25">
      <c r="A118" s="8">
        <f>A117+1</f>
        <v>503</v>
      </c>
      <c r="B118" s="6" t="s">
        <v>476</v>
      </c>
      <c r="C118" s="23">
        <f>C47</f>
        <v>2025</v>
      </c>
      <c r="D118" s="68">
        <f>E118/$E$128</f>
        <v>7.5382226776206845E-2</v>
      </c>
      <c r="E118" s="101">
        <v>6251447.7112447498</v>
      </c>
      <c r="F118" s="98"/>
      <c r="H118" s="102"/>
      <c r="J118" s="102"/>
      <c r="K118" s="102"/>
      <c r="L118" s="8">
        <f>A118</f>
        <v>503</v>
      </c>
    </row>
    <row r="119" spans="1:12" x14ac:dyDescent="0.25">
      <c r="A119" s="8">
        <f>A118+1</f>
        <v>504</v>
      </c>
      <c r="B119" s="6" t="s">
        <v>475</v>
      </c>
      <c r="C119" s="23">
        <f>C48</f>
        <v>2025</v>
      </c>
      <c r="D119" s="68">
        <f>E119/$E$128</f>
        <v>7.377725178377964E-2</v>
      </c>
      <c r="E119" s="101">
        <v>6118347.1426876402</v>
      </c>
      <c r="F119" s="98"/>
      <c r="H119" s="102"/>
      <c r="J119" s="102"/>
      <c r="K119" s="102"/>
      <c r="L119" s="8">
        <f>A119</f>
        <v>504</v>
      </c>
    </row>
    <row r="120" spans="1:12" x14ac:dyDescent="0.25">
      <c r="A120" s="8">
        <f>A119+1</f>
        <v>505</v>
      </c>
      <c r="B120" s="6" t="s">
        <v>474</v>
      </c>
      <c r="C120" s="23">
        <f>C49</f>
        <v>2025</v>
      </c>
      <c r="D120" s="68">
        <f>E120/$E$128</f>
        <v>8.33043866365724E-2</v>
      </c>
      <c r="E120" s="101">
        <v>6908432.3911246099</v>
      </c>
      <c r="F120" s="98"/>
      <c r="H120" s="102"/>
      <c r="J120" s="102"/>
      <c r="K120" s="102"/>
      <c r="L120" s="8">
        <f>A120</f>
        <v>505</v>
      </c>
    </row>
    <row r="121" spans="1:12" x14ac:dyDescent="0.25">
      <c r="A121" s="8">
        <f>A120+1</f>
        <v>506</v>
      </c>
      <c r="B121" s="6" t="s">
        <v>473</v>
      </c>
      <c r="C121" s="23">
        <f>C50</f>
        <v>2025</v>
      </c>
      <c r="D121" s="68">
        <f>E121/$E$128</f>
        <v>8.878409666999347E-2</v>
      </c>
      <c r="E121" s="101">
        <v>7362864.7183681903</v>
      </c>
      <c r="F121" s="98"/>
      <c r="H121" s="102"/>
      <c r="J121" s="102"/>
      <c r="K121" s="102"/>
      <c r="L121" s="8">
        <f>A121</f>
        <v>506</v>
      </c>
    </row>
    <row r="122" spans="1:12" x14ac:dyDescent="0.25">
      <c r="A122" s="8">
        <f>A121+1</f>
        <v>507</v>
      </c>
      <c r="B122" s="6" t="s">
        <v>472</v>
      </c>
      <c r="C122" s="23">
        <f>C51</f>
        <v>2025</v>
      </c>
      <c r="D122" s="68">
        <f>E122/$E$128</f>
        <v>9.586756009255476E-2</v>
      </c>
      <c r="E122" s="101">
        <v>7950296.3066140497</v>
      </c>
      <c r="F122" s="98"/>
      <c r="H122" s="102"/>
      <c r="J122" s="102"/>
      <c r="K122" s="102"/>
      <c r="L122" s="8">
        <f>A122</f>
        <v>507</v>
      </c>
    </row>
    <row r="123" spans="1:12" x14ac:dyDescent="0.25">
      <c r="A123" s="8">
        <f>A122+1</f>
        <v>508</v>
      </c>
      <c r="B123" s="6" t="s">
        <v>471</v>
      </c>
      <c r="C123" s="23">
        <f>C52</f>
        <v>2025</v>
      </c>
      <c r="D123" s="68">
        <f>E123/$E$128</f>
        <v>0.10103440151096085</v>
      </c>
      <c r="E123" s="101">
        <v>8378782.4410891104</v>
      </c>
      <c r="F123" s="98"/>
      <c r="H123" s="102"/>
      <c r="J123" s="102"/>
      <c r="K123" s="102"/>
      <c r="L123" s="8">
        <f>A123</f>
        <v>508</v>
      </c>
    </row>
    <row r="124" spans="1:12" x14ac:dyDescent="0.25">
      <c r="A124" s="8">
        <f>A123+1</f>
        <v>509</v>
      </c>
      <c r="B124" s="6" t="s">
        <v>470</v>
      </c>
      <c r="C124" s="23">
        <f>C53</f>
        <v>2025</v>
      </c>
      <c r="D124" s="68">
        <f>E124/$E$128</f>
        <v>9.1961771097708866E-2</v>
      </c>
      <c r="E124" s="101">
        <v>7626389.2436809996</v>
      </c>
      <c r="F124" s="98"/>
      <c r="H124" s="102"/>
      <c r="J124" s="102"/>
      <c r="K124" s="102"/>
      <c r="L124" s="8">
        <f>A124</f>
        <v>509</v>
      </c>
    </row>
    <row r="125" spans="1:12" x14ac:dyDescent="0.25">
      <c r="A125" s="8">
        <f>A124+1</f>
        <v>510</v>
      </c>
      <c r="B125" s="6" t="s">
        <v>469</v>
      </c>
      <c r="C125" s="23">
        <f>C54</f>
        <v>2025</v>
      </c>
      <c r="D125" s="68">
        <f>E125/$E$128</f>
        <v>7.9405577090521359E-2</v>
      </c>
      <c r="E125" s="101">
        <v>6585104.1338472199</v>
      </c>
      <c r="F125" s="98"/>
      <c r="L125" s="8">
        <f>A125</f>
        <v>510</v>
      </c>
    </row>
    <row r="126" spans="1:12" x14ac:dyDescent="0.25">
      <c r="A126" s="8">
        <f>A125+1</f>
        <v>511</v>
      </c>
      <c r="B126" s="6" t="s">
        <v>468</v>
      </c>
      <c r="C126" s="23">
        <f>C55</f>
        <v>2025</v>
      </c>
      <c r="D126" s="68">
        <f>E126/$E$128</f>
        <v>7.5023954296442472E-2</v>
      </c>
      <c r="E126" s="101">
        <v>6221736.17618657</v>
      </c>
      <c r="F126" s="98"/>
      <c r="L126" s="8">
        <f>A126</f>
        <v>511</v>
      </c>
    </row>
    <row r="127" spans="1:12" x14ac:dyDescent="0.25">
      <c r="A127" s="8">
        <f>A126+1</f>
        <v>512</v>
      </c>
      <c r="B127" s="6" t="s">
        <v>467</v>
      </c>
      <c r="C127" s="23">
        <f>C56</f>
        <v>2025</v>
      </c>
      <c r="D127" s="100">
        <f>E127/$E$128</f>
        <v>8.3465125831624937E-2</v>
      </c>
      <c r="E127" s="99">
        <v>6921762.4918126902</v>
      </c>
      <c r="F127" s="98"/>
      <c r="L127" s="8">
        <f>A127</f>
        <v>512</v>
      </c>
    </row>
    <row r="128" spans="1:12" x14ac:dyDescent="0.25">
      <c r="A128" s="8">
        <f>A127+1</f>
        <v>513</v>
      </c>
      <c r="B128" s="76" t="s">
        <v>466</v>
      </c>
      <c r="D128" s="97">
        <f>SUM(D116:D127)</f>
        <v>1</v>
      </c>
      <c r="E128" s="96">
        <f>SUM(E116:E127)</f>
        <v>82929995.286606684</v>
      </c>
      <c r="L128" s="8">
        <f>A128</f>
        <v>513</v>
      </c>
    </row>
    <row r="130" spans="2:11" x14ac:dyDescent="0.25">
      <c r="B130" s="83" t="s">
        <v>465</v>
      </c>
      <c r="C130" s="35"/>
      <c r="D130" s="35"/>
      <c r="E130" s="35"/>
      <c r="F130" s="35"/>
      <c r="G130" s="35"/>
      <c r="H130" s="35"/>
      <c r="I130" s="35"/>
      <c r="J130" s="35"/>
      <c r="K130" s="35"/>
    </row>
    <row r="131" spans="2:11" x14ac:dyDescent="0.25">
      <c r="B131" s="44" t="s">
        <v>464</v>
      </c>
    </row>
    <row r="132" spans="2:11" ht="14.45" customHeight="1" x14ac:dyDescent="0.25">
      <c r="B132" s="6" t="s">
        <v>463</v>
      </c>
    </row>
    <row r="133" spans="2:11" x14ac:dyDescent="0.25">
      <c r="B133" s="6" t="s">
        <v>462</v>
      </c>
    </row>
    <row r="136" spans="2:11" x14ac:dyDescent="0.25">
      <c r="B136" s="25" t="s">
        <v>145</v>
      </c>
    </row>
    <row r="137" spans="2:11" ht="14.45" customHeight="1" x14ac:dyDescent="0.25">
      <c r="B137" s="6" t="s">
        <v>461</v>
      </c>
    </row>
    <row r="138" spans="2:11" ht="14.45" customHeight="1" x14ac:dyDescent="0.25">
      <c r="B138" s="6" t="s">
        <v>460</v>
      </c>
    </row>
    <row r="139" spans="2:11" x14ac:dyDescent="0.25">
      <c r="B139" s="6" t="s">
        <v>459</v>
      </c>
    </row>
    <row r="140" spans="2:11" ht="15" customHeight="1" x14ac:dyDescent="0.25">
      <c r="B140" s="6" t="str">
        <f>"3) For each month of the Prior Year, the Monthly True-up TRR is calculated by multiplying the True-up TRR on Line "&amp;A36&amp;" by monthly allocation factors from Lines "&amp;A116&amp;" to "&amp;A127&amp;", "&amp;D112&amp;"."</f>
        <v>3) For each month of the Prior Year, the Monthly True-up TRR is calculated by multiplying the True-up TRR on Line 200 by monthly allocation factors from Lines 501 to 512, Col 2.</v>
      </c>
    </row>
    <row r="141" spans="2:11" ht="15" customHeight="1" x14ac:dyDescent="0.25">
      <c r="B141" s="6" t="str">
        <f>"4) The Retail Transmission Revenues are from Lines "&amp;A14&amp;" to "&amp;A25&amp;", "&amp;C10&amp;".  For a partial year true-up, only revenues for the months that the Formula Rate was in effect in the Prior Year are included."</f>
        <v>4) The Retail Transmission Revenues are from Lines 100 to 111, Col 1.  For a partial year true-up, only revenues for the months that the Formula Rate was in effect in the Prior Year are included.</v>
      </c>
    </row>
    <row r="142" spans="2:11" x14ac:dyDescent="0.25">
      <c r="B142" s="6" t="s">
        <v>458</v>
      </c>
    </row>
    <row r="143" spans="2:11" x14ac:dyDescent="0.25">
      <c r="B143" s="6" t="s">
        <v>457</v>
      </c>
    </row>
    <row r="144" spans="2:11" ht="14.45" customHeight="1" x14ac:dyDescent="0.25">
      <c r="B144" s="6" t="s">
        <v>456</v>
      </c>
    </row>
    <row r="145" spans="2:11" x14ac:dyDescent="0.25">
      <c r="B145" s="6" t="s">
        <v>455</v>
      </c>
    </row>
    <row r="146" spans="2:11" x14ac:dyDescent="0.25">
      <c r="B146" s="6" t="str">
        <f>"9) The January 'Month Beginning Balance' on Line "&amp;A79&amp;", "&amp;D74&amp;" is equal to the 'Cumulative Excess or Shortall in Revenue with Interest' from Line "&amp;A68&amp;", "&amp;K38&amp;"."</f>
        <v>9) The January 'Month Beginning Balance' on Line 300, Col 2 is equal to the 'Cumulative Excess or Shortall in Revenue with Interest' from Line 225, Col 9.</v>
      </c>
    </row>
    <row r="147" spans="2:11" ht="14.45" customHeight="1" x14ac:dyDescent="0.25">
      <c r="B147" s="6" t="str">
        <f>"10) 'Interest for the Current Month' ("&amp;G74&amp;") is based on the average of the 'Month Beginning Balance' ("&amp;D74&amp;") and the 'Month Ending Balancing without Interest' ("&amp;F74&amp;"), multiplied by one-twelve of the 'FERC Interest Rate' ("&amp;H74&amp;")."</f>
        <v>10) 'Interest for the Current Month' (Col 5) is based on the average of the 'Month Beginning Balance' (Col 2) and the 'Month Ending Balancing without Interest' (Col 4), multiplied by one-twelve of the 'FERC Interest Rate' (Col 6).</v>
      </c>
    </row>
    <row r="148" spans="2:11" x14ac:dyDescent="0.25">
      <c r="B148" s="6" t="str">
        <f>"11) The 'FERC Interest Rate' is the last known FERC interest rate from Line "&amp;A68&amp;", "&amp;H38&amp;"."</f>
        <v>11) The 'FERC Interest Rate' is the last known FERC interest rate from Line 225, Col 6.</v>
      </c>
    </row>
    <row r="149" spans="2:11" ht="15" customHeight="1" x14ac:dyDescent="0.25">
      <c r="B149" s="6" t="s">
        <v>454</v>
      </c>
    </row>
    <row r="150" spans="2:11" ht="14.45" customHeight="1" x14ac:dyDescent="0.25">
      <c r="B150" s="6" t="s">
        <v>453</v>
      </c>
    </row>
    <row r="151" spans="2:11" x14ac:dyDescent="0.25">
      <c r="B151" s="6" t="s">
        <v>452</v>
      </c>
    </row>
    <row r="152" spans="2:11" ht="14.45" customHeight="1" x14ac:dyDescent="0.25">
      <c r="B152" s="6" t="s">
        <v>451</v>
      </c>
    </row>
    <row r="154" spans="2:11" ht="30" customHeight="1" x14ac:dyDescent="0.25">
      <c r="B154" s="95" t="s">
        <v>450</v>
      </c>
      <c r="C154" s="95"/>
      <c r="D154" s="95"/>
      <c r="E154" s="95"/>
      <c r="F154" s="95"/>
      <c r="G154" s="95"/>
      <c r="H154" s="95"/>
      <c r="I154" s="95"/>
      <c r="J154" s="95"/>
      <c r="K154" s="95"/>
    </row>
    <row r="155" spans="2:11" x14ac:dyDescent="0.25">
      <c r="B155" s="89" t="s">
        <v>83</v>
      </c>
      <c r="C155" s="89"/>
      <c r="D155" s="89"/>
      <c r="E155" s="89"/>
      <c r="F155" s="89"/>
      <c r="G155" s="89"/>
      <c r="H155" s="89"/>
      <c r="I155" s="89"/>
      <c r="J155" s="89"/>
      <c r="K155" s="89"/>
    </row>
  </sheetData>
  <mergeCells count="1">
    <mergeCell ref="B154:K154"/>
  </mergeCells>
  <printOptions horizontalCentered="1"/>
  <pageMargins left="1" right="1" top="1" bottom="1" header="0.5" footer="0.5"/>
  <pageSetup scale="50" fitToHeight="3" orientation="landscape" r:id="rId1"/>
  <headerFooter>
    <oddHeader>&amp;R&amp;F</oddHeader>
  </headerFooter>
  <rowBreaks count="2" manualBreakCount="2">
    <brk id="62" max="11" man="1"/>
    <brk id="128" max="11" man="1"/>
  </rowBreaks>
  <customProperties>
    <customPr name="_pios_id" r:id="rId2"/>
  </customPropertie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45BB62-B341-4D59-9E65-FFE51CEBE8C2}">
  <sheetPr>
    <pageSetUpPr fitToPage="1"/>
  </sheetPr>
  <dimension ref="A1:V31"/>
  <sheetViews>
    <sheetView view="pageBreakPreview" zoomScale="60" zoomScaleNormal="76" workbookViewId="0">
      <selection activeCell="Q36" sqref="Q36"/>
    </sheetView>
  </sheetViews>
  <sheetFormatPr defaultColWidth="8.85546875" defaultRowHeight="15" x14ac:dyDescent="0.25"/>
  <cols>
    <col min="1" max="1" width="7" style="121" bestFit="1" customWidth="1"/>
    <col min="2" max="2" width="63.42578125" style="121" bestFit="1" customWidth="1"/>
    <col min="3" max="3" width="4.5703125" style="121" customWidth="1"/>
    <col min="4" max="4" width="22.5703125" style="121" bestFit="1" customWidth="1"/>
    <col min="5" max="5" width="35.5703125" style="121" bestFit="1" customWidth="1"/>
    <col min="6" max="6" width="37.85546875" style="121" bestFit="1" customWidth="1"/>
    <col min="7" max="7" width="7" style="121" bestFit="1" customWidth="1"/>
    <col min="8" max="8" width="8.85546875" style="121"/>
    <col min="9" max="9" width="12.140625" style="121" bestFit="1" customWidth="1"/>
    <col min="10" max="10" width="7.140625" style="121" bestFit="1" customWidth="1"/>
    <col min="11" max="11" width="10.5703125" style="121" bestFit="1" customWidth="1"/>
    <col min="12" max="22" width="14.5703125" style="121" customWidth="1"/>
    <col min="23" max="16384" width="8.85546875" style="121"/>
  </cols>
  <sheetData>
    <row r="1" spans="1:22" x14ac:dyDescent="0.25">
      <c r="B1" s="125" t="s">
        <v>598</v>
      </c>
      <c r="F1" s="76"/>
    </row>
    <row r="2" spans="1:22" x14ac:dyDescent="0.25">
      <c r="B2" s="39" t="s">
        <v>69</v>
      </c>
      <c r="E2" s="76"/>
      <c r="F2" s="76" t="str">
        <f>CONCATENATE("Prior Year: ",'1-BaseTRR'!$G$3)</f>
        <v>Prior Year: 2025</v>
      </c>
    </row>
    <row r="3" spans="1:22" x14ac:dyDescent="0.25">
      <c r="B3" s="77" t="s">
        <v>367</v>
      </c>
      <c r="E3" s="76"/>
    </row>
    <row r="5" spans="1:22" x14ac:dyDescent="0.25">
      <c r="B5" s="36" t="s">
        <v>597</v>
      </c>
      <c r="C5" s="75"/>
      <c r="D5" s="35"/>
      <c r="E5" s="35"/>
      <c r="F5" s="35"/>
    </row>
    <row r="6" spans="1:22" x14ac:dyDescent="0.25">
      <c r="A6" s="33" t="s">
        <v>106</v>
      </c>
      <c r="B6" s="33" t="s">
        <v>79</v>
      </c>
      <c r="C6" s="6"/>
      <c r="D6" s="33" t="s">
        <v>155</v>
      </c>
      <c r="E6" s="33" t="s">
        <v>154</v>
      </c>
      <c r="F6" s="33" t="s">
        <v>153</v>
      </c>
      <c r="G6" s="33" t="str">
        <f>A6</f>
        <v>Line</v>
      </c>
    </row>
    <row r="7" spans="1:22" x14ac:dyDescent="0.25">
      <c r="B7" s="129" t="s">
        <v>596</v>
      </c>
      <c r="I7" s="138"/>
      <c r="J7" s="137"/>
      <c r="K7" s="136"/>
      <c r="L7" s="135"/>
      <c r="M7" s="135"/>
      <c r="N7" s="135"/>
      <c r="O7" s="135"/>
      <c r="P7" s="135"/>
      <c r="Q7" s="135"/>
      <c r="R7" s="135"/>
      <c r="S7" s="135"/>
      <c r="T7" s="135"/>
      <c r="U7" s="135"/>
      <c r="V7" s="135"/>
    </row>
    <row r="8" spans="1:22" x14ac:dyDescent="0.25">
      <c r="A8" s="124">
        <v>100</v>
      </c>
      <c r="B8" s="121" t="s">
        <v>595</v>
      </c>
      <c r="D8" s="40">
        <f>'5-CostofCap-4'!C11</f>
        <v>40273752447.619232</v>
      </c>
      <c r="E8" s="122" t="s">
        <v>594</v>
      </c>
      <c r="F8" s="121" t="s">
        <v>313</v>
      </c>
      <c r="G8" s="124">
        <f>A8</f>
        <v>100</v>
      </c>
      <c r="I8" s="132"/>
      <c r="J8" s="133"/>
      <c r="K8" s="132"/>
      <c r="L8" s="126"/>
      <c r="M8" s="126"/>
      <c r="N8" s="126"/>
      <c r="O8" s="126"/>
      <c r="P8" s="126"/>
      <c r="Q8" s="126"/>
      <c r="R8" s="126"/>
      <c r="S8" s="126"/>
      <c r="T8" s="126"/>
      <c r="U8" s="126"/>
      <c r="V8" s="126"/>
    </row>
    <row r="9" spans="1:22" x14ac:dyDescent="0.25">
      <c r="A9" s="124">
        <f>A8+1</f>
        <v>101</v>
      </c>
      <c r="B9" s="134" t="s">
        <v>593</v>
      </c>
      <c r="D9" s="40">
        <f>-'5-CostofCap-4'!C16</f>
        <v>0</v>
      </c>
      <c r="E9" s="122" t="s">
        <v>592</v>
      </c>
      <c r="F9" s="121" t="s">
        <v>591</v>
      </c>
      <c r="G9" s="124">
        <f>A9</f>
        <v>101</v>
      </c>
      <c r="I9" s="132"/>
      <c r="J9" s="133"/>
      <c r="K9" s="132"/>
      <c r="L9" s="126"/>
      <c r="M9" s="126"/>
      <c r="N9" s="126"/>
      <c r="O9" s="126"/>
      <c r="P9" s="126"/>
      <c r="Q9" s="126"/>
      <c r="R9" s="126"/>
      <c r="S9" s="126"/>
      <c r="T9" s="126"/>
      <c r="U9" s="126"/>
      <c r="V9" s="126"/>
    </row>
    <row r="10" spans="1:22" x14ac:dyDescent="0.25">
      <c r="A10" s="124">
        <f>A9+1</f>
        <v>102</v>
      </c>
      <c r="B10" s="134" t="s">
        <v>590</v>
      </c>
      <c r="D10" s="31">
        <f>'5-CostofCap-4'!C19</f>
        <v>0</v>
      </c>
      <c r="E10" s="122" t="s">
        <v>589</v>
      </c>
      <c r="F10" s="121" t="s">
        <v>313</v>
      </c>
      <c r="G10" s="124">
        <f>A10</f>
        <v>102</v>
      </c>
      <c r="I10" s="132"/>
      <c r="J10" s="133"/>
      <c r="K10" s="132"/>
      <c r="L10" s="126"/>
      <c r="M10" s="126"/>
      <c r="N10" s="126"/>
      <c r="O10" s="126"/>
      <c r="P10" s="126"/>
      <c r="Q10" s="126"/>
      <c r="R10" s="126"/>
      <c r="S10" s="126"/>
      <c r="T10" s="126"/>
      <c r="U10" s="126"/>
      <c r="V10" s="126"/>
    </row>
    <row r="11" spans="1:22" x14ac:dyDescent="0.25">
      <c r="A11" s="124">
        <f>A10+1</f>
        <v>103</v>
      </c>
      <c r="B11" s="125" t="s">
        <v>325</v>
      </c>
      <c r="D11" s="29">
        <f>SUM(D8:D10)</f>
        <v>40273752447.619232</v>
      </c>
      <c r="E11" s="122" t="s">
        <v>588</v>
      </c>
      <c r="G11" s="124">
        <f>A11</f>
        <v>103</v>
      </c>
    </row>
    <row r="12" spans="1:22" x14ac:dyDescent="0.25">
      <c r="D12" s="131"/>
      <c r="E12" s="122"/>
      <c r="G12" s="124"/>
    </row>
    <row r="13" spans="1:22" x14ac:dyDescent="0.25">
      <c r="B13" s="129" t="s">
        <v>587</v>
      </c>
      <c r="D13" s="130"/>
      <c r="E13" s="122"/>
      <c r="G13" s="124"/>
    </row>
    <row r="14" spans="1:22" x14ac:dyDescent="0.25">
      <c r="A14" s="124">
        <f>A11+1</f>
        <v>104</v>
      </c>
      <c r="B14" s="121" t="s">
        <v>586</v>
      </c>
      <c r="D14" s="32">
        <f>'5-CostofCap-4'!C36</f>
        <v>257994575</v>
      </c>
      <c r="E14" s="122" t="s">
        <v>585</v>
      </c>
      <c r="F14" s="121" t="s">
        <v>313</v>
      </c>
      <c r="G14" s="124">
        <f>A14</f>
        <v>104</v>
      </c>
      <c r="I14" s="126"/>
      <c r="K14" s="126"/>
      <c r="L14" s="126"/>
      <c r="M14" s="126"/>
      <c r="N14" s="126"/>
      <c r="O14" s="126"/>
      <c r="P14" s="126"/>
      <c r="Q14" s="126"/>
      <c r="R14" s="126"/>
      <c r="S14" s="126"/>
      <c r="T14" s="126"/>
      <c r="U14" s="126"/>
      <c r="V14" s="126"/>
    </row>
    <row r="15" spans="1:22" x14ac:dyDescent="0.25">
      <c r="A15" s="124">
        <f>A14+1</f>
        <v>105</v>
      </c>
      <c r="B15" s="121" t="s">
        <v>584</v>
      </c>
      <c r="D15" s="40">
        <f>'5-CostofCap-4'!C39</f>
        <v>-5940274.6800000006</v>
      </c>
      <c r="E15" s="122" t="s">
        <v>583</v>
      </c>
      <c r="F15" s="121" t="s">
        <v>313</v>
      </c>
      <c r="G15" s="124">
        <f>A15</f>
        <v>105</v>
      </c>
      <c r="I15" s="126"/>
      <c r="K15" s="126"/>
      <c r="L15" s="126"/>
      <c r="M15" s="126"/>
      <c r="N15" s="126"/>
      <c r="O15" s="126"/>
      <c r="P15" s="126"/>
      <c r="Q15" s="126"/>
      <c r="R15" s="126"/>
      <c r="S15" s="126"/>
      <c r="T15" s="126"/>
      <c r="U15" s="126"/>
      <c r="V15" s="126"/>
    </row>
    <row r="16" spans="1:22" x14ac:dyDescent="0.25">
      <c r="A16" s="124">
        <f>A15+1</f>
        <v>106</v>
      </c>
      <c r="B16" s="121" t="s">
        <v>582</v>
      </c>
      <c r="D16" s="31">
        <f>'5-CostofCap-4'!C42</f>
        <v>0</v>
      </c>
      <c r="E16" s="122" t="s">
        <v>581</v>
      </c>
      <c r="F16" s="121" t="s">
        <v>313</v>
      </c>
      <c r="G16" s="124">
        <f>A16</f>
        <v>106</v>
      </c>
      <c r="I16" s="126"/>
      <c r="K16" s="126"/>
      <c r="L16" s="126"/>
      <c r="M16" s="126"/>
      <c r="N16" s="126"/>
      <c r="O16" s="126"/>
      <c r="P16" s="126"/>
      <c r="Q16" s="126"/>
      <c r="R16" s="126"/>
      <c r="S16" s="126"/>
      <c r="T16" s="126"/>
      <c r="U16" s="126"/>
      <c r="V16" s="126"/>
    </row>
    <row r="17" spans="1:22" x14ac:dyDescent="0.25">
      <c r="A17" s="124">
        <f>A16+1</f>
        <v>107</v>
      </c>
      <c r="B17" s="125" t="s">
        <v>320</v>
      </c>
      <c r="D17" s="29">
        <f>SUM(D14:D16)</f>
        <v>252054300.31999999</v>
      </c>
      <c r="E17" s="122" t="s">
        <v>580</v>
      </c>
      <c r="G17" s="124">
        <f>A17</f>
        <v>107</v>
      </c>
    </row>
    <row r="18" spans="1:22" x14ac:dyDescent="0.25">
      <c r="A18" s="124"/>
      <c r="D18" s="128"/>
      <c r="E18" s="122"/>
      <c r="G18" s="124"/>
    </row>
    <row r="19" spans="1:22" x14ac:dyDescent="0.25">
      <c r="B19" s="129" t="s">
        <v>579</v>
      </c>
      <c r="D19" s="128"/>
      <c r="E19" s="122"/>
      <c r="F19" s="127"/>
      <c r="G19" s="124"/>
    </row>
    <row r="20" spans="1:22" x14ac:dyDescent="0.25">
      <c r="A20" s="124">
        <f>A17+1</f>
        <v>108</v>
      </c>
      <c r="B20" s="121" t="s">
        <v>578</v>
      </c>
      <c r="D20" s="32">
        <f>'5-CostofCap-4'!C51</f>
        <v>44249252763.399994</v>
      </c>
      <c r="E20" s="122" t="s">
        <v>577</v>
      </c>
      <c r="F20" s="121" t="s">
        <v>313</v>
      </c>
      <c r="G20" s="124">
        <f>A20</f>
        <v>108</v>
      </c>
      <c r="I20" s="126"/>
      <c r="J20" s="126"/>
      <c r="K20" s="126"/>
      <c r="L20" s="126"/>
      <c r="M20" s="126"/>
      <c r="N20" s="126"/>
      <c r="O20" s="126"/>
      <c r="P20" s="126"/>
      <c r="Q20" s="126"/>
      <c r="R20" s="126"/>
      <c r="S20" s="126"/>
      <c r="T20" s="126"/>
      <c r="U20" s="126"/>
      <c r="V20" s="126"/>
    </row>
    <row r="21" spans="1:22" x14ac:dyDescent="0.25">
      <c r="A21" s="124">
        <f>A20+1</f>
        <v>109</v>
      </c>
      <c r="B21" s="121" t="s">
        <v>576</v>
      </c>
      <c r="D21" s="32">
        <f>-D17</f>
        <v>-252054300.31999999</v>
      </c>
      <c r="E21" s="122" t="s">
        <v>575</v>
      </c>
      <c r="F21" s="121" t="s">
        <v>574</v>
      </c>
      <c r="G21" s="124">
        <f>A21</f>
        <v>109</v>
      </c>
      <c r="I21" s="126"/>
      <c r="J21" s="126"/>
      <c r="K21" s="126"/>
      <c r="L21" s="126"/>
      <c r="M21" s="126"/>
      <c r="N21" s="126"/>
      <c r="O21" s="126"/>
      <c r="P21" s="126"/>
      <c r="Q21" s="126"/>
      <c r="R21" s="126"/>
      <c r="S21" s="126"/>
      <c r="T21" s="126"/>
      <c r="U21" s="126"/>
      <c r="V21" s="126"/>
    </row>
    <row r="22" spans="1:22" x14ac:dyDescent="0.25">
      <c r="A22" s="124">
        <f>A21+1</f>
        <v>110</v>
      </c>
      <c r="B22" s="121" t="s">
        <v>573</v>
      </c>
      <c r="D22" s="32">
        <f>-'5-CostofCap-4'!C45</f>
        <v>-1386528140.5092306</v>
      </c>
      <c r="E22" s="122" t="s">
        <v>572</v>
      </c>
      <c r="F22" s="121" t="s">
        <v>569</v>
      </c>
      <c r="G22" s="124">
        <f>A22</f>
        <v>110</v>
      </c>
      <c r="I22" s="126"/>
      <c r="J22" s="126"/>
      <c r="K22" s="126"/>
      <c r="L22" s="126"/>
      <c r="M22" s="126"/>
      <c r="N22" s="126"/>
      <c r="O22" s="126"/>
      <c r="P22" s="126"/>
      <c r="Q22" s="126"/>
      <c r="R22" s="126"/>
      <c r="S22" s="126"/>
      <c r="T22" s="126"/>
      <c r="U22" s="126"/>
      <c r="V22" s="126"/>
    </row>
    <row r="23" spans="1:22" x14ac:dyDescent="0.25">
      <c r="A23" s="124">
        <f>A22+1</f>
        <v>111</v>
      </c>
      <c r="B23" s="121" t="s">
        <v>571</v>
      </c>
      <c r="D23" s="31">
        <f>-'5-CostofCap-4'!C48</f>
        <v>12415929.917692307</v>
      </c>
      <c r="E23" s="122" t="s">
        <v>570</v>
      </c>
      <c r="F23" s="121" t="s">
        <v>569</v>
      </c>
      <c r="G23" s="124">
        <f>A23</f>
        <v>111</v>
      </c>
      <c r="I23" s="126"/>
      <c r="J23" s="126"/>
      <c r="K23" s="126"/>
      <c r="L23" s="126"/>
      <c r="M23" s="126"/>
      <c r="N23" s="126"/>
      <c r="O23" s="126"/>
      <c r="P23" s="126"/>
      <c r="Q23" s="126"/>
      <c r="R23" s="126"/>
      <c r="S23" s="126"/>
      <c r="T23" s="126"/>
      <c r="U23" s="126"/>
      <c r="V23" s="126"/>
    </row>
    <row r="24" spans="1:22" x14ac:dyDescent="0.25">
      <c r="A24" s="124">
        <f>A23+1</f>
        <v>112</v>
      </c>
      <c r="B24" s="125" t="s">
        <v>315</v>
      </c>
      <c r="D24" s="29">
        <f>SUM(D20:D23)</f>
        <v>42623086252.488457</v>
      </c>
      <c r="E24" s="122" t="s">
        <v>568</v>
      </c>
      <c r="G24" s="124">
        <f>A24</f>
        <v>112</v>
      </c>
    </row>
    <row r="25" spans="1:22" x14ac:dyDescent="0.25">
      <c r="B25" s="123"/>
    </row>
    <row r="29" spans="1:22" x14ac:dyDescent="0.25">
      <c r="B29" s="122"/>
    </row>
    <row r="31" spans="1:22" x14ac:dyDescent="0.25">
      <c r="B31" s="122"/>
    </row>
  </sheetData>
  <printOptions horizontalCentered="1"/>
  <pageMargins left="1" right="1" top="1" bottom="1" header="0.5" footer="0.5"/>
  <pageSetup scale="64" fitToHeight="0" orientation="landscape" r:id="rId1"/>
  <headerFooter>
    <oddHeader>&amp;R&amp;F</oddHeader>
  </headerFooter>
  <customProperties>
    <customPr name="_pios_id" r:id="rId2"/>
  </customProperties>
</worksheet>
</file>

<file path=docMetadata/LabelInfo.xml><?xml version="1.0" encoding="utf-8"?>
<clbl:labelList xmlns:clbl="http://schemas.microsoft.com/office/2020/mipLabelMetadata">
  <clbl:label id="{746d2a3f-4d51-44da-b226-f025675a294d}" enabled="1" method="Privileged" siteId="{44ae661a-ece6-41aa-bc96-7c2c85a08941}"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42</vt:i4>
      </vt:variant>
      <vt:variant>
        <vt:lpstr>Named Ranges</vt:lpstr>
      </vt:variant>
      <vt:variant>
        <vt:i4>38</vt:i4>
      </vt:variant>
    </vt:vector>
  </HeadingPairs>
  <TitlesOfParts>
    <vt:vector size="80" baseType="lpstr">
      <vt:lpstr>Sheet1</vt:lpstr>
      <vt:lpstr>Cover Page</vt:lpstr>
      <vt:lpstr>ToC</vt:lpstr>
      <vt:lpstr>Formatting and References</vt:lpstr>
      <vt:lpstr>1-BaseTRR</vt:lpstr>
      <vt:lpstr>2-ITRR</vt:lpstr>
      <vt:lpstr>3-True-upTRR</vt:lpstr>
      <vt:lpstr>4-ATA</vt:lpstr>
      <vt:lpstr>5-CostofCap-1</vt:lpstr>
      <vt:lpstr>5-CostofCap-2</vt:lpstr>
      <vt:lpstr>5-CostofCap-3</vt:lpstr>
      <vt:lpstr>5-CostofCap-4</vt:lpstr>
      <vt:lpstr>6-PlantJurisdiction</vt:lpstr>
      <vt:lpstr>7-PlantInService</vt:lpstr>
      <vt:lpstr>8-AbandonedProject</vt:lpstr>
      <vt:lpstr>9-PlantAdditions</vt:lpstr>
      <vt:lpstr>10-AccDep</vt:lpstr>
      <vt:lpstr>11-Depreciation</vt:lpstr>
      <vt:lpstr>12-DepRates</vt:lpstr>
      <vt:lpstr>13-WorkCap</vt:lpstr>
      <vt:lpstr>14-ADIT</vt:lpstr>
      <vt:lpstr>15-NUC</vt:lpstr>
      <vt:lpstr>16-UnfundedReserves</vt:lpstr>
      <vt:lpstr>17-RegAssets-1</vt:lpstr>
      <vt:lpstr>17-RegAssets-2</vt:lpstr>
      <vt:lpstr>17-RegAssets-3</vt:lpstr>
      <vt:lpstr>18-OandM</vt:lpstr>
      <vt:lpstr>19-AandG</vt:lpstr>
      <vt:lpstr>20-RevenueCredits</vt:lpstr>
      <vt:lpstr>21-NPandS</vt:lpstr>
      <vt:lpstr>22-TaxRates</vt:lpstr>
      <vt:lpstr>23-RetailSGTax</vt:lpstr>
      <vt:lpstr>24-Allocators</vt:lpstr>
      <vt:lpstr>25-RFandUFactors</vt:lpstr>
      <vt:lpstr>26-WholesaleTRRs</vt:lpstr>
      <vt:lpstr>27-WholesaleRates</vt:lpstr>
      <vt:lpstr>28-GrossLoad</vt:lpstr>
      <vt:lpstr>29-RetailRates-1</vt:lpstr>
      <vt:lpstr>29-RetailRates-2</vt:lpstr>
      <vt:lpstr>30-WFSelfInsurance</vt:lpstr>
      <vt:lpstr>31-COO</vt:lpstr>
      <vt:lpstr>32-CWIPIncentive</vt:lpstr>
      <vt:lpstr>'10-AccDep'!Print_Area</vt:lpstr>
      <vt:lpstr>'13-WorkCap'!Print_Area</vt:lpstr>
      <vt:lpstr>'14-ADIT'!Print_Area</vt:lpstr>
      <vt:lpstr>'15-NUC'!Print_Area</vt:lpstr>
      <vt:lpstr>'17-RegAssets-1'!Print_Area</vt:lpstr>
      <vt:lpstr>'18-OandM'!Print_Area</vt:lpstr>
      <vt:lpstr>'1-BaseTRR'!Print_Area</vt:lpstr>
      <vt:lpstr>'20-RevenueCredits'!Print_Area</vt:lpstr>
      <vt:lpstr>'21-NPandS'!Print_Area</vt:lpstr>
      <vt:lpstr>'22-TaxRates'!Print_Area</vt:lpstr>
      <vt:lpstr>'23-RetailSGTax'!Print_Area</vt:lpstr>
      <vt:lpstr>'24-Allocators'!Print_Area</vt:lpstr>
      <vt:lpstr>'25-RFandUFactors'!Print_Area</vt:lpstr>
      <vt:lpstr>'28-GrossLoad'!Print_Area</vt:lpstr>
      <vt:lpstr>'29-RetailRates-2'!Print_Area</vt:lpstr>
      <vt:lpstr>'2-ITRR'!Print_Area</vt:lpstr>
      <vt:lpstr>'30-WFSelfInsurance'!Print_Area</vt:lpstr>
      <vt:lpstr>'31-COO'!Print_Area</vt:lpstr>
      <vt:lpstr>'3-True-upTRR'!Print_Area</vt:lpstr>
      <vt:lpstr>'4-ATA'!Print_Area</vt:lpstr>
      <vt:lpstr>'5-CostofCap-1'!Print_Area</vt:lpstr>
      <vt:lpstr>'5-CostofCap-2'!Print_Area</vt:lpstr>
      <vt:lpstr>'5-CostofCap-3'!Print_Area</vt:lpstr>
      <vt:lpstr>'5-CostofCap-4'!Print_Area</vt:lpstr>
      <vt:lpstr>'6-PlantJurisdiction'!Print_Area</vt:lpstr>
      <vt:lpstr>'7-PlantInService'!Print_Area</vt:lpstr>
      <vt:lpstr>'8-AbandonedProject'!Print_Area</vt:lpstr>
      <vt:lpstr>'Cover Page'!Print_Area</vt:lpstr>
      <vt:lpstr>ToC!Print_Area</vt:lpstr>
      <vt:lpstr>'10-AccDep'!Print_Titles</vt:lpstr>
      <vt:lpstr>'11-Depreciation'!Print_Titles</vt:lpstr>
      <vt:lpstr>'13-WorkCap'!Print_Titles</vt:lpstr>
      <vt:lpstr>'14-ADIT'!Print_Titles</vt:lpstr>
      <vt:lpstr>'1-BaseTRR'!Print_Titles</vt:lpstr>
      <vt:lpstr>'3-True-upTRR'!Print_Titles</vt:lpstr>
      <vt:lpstr>'4-ATA'!Print_Titles</vt:lpstr>
      <vt:lpstr>'7-PlantInService'!Print_Titles</vt:lpstr>
      <vt:lpstr>'9-PlantAdditions'!Print_Titles</vt:lpstr>
    </vt:vector>
  </TitlesOfParts>
  <Company>Pacific Gas and Electric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TO21 - RY2027 - Draft Annual Update Model</dc:title>
  <dc:creator>Pacific Gas and Electric Company</dc:creator>
  <cp:keywords>to, tariff, rate, 2027</cp:keywords>
  <dcterms:created xsi:type="dcterms:W3CDTF">2026-06-11T19:32:39Z</dcterms:created>
  <dcterms:modified xsi:type="dcterms:W3CDTF">2026-06-11T19:34:52Z</dcterms:modified>
</cp:coreProperties>
</file>