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Gerger - R&amp;T Capital\PG&amp;E\Securitization Report\20201023 - Download\TURN Response to PGE DR 001\Jennifer Dowdell Workpapers\"/>
    </mc:Choice>
  </mc:AlternateContent>
  <bookViews>
    <workbookView xWindow="0" yWindow="460" windowWidth="20480" windowHeight="12340"/>
  </bookViews>
  <sheets>
    <sheet name="WP FOR TURN-01 p. 13, FN 45" sheetId="3" r:id="rId1"/>
    <sheet name="WP FOR TURN-01 pp. 18 &amp; 21" sheetId="6" r:id="rId2"/>
    <sheet name="WP FOR TURN-01 p. 7 and FN 93" sheetId="10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6" l="1"/>
  <c r="A17" i="6" s="1"/>
  <c r="A18" i="6" s="1"/>
  <c r="A19" i="6" s="1"/>
  <c r="A20" i="6" s="1"/>
  <c r="A21" i="6" s="1"/>
  <c r="E34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6" i="10"/>
  <c r="E32" i="10"/>
  <c r="F25" i="10"/>
  <c r="F21" i="10"/>
  <c r="F23" i="10" s="1"/>
  <c r="G21" i="10" s="1"/>
  <c r="F18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F14" i="10"/>
  <c r="G12" i="10" s="1"/>
  <c r="G14" i="10" s="1"/>
  <c r="H12" i="10" s="1"/>
  <c r="F12" i="10"/>
  <c r="F9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E8" i="10" s="1"/>
  <c r="J8" i="10"/>
  <c r="I8" i="10"/>
  <c r="H8" i="10"/>
  <c r="G8" i="10"/>
  <c r="F8" i="10"/>
  <c r="F10" i="10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4" i="6"/>
  <c r="C28" i="6"/>
  <c r="C21" i="6"/>
  <c r="C27" i="6"/>
  <c r="C13" i="6"/>
  <c r="C12" i="6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C33" i="3"/>
  <c r="B33" i="3"/>
  <c r="C32" i="3"/>
  <c r="C34" i="3" s="1"/>
  <c r="C36" i="3" s="1"/>
  <c r="B32" i="3"/>
  <c r="AH31" i="3"/>
  <c r="AH30" i="3"/>
  <c r="D29" i="3"/>
  <c r="E29" i="3" s="1"/>
  <c r="F29" i="3" s="1"/>
  <c r="G29" i="3" s="1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C22" i="3"/>
  <c r="B22" i="3"/>
  <c r="C21" i="3"/>
  <c r="B21" i="3"/>
  <c r="AH20" i="3"/>
  <c r="AH19" i="3"/>
  <c r="D18" i="3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B11" i="3"/>
  <c r="B10" i="3"/>
  <c r="AH9" i="3"/>
  <c r="C11" i="3"/>
  <c r="A22" i="6" l="1"/>
  <c r="A23" i="6" s="1"/>
  <c r="A24" i="6" s="1"/>
  <c r="A25" i="6" s="1"/>
  <c r="A26" i="6" s="1"/>
  <c r="A27" i="6" s="1"/>
  <c r="A28" i="6" s="1"/>
  <c r="A29" i="6" s="1"/>
  <c r="A30" i="6" s="1"/>
  <c r="F11" i="10"/>
  <c r="F19" i="10"/>
  <c r="E17" i="10"/>
  <c r="C29" i="6"/>
  <c r="C30" i="6" s="1"/>
  <c r="C14" i="6"/>
  <c r="C15" i="6"/>
  <c r="C23" i="3"/>
  <c r="C25" i="3" s="1"/>
  <c r="A7" i="3"/>
  <c r="A8" i="3" s="1"/>
  <c r="A9" i="3" s="1"/>
  <c r="G10" i="10" l="1"/>
  <c r="G9" i="10"/>
  <c r="G11" i="10" s="1"/>
  <c r="F20" i="10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H9" i="10" l="1"/>
  <c r="H10" i="10"/>
  <c r="H13" i="10" s="1"/>
  <c r="G19" i="10"/>
  <c r="G18" i="10"/>
  <c r="G20" i="10" s="1"/>
  <c r="C10" i="3"/>
  <c r="AH8" i="3"/>
  <c r="H25" i="10" l="1"/>
  <c r="H14" i="10"/>
  <c r="I12" i="10" s="1"/>
  <c r="H19" i="10"/>
  <c r="H22" i="10" s="1"/>
  <c r="H18" i="10"/>
  <c r="H20" i="10" s="1"/>
  <c r="G22" i="10"/>
  <c r="H11" i="10"/>
  <c r="I9" i="10" s="1"/>
  <c r="C12" i="3"/>
  <c r="C14" i="3" s="1"/>
  <c r="G25" i="10" l="1"/>
  <c r="G23" i="10"/>
  <c r="H21" i="10" s="1"/>
  <c r="H23" i="10" s="1"/>
  <c r="I21" i="10" s="1"/>
  <c r="I10" i="10"/>
  <c r="I13" i="10" s="1"/>
  <c r="I19" i="10"/>
  <c r="I18" i="10"/>
  <c r="I20" i="10" s="1"/>
  <c r="J18" i="10" l="1"/>
  <c r="J19" i="10"/>
  <c r="I23" i="10"/>
  <c r="J21" i="10" s="1"/>
  <c r="I22" i="10"/>
  <c r="I25" i="10"/>
  <c r="I11" i="10"/>
  <c r="J9" i="10" s="1"/>
  <c r="I14" i="10"/>
  <c r="J12" i="10" s="1"/>
  <c r="J22" i="10" l="1"/>
  <c r="J23" i="10"/>
  <c r="K21" i="10" s="1"/>
  <c r="J10" i="10"/>
  <c r="J13" i="10" s="1"/>
  <c r="J14" i="10" s="1"/>
  <c r="K12" i="10" s="1"/>
  <c r="J20" i="10"/>
  <c r="K18" i="10" l="1"/>
  <c r="K19" i="10"/>
  <c r="J25" i="10"/>
  <c r="J11" i="10"/>
  <c r="K9" i="10" s="1"/>
  <c r="K10" i="10" l="1"/>
  <c r="K13" i="10" s="1"/>
  <c r="K22" i="10"/>
  <c r="K20" i="10"/>
  <c r="K23" i="10" l="1"/>
  <c r="L21" i="10" s="1"/>
  <c r="K25" i="10"/>
  <c r="K14" i="10"/>
  <c r="L12" i="10" s="1"/>
  <c r="L19" i="10"/>
  <c r="L18" i="10"/>
  <c r="K11" i="10"/>
  <c r="L9" i="10" s="1"/>
  <c r="L22" i="10" l="1"/>
  <c r="L23" i="10" s="1"/>
  <c r="M21" i="10" s="1"/>
  <c r="L20" i="10"/>
  <c r="M19" i="10" s="1"/>
  <c r="L10" i="10"/>
  <c r="L13" i="10" s="1"/>
  <c r="L14" i="10" s="1"/>
  <c r="M12" i="10" s="1"/>
  <c r="M18" i="10" l="1"/>
  <c r="M20" i="10" s="1"/>
  <c r="N18" i="10" s="1"/>
  <c r="M22" i="10"/>
  <c r="M23" i="10" s="1"/>
  <c r="N21" i="10" s="1"/>
  <c r="L11" i="10"/>
  <c r="M9" i="10" s="1"/>
  <c r="N19" i="10"/>
  <c r="L25" i="10"/>
  <c r="M10" i="10" l="1"/>
  <c r="M13" i="10" s="1"/>
  <c r="N22" i="10"/>
  <c r="N23" i="10" s="1"/>
  <c r="O21" i="10" s="1"/>
  <c r="N20" i="10"/>
  <c r="M25" i="10" l="1"/>
  <c r="M14" i="10"/>
  <c r="N12" i="10" s="1"/>
  <c r="M11" i="10"/>
  <c r="N9" i="10" s="1"/>
  <c r="O18" i="10"/>
  <c r="O19" i="10"/>
  <c r="O22" i="10" s="1"/>
  <c r="O23" i="10" s="1"/>
  <c r="P21" i="10" s="1"/>
  <c r="N10" i="10" l="1"/>
  <c r="N13" i="10" s="1"/>
  <c r="N25" i="10" s="1"/>
  <c r="O20" i="10"/>
  <c r="N14" i="10" l="1"/>
  <c r="O12" i="10" s="1"/>
  <c r="N11" i="10"/>
  <c r="O9" i="10" s="1"/>
  <c r="P19" i="10"/>
  <c r="P22" i="10" s="1"/>
  <c r="P23" i="10" s="1"/>
  <c r="Q21" i="10" s="1"/>
  <c r="P18" i="10"/>
  <c r="P20" i="10" l="1"/>
  <c r="Q18" i="10" s="1"/>
  <c r="Q19" i="10"/>
  <c r="Q22" i="10" s="1"/>
  <c r="Q23" i="10" s="1"/>
  <c r="R21" i="10" s="1"/>
  <c r="O10" i="10"/>
  <c r="O13" i="10" s="1"/>
  <c r="O25" i="10" s="1"/>
  <c r="Q20" i="10" l="1"/>
  <c r="R18" i="10" s="1"/>
  <c r="O14" i="10"/>
  <c r="P12" i="10" s="1"/>
  <c r="O11" i="10"/>
  <c r="P9" i="10" s="1"/>
  <c r="R19" i="10" l="1"/>
  <c r="R22" i="10" s="1"/>
  <c r="R23" i="10" s="1"/>
  <c r="S21" i="10" s="1"/>
  <c r="R20" i="10"/>
  <c r="P10" i="10"/>
  <c r="P13" i="10" s="1"/>
  <c r="P25" i="10" s="1"/>
  <c r="P11" i="10" l="1"/>
  <c r="Q9" i="10" s="1"/>
  <c r="S18" i="10"/>
  <c r="S19" i="10"/>
  <c r="S22" i="10" s="1"/>
  <c r="S23" i="10" s="1"/>
  <c r="T21" i="10" s="1"/>
  <c r="P14" i="10"/>
  <c r="Q12" i="10" s="1"/>
  <c r="S20" i="10" l="1"/>
  <c r="T18" i="10" s="1"/>
  <c r="T19" i="10"/>
  <c r="T22" i="10" s="1"/>
  <c r="T23" i="10" s="1"/>
  <c r="U21" i="10" s="1"/>
  <c r="Q10" i="10"/>
  <c r="Q13" i="10" s="1"/>
  <c r="Q25" i="10" s="1"/>
  <c r="T20" i="10" l="1"/>
  <c r="U19" i="10" s="1"/>
  <c r="U22" i="10" s="1"/>
  <c r="U23" i="10" s="1"/>
  <c r="V21" i="10" s="1"/>
  <c r="Q11" i="10"/>
  <c r="R9" i="10" s="1"/>
  <c r="Q14" i="10"/>
  <c r="R12" i="10" s="1"/>
  <c r="U18" i="10" l="1"/>
  <c r="U20" i="10" s="1"/>
  <c r="R10" i="10"/>
  <c r="R13" i="10" s="1"/>
  <c r="R25" i="10" s="1"/>
  <c r="R11" i="10" l="1"/>
  <c r="S9" i="10" s="1"/>
  <c r="V18" i="10"/>
  <c r="V19" i="10"/>
  <c r="V22" i="10" s="1"/>
  <c r="V23" i="10" s="1"/>
  <c r="W21" i="10" s="1"/>
  <c r="R14" i="10"/>
  <c r="S12" i="10" s="1"/>
  <c r="V20" i="10" l="1"/>
  <c r="S10" i="10"/>
  <c r="S13" i="10" s="1"/>
  <c r="S25" i="10" s="1"/>
  <c r="W19" i="10" l="1"/>
  <c r="W22" i="10" s="1"/>
  <c r="W23" i="10" s="1"/>
  <c r="X21" i="10" s="1"/>
  <c r="W18" i="10"/>
  <c r="W20" i="10" s="1"/>
  <c r="S14" i="10"/>
  <c r="T12" i="10" s="1"/>
  <c r="S11" i="10"/>
  <c r="T9" i="10" s="1"/>
  <c r="X19" i="10" l="1"/>
  <c r="X22" i="10" s="1"/>
  <c r="X23" i="10" s="1"/>
  <c r="Y21" i="10" s="1"/>
  <c r="X18" i="10"/>
  <c r="T10" i="10"/>
  <c r="T13" i="10" s="1"/>
  <c r="T25" i="10" s="1"/>
  <c r="T11" i="10" l="1"/>
  <c r="U9" i="10" s="1"/>
  <c r="U10" i="10" s="1"/>
  <c r="U11" i="10" s="1"/>
  <c r="V9" i="10" s="1"/>
  <c r="T14" i="10"/>
  <c r="U12" i="10" s="1"/>
  <c r="X20" i="10"/>
  <c r="V10" i="10" l="1"/>
  <c r="Y19" i="10"/>
  <c r="Y22" i="10" s="1"/>
  <c r="Y23" i="10" s="1"/>
  <c r="Z21" i="10" s="1"/>
  <c r="Y18" i="10"/>
  <c r="Y20" i="10" s="1"/>
  <c r="U13" i="10"/>
  <c r="U25" i="10" s="1"/>
  <c r="U14" i="10" l="1"/>
  <c r="V12" i="10" s="1"/>
  <c r="V11" i="10"/>
  <c r="W9" i="10" s="1"/>
  <c r="Z18" i="10"/>
  <c r="Z19" i="10"/>
  <c r="Z22" i="10" s="1"/>
  <c r="Z23" i="10" s="1"/>
  <c r="AA21" i="10" s="1"/>
  <c r="Z20" i="10" l="1"/>
  <c r="AA18" i="10" s="1"/>
  <c r="AA19" i="10"/>
  <c r="AA22" i="10" s="1"/>
  <c r="AA23" i="10" s="1"/>
  <c r="AB21" i="10" s="1"/>
  <c r="W10" i="10"/>
  <c r="W11" i="10" s="1"/>
  <c r="X9" i="10" s="1"/>
  <c r="V13" i="10"/>
  <c r="V25" i="10" s="1"/>
  <c r="X10" i="10" l="1"/>
  <c r="V14" i="10"/>
  <c r="W12" i="10" s="1"/>
  <c r="AA20" i="10"/>
  <c r="AB19" i="10" l="1"/>
  <c r="AB22" i="10" s="1"/>
  <c r="AB23" i="10" s="1"/>
  <c r="AC21" i="10" s="1"/>
  <c r="AB18" i="10"/>
  <c r="W13" i="10"/>
  <c r="W25" i="10" s="1"/>
  <c r="X11" i="10"/>
  <c r="Y9" i="10" s="1"/>
  <c r="W14" i="10" l="1"/>
  <c r="X12" i="10" s="1"/>
  <c r="AB20" i="10"/>
  <c r="Y10" i="10"/>
  <c r="Y11" i="10" s="1"/>
  <c r="Z9" i="10" s="1"/>
  <c r="X13" i="10" l="1"/>
  <c r="X25" i="10" s="1"/>
  <c r="Z10" i="10"/>
  <c r="AC19" i="10"/>
  <c r="AC22" i="10" s="1"/>
  <c r="AC23" i="10" s="1"/>
  <c r="AD21" i="10" s="1"/>
  <c r="AC18" i="10"/>
  <c r="X14" i="10" l="1"/>
  <c r="Y12" i="10" s="1"/>
  <c r="AC20" i="10"/>
  <c r="AD18" i="10" s="1"/>
  <c r="Z11" i="10"/>
  <c r="AA9" i="10" s="1"/>
  <c r="Y13" i="10" l="1"/>
  <c r="Y25" i="10" s="1"/>
  <c r="Y14" i="10"/>
  <c r="Z12" i="10" s="1"/>
  <c r="AD19" i="10"/>
  <c r="AD22" i="10" s="1"/>
  <c r="AD23" i="10" s="1"/>
  <c r="AE21" i="10" s="1"/>
  <c r="AA10" i="10"/>
  <c r="AA11" i="10" s="1"/>
  <c r="AB9" i="10" s="1"/>
  <c r="Z13" i="10" l="1"/>
  <c r="Z25" i="10" s="1"/>
  <c r="AD20" i="10"/>
  <c r="AB10" i="10"/>
  <c r="Z14" i="10" l="1"/>
  <c r="AA12" i="10" s="1"/>
  <c r="AE18" i="10"/>
  <c r="AE19" i="10"/>
  <c r="AE22" i="10" s="1"/>
  <c r="AE23" i="10" s="1"/>
  <c r="AF21" i="10" s="1"/>
  <c r="AB11" i="10"/>
  <c r="AC9" i="10" s="1"/>
  <c r="AA13" i="10" l="1"/>
  <c r="AA25" i="10" s="1"/>
  <c r="AE20" i="10"/>
  <c r="AC10" i="10"/>
  <c r="AA14" i="10" l="1"/>
  <c r="AF19" i="10"/>
  <c r="AF22" i="10" s="1"/>
  <c r="AF23" i="10" s="1"/>
  <c r="AG21" i="10" s="1"/>
  <c r="AF18" i="10"/>
  <c r="AF20" i="10" s="1"/>
  <c r="AG18" i="10" s="1"/>
  <c r="AC11" i="10"/>
  <c r="AD9" i="10" s="1"/>
  <c r="AB12" i="10"/>
  <c r="AB13" i="10"/>
  <c r="AB25" i="10" s="1"/>
  <c r="AG19" i="10" l="1"/>
  <c r="AG22" i="10" s="1"/>
  <c r="AG23" i="10" s="1"/>
  <c r="AH21" i="10" s="1"/>
  <c r="AB14" i="10"/>
  <c r="AD10" i="10"/>
  <c r="AD11" i="10" s="1"/>
  <c r="AE9" i="10" s="1"/>
  <c r="AG20" i="10" l="1"/>
  <c r="AE10" i="10"/>
  <c r="AC12" i="10"/>
  <c r="AC13" i="10"/>
  <c r="AC25" i="10" s="1"/>
  <c r="AH18" i="10" l="1"/>
  <c r="AH19" i="10"/>
  <c r="AH22" i="10" s="1"/>
  <c r="AH23" i="10" s="1"/>
  <c r="AI21" i="10" s="1"/>
  <c r="AC14" i="10"/>
  <c r="AE11" i="10"/>
  <c r="AF9" i="10" s="1"/>
  <c r="AH20" i="10" l="1"/>
  <c r="AD12" i="10"/>
  <c r="AD13" i="10"/>
  <c r="AD25" i="10" s="1"/>
  <c r="AF10" i="10"/>
  <c r="AF11" i="10" s="1"/>
  <c r="AG9" i="10" s="1"/>
  <c r="AI18" i="10" l="1"/>
  <c r="AI19" i="10"/>
  <c r="AI22" i="10" s="1"/>
  <c r="AI23" i="10" s="1"/>
  <c r="AJ21" i="10" s="1"/>
  <c r="AG10" i="10"/>
  <c r="AD14" i="10"/>
  <c r="AI20" i="10" l="1"/>
  <c r="AE12" i="10"/>
  <c r="AE13" i="10"/>
  <c r="AE25" i="10" s="1"/>
  <c r="AG11" i="10"/>
  <c r="AH9" i="10" s="1"/>
  <c r="AJ19" i="10" l="1"/>
  <c r="AJ18" i="10"/>
  <c r="AJ20" i="10" s="1"/>
  <c r="AH10" i="10"/>
  <c r="AE14" i="10"/>
  <c r="AJ22" i="10" l="1"/>
  <c r="E19" i="10"/>
  <c r="AF12" i="10"/>
  <c r="AF13" i="10"/>
  <c r="AF25" i="10" s="1"/>
  <c r="AH11" i="10"/>
  <c r="AI9" i="10" s="1"/>
  <c r="E22" i="10" l="1"/>
  <c r="AJ23" i="10"/>
  <c r="AF14" i="10"/>
  <c r="AI10" i="10"/>
  <c r="AI11" i="10" l="1"/>
  <c r="AJ9" i="10" s="1"/>
  <c r="AG12" i="10"/>
  <c r="AG13" i="10"/>
  <c r="AG25" i="10" s="1"/>
  <c r="AG14" i="10" l="1"/>
  <c r="AH12" i="10" s="1"/>
  <c r="AJ10" i="10"/>
  <c r="AH13" i="10" l="1"/>
  <c r="AH25" i="10" s="1"/>
  <c r="E10" i="10"/>
  <c r="AJ11" i="10"/>
  <c r="AH14" i="10" l="1"/>
  <c r="AI13" i="10" s="1"/>
  <c r="AI25" i="10" s="1"/>
  <c r="AI12" i="10"/>
  <c r="AI14" i="10" l="1"/>
  <c r="AJ12" i="10" l="1"/>
  <c r="AJ13" i="10"/>
  <c r="AJ25" i="10" l="1"/>
  <c r="E25" i="10" s="1"/>
  <c r="E13" i="10"/>
  <c r="AJ14" i="10"/>
</calcChain>
</file>

<file path=xl/sharedStrings.xml><?xml version="1.0" encoding="utf-8"?>
<sst xmlns="http://schemas.openxmlformats.org/spreadsheetml/2006/main" count="103" uniqueCount="72">
  <si>
    <t>Assumptions</t>
  </si>
  <si>
    <t>Customer Credit Trust Residual</t>
  </si>
  <si>
    <t>Annual FRC RRQ/Customer Credit Trust Offset</t>
  </si>
  <si>
    <t>Totals</t>
  </si>
  <si>
    <t>Total Securitization Value to Ratepayers</t>
  </si>
  <si>
    <t>Value of FRC from Ratepayers</t>
  </si>
  <si>
    <t>Net Value Gain (Shortfall) to Ratepayers from Securitization</t>
  </si>
  <si>
    <t>NPV of Debt Savings Calculations</t>
  </si>
  <si>
    <t>PG&amp;E Comparative Present Values (in $ MM except where indicated)</t>
  </si>
  <si>
    <t>CCT Value Discounted at Cost of Equity-%</t>
  </si>
  <si>
    <t>CCT Value Discounted at Weighted Average Cost of Rate Base-%</t>
  </si>
  <si>
    <t>CCT Value Discounted at Presumed BB Debt Cost</t>
  </si>
  <si>
    <t>Assumed Average Debt Life (in Years)</t>
  </si>
  <si>
    <t>Annual Estimated Long Term Debt Savings @ 60 bps  (in $MM)</t>
  </si>
  <si>
    <t>Incremental Years of Short-Term Debt Savings</t>
  </si>
  <si>
    <t>Discount Rate Applied/Weighted Average Cost of Rate Base (in %)</t>
  </si>
  <si>
    <t>NPV of Long Term Debt Savings Annuity Discounted @7.34% to 2024</t>
  </si>
  <si>
    <t>NPV of Short Term Debt Savings Annuity Discounted@ 7.34% to 2024</t>
  </si>
  <si>
    <t>Total Long-Term and Short Term Debt Savings Discounted to 2024</t>
  </si>
  <si>
    <t>Total Long-Term and Short Term Debt Savings Discounted back to 2021</t>
  </si>
  <si>
    <t>PV of PG&amp;E's Claimed Debt Savings</t>
  </si>
  <si>
    <t>PV of TURN's Adjusted Debt Savings</t>
  </si>
  <si>
    <t>Acceleration of Investment Grade Credit Ratings (in Years)</t>
  </si>
  <si>
    <t>Source/Calculation Notes</t>
  </si>
  <si>
    <t>Annual Estimated Long Term Debt Savings @ 40 bps  (in $MM)</t>
  </si>
  <si>
    <t xml:space="preserve">Assumed Annual Short-Term Debt Savings </t>
  </si>
  <si>
    <t xml:space="preserve">One Year of Short Term Debt Savings </t>
  </si>
  <si>
    <t>PG&amp;E Updated Testimony p. 5-33 lines 19-24</t>
  </si>
  <si>
    <t>PG&amp;E Updated Testimony p. 5-33 lines 19-24/Footnote 86</t>
  </si>
  <si>
    <t>PG&amp;E Updated Testimony p. 5-33 lines 15-16</t>
  </si>
  <si>
    <t>PG&amp;E Updated Testimony p. 5-34 lines 7-11</t>
  </si>
  <si>
    <t>PV of $23 MM simple annuity (payments at end of the period) for 18 years discounted at 7.34%</t>
  </si>
  <si>
    <t>PV of $9 MM simple annuity (payments at end of the period) for 2 years discounted at 7.34%</t>
  </si>
  <si>
    <t>Sum Line 11 and Line 12</t>
  </si>
  <si>
    <t>PV of Line 12 for 2 years disocunted at 7.34%</t>
  </si>
  <si>
    <t>PG&amp;E Updated Testimony p. 5-33 line 20 give estimated single year savings of $11.74 MM. $11.74 x (40/60)=$7.83MM</t>
  </si>
  <si>
    <t>TURN assumes investment grade issuer ratings are achieved one year earlier rather than two years earlier</t>
  </si>
  <si>
    <t>PV of $7.83 MM simple annuity (payments at end of the period) for 8 years discounted at 7.34%</t>
  </si>
  <si>
    <t>Sum Line 23 and Line 24</t>
  </si>
  <si>
    <t>PV of Line 25 for 2 years disocunted at 7.34%</t>
  </si>
  <si>
    <t>PG&amp;E Updated Testimony p. 6-21 lines 15-17</t>
  </si>
  <si>
    <t>Schedule of Additional Contributions to Customer Credit Trust</t>
  </si>
  <si>
    <t>Millions of Dollars</t>
  </si>
  <si>
    <t>PG&amp;E Base Totals</t>
  </si>
  <si>
    <t>Federal</t>
  </si>
  <si>
    <t>Consolidated Forecast Taxable Income</t>
  </si>
  <si>
    <t>Ratepayer NOL, Beginning of Year (BOY)</t>
  </si>
  <si>
    <t>less: Ratepayer NOLs applied</t>
  </si>
  <si>
    <t>Ratepayer NOL, End of Year (EOY)</t>
  </si>
  <si>
    <t>Shareholder Deductions BOY</t>
  </si>
  <si>
    <t>less: Shareholder Deductions Applied</t>
  </si>
  <si>
    <t>Shareholder Deductions EOY</t>
  </si>
  <si>
    <t>State</t>
  </si>
  <si>
    <t>Ratepayer NOL, BOY</t>
  </si>
  <si>
    <t>Ratepayer NOL, EOY</t>
  </si>
  <si>
    <t>Additional Contributions to Trust</t>
  </si>
  <si>
    <t>Shareholder Deductions are forecast to be exhausted by 2035, thus the forecast horizon for this schedule is 2020 - 2040</t>
  </si>
  <si>
    <t>Forecast deductions may not occur as shown on this schedule due to potential changes in taxable income, tax rates and tax law</t>
  </si>
  <si>
    <t>Check Totals</t>
  </si>
  <si>
    <t>PV of PG&amp;E Initial Shareholder Contribution and Additional Shareholder CCT Contributions @10.25%</t>
  </si>
  <si>
    <t>Total PV of Cash Received from Securitization</t>
  </si>
  <si>
    <t>Shareholder Savings from Accelerating Tax Savings</t>
  </si>
  <si>
    <t>SOURCE:  Table 6-2</t>
  </si>
  <si>
    <t>PG&amp;E Forecast Additional Contributions to Trust</t>
  </si>
  <si>
    <t>CALCULATIONS SUPPORTING TURN-01: SUMMARY OF RISK ADJUSTED CCT CASH FLOW COMPARISON</t>
  </si>
  <si>
    <t>CALCULATION SUPPORTING TURN-01 p. 25, FN 93.</t>
  </si>
  <si>
    <t>WP FOR TURN-01 p. 18 FN 62</t>
  </si>
  <si>
    <t>WP FOR TURN-01 p. 13, FN 45</t>
  </si>
  <si>
    <t>Assuming coupon of 4% 10-year bond paying semi annual interest trading at par value results in 8.33-year duration: https://dqydj.com/bond-duration-calculator/</t>
  </si>
  <si>
    <t>CALCULATION SUPPORTING TURN-01 p. 7, Lines 7-10</t>
  </si>
  <si>
    <t>Sensitivity Assumes 10% lower than Forecast Taxable Income Due to 10% Lower Allowed Rate Base in 2022</t>
  </si>
  <si>
    <t xml:space="preserve">WP FOR TURN-01 p.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</si>
</sst>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  <numFmt numFmtId="167" formatCode="_(&quot;$&quot;* #,##0.0_);_(&quot;$&quot;* \(#,##0.0\);_(&quot;$&quot;* &quot;-&quot;??_);_(@_)"/>
    <numFmt numFmtId="168" formatCode="_(* #,##0_);_(* \(#,##0\);_(* &quot;-&quot;??_);_(@_)"/>
    <numFmt numFmtId="169" formatCode="#,##0_);\(#,##0\);#,##0_);@_)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7" fillId="0" borderId="0"/>
    <xf numFmtId="0" fontId="10" fillId="0" borderId="0"/>
    <xf numFmtId="0" fontId="19" fillId="0" borderId="0" applyNumberFormat="0" applyFill="0" applyBorder="0" applyAlignment="0" applyProtection="0"/>
  </cellStyleXfs>
  <cellXfs count="87">
    <xf numFmtId="0" fontId="0" fillId="0" borderId="0" xfId="0"/>
    <xf numFmtId="0" fontId="5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Border="1" applyAlignment="1">
      <alignment horizontal="left" wrapText="1" indent="1"/>
    </xf>
    <xf numFmtId="0" fontId="3" fillId="2" borderId="1" xfId="0" applyFont="1" applyFill="1" applyBorder="1" applyAlignment="1">
      <alignment horizontal="left" wrapText="1" indent="1"/>
    </xf>
    <xf numFmtId="10" fontId="3" fillId="2" borderId="2" xfId="1" applyNumberFormat="1" applyFont="1" applyFill="1" applyBorder="1"/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left" indent="2"/>
    </xf>
    <xf numFmtId="164" fontId="5" fillId="2" borderId="0" xfId="0" applyNumberFormat="1" applyFont="1" applyFill="1"/>
    <xf numFmtId="0" fontId="5" fillId="2" borderId="0" xfId="0" applyFont="1" applyFill="1" applyAlignment="1">
      <alignment horizontal="left" indent="3"/>
    </xf>
    <xf numFmtId="0" fontId="3" fillId="2" borderId="0" xfId="0" applyFont="1" applyFill="1" applyAlignment="1">
      <alignment horizontal="left" wrapText="1" indent="5"/>
    </xf>
    <xf numFmtId="6" fontId="3" fillId="2" borderId="0" xfId="0" applyNumberFormat="1" applyFont="1" applyFill="1"/>
    <xf numFmtId="6" fontId="4" fillId="2" borderId="0" xfId="0" applyNumberFormat="1" applyFont="1" applyFill="1"/>
    <xf numFmtId="0" fontId="5" fillId="2" borderId="0" xfId="0" applyFont="1" applyFill="1" applyAlignment="1">
      <alignment horizontal="left" indent="7"/>
    </xf>
    <xf numFmtId="0" fontId="3" fillId="2" borderId="0" xfId="0" applyFont="1" applyFill="1" applyAlignment="1">
      <alignment horizontal="left" indent="7"/>
    </xf>
    <xf numFmtId="0" fontId="3" fillId="2" borderId="1" xfId="0" applyFont="1" applyFill="1" applyBorder="1" applyAlignment="1">
      <alignment horizontal="left" wrapText="1" indent="8"/>
    </xf>
    <xf numFmtId="6" fontId="3" fillId="2" borderId="2" xfId="0" applyNumberFormat="1" applyFont="1" applyFill="1" applyBorder="1"/>
    <xf numFmtId="0" fontId="3" fillId="2" borderId="0" xfId="0" applyFont="1" applyFill="1" applyAlignment="1">
      <alignment horizontal="left"/>
    </xf>
    <xf numFmtId="8" fontId="5" fillId="2" borderId="0" xfId="0" applyNumberFormat="1" applyFont="1" applyFill="1"/>
    <xf numFmtId="0" fontId="5" fillId="2" borderId="0" xfId="0" applyFont="1" applyFill="1" applyAlignment="1">
      <alignment horizontal="left" indent="1"/>
    </xf>
    <xf numFmtId="1" fontId="5" fillId="2" borderId="0" xfId="0" applyNumberFormat="1" applyFont="1" applyFill="1"/>
    <xf numFmtId="10" fontId="5" fillId="2" borderId="0" xfId="1" applyNumberFormat="1" applyFont="1" applyFill="1"/>
    <xf numFmtId="9" fontId="5" fillId="2" borderId="0" xfId="1" applyFont="1" applyFill="1"/>
    <xf numFmtId="8" fontId="7" fillId="2" borderId="0" xfId="0" applyNumberFormat="1" applyFont="1" applyFill="1"/>
    <xf numFmtId="0" fontId="3" fillId="2" borderId="1" xfId="0" applyFont="1" applyFill="1" applyBorder="1" applyAlignment="1">
      <alignment horizontal="left" wrapText="1"/>
    </xf>
    <xf numFmtId="8" fontId="3" fillId="2" borderId="2" xfId="0" applyNumberFormat="1" applyFont="1" applyFill="1" applyBorder="1" applyAlignment="1">
      <alignment wrapText="1"/>
    </xf>
    <xf numFmtId="166" fontId="5" fillId="2" borderId="0" xfId="0" applyNumberFormat="1" applyFont="1" applyFill="1"/>
    <xf numFmtId="8" fontId="3" fillId="2" borderId="0" xfId="0" applyNumberFormat="1" applyFont="1" applyFill="1" applyBorder="1" applyAlignment="1">
      <alignment wrapText="1"/>
    </xf>
    <xf numFmtId="0" fontId="8" fillId="3" borderId="0" xfId="0" applyFont="1" applyFill="1"/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15" fillId="0" borderId="0" xfId="2" applyFont="1"/>
    <xf numFmtId="0" fontId="15" fillId="0" borderId="0" xfId="2" applyFont="1" applyAlignment="1">
      <alignment horizontal="right"/>
    </xf>
    <xf numFmtId="1" fontId="13" fillId="0" borderId="0" xfId="2" applyNumberFormat="1" applyFont="1" applyAlignment="1">
      <alignment horizontal="right"/>
    </xf>
    <xf numFmtId="1" fontId="16" fillId="0" borderId="0" xfId="2" applyNumberFormat="1" applyFont="1" applyAlignment="1">
      <alignment horizontal="right"/>
    </xf>
    <xf numFmtId="0" fontId="11" fillId="0" borderId="0" xfId="2" applyFont="1" applyAlignment="1">
      <alignment horizontal="left" indent="1"/>
    </xf>
    <xf numFmtId="165" fontId="11" fillId="0" borderId="0" xfId="2" applyNumberFormat="1" applyFont="1" applyAlignment="1">
      <alignment horizontal="left" indent="1"/>
    </xf>
    <xf numFmtId="165" fontId="11" fillId="0" borderId="0" xfId="2" applyNumberFormat="1" applyFont="1"/>
    <xf numFmtId="165" fontId="11" fillId="0" borderId="0" xfId="3" applyNumberFormat="1" applyFont="1" applyFill="1"/>
    <xf numFmtId="168" fontId="11" fillId="0" borderId="0" xfId="2" applyNumberFormat="1" applyFont="1"/>
    <xf numFmtId="0" fontId="11" fillId="0" borderId="0" xfId="2" quotePrefix="1" applyFont="1" applyAlignment="1">
      <alignment horizontal="left" indent="2"/>
    </xf>
    <xf numFmtId="0" fontId="15" fillId="0" borderId="0" xfId="2" quotePrefix="1" applyFont="1" applyAlignment="1">
      <alignment horizontal="left" indent="2"/>
    </xf>
    <xf numFmtId="168" fontId="15" fillId="0" borderId="0" xfId="2" applyNumberFormat="1" applyFont="1"/>
    <xf numFmtId="37" fontId="11" fillId="0" borderId="0" xfId="4" applyNumberFormat="1" applyFont="1" applyAlignment="1">
      <alignment vertical="top"/>
    </xf>
    <xf numFmtId="165" fontId="11" fillId="0" borderId="0" xfId="2" quotePrefix="1" applyNumberFormat="1" applyFont="1" applyAlignment="1">
      <alignment horizontal="left" indent="2"/>
    </xf>
    <xf numFmtId="165" fontId="15" fillId="0" borderId="0" xfId="2" quotePrefix="1" applyNumberFormat="1" applyFont="1" applyAlignment="1">
      <alignment horizontal="left" indent="2"/>
    </xf>
    <xf numFmtId="169" fontId="18" fillId="0" borderId="0" xfId="5" applyNumberFormat="1" applyFont="1"/>
    <xf numFmtId="0" fontId="19" fillId="0" borderId="0" xfId="6"/>
    <xf numFmtId="43" fontId="11" fillId="0" borderId="0" xfId="2" applyNumberFormat="1" applyFont="1"/>
    <xf numFmtId="44" fontId="11" fillId="0" borderId="0" xfId="2" applyNumberFormat="1" applyFont="1"/>
    <xf numFmtId="167" fontId="11" fillId="0" borderId="0" xfId="2" applyNumberFormat="1" applyFont="1"/>
    <xf numFmtId="0" fontId="11" fillId="0" borderId="0" xfId="2" applyFont="1" applyAlignment="1">
      <alignment wrapText="1"/>
    </xf>
    <xf numFmtId="6" fontId="11" fillId="0" borderId="0" xfId="2" applyNumberFormat="1" applyFont="1"/>
    <xf numFmtId="0" fontId="11" fillId="0" borderId="1" xfId="2" applyFont="1" applyBorder="1" applyAlignment="1">
      <alignment wrapText="1"/>
    </xf>
    <xf numFmtId="0" fontId="19" fillId="0" borderId="3" xfId="6" applyBorder="1"/>
    <xf numFmtId="6" fontId="11" fillId="0" borderId="2" xfId="2" applyNumberFormat="1" applyFont="1" applyBorder="1"/>
    <xf numFmtId="0" fontId="11" fillId="0" borderId="1" xfId="2" applyFont="1" applyBorder="1" applyAlignment="1">
      <alignment horizontal="left" indent="1"/>
    </xf>
    <xf numFmtId="0" fontId="11" fillId="0" borderId="3" xfId="2" applyFont="1" applyBorder="1"/>
    <xf numFmtId="0" fontId="11" fillId="0" borderId="0" xfId="2" applyFont="1" applyAlignment="1">
      <alignment vertical="center"/>
    </xf>
    <xf numFmtId="0" fontId="14" fillId="0" borderId="0" xfId="2" applyFont="1" applyAlignment="1">
      <alignment horizontal="left"/>
    </xf>
    <xf numFmtId="165" fontId="14" fillId="0" borderId="0" xfId="2" applyNumberFormat="1" applyFont="1" applyAlignment="1">
      <alignment horizontal="left"/>
    </xf>
    <xf numFmtId="165" fontId="20" fillId="0" borderId="0" xfId="2" applyNumberFormat="1" applyFont="1"/>
    <xf numFmtId="167" fontId="14" fillId="0" borderId="0" xfId="3" applyNumberFormat="1" applyFont="1" applyFill="1"/>
    <xf numFmtId="165" fontId="14" fillId="0" borderId="0" xfId="3" applyNumberFormat="1" applyFont="1" applyFill="1"/>
    <xf numFmtId="0" fontId="9" fillId="2" borderId="0" xfId="0" applyFont="1" applyFill="1"/>
    <xf numFmtId="0" fontId="21" fillId="4" borderId="0" xfId="2" applyFont="1" applyFill="1"/>
    <xf numFmtId="0" fontId="22" fillId="4" borderId="0" xfId="2" applyFont="1" applyFill="1"/>
    <xf numFmtId="0" fontId="3" fillId="2" borderId="0" xfId="0" applyFont="1" applyFill="1" applyBorder="1" applyAlignment="1">
      <alignment horizontal="left" wrapText="1"/>
    </xf>
    <xf numFmtId="0" fontId="23" fillId="4" borderId="0" xfId="0" applyFont="1" applyFill="1"/>
    <xf numFmtId="0" fontId="11" fillId="0" borderId="0" xfId="2" applyFont="1" applyFill="1"/>
    <xf numFmtId="0" fontId="21" fillId="0" borderId="0" xfId="2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0" fontId="11" fillId="0" borderId="0" xfId="2" applyFont="1" applyFill="1" applyAlignment="1">
      <alignment horizontal="right"/>
    </xf>
    <xf numFmtId="0" fontId="14" fillId="0" borderId="0" xfId="2" applyFont="1" applyFill="1" applyAlignment="1">
      <alignment horizontal="center"/>
    </xf>
    <xf numFmtId="9" fontId="14" fillId="0" borderId="0" xfId="2" applyNumberFormat="1" applyFont="1" applyFill="1" applyAlignment="1">
      <alignment horizontal="center"/>
    </xf>
    <xf numFmtId="0" fontId="14" fillId="0" borderId="0" xfId="2" applyFont="1" applyFill="1"/>
    <xf numFmtId="0" fontId="5" fillId="0" borderId="0" xfId="0" applyFont="1" applyFill="1"/>
    <xf numFmtId="0" fontId="23" fillId="5" borderId="0" xfId="0" applyFont="1" applyFill="1"/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Fill="1" applyAlignment="1">
      <alignment horizontal="left" wrapText="1"/>
    </xf>
  </cellXfs>
  <cellStyles count="7">
    <cellStyle name="Currency 2" xfId="3"/>
    <cellStyle name="Hyperlink 2" xfId="6"/>
    <cellStyle name="Normal" xfId="0" builtinId="0"/>
    <cellStyle name="Normal 2" xfId="2"/>
    <cellStyle name="Normal 2 2 2" xfId="4"/>
    <cellStyle name="Normal 7 2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Documents/Securitization/Testimony_Support/Securitization_DR_Misc_Chapters%203_6_7_UPDATED08-07-2020_Securitization%20Application%20Update%20Model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able Income Forecast"/>
      <sheetName val="Table 6-1"/>
      <sheetName val="Table 6-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H58"/>
  <sheetViews>
    <sheetView tabSelected="1" workbookViewId="0"/>
  </sheetViews>
  <sheetFormatPr defaultColWidth="10.83203125" defaultRowHeight="15.5" x14ac:dyDescent="0.35"/>
  <cols>
    <col min="1" max="1" width="6" style="3" customWidth="1"/>
    <col min="2" max="2" width="49.5" style="1" customWidth="1"/>
    <col min="3" max="33" width="11" style="1" bestFit="1" customWidth="1"/>
    <col min="34" max="34" width="11.5" style="1" bestFit="1" customWidth="1"/>
    <col min="35" max="16384" width="10.83203125" style="1"/>
  </cols>
  <sheetData>
    <row r="2" spans="1:34" ht="17.5" x14ac:dyDescent="0.35">
      <c r="B2" s="69" t="s">
        <v>64</v>
      </c>
    </row>
    <row r="3" spans="1:34" ht="17.5" x14ac:dyDescent="0.35">
      <c r="B3" s="4" t="s">
        <v>8</v>
      </c>
    </row>
    <row r="4" spans="1:34" ht="16.5" x14ac:dyDescent="0.35">
      <c r="B4" s="73" t="s">
        <v>67</v>
      </c>
    </row>
    <row r="5" spans="1:34" ht="16" thickBot="1" x14ac:dyDescent="0.4">
      <c r="B5" s="5"/>
    </row>
    <row r="6" spans="1:34" ht="16" thickBot="1" x14ac:dyDescent="0.4">
      <c r="A6" s="3">
        <v>1</v>
      </c>
      <c r="B6" s="6" t="s">
        <v>9</v>
      </c>
      <c r="C6" s="7">
        <v>0.10249999999999999</v>
      </c>
    </row>
    <row r="7" spans="1:34" x14ac:dyDescent="0.35">
      <c r="A7" s="3">
        <f>A6+1</f>
        <v>2</v>
      </c>
      <c r="C7" s="2">
        <v>2021</v>
      </c>
      <c r="D7" s="2">
        <f t="shared" ref="D7:AF7" si="0">C7+1</f>
        <v>2022</v>
      </c>
      <c r="E7" s="2">
        <f t="shared" si="0"/>
        <v>2023</v>
      </c>
      <c r="F7" s="2">
        <f t="shared" si="0"/>
        <v>2024</v>
      </c>
      <c r="G7" s="2">
        <f t="shared" si="0"/>
        <v>2025</v>
      </c>
      <c r="H7" s="2">
        <f t="shared" si="0"/>
        <v>2026</v>
      </c>
      <c r="I7" s="2">
        <f t="shared" si="0"/>
        <v>2027</v>
      </c>
      <c r="J7" s="2">
        <f t="shared" si="0"/>
        <v>2028</v>
      </c>
      <c r="K7" s="2">
        <f t="shared" si="0"/>
        <v>2029</v>
      </c>
      <c r="L7" s="2">
        <f t="shared" si="0"/>
        <v>2030</v>
      </c>
      <c r="M7" s="2">
        <f t="shared" si="0"/>
        <v>2031</v>
      </c>
      <c r="N7" s="2">
        <f t="shared" si="0"/>
        <v>2032</v>
      </c>
      <c r="O7" s="2">
        <f t="shared" si="0"/>
        <v>2033</v>
      </c>
      <c r="P7" s="2">
        <f t="shared" si="0"/>
        <v>2034</v>
      </c>
      <c r="Q7" s="2">
        <f t="shared" si="0"/>
        <v>2035</v>
      </c>
      <c r="R7" s="2">
        <f t="shared" si="0"/>
        <v>2036</v>
      </c>
      <c r="S7" s="2">
        <f t="shared" si="0"/>
        <v>2037</v>
      </c>
      <c r="T7" s="2">
        <f t="shared" si="0"/>
        <v>2038</v>
      </c>
      <c r="U7" s="2">
        <f t="shared" si="0"/>
        <v>2039</v>
      </c>
      <c r="V7" s="2">
        <f t="shared" si="0"/>
        <v>2040</v>
      </c>
      <c r="W7" s="2">
        <f t="shared" si="0"/>
        <v>2041</v>
      </c>
      <c r="X7" s="2">
        <f t="shared" si="0"/>
        <v>2042</v>
      </c>
      <c r="Y7" s="2">
        <f t="shared" si="0"/>
        <v>2043</v>
      </c>
      <c r="Z7" s="2">
        <f t="shared" si="0"/>
        <v>2044</v>
      </c>
      <c r="AA7" s="2">
        <f t="shared" si="0"/>
        <v>2045</v>
      </c>
      <c r="AB7" s="2">
        <f t="shared" si="0"/>
        <v>2046</v>
      </c>
      <c r="AC7" s="2">
        <f t="shared" si="0"/>
        <v>2047</v>
      </c>
      <c r="AD7" s="2">
        <f t="shared" si="0"/>
        <v>2048</v>
      </c>
      <c r="AE7" s="2">
        <f t="shared" si="0"/>
        <v>2049</v>
      </c>
      <c r="AF7" s="2">
        <f t="shared" si="0"/>
        <v>2050</v>
      </c>
      <c r="AG7" s="2">
        <v>2051</v>
      </c>
      <c r="AH7" s="8" t="s">
        <v>3</v>
      </c>
    </row>
    <row r="8" spans="1:34" x14ac:dyDescent="0.35">
      <c r="A8" s="3">
        <f>A7+1</f>
        <v>3</v>
      </c>
      <c r="B8" s="9" t="s">
        <v>2</v>
      </c>
      <c r="C8" s="10">
        <v>253.7</v>
      </c>
      <c r="D8" s="10">
        <v>304.89999999999998</v>
      </c>
      <c r="E8" s="10">
        <v>309.39999999999998</v>
      </c>
      <c r="F8" s="10">
        <v>394.7</v>
      </c>
      <c r="G8" s="10">
        <v>394.7</v>
      </c>
      <c r="H8" s="10">
        <v>394.7</v>
      </c>
      <c r="I8" s="10">
        <v>394.7</v>
      </c>
      <c r="J8" s="10">
        <v>394.7</v>
      </c>
      <c r="K8" s="10">
        <v>394.7</v>
      </c>
      <c r="L8" s="10">
        <v>394.7</v>
      </c>
      <c r="M8" s="10">
        <v>394.7</v>
      </c>
      <c r="N8" s="10">
        <v>394.7</v>
      </c>
      <c r="O8" s="10">
        <v>394.7</v>
      </c>
      <c r="P8" s="10">
        <v>394.7</v>
      </c>
      <c r="Q8" s="10">
        <v>394.7</v>
      </c>
      <c r="R8" s="10">
        <v>394.7</v>
      </c>
      <c r="S8" s="10">
        <v>394.7</v>
      </c>
      <c r="T8" s="10">
        <v>394.7</v>
      </c>
      <c r="U8" s="10">
        <v>394.7</v>
      </c>
      <c r="V8" s="10">
        <v>394.7</v>
      </c>
      <c r="W8" s="10">
        <v>394.7</v>
      </c>
      <c r="X8" s="10">
        <v>394.7</v>
      </c>
      <c r="Y8" s="10">
        <v>394.7</v>
      </c>
      <c r="Z8" s="10">
        <v>394.7</v>
      </c>
      <c r="AA8" s="10">
        <v>394.7</v>
      </c>
      <c r="AB8" s="10">
        <v>394.7</v>
      </c>
      <c r="AC8" s="10">
        <v>394.7</v>
      </c>
      <c r="AD8" s="10">
        <v>394.7</v>
      </c>
      <c r="AE8" s="10">
        <v>394.7</v>
      </c>
      <c r="AF8" s="10">
        <v>331.3</v>
      </c>
      <c r="AG8" s="10">
        <v>0</v>
      </c>
      <c r="AH8" s="10">
        <f>SUM(C8:AG8)</f>
        <v>11461.500000000002</v>
      </c>
    </row>
    <row r="9" spans="1:34" x14ac:dyDescent="0.35">
      <c r="A9" s="3">
        <f t="shared" ref="A9:A36" si="1">A8+1</f>
        <v>4</v>
      </c>
      <c r="B9" s="11" t="s">
        <v>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990</v>
      </c>
      <c r="AH9" s="10">
        <f>SUM(C9:AG9)</f>
        <v>990</v>
      </c>
    </row>
    <row r="10" spans="1:34" ht="30.5" x14ac:dyDescent="0.35">
      <c r="A10" s="3">
        <f t="shared" si="1"/>
        <v>5</v>
      </c>
      <c r="B10" s="12" t="str">
        <f>"NPV to Ratepayers of Repayment Cash Flows Discounted @ "&amp;C6</f>
        <v>NPV to Ratepayers of Repayment Cash Flows Discounted @ 0.1025</v>
      </c>
      <c r="C10" s="13">
        <f>NPV(C6,C8:AF8)</f>
        <v>3375.7646043210925</v>
      </c>
    </row>
    <row r="11" spans="1:34" ht="30.5" x14ac:dyDescent="0.35">
      <c r="A11" s="3">
        <f t="shared" si="1"/>
        <v>6</v>
      </c>
      <c r="B11" s="12" t="str">
        <f>"NPV to Ratepayers of CCT Residual Value Discounted @ "&amp;C6</f>
        <v>NPV to Ratepayers of CCT Residual Value Discounted @ 0.1025</v>
      </c>
      <c r="C11" s="14">
        <f>NPV(C6,C9:AG9)</f>
        <v>48.072715200933601</v>
      </c>
    </row>
    <row r="12" spans="1:34" x14ac:dyDescent="0.35">
      <c r="A12" s="3">
        <f t="shared" si="1"/>
        <v>7</v>
      </c>
      <c r="B12" s="15" t="s">
        <v>4</v>
      </c>
      <c r="C12" s="13">
        <f>SUM(C10:C11)</f>
        <v>3423.8373195220261</v>
      </c>
    </row>
    <row r="13" spans="1:34" ht="16" thickBot="1" x14ac:dyDescent="0.4">
      <c r="A13" s="3">
        <f t="shared" si="1"/>
        <v>8</v>
      </c>
      <c r="B13" s="16" t="s">
        <v>5</v>
      </c>
      <c r="C13" s="14">
        <v>-7500</v>
      </c>
    </row>
    <row r="14" spans="1:34" ht="31" thickBot="1" x14ac:dyDescent="0.4">
      <c r="A14" s="3">
        <f t="shared" si="1"/>
        <v>9</v>
      </c>
      <c r="B14" s="17" t="s">
        <v>6</v>
      </c>
      <c r="C14" s="18">
        <f>SUM(C12:C13)</f>
        <v>-4076.1626804779739</v>
      </c>
    </row>
    <row r="15" spans="1:34" x14ac:dyDescent="0.35">
      <c r="A15" s="3">
        <f t="shared" si="1"/>
        <v>10</v>
      </c>
      <c r="B15" s="19"/>
    </row>
    <row r="16" spans="1:34" ht="16" thickBot="1" x14ac:dyDescent="0.4">
      <c r="A16" s="3">
        <f t="shared" si="1"/>
        <v>11</v>
      </c>
      <c r="B16" s="19"/>
    </row>
    <row r="17" spans="1:34" ht="31" thickBot="1" x14ac:dyDescent="0.4">
      <c r="A17" s="3">
        <f t="shared" si="1"/>
        <v>12</v>
      </c>
      <c r="B17" s="6" t="s">
        <v>10</v>
      </c>
      <c r="C17" s="7">
        <v>7.3400000000000007E-2</v>
      </c>
    </row>
    <row r="18" spans="1:34" x14ac:dyDescent="0.35">
      <c r="A18" s="3">
        <f t="shared" si="1"/>
        <v>13</v>
      </c>
      <c r="C18" s="2">
        <v>2021</v>
      </c>
      <c r="D18" s="2">
        <f t="shared" ref="D18:AF18" si="2">C18+1</f>
        <v>2022</v>
      </c>
      <c r="E18" s="2">
        <f t="shared" si="2"/>
        <v>2023</v>
      </c>
      <c r="F18" s="2">
        <f t="shared" si="2"/>
        <v>2024</v>
      </c>
      <c r="G18" s="2">
        <f t="shared" si="2"/>
        <v>2025</v>
      </c>
      <c r="H18" s="2">
        <f t="shared" si="2"/>
        <v>2026</v>
      </c>
      <c r="I18" s="2">
        <f t="shared" si="2"/>
        <v>2027</v>
      </c>
      <c r="J18" s="2">
        <f t="shared" si="2"/>
        <v>2028</v>
      </c>
      <c r="K18" s="2">
        <f t="shared" si="2"/>
        <v>2029</v>
      </c>
      <c r="L18" s="2">
        <f t="shared" si="2"/>
        <v>2030</v>
      </c>
      <c r="M18" s="2">
        <f t="shared" si="2"/>
        <v>2031</v>
      </c>
      <c r="N18" s="2">
        <f t="shared" si="2"/>
        <v>2032</v>
      </c>
      <c r="O18" s="2">
        <f t="shared" si="2"/>
        <v>2033</v>
      </c>
      <c r="P18" s="2">
        <f t="shared" si="2"/>
        <v>2034</v>
      </c>
      <c r="Q18" s="2">
        <f t="shared" si="2"/>
        <v>2035</v>
      </c>
      <c r="R18" s="2">
        <f t="shared" si="2"/>
        <v>2036</v>
      </c>
      <c r="S18" s="2">
        <f t="shared" si="2"/>
        <v>2037</v>
      </c>
      <c r="T18" s="2">
        <f t="shared" si="2"/>
        <v>2038</v>
      </c>
      <c r="U18" s="2">
        <f t="shared" si="2"/>
        <v>2039</v>
      </c>
      <c r="V18" s="2">
        <f t="shared" si="2"/>
        <v>2040</v>
      </c>
      <c r="W18" s="2">
        <f t="shared" si="2"/>
        <v>2041</v>
      </c>
      <c r="X18" s="2">
        <f t="shared" si="2"/>
        <v>2042</v>
      </c>
      <c r="Y18" s="2">
        <f t="shared" si="2"/>
        <v>2043</v>
      </c>
      <c r="Z18" s="2">
        <f t="shared" si="2"/>
        <v>2044</v>
      </c>
      <c r="AA18" s="2">
        <f t="shared" si="2"/>
        <v>2045</v>
      </c>
      <c r="AB18" s="2">
        <f t="shared" si="2"/>
        <v>2046</v>
      </c>
      <c r="AC18" s="2">
        <f t="shared" si="2"/>
        <v>2047</v>
      </c>
      <c r="AD18" s="2">
        <f t="shared" si="2"/>
        <v>2048</v>
      </c>
      <c r="AE18" s="2">
        <f t="shared" si="2"/>
        <v>2049</v>
      </c>
      <c r="AF18" s="2">
        <f t="shared" si="2"/>
        <v>2050</v>
      </c>
      <c r="AG18" s="2">
        <v>2051</v>
      </c>
      <c r="AH18" s="8" t="s">
        <v>3</v>
      </c>
    </row>
    <row r="19" spans="1:34" x14ac:dyDescent="0.35">
      <c r="A19" s="3">
        <f t="shared" si="1"/>
        <v>14</v>
      </c>
      <c r="B19" s="9" t="s">
        <v>2</v>
      </c>
      <c r="C19" s="10">
        <v>253.7</v>
      </c>
      <c r="D19" s="10">
        <v>304.89999999999998</v>
      </c>
      <c r="E19" s="10">
        <v>309.39999999999998</v>
      </c>
      <c r="F19" s="10">
        <v>394.7</v>
      </c>
      <c r="G19" s="10">
        <v>394.7</v>
      </c>
      <c r="H19" s="10">
        <v>394.7</v>
      </c>
      <c r="I19" s="10">
        <v>394.7</v>
      </c>
      <c r="J19" s="10">
        <v>394.7</v>
      </c>
      <c r="K19" s="10">
        <v>394.7</v>
      </c>
      <c r="L19" s="10">
        <v>394.7</v>
      </c>
      <c r="M19" s="10">
        <v>394.7</v>
      </c>
      <c r="N19" s="10">
        <v>394.7</v>
      </c>
      <c r="O19" s="10">
        <v>394.7</v>
      </c>
      <c r="P19" s="10">
        <v>394.7</v>
      </c>
      <c r="Q19" s="10">
        <v>394.7</v>
      </c>
      <c r="R19" s="10">
        <v>394.7</v>
      </c>
      <c r="S19" s="10">
        <v>394.7</v>
      </c>
      <c r="T19" s="10">
        <v>394.7</v>
      </c>
      <c r="U19" s="10">
        <v>394.7</v>
      </c>
      <c r="V19" s="10">
        <v>394.7</v>
      </c>
      <c r="W19" s="10">
        <v>394.7</v>
      </c>
      <c r="X19" s="10">
        <v>394.7</v>
      </c>
      <c r="Y19" s="10">
        <v>394.7</v>
      </c>
      <c r="Z19" s="10">
        <v>394.7</v>
      </c>
      <c r="AA19" s="10">
        <v>394.7</v>
      </c>
      <c r="AB19" s="10">
        <v>394.7</v>
      </c>
      <c r="AC19" s="10">
        <v>394.7</v>
      </c>
      <c r="AD19" s="10">
        <v>394.7</v>
      </c>
      <c r="AE19" s="10">
        <v>394.7</v>
      </c>
      <c r="AF19" s="10">
        <v>331.3</v>
      </c>
      <c r="AG19" s="10">
        <v>0</v>
      </c>
      <c r="AH19" s="10">
        <f>SUM(C19:AG19)</f>
        <v>11461.500000000002</v>
      </c>
    </row>
    <row r="20" spans="1:34" x14ac:dyDescent="0.35">
      <c r="A20" s="3">
        <f t="shared" si="1"/>
        <v>15</v>
      </c>
      <c r="B20" s="11" t="s">
        <v>1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990</v>
      </c>
      <c r="AH20" s="10">
        <f>SUM(C20:AG20)</f>
        <v>990</v>
      </c>
    </row>
    <row r="21" spans="1:34" ht="30.5" x14ac:dyDescent="0.35">
      <c r="A21" s="3">
        <f t="shared" si="1"/>
        <v>16</v>
      </c>
      <c r="B21" s="12" t="str">
        <f>"NPV to Ratepayers of Repayment Cash Flows Discounted @ "&amp;C17</f>
        <v>NPV to Ratepayers of Repayment Cash Flows Discounted @ 0.0734</v>
      </c>
      <c r="C21" s="13">
        <f>NPV(C17,C19:AF19)</f>
        <v>4449.265585151863</v>
      </c>
    </row>
    <row r="22" spans="1:34" ht="30.5" x14ac:dyDescent="0.35">
      <c r="A22" s="3">
        <f t="shared" si="1"/>
        <v>17</v>
      </c>
      <c r="B22" s="12" t="str">
        <f>"NPV to Ratepayers of CCT Residual Value Discounted @ "&amp;C17</f>
        <v>NPV to Ratepayers of CCT Residual Value Discounted @ 0.0734</v>
      </c>
      <c r="C22" s="14">
        <f>NPV(C17,C20:AG20)</f>
        <v>110.16049408301835</v>
      </c>
    </row>
    <row r="23" spans="1:34" x14ac:dyDescent="0.35">
      <c r="A23" s="3">
        <f t="shared" si="1"/>
        <v>18</v>
      </c>
      <c r="B23" s="15" t="s">
        <v>4</v>
      </c>
      <c r="C23" s="13">
        <f>SUM(C21:C22)</f>
        <v>4559.4260792348814</v>
      </c>
    </row>
    <row r="24" spans="1:34" ht="16" thickBot="1" x14ac:dyDescent="0.4">
      <c r="A24" s="3">
        <f t="shared" si="1"/>
        <v>19</v>
      </c>
      <c r="B24" s="16" t="s">
        <v>5</v>
      </c>
      <c r="C24" s="14">
        <v>-7500</v>
      </c>
    </row>
    <row r="25" spans="1:34" ht="31" thickBot="1" x14ac:dyDescent="0.4">
      <c r="A25" s="3">
        <f t="shared" si="1"/>
        <v>20</v>
      </c>
      <c r="B25" s="17" t="s">
        <v>6</v>
      </c>
      <c r="C25" s="18">
        <f>SUM(C23:C24)</f>
        <v>-2940.5739207651186</v>
      </c>
    </row>
    <row r="26" spans="1:34" x14ac:dyDescent="0.35">
      <c r="A26" s="3">
        <f t="shared" si="1"/>
        <v>21</v>
      </c>
      <c r="B26" s="19"/>
    </row>
    <row r="27" spans="1:34" ht="16" thickBot="1" x14ac:dyDescent="0.4">
      <c r="A27" s="3">
        <f t="shared" si="1"/>
        <v>22</v>
      </c>
      <c r="B27" s="19"/>
    </row>
    <row r="28" spans="1:34" ht="16" thickBot="1" x14ac:dyDescent="0.4">
      <c r="A28" s="3">
        <f t="shared" si="1"/>
        <v>23</v>
      </c>
      <c r="B28" s="6" t="s">
        <v>11</v>
      </c>
      <c r="C28" s="7">
        <v>0.06</v>
      </c>
    </row>
    <row r="29" spans="1:34" x14ac:dyDescent="0.35">
      <c r="A29" s="3">
        <f t="shared" si="1"/>
        <v>24</v>
      </c>
      <c r="C29" s="2">
        <v>2021</v>
      </c>
      <c r="D29" s="2">
        <f t="shared" ref="D29:AF29" si="3">C29+1</f>
        <v>2022</v>
      </c>
      <c r="E29" s="2">
        <f t="shared" si="3"/>
        <v>2023</v>
      </c>
      <c r="F29" s="2">
        <f t="shared" si="3"/>
        <v>2024</v>
      </c>
      <c r="G29" s="2">
        <f t="shared" si="3"/>
        <v>2025</v>
      </c>
      <c r="H29" s="2">
        <f t="shared" si="3"/>
        <v>2026</v>
      </c>
      <c r="I29" s="2">
        <f t="shared" si="3"/>
        <v>2027</v>
      </c>
      <c r="J29" s="2">
        <f t="shared" si="3"/>
        <v>2028</v>
      </c>
      <c r="K29" s="2">
        <f t="shared" si="3"/>
        <v>2029</v>
      </c>
      <c r="L29" s="2">
        <f t="shared" si="3"/>
        <v>2030</v>
      </c>
      <c r="M29" s="2">
        <f t="shared" si="3"/>
        <v>2031</v>
      </c>
      <c r="N29" s="2">
        <f t="shared" si="3"/>
        <v>2032</v>
      </c>
      <c r="O29" s="2">
        <f t="shared" si="3"/>
        <v>2033</v>
      </c>
      <c r="P29" s="2">
        <f t="shared" si="3"/>
        <v>2034</v>
      </c>
      <c r="Q29" s="2">
        <f t="shared" si="3"/>
        <v>2035</v>
      </c>
      <c r="R29" s="2">
        <f t="shared" si="3"/>
        <v>2036</v>
      </c>
      <c r="S29" s="2">
        <f t="shared" si="3"/>
        <v>2037</v>
      </c>
      <c r="T29" s="2">
        <f t="shared" si="3"/>
        <v>2038</v>
      </c>
      <c r="U29" s="2">
        <f t="shared" si="3"/>
        <v>2039</v>
      </c>
      <c r="V29" s="2">
        <f t="shared" si="3"/>
        <v>2040</v>
      </c>
      <c r="W29" s="2">
        <f t="shared" si="3"/>
        <v>2041</v>
      </c>
      <c r="X29" s="2">
        <f t="shared" si="3"/>
        <v>2042</v>
      </c>
      <c r="Y29" s="2">
        <f t="shared" si="3"/>
        <v>2043</v>
      </c>
      <c r="Z29" s="2">
        <f t="shared" si="3"/>
        <v>2044</v>
      </c>
      <c r="AA29" s="2">
        <f t="shared" si="3"/>
        <v>2045</v>
      </c>
      <c r="AB29" s="2">
        <f t="shared" si="3"/>
        <v>2046</v>
      </c>
      <c r="AC29" s="2">
        <f t="shared" si="3"/>
        <v>2047</v>
      </c>
      <c r="AD29" s="2">
        <f t="shared" si="3"/>
        <v>2048</v>
      </c>
      <c r="AE29" s="2">
        <f t="shared" si="3"/>
        <v>2049</v>
      </c>
      <c r="AF29" s="2">
        <f t="shared" si="3"/>
        <v>2050</v>
      </c>
      <c r="AG29" s="2">
        <v>2051</v>
      </c>
      <c r="AH29" s="8" t="s">
        <v>3</v>
      </c>
    </row>
    <row r="30" spans="1:34" x14ac:dyDescent="0.35">
      <c r="A30" s="3">
        <f t="shared" si="1"/>
        <v>25</v>
      </c>
      <c r="B30" s="9" t="s">
        <v>2</v>
      </c>
      <c r="C30" s="10">
        <v>253.7</v>
      </c>
      <c r="D30" s="10">
        <v>304.89999999999998</v>
      </c>
      <c r="E30" s="10">
        <v>309.39999999999998</v>
      </c>
      <c r="F30" s="10">
        <v>394.7</v>
      </c>
      <c r="G30" s="10">
        <v>394.7</v>
      </c>
      <c r="H30" s="10">
        <v>394.7</v>
      </c>
      <c r="I30" s="10">
        <v>394.7</v>
      </c>
      <c r="J30" s="10">
        <v>394.7</v>
      </c>
      <c r="K30" s="10">
        <v>394.7</v>
      </c>
      <c r="L30" s="10">
        <v>394.7</v>
      </c>
      <c r="M30" s="10">
        <v>394.7</v>
      </c>
      <c r="N30" s="10">
        <v>394.7</v>
      </c>
      <c r="O30" s="10">
        <v>394.7</v>
      </c>
      <c r="P30" s="10">
        <v>394.7</v>
      </c>
      <c r="Q30" s="10">
        <v>394.7</v>
      </c>
      <c r="R30" s="10">
        <v>394.7</v>
      </c>
      <c r="S30" s="10">
        <v>394.7</v>
      </c>
      <c r="T30" s="10">
        <v>394.7</v>
      </c>
      <c r="U30" s="10">
        <v>394.7</v>
      </c>
      <c r="V30" s="10">
        <v>394.7</v>
      </c>
      <c r="W30" s="10">
        <v>394.7</v>
      </c>
      <c r="X30" s="10">
        <v>394.7</v>
      </c>
      <c r="Y30" s="10">
        <v>394.7</v>
      </c>
      <c r="Z30" s="10">
        <v>394.7</v>
      </c>
      <c r="AA30" s="10">
        <v>394.7</v>
      </c>
      <c r="AB30" s="10">
        <v>394.7</v>
      </c>
      <c r="AC30" s="10">
        <v>394.7</v>
      </c>
      <c r="AD30" s="10">
        <v>394.7</v>
      </c>
      <c r="AE30" s="10">
        <v>394.7</v>
      </c>
      <c r="AF30" s="10">
        <v>331.3</v>
      </c>
      <c r="AG30" s="10">
        <v>0</v>
      </c>
      <c r="AH30" s="10">
        <f>SUM(C30:AG30)</f>
        <v>11461.500000000002</v>
      </c>
    </row>
    <row r="31" spans="1:34" x14ac:dyDescent="0.35">
      <c r="A31" s="3">
        <f t="shared" si="1"/>
        <v>26</v>
      </c>
      <c r="B31" s="11" t="s">
        <v>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990</v>
      </c>
      <c r="AH31" s="10">
        <f>SUM(C31:AG31)</f>
        <v>990</v>
      </c>
    </row>
    <row r="32" spans="1:34" ht="30.5" x14ac:dyDescent="0.35">
      <c r="A32" s="3">
        <f t="shared" si="1"/>
        <v>27</v>
      </c>
      <c r="B32" s="12" t="str">
        <f>"NPV to Ratepayers of Repayment Cash Flows Discounted @ "&amp;C28</f>
        <v>NPV to Ratepayers of Repayment Cash Flows Discounted @ 0.06</v>
      </c>
      <c r="C32" s="13">
        <f>NPV(C28,C30:AF30)</f>
        <v>5137.380200112676</v>
      </c>
    </row>
    <row r="33" spans="1:3" ht="30.5" x14ac:dyDescent="0.35">
      <c r="A33" s="3">
        <f t="shared" si="1"/>
        <v>28</v>
      </c>
      <c r="B33" s="12" t="str">
        <f>"NPV to Ratepayers of CCT Residual Value Discounted @ "&amp;C28</f>
        <v>NPV to Ratepayers of CCT Residual Value Discounted @ 0.06</v>
      </c>
      <c r="C33" s="14">
        <f>NPV(C28,C31:AG31)</f>
        <v>162.61229207691315</v>
      </c>
    </row>
    <row r="34" spans="1:3" x14ac:dyDescent="0.35">
      <c r="A34" s="3">
        <f t="shared" si="1"/>
        <v>29</v>
      </c>
      <c r="B34" s="15" t="s">
        <v>4</v>
      </c>
      <c r="C34" s="13">
        <f>SUM(C32:C33)</f>
        <v>5299.992492189589</v>
      </c>
    </row>
    <row r="35" spans="1:3" ht="16" thickBot="1" x14ac:dyDescent="0.4">
      <c r="A35" s="3">
        <f t="shared" si="1"/>
        <v>30</v>
      </c>
      <c r="B35" s="16" t="s">
        <v>5</v>
      </c>
      <c r="C35" s="14">
        <v>-7500</v>
      </c>
    </row>
    <row r="36" spans="1:3" ht="31" thickBot="1" x14ac:dyDescent="0.4">
      <c r="A36" s="3">
        <f t="shared" si="1"/>
        <v>31</v>
      </c>
      <c r="B36" s="17" t="s">
        <v>6</v>
      </c>
      <c r="C36" s="18">
        <f>SUM(C34:C35)</f>
        <v>-2200.007507810411</v>
      </c>
    </row>
    <row r="37" spans="1:3" ht="20" customHeight="1" x14ac:dyDescent="0.35">
      <c r="B37" s="19"/>
    </row>
    <row r="47" spans="1:3" x14ac:dyDescent="0.35">
      <c r="C47" s="13"/>
    </row>
    <row r="48" spans="1:3" x14ac:dyDescent="0.35">
      <c r="C48" s="13"/>
    </row>
    <row r="50" spans="3:3" x14ac:dyDescent="0.35">
      <c r="C50" s="20"/>
    </row>
    <row r="51" spans="3:3" x14ac:dyDescent="0.35">
      <c r="C51" s="20"/>
    </row>
    <row r="52" spans="3:3" x14ac:dyDescent="0.35">
      <c r="C52" s="20"/>
    </row>
    <row r="53" spans="3:3" x14ac:dyDescent="0.35">
      <c r="C53" s="20"/>
    </row>
    <row r="55" spans="3:3" x14ac:dyDescent="0.35">
      <c r="C55" s="20"/>
    </row>
    <row r="56" spans="3:3" x14ac:dyDescent="0.35">
      <c r="C56" s="20"/>
    </row>
    <row r="57" spans="3:3" x14ac:dyDescent="0.35">
      <c r="C57" s="20"/>
    </row>
    <row r="58" spans="3:3" x14ac:dyDescent="0.35">
      <c r="C58" s="20"/>
    </row>
  </sheetData>
  <pageMargins left="0.7" right="0.7" top="0.75" bottom="0.75" header="0.3" footer="0.3"/>
  <ignoredErrors>
    <ignoredError sqref="C21 C10 C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/>
  </sheetViews>
  <sheetFormatPr defaultColWidth="10.83203125" defaultRowHeight="15.5" x14ac:dyDescent="0.35"/>
  <cols>
    <col min="1" max="1" width="6" style="3" customWidth="1"/>
    <col min="2" max="2" width="64.5" style="1" customWidth="1"/>
    <col min="3" max="3" width="10.83203125" style="1"/>
    <col min="4" max="4" width="6.33203125" style="1" customWidth="1"/>
    <col min="5" max="5" width="100.5" style="1" customWidth="1"/>
    <col min="6" max="16384" width="10.83203125" style="1"/>
  </cols>
  <sheetData>
    <row r="1" spans="1:5" ht="17.5" x14ac:dyDescent="0.35">
      <c r="B1" s="4" t="s">
        <v>7</v>
      </c>
    </row>
    <row r="2" spans="1:5" ht="16.5" x14ac:dyDescent="0.35">
      <c r="B2" s="73" t="s">
        <v>66</v>
      </c>
    </row>
    <row r="3" spans="1:5" ht="17.5" x14ac:dyDescent="0.35">
      <c r="A3" s="3">
        <v>1</v>
      </c>
      <c r="B3" s="32" t="s">
        <v>20</v>
      </c>
      <c r="E3" s="31" t="s">
        <v>23</v>
      </c>
    </row>
    <row r="4" spans="1:5" x14ac:dyDescent="0.35">
      <c r="A4" s="3">
        <f>A3+1</f>
        <v>2</v>
      </c>
      <c r="B4" s="2" t="s">
        <v>0</v>
      </c>
      <c r="E4" s="3"/>
    </row>
    <row r="5" spans="1:5" x14ac:dyDescent="0.35">
      <c r="A5" s="3">
        <f t="shared" ref="A5:A30" si="0">A4+1</f>
        <v>3</v>
      </c>
      <c r="B5" s="21" t="s">
        <v>22</v>
      </c>
      <c r="C5" s="1">
        <v>2</v>
      </c>
      <c r="E5" s="1" t="s">
        <v>29</v>
      </c>
    </row>
    <row r="6" spans="1:5" x14ac:dyDescent="0.35">
      <c r="A6" s="3">
        <f t="shared" si="0"/>
        <v>4</v>
      </c>
      <c r="B6" s="21" t="s">
        <v>13</v>
      </c>
      <c r="C6" s="10">
        <v>23</v>
      </c>
      <c r="D6" s="10"/>
      <c r="E6" s="1" t="s">
        <v>27</v>
      </c>
    </row>
    <row r="7" spans="1:5" x14ac:dyDescent="0.35">
      <c r="A7" s="3">
        <f t="shared" si="0"/>
        <v>5</v>
      </c>
      <c r="B7" s="21" t="s">
        <v>12</v>
      </c>
      <c r="C7" s="22">
        <v>18</v>
      </c>
      <c r="D7" s="22"/>
      <c r="E7" s="1" t="s">
        <v>28</v>
      </c>
    </row>
    <row r="8" spans="1:5" x14ac:dyDescent="0.35">
      <c r="A8" s="3">
        <f t="shared" si="0"/>
        <v>6</v>
      </c>
      <c r="B8" s="21" t="s">
        <v>25</v>
      </c>
      <c r="C8" s="10">
        <v>9</v>
      </c>
      <c r="D8" s="10"/>
      <c r="E8" s="1" t="s">
        <v>30</v>
      </c>
    </row>
    <row r="9" spans="1:5" x14ac:dyDescent="0.35">
      <c r="A9" s="3">
        <f t="shared" si="0"/>
        <v>7</v>
      </c>
      <c r="B9" s="21" t="s">
        <v>14</v>
      </c>
      <c r="C9" s="1">
        <v>2</v>
      </c>
      <c r="E9" s="1" t="s">
        <v>30</v>
      </c>
    </row>
    <row r="10" spans="1:5" x14ac:dyDescent="0.35">
      <c r="A10" s="3">
        <f t="shared" si="0"/>
        <v>8</v>
      </c>
      <c r="B10" s="21" t="s">
        <v>15</v>
      </c>
      <c r="C10" s="23">
        <v>7.3400000000000007E-2</v>
      </c>
      <c r="D10" s="23"/>
      <c r="E10" s="30" t="s">
        <v>40</v>
      </c>
    </row>
    <row r="11" spans="1:5" x14ac:dyDescent="0.35">
      <c r="A11" s="3">
        <f t="shared" si="0"/>
        <v>9</v>
      </c>
      <c r="C11" s="24"/>
      <c r="D11" s="24"/>
    </row>
    <row r="12" spans="1:5" x14ac:dyDescent="0.35">
      <c r="A12" s="3">
        <f t="shared" si="0"/>
        <v>10</v>
      </c>
      <c r="B12" s="9" t="s">
        <v>16</v>
      </c>
      <c r="C12" s="20">
        <f>-PV(C10,C7,C6)</f>
        <v>225.78799328272888</v>
      </c>
      <c r="D12" s="20"/>
      <c r="E12" s="1" t="s">
        <v>31</v>
      </c>
    </row>
    <row r="13" spans="1:5" x14ac:dyDescent="0.35">
      <c r="A13" s="3">
        <f t="shared" si="0"/>
        <v>11</v>
      </c>
      <c r="B13" s="9" t="s">
        <v>17</v>
      </c>
      <c r="C13" s="25">
        <f>-PV(C10,C5,C8)</f>
        <v>16.195800621211337</v>
      </c>
      <c r="D13" s="25"/>
      <c r="E13" s="1" t="s">
        <v>32</v>
      </c>
    </row>
    <row r="14" spans="1:5" ht="16" thickBot="1" x14ac:dyDescent="0.4">
      <c r="A14" s="3">
        <f t="shared" si="0"/>
        <v>12</v>
      </c>
      <c r="B14" s="11" t="s">
        <v>18</v>
      </c>
      <c r="C14" s="20">
        <f>SUM(C12:C13)</f>
        <v>241.98379390394021</v>
      </c>
      <c r="D14" s="20"/>
      <c r="E14" s="1" t="s">
        <v>33</v>
      </c>
    </row>
    <row r="15" spans="1:5" ht="16" thickBot="1" x14ac:dyDescent="0.4">
      <c r="A15" s="3">
        <f t="shared" si="0"/>
        <v>13</v>
      </c>
      <c r="B15" s="26" t="s">
        <v>19</v>
      </c>
      <c r="C15" s="27">
        <f>-PV(0.0734,2,,C14)</f>
        <v>210.02118257893727</v>
      </c>
      <c r="D15" s="29"/>
      <c r="E15" s="1" t="s">
        <v>34</v>
      </c>
    </row>
    <row r="16" spans="1:5" x14ac:dyDescent="0.35">
      <c r="A16" s="3">
        <f t="shared" si="0"/>
        <v>14</v>
      </c>
      <c r="B16" s="72"/>
      <c r="C16" s="29"/>
      <c r="D16" s="29"/>
    </row>
    <row r="17" spans="1:5" ht="16.5" x14ac:dyDescent="0.35">
      <c r="A17" s="3">
        <f t="shared" si="0"/>
        <v>15</v>
      </c>
      <c r="B17" s="83" t="s">
        <v>71</v>
      </c>
    </row>
    <row r="18" spans="1:5" ht="17.5" x14ac:dyDescent="0.35">
      <c r="A18" s="3">
        <f t="shared" si="0"/>
        <v>16</v>
      </c>
      <c r="B18" s="69" t="s">
        <v>21</v>
      </c>
    </row>
    <row r="19" spans="1:5" x14ac:dyDescent="0.35">
      <c r="A19" s="3">
        <f t="shared" si="0"/>
        <v>17</v>
      </c>
      <c r="B19" s="2" t="s">
        <v>0</v>
      </c>
    </row>
    <row r="20" spans="1:5" x14ac:dyDescent="0.35">
      <c r="A20" s="3">
        <f t="shared" si="0"/>
        <v>18</v>
      </c>
      <c r="B20" s="21" t="s">
        <v>22</v>
      </c>
      <c r="C20" s="1">
        <v>1</v>
      </c>
      <c r="E20" s="1" t="s">
        <v>36</v>
      </c>
    </row>
    <row r="21" spans="1:5" x14ac:dyDescent="0.35">
      <c r="A21" s="3">
        <f t="shared" si="0"/>
        <v>19</v>
      </c>
      <c r="B21" s="21" t="s">
        <v>24</v>
      </c>
      <c r="C21" s="28">
        <f>11.74*40/60</f>
        <v>7.8266666666666671</v>
      </c>
      <c r="D21" s="28"/>
      <c r="E21" s="1" t="s">
        <v>35</v>
      </c>
    </row>
    <row r="22" spans="1:5" x14ac:dyDescent="0.35">
      <c r="A22" s="3">
        <f t="shared" si="0"/>
        <v>20</v>
      </c>
      <c r="B22" s="21" t="s">
        <v>12</v>
      </c>
      <c r="C22" s="22">
        <v>8</v>
      </c>
      <c r="D22" s="22"/>
      <c r="E22" s="82" t="s">
        <v>68</v>
      </c>
    </row>
    <row r="23" spans="1:5" x14ac:dyDescent="0.35">
      <c r="A23" s="3">
        <f t="shared" si="0"/>
        <v>21</v>
      </c>
      <c r="B23" s="21" t="s">
        <v>25</v>
      </c>
      <c r="C23" s="10">
        <v>9</v>
      </c>
      <c r="D23" s="10"/>
      <c r="E23" s="1" t="s">
        <v>30</v>
      </c>
    </row>
    <row r="24" spans="1:5" x14ac:dyDescent="0.35">
      <c r="A24" s="3">
        <f t="shared" si="0"/>
        <v>22</v>
      </c>
      <c r="B24" s="21" t="s">
        <v>14</v>
      </c>
      <c r="C24" s="1">
        <v>1</v>
      </c>
      <c r="E24" s="1" t="s">
        <v>36</v>
      </c>
    </row>
    <row r="25" spans="1:5" x14ac:dyDescent="0.35">
      <c r="A25" s="3">
        <f t="shared" si="0"/>
        <v>23</v>
      </c>
      <c r="B25" s="21" t="s">
        <v>15</v>
      </c>
      <c r="C25" s="23">
        <v>7.3400000000000007E-2</v>
      </c>
      <c r="D25" s="23"/>
      <c r="E25" s="30" t="s">
        <v>40</v>
      </c>
    </row>
    <row r="26" spans="1:5" x14ac:dyDescent="0.35">
      <c r="A26" s="3">
        <f t="shared" si="0"/>
        <v>24</v>
      </c>
      <c r="C26" s="24"/>
      <c r="D26" s="24"/>
    </row>
    <row r="27" spans="1:5" x14ac:dyDescent="0.35">
      <c r="A27" s="3">
        <f t="shared" si="0"/>
        <v>25</v>
      </c>
      <c r="B27" s="9" t="s">
        <v>16</v>
      </c>
      <c r="C27" s="20">
        <f>-PV(C25,C22,C21)</f>
        <v>46.125783955702808</v>
      </c>
      <c r="D27" s="20"/>
      <c r="E27" s="1" t="s">
        <v>37</v>
      </c>
    </row>
    <row r="28" spans="1:5" x14ac:dyDescent="0.35">
      <c r="A28" s="3">
        <f t="shared" si="0"/>
        <v>26</v>
      </c>
      <c r="B28" s="9" t="s">
        <v>26</v>
      </c>
      <c r="C28" s="25">
        <f>C8</f>
        <v>9</v>
      </c>
      <c r="D28" s="25"/>
      <c r="E28" s="1" t="s">
        <v>30</v>
      </c>
    </row>
    <row r="29" spans="1:5" ht="16" thickBot="1" x14ac:dyDescent="0.4">
      <c r="A29" s="3">
        <f t="shared" si="0"/>
        <v>27</v>
      </c>
      <c r="B29" s="11" t="s">
        <v>18</v>
      </c>
      <c r="C29" s="20">
        <f>SUM(C27:C28)</f>
        <v>55.125783955702808</v>
      </c>
      <c r="D29" s="20"/>
      <c r="E29" s="1" t="s">
        <v>38</v>
      </c>
    </row>
    <row r="30" spans="1:5" ht="16" thickBot="1" x14ac:dyDescent="0.4">
      <c r="A30" s="3">
        <f t="shared" si="0"/>
        <v>28</v>
      </c>
      <c r="B30" s="26" t="s">
        <v>19</v>
      </c>
      <c r="C30" s="27">
        <f>-PV(C25,2,,C29)</f>
        <v>47.844453342043387</v>
      </c>
      <c r="D30" s="29"/>
      <c r="E30" s="1" t="s">
        <v>39</v>
      </c>
    </row>
    <row r="31" spans="1:5" x14ac:dyDescent="0.35">
      <c r="C31" s="20"/>
      <c r="D31" s="20"/>
    </row>
  </sheetData>
  <phoneticPr fontId="2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35"/>
  <sheetViews>
    <sheetView showGridLines="0" zoomScaleNormal="100" workbookViewId="0">
      <pane xSplit="5" ySplit="6" topLeftCell="N7" activePane="bottomRight" state="frozen"/>
      <selection pane="topRight" activeCell="D1" sqref="D1"/>
      <selection pane="bottomLeft" activeCell="A6" sqref="A6"/>
      <selection pane="bottomRight" activeCell="O35" sqref="O35"/>
    </sheetView>
  </sheetViews>
  <sheetFormatPr defaultColWidth="8.6640625" defaultRowHeight="14" x14ac:dyDescent="0.3"/>
  <cols>
    <col min="1" max="1" width="3.5" style="33" customWidth="1"/>
    <col min="2" max="2" width="8.6640625" style="33"/>
    <col min="3" max="3" width="44.83203125" style="33" customWidth="1"/>
    <col min="4" max="4" width="20.5" style="33" customWidth="1"/>
    <col min="5" max="5" width="19.33203125" style="33" customWidth="1"/>
    <col min="6" max="6" width="15.5" style="33" bestFit="1" customWidth="1"/>
    <col min="7" max="7" width="10.83203125" style="33" customWidth="1"/>
    <col min="8" max="10" width="9.33203125" style="33" bestFit="1" customWidth="1"/>
    <col min="11" max="13" width="10.33203125" style="33" bestFit="1" customWidth="1"/>
    <col min="14" max="14" width="11.33203125" style="33" customWidth="1"/>
    <col min="15" max="15" width="10.33203125" style="33" bestFit="1" customWidth="1"/>
    <col min="16" max="22" width="10.6640625" style="33" bestFit="1" customWidth="1"/>
    <col min="23" max="36" width="9.33203125" style="33" bestFit="1" customWidth="1"/>
    <col min="37" max="16384" width="8.6640625" style="33"/>
  </cols>
  <sheetData>
    <row r="1" spans="1:36" x14ac:dyDescent="0.3">
      <c r="B1" s="84" t="s">
        <v>62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6" x14ac:dyDescent="0.3">
      <c r="B2" s="84" t="s">
        <v>41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6" x14ac:dyDescent="0.3">
      <c r="B3" s="85" t="s">
        <v>42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</row>
    <row r="4" spans="1:36" s="74" customFormat="1" x14ac:dyDescent="0.3">
      <c r="B4" s="75" t="s">
        <v>69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</row>
    <row r="5" spans="1:36" s="81" customFormat="1" ht="36" customHeight="1" x14ac:dyDescent="0.3">
      <c r="A5" s="78">
        <v>1</v>
      </c>
      <c r="B5" s="86" t="s">
        <v>70</v>
      </c>
      <c r="C5" s="86"/>
      <c r="D5" s="86"/>
      <c r="E5" s="79"/>
      <c r="F5" s="80">
        <v>0</v>
      </c>
      <c r="G5" s="80">
        <v>0</v>
      </c>
      <c r="H5" s="80">
        <v>0</v>
      </c>
      <c r="I5" s="80">
        <v>0.1</v>
      </c>
      <c r="J5" s="80">
        <v>0.1</v>
      </c>
      <c r="K5" s="80">
        <v>0.1</v>
      </c>
      <c r="L5" s="80">
        <v>0.1</v>
      </c>
      <c r="M5" s="80">
        <v>0.1</v>
      </c>
      <c r="N5" s="80">
        <v>0.1</v>
      </c>
      <c r="O5" s="80">
        <v>0.1</v>
      </c>
      <c r="P5" s="80">
        <v>0.1</v>
      </c>
      <c r="Q5" s="80">
        <v>0.1</v>
      </c>
      <c r="R5" s="80">
        <v>0.1</v>
      </c>
      <c r="S5" s="80">
        <v>0.1</v>
      </c>
      <c r="T5" s="80">
        <v>0.1</v>
      </c>
      <c r="U5" s="80">
        <v>0.1</v>
      </c>
      <c r="V5" s="80">
        <v>0.1</v>
      </c>
      <c r="W5" s="80">
        <v>0.1</v>
      </c>
      <c r="X5" s="80">
        <v>0.1</v>
      </c>
      <c r="Y5" s="80">
        <v>0.1</v>
      </c>
      <c r="Z5" s="80">
        <v>0.1</v>
      </c>
      <c r="AA5" s="80">
        <v>0.1</v>
      </c>
      <c r="AB5" s="80">
        <v>0.1</v>
      </c>
      <c r="AC5" s="80">
        <v>0.1</v>
      </c>
      <c r="AD5" s="80">
        <v>0.1</v>
      </c>
      <c r="AE5" s="80">
        <v>0.1</v>
      </c>
      <c r="AF5" s="80">
        <v>0.1</v>
      </c>
      <c r="AG5" s="80">
        <v>0.1</v>
      </c>
      <c r="AH5" s="80">
        <v>0.1</v>
      </c>
      <c r="AI5" s="80">
        <v>0.1</v>
      </c>
      <c r="AJ5" s="80">
        <v>0.1</v>
      </c>
    </row>
    <row r="6" spans="1:36" x14ac:dyDescent="0.3">
      <c r="A6" s="63">
        <f>A5+1</f>
        <v>2</v>
      </c>
      <c r="B6" s="36"/>
      <c r="C6" s="36"/>
      <c r="D6" s="37" t="s">
        <v>43</v>
      </c>
      <c r="E6" s="38" t="s">
        <v>58</v>
      </c>
      <c r="F6" s="39">
        <v>2020</v>
      </c>
      <c r="G6" s="39">
        <v>2021</v>
      </c>
      <c r="H6" s="39">
        <v>2022</v>
      </c>
      <c r="I6" s="39">
        <v>2023</v>
      </c>
      <c r="J6" s="39">
        <v>2024</v>
      </c>
      <c r="K6" s="39">
        <v>2025</v>
      </c>
      <c r="L6" s="39">
        <v>2026</v>
      </c>
      <c r="M6" s="39">
        <v>2027</v>
      </c>
      <c r="N6" s="39">
        <v>2028</v>
      </c>
      <c r="O6" s="39">
        <v>2029</v>
      </c>
      <c r="P6" s="39">
        <v>2030</v>
      </c>
      <c r="Q6" s="39">
        <v>2031</v>
      </c>
      <c r="R6" s="39">
        <v>2032</v>
      </c>
      <c r="S6" s="39">
        <v>2033</v>
      </c>
      <c r="T6" s="39">
        <v>2034</v>
      </c>
      <c r="U6" s="39">
        <v>2035</v>
      </c>
      <c r="V6" s="39">
        <v>2036</v>
      </c>
      <c r="W6" s="39">
        <v>2037</v>
      </c>
      <c r="X6" s="39">
        <v>2038</v>
      </c>
      <c r="Y6" s="39">
        <v>2039</v>
      </c>
      <c r="Z6" s="39">
        <v>2040</v>
      </c>
      <c r="AA6" s="39">
        <v>2041</v>
      </c>
      <c r="AB6" s="39">
        <v>2042</v>
      </c>
      <c r="AC6" s="39">
        <v>2043</v>
      </c>
      <c r="AD6" s="39">
        <v>2044</v>
      </c>
      <c r="AE6" s="39">
        <v>2045</v>
      </c>
      <c r="AF6" s="39">
        <v>2046</v>
      </c>
      <c r="AG6" s="39">
        <v>2047</v>
      </c>
      <c r="AH6" s="39">
        <v>2048</v>
      </c>
      <c r="AI6" s="39">
        <v>2049</v>
      </c>
      <c r="AJ6" s="39">
        <v>2050</v>
      </c>
    </row>
    <row r="7" spans="1:36" x14ac:dyDescent="0.3">
      <c r="A7" s="63">
        <f t="shared" ref="A7:A34" si="0">A6+1</f>
        <v>3</v>
      </c>
      <c r="B7" s="36" t="s">
        <v>44</v>
      </c>
      <c r="C7" s="36"/>
      <c r="D7" s="36"/>
    </row>
    <row r="8" spans="1:36" x14ac:dyDescent="0.3">
      <c r="A8" s="63">
        <f t="shared" si="0"/>
        <v>4</v>
      </c>
      <c r="B8" s="40" t="s">
        <v>45</v>
      </c>
      <c r="C8" s="40"/>
      <c r="D8" s="41">
        <v>145465.91005223489</v>
      </c>
      <c r="E8" s="42">
        <f>SUM(F8:AJ8)</f>
        <v>128710.32356217377</v>
      </c>
      <c r="F8" s="43">
        <f>'[1]Taxable Income Forecast'!C21/1000</f>
        <v>-20599.161553780759</v>
      </c>
      <c r="G8" s="43">
        <f>'[1]Taxable Income Forecast'!D21/1000</f>
        <v>-1324.5441026827157</v>
      </c>
      <c r="H8" s="43">
        <f>'[1]Taxable Income Forecast'!E21/1000*(1-H5)</f>
        <v>-166.24919191295024</v>
      </c>
      <c r="I8" s="43">
        <f>'[1]Taxable Income Forecast'!F21/1000*(1-I5)</f>
        <v>1429.316711720372</v>
      </c>
      <c r="J8" s="43">
        <f>'[1]Taxable Income Forecast'!G21/1000*(1-J5)</f>
        <v>1742.3212826068582</v>
      </c>
      <c r="K8" s="43">
        <f>'[1]Taxable Income Forecast'!H21/1000*(1-K5)</f>
        <v>1898.4894001293915</v>
      </c>
      <c r="L8" s="43">
        <f>'[1]Taxable Income Forecast'!I21/1000*(1-L5)</f>
        <v>2119.7845585077739</v>
      </c>
      <c r="M8" s="43">
        <f>'[1]Taxable Income Forecast'!J21/1000*(1-M5)</f>
        <v>2360.6890547590256</v>
      </c>
      <c r="N8" s="43">
        <f>'[1]Taxable Income Forecast'!K21/1000*(1-N5)</f>
        <v>2622.0783201493409</v>
      </c>
      <c r="O8" s="43">
        <f>'[1]Taxable Income Forecast'!L21/1000*(1-O5)</f>
        <v>2898.8129969273837</v>
      </c>
      <c r="P8" s="43">
        <f>'[1]Taxable Income Forecast'!M21/1000*(1-P5)</f>
        <v>3205.4136539179995</v>
      </c>
      <c r="Q8" s="43">
        <f>'[1]Taxable Income Forecast'!N21/1000*(1-Q5)</f>
        <v>3416.8516486131612</v>
      </c>
      <c r="R8" s="43">
        <f>'[1]Taxable Income Forecast'!O21/1000*(1-R5)</f>
        <v>3652.5276232832148</v>
      </c>
      <c r="S8" s="43">
        <f>'[1]Taxable Income Forecast'!P21/1000*(1-S5)</f>
        <v>3901.4828684538561</v>
      </c>
      <c r="T8" s="43">
        <f>'[1]Taxable Income Forecast'!Q21/1000*(1-T5)</f>
        <v>4164.5015513500875</v>
      </c>
      <c r="U8" s="43">
        <f>'[1]Taxable Income Forecast'!R21/1000*(1-U5)</f>
        <v>4906.917923249237</v>
      </c>
      <c r="V8" s="43">
        <f>'[1]Taxable Income Forecast'!S21/1000*(1-V5)</f>
        <v>5178.641936854563</v>
      </c>
      <c r="W8" s="43">
        <f>'[1]Taxable Income Forecast'!T21/1000*(1-W5)</f>
        <v>5446.6311360042009</v>
      </c>
      <c r="X8" s="43">
        <f>'[1]Taxable Income Forecast'!U21/1000*(1-X5)</f>
        <v>5725.5620174509222</v>
      </c>
      <c r="Y8" s="43">
        <f>'[1]Taxable Income Forecast'!V21/1000*(1-Y5)</f>
        <v>6018.422795381638</v>
      </c>
      <c r="Z8" s="43">
        <f>'[1]Taxable Income Forecast'!W21/1000*(1-Z5)</f>
        <v>6325.9089475652108</v>
      </c>
      <c r="AA8" s="43">
        <f>'[1]Taxable Income Forecast'!X21/1000*(1-AA5)</f>
        <v>6648.7506878329368</v>
      </c>
      <c r="AB8" s="43">
        <f>'[1]Taxable Income Forecast'!Y21/1000*(1-AB5)</f>
        <v>6986.437120716173</v>
      </c>
      <c r="AC8" s="43">
        <f>'[1]Taxable Income Forecast'!Z21/1000*(1-AC5)</f>
        <v>7339.8860060944353</v>
      </c>
      <c r="AD8" s="43">
        <f>'[1]Taxable Income Forecast'!AA21/1000*(1-AD5)</f>
        <v>7709.5964213292746</v>
      </c>
      <c r="AE8" s="43">
        <f>'[1]Taxable Income Forecast'!AB21/1000*(1-AE5)</f>
        <v>8096.41084671929</v>
      </c>
      <c r="AF8" s="43">
        <f>'[1]Taxable Income Forecast'!AC21/1000*(1-AF5)</f>
        <v>8502.6666112519197</v>
      </c>
      <c r="AG8" s="43">
        <f>'[1]Taxable Income Forecast'!AD21/1000*(1-AG5)</f>
        <v>8929.5955599834888</v>
      </c>
      <c r="AH8" s="43">
        <f>'[1]Taxable Income Forecast'!AE21/1000*(1-AH5)</f>
        <v>9378.3383946111317</v>
      </c>
      <c r="AI8" s="43">
        <f>'[1]Taxable Income Forecast'!AF21/1000*(1-AI5)</f>
        <v>9849.6330584153402</v>
      </c>
      <c r="AJ8" s="43">
        <f>'[1]Taxable Income Forecast'!AG21/1000*(1-AJ5)</f>
        <v>10344.60927667197</v>
      </c>
    </row>
    <row r="9" spans="1:36" x14ac:dyDescent="0.3">
      <c r="A9" s="63">
        <f t="shared" si="0"/>
        <v>5</v>
      </c>
      <c r="B9" s="40" t="s">
        <v>46</v>
      </c>
      <c r="C9" s="40"/>
      <c r="D9" s="41">
        <v>27874.463210943206</v>
      </c>
      <c r="F9" s="44">
        <f>'[1]Table 6-1'!C25</f>
        <v>5461.6393200000002</v>
      </c>
      <c r="G9" s="44">
        <f t="shared" ref="G9:AJ9" si="1">F11</f>
        <v>5461.6393200000002</v>
      </c>
      <c r="H9" s="44">
        <f t="shared" si="1"/>
        <v>5461.6393200000002</v>
      </c>
      <c r="I9" s="44">
        <f t="shared" si="1"/>
        <v>5461.6393200000002</v>
      </c>
      <c r="J9" s="44">
        <f t="shared" si="1"/>
        <v>4032.3226082796282</v>
      </c>
      <c r="K9" s="44">
        <f t="shared" si="1"/>
        <v>2290.0013256727698</v>
      </c>
      <c r="L9" s="44">
        <f t="shared" si="1"/>
        <v>385.55379989648691</v>
      </c>
      <c r="M9" s="44">
        <f t="shared" si="1"/>
        <v>0</v>
      </c>
      <c r="N9" s="44">
        <f t="shared" si="1"/>
        <v>0</v>
      </c>
      <c r="O9" s="44">
        <f t="shared" si="1"/>
        <v>0</v>
      </c>
      <c r="P9" s="44">
        <f t="shared" si="1"/>
        <v>0</v>
      </c>
      <c r="Q9" s="44">
        <f t="shared" si="1"/>
        <v>0</v>
      </c>
      <c r="R9" s="44">
        <f t="shared" si="1"/>
        <v>0</v>
      </c>
      <c r="S9" s="44">
        <f t="shared" si="1"/>
        <v>0</v>
      </c>
      <c r="T9" s="44">
        <f t="shared" si="1"/>
        <v>0</v>
      </c>
      <c r="U9" s="44">
        <f t="shared" si="1"/>
        <v>0</v>
      </c>
      <c r="V9" s="44">
        <f t="shared" si="1"/>
        <v>0</v>
      </c>
      <c r="W9" s="44">
        <f t="shared" si="1"/>
        <v>0</v>
      </c>
      <c r="X9" s="44">
        <f t="shared" si="1"/>
        <v>0</v>
      </c>
      <c r="Y9" s="44">
        <f t="shared" si="1"/>
        <v>0</v>
      </c>
      <c r="Z9" s="44">
        <f t="shared" si="1"/>
        <v>0</v>
      </c>
      <c r="AA9" s="44">
        <f t="shared" si="1"/>
        <v>0</v>
      </c>
      <c r="AB9" s="44">
        <f t="shared" si="1"/>
        <v>0</v>
      </c>
      <c r="AC9" s="44">
        <f t="shared" si="1"/>
        <v>0</v>
      </c>
      <c r="AD9" s="44">
        <f t="shared" si="1"/>
        <v>0</v>
      </c>
      <c r="AE9" s="44">
        <f t="shared" si="1"/>
        <v>0</v>
      </c>
      <c r="AF9" s="44">
        <f t="shared" si="1"/>
        <v>0</v>
      </c>
      <c r="AG9" s="44">
        <f t="shared" si="1"/>
        <v>0</v>
      </c>
      <c r="AH9" s="44">
        <f t="shared" si="1"/>
        <v>0</v>
      </c>
      <c r="AI9" s="44">
        <f t="shared" si="1"/>
        <v>0</v>
      </c>
      <c r="AJ9" s="44">
        <f t="shared" si="1"/>
        <v>0</v>
      </c>
    </row>
    <row r="10" spans="1:36" x14ac:dyDescent="0.3">
      <c r="A10" s="63">
        <f t="shared" si="0"/>
        <v>6</v>
      </c>
      <c r="B10" s="45" t="s">
        <v>47</v>
      </c>
      <c r="C10" s="45"/>
      <c r="D10" s="41">
        <v>-5461.6393200000002</v>
      </c>
      <c r="E10" s="42">
        <f>SUM(F10:AJ10)</f>
        <v>-5461.6393200000002</v>
      </c>
      <c r="F10" s="44">
        <f>-IF(OR(F8&lt;0,E11&lt;=0),0,IF(E11&lt;F8,E11,F8*0.8))</f>
        <v>0</v>
      </c>
      <c r="G10" s="44">
        <f>-IF(OR(G8&lt;0,F11&lt;=0),0,IF(F11&lt;G8,F11,G8*0.8))</f>
        <v>0</v>
      </c>
      <c r="H10" s="44">
        <f t="shared" ref="H10" si="2">-IF(OR(H8&lt;0,G11&lt;=0),0,IF(G11&lt;H8,G11,H8*0.8))</f>
        <v>0</v>
      </c>
      <c r="I10" s="44">
        <f>-IF(I9&gt;'[1]Table 6-1'!$C$23,MIN(I8,H11),IF(-SUM($H$10:H10)&lt;'[1]Table 6-1'!$C$23,MIN(SUM('[1]Table 6-1'!$C$23,$H$10:H10)+I8*0.8,H11),MIN(I8,H11)))</f>
        <v>-1429.316711720372</v>
      </c>
      <c r="J10" s="44">
        <f>-IF(J9&gt;'[1]Table 6-1'!$C$23,MIN(J8,I11),IF(-SUM($H$10:I10)&lt;'[1]Table 6-1'!$C$23,MIN(SUM('[1]Table 6-1'!$C$23,$H$10:I10)+J8*0.8,I11),MIN(J8,I11)))</f>
        <v>-1742.3212826068582</v>
      </c>
      <c r="K10" s="44">
        <f>-IF(K9&gt;'[1]Table 6-1'!$C$23,MIN(K8,J11),IF(-SUM($H$10:J10)&lt;'[1]Table 6-1'!$C$23,MIN(SUM('[1]Table 6-1'!$C$23,$H$10:J10)+K8*0.8,J11),MIN(K8,J11)))</f>
        <v>-1904.4475257762829</v>
      </c>
      <c r="L10" s="44">
        <f>-IF(L9&gt;'[1]Table 6-1'!$C$23,MIN(L8,K11),IF(-SUM($H$10:K10)&lt;'[1]Table 6-1'!$C$23,MIN(SUM('[1]Table 6-1'!$C$23,$H$10:K10)+L8*0.8,K11),MIN(L8,K11)))</f>
        <v>-385.55379989648691</v>
      </c>
      <c r="M10" s="44">
        <f>-IF(M9&gt;'[1]Table 6-1'!$C$23,MIN(M8,L11),IF(-SUM($H$10:L10)&lt;'[1]Table 6-1'!$C$23,MIN(SUM('[1]Table 6-1'!$C$23,$H$10:L10)+M8*0.8,L11),MIN(M8,L11)))</f>
        <v>0</v>
      </c>
      <c r="N10" s="44">
        <f>-IF(N9&gt;'[1]Table 6-1'!$C$23,MIN(N8,M11),IF(-SUM($H$10:M10)&lt;'[1]Table 6-1'!$C$23,MIN(SUM('[1]Table 6-1'!$C$23,$H$10:M10)+N8*0.8,M11),MIN(N8,M11)))</f>
        <v>0</v>
      </c>
      <c r="O10" s="44">
        <f>-IF(O9&gt;'[1]Table 6-1'!$C$23,MIN(O8,N11),IF(-SUM($H$10:N10)&lt;'[1]Table 6-1'!$C$23,MIN(SUM('[1]Table 6-1'!$C$23,$H$10:N10)+O8*0.8,N11),MIN(O8,N11)))</f>
        <v>0</v>
      </c>
      <c r="P10" s="44">
        <f>-IF(P9&gt;'[1]Table 6-1'!$C$23,MIN(P8,O11),IF(-SUM($H$10:O10)&lt;'[1]Table 6-1'!$C$23,MIN(SUM('[1]Table 6-1'!$C$23,$H$10:O10)+P8*0.8,O11),MIN(P8,O11)))</f>
        <v>0</v>
      </c>
      <c r="Q10" s="44">
        <f>-IF(Q9&gt;'[1]Table 6-1'!$C$23,MIN(Q8,P11),IF(-SUM($H$10:P10)&lt;'[1]Table 6-1'!$C$23,MIN(SUM('[1]Table 6-1'!$C$23,$H$10:P10)+Q8*0.8,P11),MIN(Q8,P11)))</f>
        <v>0</v>
      </c>
      <c r="R10" s="44">
        <f>-IF(R9&gt;'[1]Table 6-1'!$C$23,MIN(R8,Q11),IF(-SUM($H$10:Q10)&lt;'[1]Table 6-1'!$C$23,MIN(SUM('[1]Table 6-1'!$C$23,$H$10:Q10)+R8*0.8,Q11),MIN(R8,Q11)))</f>
        <v>0</v>
      </c>
      <c r="S10" s="44">
        <f>-IF(S9&gt;'[1]Table 6-1'!$C$23,MIN(S8,R11),IF(-SUM($H$10:R10)&lt;'[1]Table 6-1'!$C$23,MIN(SUM('[1]Table 6-1'!$C$23,$H$10:R10)+S8*0.8,R11),MIN(S8,R11)))</f>
        <v>0</v>
      </c>
      <c r="T10" s="44">
        <f>-IF(T9&gt;'[1]Table 6-1'!$C$23,MIN(T8,S11),IF(-SUM($H$10:S10)&lt;'[1]Table 6-1'!$C$23,MIN(SUM('[1]Table 6-1'!$C$23,$H$10:S10)+T8*0.8,S11),MIN(T8,S11)))</f>
        <v>0</v>
      </c>
      <c r="U10" s="44">
        <f>-IF(U9&gt;'[1]Table 6-1'!$C$23,MIN(U8,T11),IF(-SUM($H$10:T10)&lt;'[1]Table 6-1'!$C$23,MIN(SUM('[1]Table 6-1'!$C$23,$H$10:T10)+U8*0.8,T11),MIN(U8,T11)))</f>
        <v>0</v>
      </c>
      <c r="V10" s="44">
        <f>-IF(V9&gt;'[1]Table 6-1'!$C$23,MIN(V8,U11),IF(-SUM($H$10:U10)&lt;'[1]Table 6-1'!$C$23,MIN(SUM('[1]Table 6-1'!$C$23,$H$10:U10)+V8*0.8,U11),MIN(V8,U11)))</f>
        <v>0</v>
      </c>
      <c r="W10" s="44">
        <f>-IF(W9&gt;'[1]Table 6-1'!$C$23,MIN(W8,V11),IF(-SUM($H$10:V10)&lt;'[1]Table 6-1'!$C$23,MIN(SUM('[1]Table 6-1'!$C$23,$H$10:V10)+W8*0.8,V11),MIN(W8,V11)))</f>
        <v>0</v>
      </c>
      <c r="X10" s="44">
        <f>-IF(X9&gt;'[1]Table 6-1'!$C$23,MIN(X8,W11),IF(-SUM($H$10:W10)&lt;'[1]Table 6-1'!$C$23,MIN(SUM('[1]Table 6-1'!$C$23,$H$10:W10)+X8*0.8,W11),MIN(X8,W11)))</f>
        <v>0</v>
      </c>
      <c r="Y10" s="44">
        <f>-IF(Y9&gt;'[1]Table 6-1'!$C$23,MIN(Y8,X11),IF(-SUM($H$10:X10)&lt;'[1]Table 6-1'!$C$23,MIN(SUM('[1]Table 6-1'!$C$23,$H$10:X10)+Y8*0.8,X11),MIN(Y8,X11)))</f>
        <v>0</v>
      </c>
      <c r="Z10" s="44">
        <f>-IF(Z9&gt;'[1]Table 6-1'!$C$23,MIN(Z8,Y11),IF(-SUM($H$10:Y10)&lt;'[1]Table 6-1'!$C$23,MIN(SUM('[1]Table 6-1'!$C$23,$H$10:Y10)+Z8*0.8,Y11),MIN(Z8,Y11)))</f>
        <v>0</v>
      </c>
      <c r="AA10" s="44">
        <f>-IF(AA9&gt;'[1]Table 6-1'!$C$23,MIN(AA8,Z11),IF(-SUM($H$10:Z10)&lt;'[1]Table 6-1'!$C$23,MIN(SUM('[1]Table 6-1'!$C$23,$H$10:Z10)+AA8*0.8,Z11),MIN(AA8,Z11)))</f>
        <v>0</v>
      </c>
      <c r="AB10" s="44">
        <f>-IF(AB9&gt;'[1]Table 6-1'!$C$23,MIN(AB8,AA11),IF(-SUM($H$10:AA10)&lt;'[1]Table 6-1'!$C$23,MIN(SUM('[1]Table 6-1'!$C$23,$H$10:AA10)+AB8*0.8,AA11),MIN(AB8,AA11)))</f>
        <v>0</v>
      </c>
      <c r="AC10" s="44">
        <f>-IF(AC9&gt;'[1]Table 6-1'!$C$23,MIN(AC8,AB11),IF(-SUM($H$10:AB10)&lt;'[1]Table 6-1'!$C$23,MIN(SUM('[1]Table 6-1'!$C$23,$H$10:AB10)+AC8*0.8,AB11),MIN(AC8,AB11)))</f>
        <v>0</v>
      </c>
      <c r="AD10" s="44">
        <f>-IF(AD9&gt;'[1]Table 6-1'!$C$23,MIN(AD8,AC11),IF(-SUM($H$10:AC10)&lt;'[1]Table 6-1'!$C$23,MIN(SUM('[1]Table 6-1'!$C$23,$H$10:AC10)+AD8*0.8,AC11),MIN(AD8,AC11)))</f>
        <v>0</v>
      </c>
      <c r="AE10" s="44">
        <f>-IF(AE9&gt;'[1]Table 6-1'!$C$23,MIN(AE8,AD11),IF(-SUM($H$10:AD10)&lt;'[1]Table 6-1'!$C$23,MIN(SUM('[1]Table 6-1'!$C$23,$H$10:AD10)+AE8*0.8,AD11),MIN(AE8,AD11)))</f>
        <v>0</v>
      </c>
      <c r="AF10" s="44">
        <f>-IF(AF9&gt;'[1]Table 6-1'!$C$23,MIN(AF8,AE11),IF(-SUM($H$10:AE10)&lt;'[1]Table 6-1'!$C$23,MIN(SUM('[1]Table 6-1'!$C$23,$H$10:AE10)+AF8*0.8,AE11),MIN(AF8,AE11)))</f>
        <v>0</v>
      </c>
      <c r="AG10" s="44">
        <f>-IF(AG9&gt;'[1]Table 6-1'!$C$23,MIN(AG8,AF11),IF(-SUM($H$10:AF10)&lt;'[1]Table 6-1'!$C$23,MIN(SUM('[1]Table 6-1'!$C$23,$H$10:AF10)+AG8*0.8,AF11),MIN(AG8,AF11)))</f>
        <v>0</v>
      </c>
      <c r="AH10" s="44">
        <f>-IF(AH9&gt;'[1]Table 6-1'!$C$23,MIN(AH8,AG11),IF(-SUM($H$10:AG10)&lt;'[1]Table 6-1'!$C$23,MIN(SUM('[1]Table 6-1'!$C$23,$H$10:AG10)+AH8*0.8,AG11),MIN(AH8,AG11)))</f>
        <v>0</v>
      </c>
      <c r="AI10" s="44">
        <f>-IF(AI9&gt;'[1]Table 6-1'!$C$23,MIN(AI8,AH11),IF(-SUM($H$10:AH10)&lt;'[1]Table 6-1'!$C$23,MIN(SUM('[1]Table 6-1'!$C$23,$H$10:AH10)+AI8*0.8,AH11),MIN(AI8,AH11)))</f>
        <v>0</v>
      </c>
      <c r="AJ10" s="44">
        <f>-IF(AJ9&gt;'[1]Table 6-1'!$C$23,MIN(AJ8,AI11),IF(-SUM($H$10:AI10)&lt;'[1]Table 6-1'!$C$23,MIN(SUM('[1]Table 6-1'!$C$23,$H$10:AI10)+AJ8*0.8,AI11),MIN(AJ8,AI11)))</f>
        <v>0</v>
      </c>
    </row>
    <row r="11" spans="1:36" x14ac:dyDescent="0.3">
      <c r="A11" s="63">
        <f t="shared" si="0"/>
        <v>7</v>
      </c>
      <c r="B11" s="40" t="s">
        <v>48</v>
      </c>
      <c r="C11" s="40"/>
      <c r="D11" s="41">
        <v>22412.823890943204</v>
      </c>
      <c r="F11" s="44">
        <f t="shared" ref="F11:AJ11" si="3">F9+F10</f>
        <v>5461.6393200000002</v>
      </c>
      <c r="G11" s="44">
        <f t="shared" si="3"/>
        <v>5461.6393200000002</v>
      </c>
      <c r="H11" s="44">
        <f t="shared" si="3"/>
        <v>5461.6393200000002</v>
      </c>
      <c r="I11" s="44">
        <f t="shared" si="3"/>
        <v>4032.3226082796282</v>
      </c>
      <c r="J11" s="44">
        <f t="shared" si="3"/>
        <v>2290.0013256727698</v>
      </c>
      <c r="K11" s="44">
        <f t="shared" si="3"/>
        <v>385.55379989648691</v>
      </c>
      <c r="L11" s="44">
        <f t="shared" si="3"/>
        <v>0</v>
      </c>
      <c r="M11" s="44">
        <f t="shared" si="3"/>
        <v>0</v>
      </c>
      <c r="N11" s="44">
        <f t="shared" si="3"/>
        <v>0</v>
      </c>
      <c r="O11" s="44">
        <f t="shared" si="3"/>
        <v>0</v>
      </c>
      <c r="P11" s="44">
        <f t="shared" si="3"/>
        <v>0</v>
      </c>
      <c r="Q11" s="44">
        <f t="shared" si="3"/>
        <v>0</v>
      </c>
      <c r="R11" s="44">
        <f t="shared" si="3"/>
        <v>0</v>
      </c>
      <c r="S11" s="44">
        <f t="shared" si="3"/>
        <v>0</v>
      </c>
      <c r="T11" s="44">
        <f t="shared" si="3"/>
        <v>0</v>
      </c>
      <c r="U11" s="44">
        <f t="shared" si="3"/>
        <v>0</v>
      </c>
      <c r="V11" s="44">
        <f t="shared" si="3"/>
        <v>0</v>
      </c>
      <c r="W11" s="44">
        <f t="shared" si="3"/>
        <v>0</v>
      </c>
      <c r="X11" s="44">
        <f t="shared" si="3"/>
        <v>0</v>
      </c>
      <c r="Y11" s="44">
        <f t="shared" si="3"/>
        <v>0</v>
      </c>
      <c r="Z11" s="44">
        <f t="shared" si="3"/>
        <v>0</v>
      </c>
      <c r="AA11" s="44">
        <f t="shared" si="3"/>
        <v>0</v>
      </c>
      <c r="AB11" s="44">
        <f t="shared" si="3"/>
        <v>0</v>
      </c>
      <c r="AC11" s="44">
        <f t="shared" si="3"/>
        <v>0</v>
      </c>
      <c r="AD11" s="44">
        <f t="shared" si="3"/>
        <v>0</v>
      </c>
      <c r="AE11" s="44">
        <f t="shared" si="3"/>
        <v>0</v>
      </c>
      <c r="AF11" s="44">
        <f t="shared" si="3"/>
        <v>0</v>
      </c>
      <c r="AG11" s="44">
        <f t="shared" si="3"/>
        <v>0</v>
      </c>
      <c r="AH11" s="44">
        <f t="shared" si="3"/>
        <v>0</v>
      </c>
      <c r="AI11" s="44">
        <f t="shared" si="3"/>
        <v>0</v>
      </c>
      <c r="AJ11" s="44">
        <f t="shared" si="3"/>
        <v>0</v>
      </c>
    </row>
    <row r="12" spans="1:36" x14ac:dyDescent="0.3">
      <c r="A12" s="63">
        <f t="shared" si="0"/>
        <v>8</v>
      </c>
      <c r="B12" s="40" t="s">
        <v>49</v>
      </c>
      <c r="C12" s="40"/>
      <c r="D12" s="41"/>
      <c r="F12" s="44">
        <f>'[1]Table 6-1'!C15</f>
        <v>24235</v>
      </c>
      <c r="G12" s="44">
        <f t="shared" ref="G12:AJ12" si="4">F14</f>
        <v>24235</v>
      </c>
      <c r="H12" s="44">
        <f t="shared" si="4"/>
        <v>24235</v>
      </c>
      <c r="I12" s="44">
        <f t="shared" si="4"/>
        <v>24235</v>
      </c>
      <c r="J12" s="44">
        <f t="shared" si="4"/>
        <v>24235</v>
      </c>
      <c r="K12" s="44">
        <f t="shared" si="4"/>
        <v>24235</v>
      </c>
      <c r="L12" s="44">
        <f t="shared" si="4"/>
        <v>24235</v>
      </c>
      <c r="M12" s="44">
        <f t="shared" si="4"/>
        <v>22924.726153090269</v>
      </c>
      <c r="N12" s="44">
        <f t="shared" si="4"/>
        <v>21036.174909283047</v>
      </c>
      <c r="O12" s="44">
        <f t="shared" si="4"/>
        <v>18938.512253163575</v>
      </c>
      <c r="P12" s="44">
        <f t="shared" si="4"/>
        <v>16619.461855621666</v>
      </c>
      <c r="Q12" s="44">
        <f t="shared" si="4"/>
        <v>14055.130932487267</v>
      </c>
      <c r="R12" s="44">
        <f t="shared" si="4"/>
        <v>11321.649613596739</v>
      </c>
      <c r="S12" s="44">
        <f t="shared" si="4"/>
        <v>8399.6275149701669</v>
      </c>
      <c r="T12" s="44">
        <f t="shared" si="4"/>
        <v>5278.4412202070816</v>
      </c>
      <c r="U12" s="44">
        <f t="shared" si="4"/>
        <v>1946.8399791270112</v>
      </c>
      <c r="V12" s="44">
        <f t="shared" si="4"/>
        <v>0</v>
      </c>
      <c r="W12" s="44">
        <f t="shared" si="4"/>
        <v>0</v>
      </c>
      <c r="X12" s="44">
        <f t="shared" si="4"/>
        <v>0</v>
      </c>
      <c r="Y12" s="44">
        <f t="shared" si="4"/>
        <v>0</v>
      </c>
      <c r="Z12" s="44">
        <f t="shared" si="4"/>
        <v>0</v>
      </c>
      <c r="AA12" s="44">
        <f t="shared" si="4"/>
        <v>0</v>
      </c>
      <c r="AB12" s="44">
        <f t="shared" si="4"/>
        <v>0</v>
      </c>
      <c r="AC12" s="44">
        <f t="shared" si="4"/>
        <v>0</v>
      </c>
      <c r="AD12" s="44">
        <f t="shared" si="4"/>
        <v>0</v>
      </c>
      <c r="AE12" s="44">
        <f t="shared" si="4"/>
        <v>0</v>
      </c>
      <c r="AF12" s="44">
        <f t="shared" si="4"/>
        <v>0</v>
      </c>
      <c r="AG12" s="44">
        <f t="shared" si="4"/>
        <v>0</v>
      </c>
      <c r="AH12" s="44">
        <f t="shared" si="4"/>
        <v>0</v>
      </c>
      <c r="AI12" s="44">
        <f t="shared" si="4"/>
        <v>0</v>
      </c>
      <c r="AJ12" s="44">
        <f t="shared" si="4"/>
        <v>0</v>
      </c>
    </row>
    <row r="13" spans="1:36" x14ac:dyDescent="0.3">
      <c r="A13" s="63">
        <f t="shared" si="0"/>
        <v>9</v>
      </c>
      <c r="B13" s="46" t="s">
        <v>50</v>
      </c>
      <c r="C13" s="46"/>
      <c r="D13" s="41">
        <v>-24234.999999999996</v>
      </c>
      <c r="E13" s="42">
        <f>SUM(F13:AJ13)</f>
        <v>-24235</v>
      </c>
      <c r="F13" s="47">
        <v>0</v>
      </c>
      <c r="G13" s="47">
        <v>0</v>
      </c>
      <c r="H13" s="47">
        <f t="shared" ref="H13:J13" si="5">-IF(OR(H8&lt;0,-H10=H8),0,IF(G14&lt;H8*0.8,G14,(H8*0.8)+H10))</f>
        <v>0</v>
      </c>
      <c r="I13" s="47">
        <f t="shared" si="5"/>
        <v>0</v>
      </c>
      <c r="J13" s="47">
        <f t="shared" si="5"/>
        <v>0</v>
      </c>
      <c r="K13" s="47">
        <f>-IF(OR(K8&lt;0,-K10=K8,-K10&gt;=K8*0.8),0,IF(J14&lt;K8*0.8,J14,((K8*0.8)+K10)))</f>
        <v>0</v>
      </c>
      <c r="L13" s="47">
        <f t="shared" ref="L13:AJ13" si="6">-IF(OR(L8&lt;0,-L10=L8,-L10&gt;=L8*0.8),0,IF(K14&lt;L8*0.8,K14,((L8*0.8)+L10)))</f>
        <v>-1310.2738469097324</v>
      </c>
      <c r="M13" s="47">
        <f t="shared" si="6"/>
        <v>-1888.5512438072205</v>
      </c>
      <c r="N13" s="47">
        <f t="shared" si="6"/>
        <v>-2097.662656119473</v>
      </c>
      <c r="O13" s="47">
        <f t="shared" si="6"/>
        <v>-2319.0503975419069</v>
      </c>
      <c r="P13" s="47">
        <f t="shared" si="6"/>
        <v>-2564.3309231343997</v>
      </c>
      <c r="Q13" s="47">
        <f t="shared" si="6"/>
        <v>-2733.4813188905291</v>
      </c>
      <c r="R13" s="47">
        <f t="shared" si="6"/>
        <v>-2922.0220986265722</v>
      </c>
      <c r="S13" s="47">
        <f t="shared" si="6"/>
        <v>-3121.1862947630852</v>
      </c>
      <c r="T13" s="47">
        <f t="shared" si="6"/>
        <v>-3331.6012410800704</v>
      </c>
      <c r="U13" s="47">
        <f t="shared" si="6"/>
        <v>-1946.8399791270112</v>
      </c>
      <c r="V13" s="47">
        <f t="shared" si="6"/>
        <v>0</v>
      </c>
      <c r="W13" s="47">
        <f t="shared" si="6"/>
        <v>0</v>
      </c>
      <c r="X13" s="47">
        <f t="shared" si="6"/>
        <v>0</v>
      </c>
      <c r="Y13" s="47">
        <f t="shared" si="6"/>
        <v>0</v>
      </c>
      <c r="Z13" s="47">
        <f t="shared" si="6"/>
        <v>0</v>
      </c>
      <c r="AA13" s="47">
        <f t="shared" si="6"/>
        <v>0</v>
      </c>
      <c r="AB13" s="47">
        <f t="shared" si="6"/>
        <v>0</v>
      </c>
      <c r="AC13" s="47">
        <f t="shared" si="6"/>
        <v>0</v>
      </c>
      <c r="AD13" s="47">
        <f t="shared" si="6"/>
        <v>0</v>
      </c>
      <c r="AE13" s="47">
        <f t="shared" si="6"/>
        <v>0</v>
      </c>
      <c r="AF13" s="47">
        <f t="shared" si="6"/>
        <v>0</v>
      </c>
      <c r="AG13" s="47">
        <f t="shared" si="6"/>
        <v>0</v>
      </c>
      <c r="AH13" s="47">
        <f t="shared" si="6"/>
        <v>0</v>
      </c>
      <c r="AI13" s="47">
        <f t="shared" si="6"/>
        <v>0</v>
      </c>
      <c r="AJ13" s="47">
        <f t="shared" si="6"/>
        <v>0</v>
      </c>
    </row>
    <row r="14" spans="1:36" x14ac:dyDescent="0.3">
      <c r="A14" s="63">
        <f t="shared" si="0"/>
        <v>10</v>
      </c>
      <c r="B14" s="40" t="s">
        <v>51</v>
      </c>
      <c r="C14" s="40"/>
      <c r="D14" s="41"/>
      <c r="F14" s="44">
        <f t="shared" ref="F14:AJ14" si="7">F12+F13</f>
        <v>24235</v>
      </c>
      <c r="G14" s="44">
        <f t="shared" si="7"/>
        <v>24235</v>
      </c>
      <c r="H14" s="44">
        <f t="shared" si="7"/>
        <v>24235</v>
      </c>
      <c r="I14" s="44">
        <f t="shared" si="7"/>
        <v>24235</v>
      </c>
      <c r="J14" s="44">
        <f t="shared" si="7"/>
        <v>24235</v>
      </c>
      <c r="K14" s="44">
        <f t="shared" si="7"/>
        <v>24235</v>
      </c>
      <c r="L14" s="44">
        <f t="shared" si="7"/>
        <v>22924.726153090269</v>
      </c>
      <c r="M14" s="44">
        <f t="shared" si="7"/>
        <v>21036.174909283047</v>
      </c>
      <c r="N14" s="44">
        <f t="shared" si="7"/>
        <v>18938.512253163575</v>
      </c>
      <c r="O14" s="44">
        <f t="shared" si="7"/>
        <v>16619.461855621666</v>
      </c>
      <c r="P14" s="44">
        <f t="shared" si="7"/>
        <v>14055.130932487267</v>
      </c>
      <c r="Q14" s="44">
        <f t="shared" si="7"/>
        <v>11321.649613596739</v>
      </c>
      <c r="R14" s="44">
        <f t="shared" si="7"/>
        <v>8399.6275149701669</v>
      </c>
      <c r="S14" s="44">
        <f t="shared" si="7"/>
        <v>5278.4412202070816</v>
      </c>
      <c r="T14" s="44">
        <f t="shared" si="7"/>
        <v>1946.8399791270112</v>
      </c>
      <c r="U14" s="44">
        <f t="shared" si="7"/>
        <v>0</v>
      </c>
      <c r="V14" s="44">
        <f t="shared" si="7"/>
        <v>0</v>
      </c>
      <c r="W14" s="44">
        <f t="shared" si="7"/>
        <v>0</v>
      </c>
      <c r="X14" s="44">
        <f t="shared" si="7"/>
        <v>0</v>
      </c>
      <c r="Y14" s="44">
        <f t="shared" si="7"/>
        <v>0</v>
      </c>
      <c r="Z14" s="44">
        <f t="shared" si="7"/>
        <v>0</v>
      </c>
      <c r="AA14" s="44">
        <f t="shared" si="7"/>
        <v>0</v>
      </c>
      <c r="AB14" s="44">
        <f t="shared" si="7"/>
        <v>0</v>
      </c>
      <c r="AC14" s="44">
        <f t="shared" si="7"/>
        <v>0</v>
      </c>
      <c r="AD14" s="44">
        <f t="shared" si="7"/>
        <v>0</v>
      </c>
      <c r="AE14" s="44">
        <f t="shared" si="7"/>
        <v>0</v>
      </c>
      <c r="AF14" s="44">
        <f t="shared" si="7"/>
        <v>0</v>
      </c>
      <c r="AG14" s="44">
        <f t="shared" si="7"/>
        <v>0</v>
      </c>
      <c r="AH14" s="44">
        <f t="shared" si="7"/>
        <v>0</v>
      </c>
      <c r="AI14" s="44">
        <f t="shared" si="7"/>
        <v>0</v>
      </c>
      <c r="AJ14" s="44">
        <f t="shared" si="7"/>
        <v>0</v>
      </c>
    </row>
    <row r="15" spans="1:36" x14ac:dyDescent="0.3">
      <c r="A15" s="63">
        <f t="shared" si="0"/>
        <v>11</v>
      </c>
      <c r="B15" s="40"/>
      <c r="C15" s="40"/>
      <c r="D15" s="40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</row>
    <row r="16" spans="1:36" x14ac:dyDescent="0.3">
      <c r="A16" s="63">
        <f t="shared" si="0"/>
        <v>12</v>
      </c>
      <c r="B16" s="36" t="s">
        <v>52</v>
      </c>
      <c r="C16" s="36"/>
      <c r="D16" s="36"/>
      <c r="F16" s="48"/>
      <c r="G16" s="48"/>
      <c r="H16" s="48"/>
      <c r="I16" s="48"/>
      <c r="J16" s="48"/>
      <c r="L16" s="42"/>
    </row>
    <row r="17" spans="1:36" x14ac:dyDescent="0.3">
      <c r="A17" s="63">
        <f t="shared" si="0"/>
        <v>13</v>
      </c>
      <c r="B17" s="40" t="s">
        <v>45</v>
      </c>
      <c r="C17" s="40"/>
      <c r="D17" s="41">
        <v>95457.872617284884</v>
      </c>
      <c r="E17" s="42">
        <f>SUM(F17:AJ17)</f>
        <v>83256.553053832758</v>
      </c>
      <c r="F17" s="43">
        <f>'[1]Taxable Income Forecast'!C41/1000</f>
        <v>-25868.277739482168</v>
      </c>
      <c r="G17" s="43">
        <f>'[1]Taxable Income Forecast'!D41/1000</f>
        <v>-1679.0451146826831</v>
      </c>
      <c r="H17" s="43">
        <f>'[1]Taxable Income Forecast'!E41/1000</f>
        <v>-523.97331137729111</v>
      </c>
      <c r="I17" s="43">
        <f>'[1]Taxable Income Forecast'!F41/1000*(1-I5)</f>
        <v>921.56153823857755</v>
      </c>
      <c r="J17" s="43">
        <f>'[1]Taxable Income Forecast'!G41/1000*(1-J5)</f>
        <v>1221.6450299782798</v>
      </c>
      <c r="K17" s="43">
        <f>'[1]Taxable Income Forecast'!H41/1000*(1-K5)</f>
        <v>1345.9503978587716</v>
      </c>
      <c r="L17" s="43">
        <f>'[1]Taxable Income Forecast'!I41/1000*(1-L5)</f>
        <v>1533.865034120169</v>
      </c>
      <c r="M17" s="43">
        <f>'[1]Taxable Income Forecast'!J41/1000*(1-M5)</f>
        <v>1740.1116717062453</v>
      </c>
      <c r="N17" s="43">
        <f>'[1]Taxable Income Forecast'!K41/1000*(1-N5)</f>
        <v>1965.9956604676804</v>
      </c>
      <c r="O17" s="43">
        <f>'[1]Taxable Income Forecast'!L41/1000*(1-O5)</f>
        <v>2207.1334341099655</v>
      </c>
      <c r="P17" s="43">
        <f>'[1]Taxable Income Forecast'!M41/1000*(1-P5)</f>
        <v>2618.0731047453187</v>
      </c>
      <c r="Q17" s="43">
        <f>'[1]Taxable Income Forecast'!N41/1000*(1-Q5)</f>
        <v>2776.7746312975305</v>
      </c>
      <c r="R17" s="43">
        <f>'[1]Taxable Income Forecast'!O41/1000*(1-R5)</f>
        <v>2957.0773144174868</v>
      </c>
      <c r="S17" s="43">
        <f>'[1]Taxable Income Forecast'!P41/1000*(1-S5)</f>
        <v>3147.8906034605261</v>
      </c>
      <c r="T17" s="43">
        <f>'[1]Taxable Income Forecast'!Q41/1000*(1-T5)</f>
        <v>3349.8602324227754</v>
      </c>
      <c r="U17" s="43">
        <f>'[1]Taxable Income Forecast'!R41/1000*(1-U5)</f>
        <v>3560.7862840049302</v>
      </c>
      <c r="V17" s="43">
        <f>'[1]Taxable Income Forecast'!S41/1000*(1-V5)</f>
        <v>3765.203715648041</v>
      </c>
      <c r="W17" s="43">
        <f>'[1]Taxable Income Forecast'!T41/1000*(1-W5)</f>
        <v>3962.5210037373513</v>
      </c>
      <c r="X17" s="43">
        <f>'[1]Taxable Income Forecast'!U41/1000*(1-X5)</f>
        <v>4167.2463785707323</v>
      </c>
      <c r="Y17" s="43">
        <f>'[1]Taxable Income Forecast'!V41/1000*(1-Y5)</f>
        <v>4382.1913745574375</v>
      </c>
      <c r="Z17" s="43">
        <f>'[1]Taxable Income Forecast'!W41/1000*(1-Z5)</f>
        <v>4607.8659556998</v>
      </c>
      <c r="AA17" s="43">
        <f>'[1]Taxable Income Forecast'!X41/1000*(1-AA5)</f>
        <v>4844.8055463742567</v>
      </c>
      <c r="AB17" s="43">
        <f>'[1]Taxable Income Forecast'!Y41/1000*(1-AB5)</f>
        <v>5092.2947221845625</v>
      </c>
      <c r="AC17" s="43">
        <f>'[1]Taxable Income Forecast'!Z41/1000*(1-AC5)</f>
        <v>5351.0364876362437</v>
      </c>
      <c r="AD17" s="43">
        <f>'[1]Taxable Income Forecast'!AA41/1000*(1-AD5)</f>
        <v>5621.3044269481743</v>
      </c>
      <c r="AE17" s="43">
        <f>'[1]Taxable Income Forecast'!AB41/1000*(1-AE5)</f>
        <v>5903.7042526191344</v>
      </c>
      <c r="AF17" s="43">
        <f>'[1]Taxable Income Forecast'!AC41/1000*(1-AF5)</f>
        <v>6200.3246874467541</v>
      </c>
      <c r="AG17" s="43">
        <f>'[1]Taxable Income Forecast'!AD41/1000*(1-AG5)</f>
        <v>6512.136539988066</v>
      </c>
      <c r="AH17" s="43">
        <f>'[1]Taxable Income Forecast'!AE41/1000*(1-AH5)</f>
        <v>6840.006423615936</v>
      </c>
      <c r="AI17" s="43">
        <f>'[1]Taxable Income Forecast'!AF41/1000*(1-AI5)</f>
        <v>7184.3844888703843</v>
      </c>
      <c r="AJ17" s="43">
        <f>'[1]Taxable Income Forecast'!AG41/1000*(1-AJ5)</f>
        <v>7546.0982786497689</v>
      </c>
    </row>
    <row r="18" spans="1:36" x14ac:dyDescent="0.3">
      <c r="A18" s="63">
        <f t="shared" si="0"/>
        <v>14</v>
      </c>
      <c r="B18" s="40" t="s">
        <v>53</v>
      </c>
      <c r="C18" s="40"/>
      <c r="D18" s="41"/>
      <c r="E18" s="42"/>
      <c r="F18" s="44">
        <f>'[1]Table 6-1'!E24</f>
        <v>1910.9701520000001</v>
      </c>
      <c r="G18" s="44">
        <f>F20</f>
        <v>1910.9701520000001</v>
      </c>
      <c r="H18" s="44">
        <f t="shared" ref="H18:AJ18" si="8">G20</f>
        <v>1910.9701520000001</v>
      </c>
      <c r="I18" s="44">
        <f t="shared" si="8"/>
        <v>1910.9701520000001</v>
      </c>
      <c r="J18" s="44">
        <f t="shared" si="8"/>
        <v>989.40861376142254</v>
      </c>
      <c r="K18" s="44">
        <f t="shared" si="8"/>
        <v>0</v>
      </c>
      <c r="L18" s="44">
        <f t="shared" si="8"/>
        <v>0</v>
      </c>
      <c r="M18" s="44">
        <f t="shared" si="8"/>
        <v>0</v>
      </c>
      <c r="N18" s="44">
        <f t="shared" si="8"/>
        <v>0</v>
      </c>
      <c r="O18" s="44">
        <f t="shared" si="8"/>
        <v>0</v>
      </c>
      <c r="P18" s="44">
        <f t="shared" si="8"/>
        <v>0</v>
      </c>
      <c r="Q18" s="44">
        <f t="shared" si="8"/>
        <v>0</v>
      </c>
      <c r="R18" s="44">
        <f t="shared" si="8"/>
        <v>0</v>
      </c>
      <c r="S18" s="44">
        <f t="shared" si="8"/>
        <v>0</v>
      </c>
      <c r="T18" s="44">
        <f t="shared" si="8"/>
        <v>0</v>
      </c>
      <c r="U18" s="44">
        <f t="shared" si="8"/>
        <v>0</v>
      </c>
      <c r="V18" s="44">
        <f t="shared" si="8"/>
        <v>0</v>
      </c>
      <c r="W18" s="44">
        <f t="shared" si="8"/>
        <v>0</v>
      </c>
      <c r="X18" s="44">
        <f t="shared" si="8"/>
        <v>0</v>
      </c>
      <c r="Y18" s="44">
        <f t="shared" si="8"/>
        <v>0</v>
      </c>
      <c r="Z18" s="44">
        <f t="shared" si="8"/>
        <v>0</v>
      </c>
      <c r="AA18" s="44">
        <f t="shared" si="8"/>
        <v>0</v>
      </c>
      <c r="AB18" s="44">
        <f t="shared" si="8"/>
        <v>0</v>
      </c>
      <c r="AC18" s="44">
        <f t="shared" si="8"/>
        <v>0</v>
      </c>
      <c r="AD18" s="44">
        <f t="shared" si="8"/>
        <v>0</v>
      </c>
      <c r="AE18" s="44">
        <f t="shared" si="8"/>
        <v>0</v>
      </c>
      <c r="AF18" s="44">
        <f t="shared" si="8"/>
        <v>0</v>
      </c>
      <c r="AG18" s="44">
        <f t="shared" si="8"/>
        <v>0</v>
      </c>
      <c r="AH18" s="44">
        <f t="shared" si="8"/>
        <v>0</v>
      </c>
      <c r="AI18" s="44">
        <f t="shared" si="8"/>
        <v>0</v>
      </c>
      <c r="AJ18" s="44">
        <f t="shared" si="8"/>
        <v>0</v>
      </c>
    </row>
    <row r="19" spans="1:36" x14ac:dyDescent="0.3">
      <c r="A19" s="63">
        <f t="shared" si="0"/>
        <v>15</v>
      </c>
      <c r="B19" s="45" t="s">
        <v>47</v>
      </c>
      <c r="C19" s="45"/>
      <c r="D19" s="49">
        <v>-1910.9701520000001</v>
      </c>
      <c r="E19" s="42">
        <f t="shared" ref="E19:E25" si="9">SUM(F19:AJ19)</f>
        <v>-1910.9701520000001</v>
      </c>
      <c r="F19" s="44">
        <f t="shared" ref="F19:AJ19" si="10">-IF(OR(F17&lt;0,E20&lt;=0),0,IF(E20&lt;F17,E20,F17))</f>
        <v>0</v>
      </c>
      <c r="G19" s="44">
        <f t="shared" si="10"/>
        <v>0</v>
      </c>
      <c r="H19" s="44">
        <f t="shared" si="10"/>
        <v>0</v>
      </c>
      <c r="I19" s="44">
        <f t="shared" si="10"/>
        <v>-921.56153823857755</v>
      </c>
      <c r="J19" s="44">
        <f t="shared" si="10"/>
        <v>-989.40861376142254</v>
      </c>
      <c r="K19" s="44">
        <f t="shared" si="10"/>
        <v>0</v>
      </c>
      <c r="L19" s="44">
        <f t="shared" si="10"/>
        <v>0</v>
      </c>
      <c r="M19" s="44">
        <f t="shared" si="10"/>
        <v>0</v>
      </c>
      <c r="N19" s="44">
        <f t="shared" si="10"/>
        <v>0</v>
      </c>
      <c r="O19" s="44">
        <f t="shared" si="10"/>
        <v>0</v>
      </c>
      <c r="P19" s="44">
        <f t="shared" si="10"/>
        <v>0</v>
      </c>
      <c r="Q19" s="44">
        <f t="shared" si="10"/>
        <v>0</v>
      </c>
      <c r="R19" s="44">
        <f t="shared" si="10"/>
        <v>0</v>
      </c>
      <c r="S19" s="44">
        <f t="shared" si="10"/>
        <v>0</v>
      </c>
      <c r="T19" s="44">
        <f t="shared" si="10"/>
        <v>0</v>
      </c>
      <c r="U19" s="44">
        <f t="shared" si="10"/>
        <v>0</v>
      </c>
      <c r="V19" s="44">
        <f t="shared" si="10"/>
        <v>0</v>
      </c>
      <c r="W19" s="44">
        <f t="shared" si="10"/>
        <v>0</v>
      </c>
      <c r="X19" s="44">
        <f t="shared" si="10"/>
        <v>0</v>
      </c>
      <c r="Y19" s="44">
        <f t="shared" si="10"/>
        <v>0</v>
      </c>
      <c r="Z19" s="44">
        <f t="shared" si="10"/>
        <v>0</v>
      </c>
      <c r="AA19" s="44">
        <f t="shared" si="10"/>
        <v>0</v>
      </c>
      <c r="AB19" s="44">
        <f t="shared" si="10"/>
        <v>0</v>
      </c>
      <c r="AC19" s="44">
        <f t="shared" si="10"/>
        <v>0</v>
      </c>
      <c r="AD19" s="44">
        <f t="shared" si="10"/>
        <v>0</v>
      </c>
      <c r="AE19" s="44">
        <f t="shared" si="10"/>
        <v>0</v>
      </c>
      <c r="AF19" s="44">
        <f t="shared" si="10"/>
        <v>0</v>
      </c>
      <c r="AG19" s="44">
        <f t="shared" si="10"/>
        <v>0</v>
      </c>
      <c r="AH19" s="44">
        <f t="shared" si="10"/>
        <v>0</v>
      </c>
      <c r="AI19" s="44">
        <f t="shared" si="10"/>
        <v>0</v>
      </c>
      <c r="AJ19" s="44">
        <f t="shared" si="10"/>
        <v>0</v>
      </c>
    </row>
    <row r="20" spans="1:36" x14ac:dyDescent="0.3">
      <c r="A20" s="63">
        <f t="shared" si="0"/>
        <v>16</v>
      </c>
      <c r="B20" s="40" t="s">
        <v>54</v>
      </c>
      <c r="C20" s="40"/>
      <c r="D20" s="41"/>
      <c r="E20" s="42"/>
      <c r="F20" s="44">
        <f t="shared" ref="F20:AJ20" si="11">F18+F19</f>
        <v>1910.9701520000001</v>
      </c>
      <c r="G20" s="44">
        <f t="shared" si="11"/>
        <v>1910.9701520000001</v>
      </c>
      <c r="H20" s="44">
        <f>H18+H19</f>
        <v>1910.9701520000001</v>
      </c>
      <c r="I20" s="44">
        <f t="shared" si="11"/>
        <v>989.40861376142254</v>
      </c>
      <c r="J20" s="44">
        <f t="shared" si="11"/>
        <v>0</v>
      </c>
      <c r="K20" s="44">
        <f t="shared" si="11"/>
        <v>0</v>
      </c>
      <c r="L20" s="44">
        <f t="shared" si="11"/>
        <v>0</v>
      </c>
      <c r="M20" s="44">
        <f t="shared" si="11"/>
        <v>0</v>
      </c>
      <c r="N20" s="44">
        <f t="shared" si="11"/>
        <v>0</v>
      </c>
      <c r="O20" s="44">
        <f t="shared" si="11"/>
        <v>0</v>
      </c>
      <c r="P20" s="44">
        <f t="shared" si="11"/>
        <v>0</v>
      </c>
      <c r="Q20" s="44">
        <f t="shared" si="11"/>
        <v>0</v>
      </c>
      <c r="R20" s="44">
        <f t="shared" si="11"/>
        <v>0</v>
      </c>
      <c r="S20" s="44">
        <f t="shared" si="11"/>
        <v>0</v>
      </c>
      <c r="T20" s="44">
        <f t="shared" si="11"/>
        <v>0</v>
      </c>
      <c r="U20" s="44">
        <f t="shared" si="11"/>
        <v>0</v>
      </c>
      <c r="V20" s="44">
        <f t="shared" si="11"/>
        <v>0</v>
      </c>
      <c r="W20" s="44">
        <f t="shared" si="11"/>
        <v>0</v>
      </c>
      <c r="X20" s="44">
        <f t="shared" si="11"/>
        <v>0</v>
      </c>
      <c r="Y20" s="44">
        <f t="shared" si="11"/>
        <v>0</v>
      </c>
      <c r="Z20" s="44">
        <f t="shared" si="11"/>
        <v>0</v>
      </c>
      <c r="AA20" s="44">
        <f t="shared" si="11"/>
        <v>0</v>
      </c>
      <c r="AB20" s="44">
        <f t="shared" si="11"/>
        <v>0</v>
      </c>
      <c r="AC20" s="44">
        <f t="shared" si="11"/>
        <v>0</v>
      </c>
      <c r="AD20" s="44">
        <f t="shared" si="11"/>
        <v>0</v>
      </c>
      <c r="AE20" s="44">
        <f t="shared" si="11"/>
        <v>0</v>
      </c>
      <c r="AF20" s="44">
        <f t="shared" si="11"/>
        <v>0</v>
      </c>
      <c r="AG20" s="44">
        <f t="shared" si="11"/>
        <v>0</v>
      </c>
      <c r="AH20" s="44">
        <f t="shared" si="11"/>
        <v>0</v>
      </c>
      <c r="AI20" s="44">
        <f t="shared" si="11"/>
        <v>0</v>
      </c>
      <c r="AJ20" s="44">
        <f t="shared" si="11"/>
        <v>0</v>
      </c>
    </row>
    <row r="21" spans="1:36" x14ac:dyDescent="0.3">
      <c r="A21" s="63">
        <f t="shared" si="0"/>
        <v>17</v>
      </c>
      <c r="B21" s="40" t="s">
        <v>49</v>
      </c>
      <c r="C21" s="40"/>
      <c r="D21" s="41"/>
      <c r="E21" s="42"/>
      <c r="F21" s="44">
        <f>'[1]Table 6-1'!E15</f>
        <v>28292</v>
      </c>
      <c r="G21" s="44">
        <f t="shared" ref="G21:AJ21" si="12">F23</f>
        <v>28292</v>
      </c>
      <c r="H21" s="44">
        <f t="shared" si="12"/>
        <v>28292</v>
      </c>
      <c r="I21" s="44">
        <f t="shared" si="12"/>
        <v>28292</v>
      </c>
      <c r="J21" s="44">
        <f t="shared" si="12"/>
        <v>28292</v>
      </c>
      <c r="K21" s="44">
        <f t="shared" si="12"/>
        <v>28059.763583783144</v>
      </c>
      <c r="L21" s="44">
        <f t="shared" si="12"/>
        <v>26713.813185924373</v>
      </c>
      <c r="M21" s="44">
        <f t="shared" si="12"/>
        <v>25179.948151804205</v>
      </c>
      <c r="N21" s="44">
        <f t="shared" si="12"/>
        <v>23439.836480097958</v>
      </c>
      <c r="O21" s="44">
        <f t="shared" si="12"/>
        <v>21473.840819630277</v>
      </c>
      <c r="P21" s="44">
        <f t="shared" si="12"/>
        <v>19266.707385520313</v>
      </c>
      <c r="Q21" s="44">
        <f t="shared" si="12"/>
        <v>16648.634280774993</v>
      </c>
      <c r="R21" s="44">
        <f t="shared" si="12"/>
        <v>13871.859649477463</v>
      </c>
      <c r="S21" s="44">
        <f t="shared" si="12"/>
        <v>10914.782335059976</v>
      </c>
      <c r="T21" s="44">
        <f t="shared" si="12"/>
        <v>7766.8917315994495</v>
      </c>
      <c r="U21" s="44">
        <f t="shared" si="12"/>
        <v>4417.0314991766736</v>
      </c>
      <c r="V21" s="44">
        <f t="shared" si="12"/>
        <v>856.24521517174344</v>
      </c>
      <c r="W21" s="44">
        <f t="shared" si="12"/>
        <v>0</v>
      </c>
      <c r="X21" s="44">
        <f t="shared" si="12"/>
        <v>0</v>
      </c>
      <c r="Y21" s="44">
        <f t="shared" si="12"/>
        <v>0</v>
      </c>
      <c r="Z21" s="44">
        <f t="shared" si="12"/>
        <v>0</v>
      </c>
      <c r="AA21" s="44">
        <f t="shared" si="12"/>
        <v>0</v>
      </c>
      <c r="AB21" s="44">
        <f t="shared" si="12"/>
        <v>0</v>
      </c>
      <c r="AC21" s="44">
        <f t="shared" si="12"/>
        <v>0</v>
      </c>
      <c r="AD21" s="44">
        <f t="shared" si="12"/>
        <v>0</v>
      </c>
      <c r="AE21" s="44">
        <f t="shared" si="12"/>
        <v>0</v>
      </c>
      <c r="AF21" s="44">
        <f t="shared" si="12"/>
        <v>0</v>
      </c>
      <c r="AG21" s="44">
        <f t="shared" si="12"/>
        <v>0</v>
      </c>
      <c r="AH21" s="44">
        <f t="shared" si="12"/>
        <v>0</v>
      </c>
      <c r="AI21" s="44">
        <f t="shared" si="12"/>
        <v>0</v>
      </c>
      <c r="AJ21" s="44">
        <f t="shared" si="12"/>
        <v>0</v>
      </c>
    </row>
    <row r="22" spans="1:36" x14ac:dyDescent="0.3">
      <c r="A22" s="63">
        <f t="shared" si="0"/>
        <v>18</v>
      </c>
      <c r="B22" s="46" t="s">
        <v>50</v>
      </c>
      <c r="C22" s="46"/>
      <c r="D22" s="50">
        <v>-28292.000000000004</v>
      </c>
      <c r="E22" s="42">
        <f t="shared" si="9"/>
        <v>-28292.000000000004</v>
      </c>
      <c r="F22" s="47">
        <v>0</v>
      </c>
      <c r="G22" s="47">
        <f t="shared" ref="G22:AJ22" si="13">-IF(OR(G17&lt;0,-G19=G17),0,IF(F23&lt;G17,F23,(G17+G19)))</f>
        <v>0</v>
      </c>
      <c r="H22" s="47">
        <f t="shared" si="13"/>
        <v>0</v>
      </c>
      <c r="I22" s="47">
        <f t="shared" si="13"/>
        <v>0</v>
      </c>
      <c r="J22" s="47">
        <f t="shared" si="13"/>
        <v>-232.23641621685726</v>
      </c>
      <c r="K22" s="47">
        <f t="shared" si="13"/>
        <v>-1345.9503978587716</v>
      </c>
      <c r="L22" s="47">
        <f t="shared" si="13"/>
        <v>-1533.865034120169</v>
      </c>
      <c r="M22" s="47">
        <f t="shared" si="13"/>
        <v>-1740.1116717062453</v>
      </c>
      <c r="N22" s="47">
        <f t="shared" si="13"/>
        <v>-1965.9956604676804</v>
      </c>
      <c r="O22" s="47">
        <f t="shared" si="13"/>
        <v>-2207.1334341099655</v>
      </c>
      <c r="P22" s="47">
        <f t="shared" si="13"/>
        <v>-2618.0731047453187</v>
      </c>
      <c r="Q22" s="47">
        <f t="shared" si="13"/>
        <v>-2776.7746312975305</v>
      </c>
      <c r="R22" s="47">
        <f t="shared" si="13"/>
        <v>-2957.0773144174868</v>
      </c>
      <c r="S22" s="47">
        <f t="shared" si="13"/>
        <v>-3147.8906034605261</v>
      </c>
      <c r="T22" s="47">
        <f t="shared" si="13"/>
        <v>-3349.8602324227754</v>
      </c>
      <c r="U22" s="47">
        <f t="shared" si="13"/>
        <v>-3560.7862840049302</v>
      </c>
      <c r="V22" s="47">
        <f t="shared" si="13"/>
        <v>-856.24521517174344</v>
      </c>
      <c r="W22" s="47">
        <f t="shared" si="13"/>
        <v>0</v>
      </c>
      <c r="X22" s="47">
        <f t="shared" si="13"/>
        <v>0</v>
      </c>
      <c r="Y22" s="47">
        <f t="shared" si="13"/>
        <v>0</v>
      </c>
      <c r="Z22" s="47">
        <f t="shared" si="13"/>
        <v>0</v>
      </c>
      <c r="AA22" s="47">
        <f t="shared" si="13"/>
        <v>0</v>
      </c>
      <c r="AB22" s="47">
        <f t="shared" si="13"/>
        <v>0</v>
      </c>
      <c r="AC22" s="47">
        <f t="shared" si="13"/>
        <v>0</v>
      </c>
      <c r="AD22" s="47">
        <f t="shared" si="13"/>
        <v>0</v>
      </c>
      <c r="AE22" s="47">
        <f t="shared" si="13"/>
        <v>0</v>
      </c>
      <c r="AF22" s="47">
        <f t="shared" si="13"/>
        <v>0</v>
      </c>
      <c r="AG22" s="47">
        <f t="shared" si="13"/>
        <v>0</v>
      </c>
      <c r="AH22" s="47">
        <f t="shared" si="13"/>
        <v>0</v>
      </c>
      <c r="AI22" s="47">
        <f t="shared" si="13"/>
        <v>0</v>
      </c>
      <c r="AJ22" s="47">
        <f t="shared" si="13"/>
        <v>0</v>
      </c>
    </row>
    <row r="23" spans="1:36" x14ac:dyDescent="0.3">
      <c r="A23" s="63">
        <f t="shared" si="0"/>
        <v>19</v>
      </c>
      <c r="B23" s="40" t="s">
        <v>51</v>
      </c>
      <c r="C23" s="40"/>
      <c r="D23" s="41"/>
      <c r="E23" s="42"/>
      <c r="F23" s="44">
        <f t="shared" ref="F23:AJ23" si="14">F21+F22</f>
        <v>28292</v>
      </c>
      <c r="G23" s="44">
        <f t="shared" si="14"/>
        <v>28292</v>
      </c>
      <c r="H23" s="44">
        <f t="shared" si="14"/>
        <v>28292</v>
      </c>
      <c r="I23" s="44">
        <f t="shared" si="14"/>
        <v>28292</v>
      </c>
      <c r="J23" s="44">
        <f t="shared" si="14"/>
        <v>28059.763583783144</v>
      </c>
      <c r="K23" s="44">
        <f t="shared" si="14"/>
        <v>26713.813185924373</v>
      </c>
      <c r="L23" s="44">
        <f t="shared" si="14"/>
        <v>25179.948151804205</v>
      </c>
      <c r="M23" s="44">
        <f t="shared" si="14"/>
        <v>23439.836480097958</v>
      </c>
      <c r="N23" s="44">
        <f t="shared" si="14"/>
        <v>21473.840819630277</v>
      </c>
      <c r="O23" s="44">
        <f t="shared" si="14"/>
        <v>19266.707385520313</v>
      </c>
      <c r="P23" s="44">
        <f t="shared" si="14"/>
        <v>16648.634280774993</v>
      </c>
      <c r="Q23" s="44">
        <f t="shared" si="14"/>
        <v>13871.859649477463</v>
      </c>
      <c r="R23" s="44">
        <f t="shared" si="14"/>
        <v>10914.782335059976</v>
      </c>
      <c r="S23" s="44">
        <f t="shared" si="14"/>
        <v>7766.8917315994495</v>
      </c>
      <c r="T23" s="44">
        <f t="shared" si="14"/>
        <v>4417.0314991766736</v>
      </c>
      <c r="U23" s="44">
        <f t="shared" si="14"/>
        <v>856.24521517174344</v>
      </c>
      <c r="V23" s="44">
        <f t="shared" si="14"/>
        <v>0</v>
      </c>
      <c r="W23" s="44">
        <f t="shared" si="14"/>
        <v>0</v>
      </c>
      <c r="X23" s="44">
        <f t="shared" si="14"/>
        <v>0</v>
      </c>
      <c r="Y23" s="44">
        <f t="shared" si="14"/>
        <v>0</v>
      </c>
      <c r="Z23" s="44">
        <f t="shared" si="14"/>
        <v>0</v>
      </c>
      <c r="AA23" s="44">
        <f t="shared" si="14"/>
        <v>0</v>
      </c>
      <c r="AB23" s="44">
        <f t="shared" si="14"/>
        <v>0</v>
      </c>
      <c r="AC23" s="44">
        <f t="shared" si="14"/>
        <v>0</v>
      </c>
      <c r="AD23" s="44">
        <f t="shared" si="14"/>
        <v>0</v>
      </c>
      <c r="AE23" s="44">
        <f t="shared" si="14"/>
        <v>0</v>
      </c>
      <c r="AF23" s="44">
        <f t="shared" si="14"/>
        <v>0</v>
      </c>
      <c r="AG23" s="44">
        <f t="shared" si="14"/>
        <v>0</v>
      </c>
      <c r="AH23" s="44">
        <f t="shared" si="14"/>
        <v>0</v>
      </c>
      <c r="AI23" s="44">
        <f t="shared" si="14"/>
        <v>0</v>
      </c>
      <c r="AJ23" s="44">
        <f t="shared" si="14"/>
        <v>0</v>
      </c>
    </row>
    <row r="24" spans="1:36" x14ac:dyDescent="0.3">
      <c r="A24" s="63">
        <f t="shared" si="0"/>
        <v>20</v>
      </c>
      <c r="B24" s="40"/>
      <c r="C24" s="40"/>
      <c r="D24" s="40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</row>
    <row r="25" spans="1:36" x14ac:dyDescent="0.3">
      <c r="A25" s="63">
        <f t="shared" si="0"/>
        <v>21</v>
      </c>
      <c r="B25" s="64" t="s">
        <v>55</v>
      </c>
      <c r="C25" s="64"/>
      <c r="D25" s="65">
        <v>7590.3628000000008</v>
      </c>
      <c r="E25" s="66">
        <f t="shared" si="9"/>
        <v>7590.362799999999</v>
      </c>
      <c r="F25" s="67">
        <f>(-'[1]Table 6-3'!$C$11*F13)+('[1]Table 6-3'!$C$12*-F22)</f>
        <v>0</v>
      </c>
      <c r="G25" s="67">
        <f>(-'[1]Table 6-3'!$C$11*G13)+('[1]Table 6-3'!$C$12*-G22)</f>
        <v>0</v>
      </c>
      <c r="H25" s="67">
        <f>(-'[1]Table 6-3'!$C$11*H13)+('[1]Table 6-3'!$C$12*-H22)</f>
        <v>0</v>
      </c>
      <c r="I25" s="67">
        <f>(-'[1]Table 6-3'!$C$11*I13)+('[1]Table 6-3'!$C$12*-I22)</f>
        <v>0</v>
      </c>
      <c r="J25" s="68">
        <f>(-'[1]Table 6-3'!$C$11*J13)+('[1]Table 6-3'!$C$12*-J22)</f>
        <v>20.529699193570185</v>
      </c>
      <c r="K25" s="68">
        <f>(-'[1]Table 6-3'!$C$11*K13)+('[1]Table 6-3'!$C$12*-K22)</f>
        <v>118.98201517071541</v>
      </c>
      <c r="L25" s="68">
        <f>(-'[1]Table 6-3'!$C$11*L13)+('[1]Table 6-3'!$C$12*-L22)</f>
        <v>410.75117686726674</v>
      </c>
      <c r="M25" s="68">
        <f>(-'[1]Table 6-3'!$C$11*M13)+('[1]Table 6-3'!$C$12*-M22)</f>
        <v>550.42163297834838</v>
      </c>
      <c r="N25" s="68">
        <f>(-'[1]Table 6-3'!$C$11*N13)+('[1]Table 6-3'!$C$12*-N22)</f>
        <v>614.30317417043227</v>
      </c>
      <c r="O25" s="68">
        <f>(-'[1]Table 6-3'!$C$11*O13)+('[1]Table 6-3'!$C$12*-O22)</f>
        <v>682.11117905912135</v>
      </c>
      <c r="P25" s="68">
        <f>(-'[1]Table 6-3'!$C$11*P13)+('[1]Table 6-3'!$C$12*-P22)</f>
        <v>769.9471563177101</v>
      </c>
      <c r="Q25" s="68">
        <f>(-'[1]Table 6-3'!$C$11*Q13)+('[1]Table 6-3'!$C$12*-Q22)</f>
        <v>819.4979543737129</v>
      </c>
      <c r="R25" s="68">
        <f>(-'[1]Table 6-3'!$C$11*R13)+('[1]Table 6-3'!$C$12*-R22)</f>
        <v>875.03027530608597</v>
      </c>
      <c r="S25" s="68">
        <f>(-'[1]Table 6-3'!$C$11*S13)+('[1]Table 6-3'!$C$12*-S22)</f>
        <v>933.72265124615842</v>
      </c>
      <c r="T25" s="68">
        <f>(-'[1]Table 6-3'!$C$11*T13)+('[1]Table 6-3'!$C$12*-T22)</f>
        <v>995.76390517298819</v>
      </c>
      <c r="U25" s="68">
        <f>(-'[1]Table 6-3'!$C$11*U13)+('[1]Table 6-3'!$C$12*-U22)</f>
        <v>723.60990312270815</v>
      </c>
      <c r="V25" s="68">
        <f>(-'[1]Table 6-3'!$C$11*V13)+('[1]Table 6-3'!$C$12*-V22)</f>
        <v>75.692077021182129</v>
      </c>
      <c r="W25" s="68">
        <f>(-'[1]Table 6-3'!$C$11*W13)+('[1]Table 6-3'!$C$12*-W22)</f>
        <v>0</v>
      </c>
      <c r="X25" s="68">
        <f>(-'[1]Table 6-3'!$C$11*X13)+('[1]Table 6-3'!$C$12*-X22)</f>
        <v>0</v>
      </c>
      <c r="Y25" s="67">
        <f>(-'[1]Table 6-3'!$C$11*Y13)+('[1]Table 6-3'!$C$12*-Y22)</f>
        <v>0</v>
      </c>
      <c r="Z25" s="67">
        <f>(-'[1]Table 6-3'!$C$11*Z13)+('[1]Table 6-3'!$C$12*-Z22)</f>
        <v>0</v>
      </c>
      <c r="AA25" s="67">
        <f>(-'[1]Table 6-3'!$C$11*AA13)+('[1]Table 6-3'!$C$12*-AA22)</f>
        <v>0</v>
      </c>
      <c r="AB25" s="67">
        <f>(-'[1]Table 6-3'!$C$11*AB13)+('[1]Table 6-3'!$C$12*-AB22)</f>
        <v>0</v>
      </c>
      <c r="AC25" s="67">
        <f>(-'[1]Table 6-3'!$C$11*AC13)+('[1]Table 6-3'!$C$12*-AC22)</f>
        <v>0</v>
      </c>
      <c r="AD25" s="67">
        <f>(-'[1]Table 6-3'!$C$11*AD13)+('[1]Table 6-3'!$C$12*-AD22)</f>
        <v>0</v>
      </c>
      <c r="AE25" s="67">
        <f>(-'[1]Table 6-3'!$C$11*AE13)+('[1]Table 6-3'!$C$12*-AE22)</f>
        <v>0</v>
      </c>
      <c r="AF25" s="67">
        <f>(-'[1]Table 6-3'!$C$11*AF13)+('[1]Table 6-3'!$C$12*-AF22)</f>
        <v>0</v>
      </c>
      <c r="AG25" s="67">
        <f>(-'[1]Table 6-3'!$C$11*AG13)+('[1]Table 6-3'!$C$12*-AG22)</f>
        <v>0</v>
      </c>
      <c r="AH25" s="67">
        <f>(-'[1]Table 6-3'!$C$11*AH13)+('[1]Table 6-3'!$C$12*-AH22)</f>
        <v>0</v>
      </c>
      <c r="AI25" s="67">
        <f>(-'[1]Table 6-3'!$C$11*AI13)+('[1]Table 6-3'!$C$12*-AI22)</f>
        <v>0</v>
      </c>
      <c r="AJ25" s="67">
        <f>(-'[1]Table 6-3'!$C$11*AJ13)+('[1]Table 6-3'!$C$12*-AJ22)</f>
        <v>0</v>
      </c>
    </row>
    <row r="26" spans="1:36" x14ac:dyDescent="0.3">
      <c r="A26" s="63">
        <f t="shared" si="0"/>
        <v>22</v>
      </c>
    </row>
    <row r="27" spans="1:36" x14ac:dyDescent="0.3">
      <c r="A27" s="63">
        <f t="shared" si="0"/>
        <v>23</v>
      </c>
      <c r="B27" s="33" t="s">
        <v>56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36" x14ac:dyDescent="0.3">
      <c r="A28" s="63">
        <f t="shared" si="0"/>
        <v>24</v>
      </c>
      <c r="B28" s="33" t="s">
        <v>57</v>
      </c>
    </row>
    <row r="29" spans="1:36" x14ac:dyDescent="0.3">
      <c r="A29" s="63">
        <f t="shared" si="0"/>
        <v>25</v>
      </c>
    </row>
    <row r="30" spans="1:36" x14ac:dyDescent="0.3">
      <c r="A30" s="63">
        <f t="shared" si="0"/>
        <v>26</v>
      </c>
      <c r="B30" s="70" t="s">
        <v>65</v>
      </c>
      <c r="C30" s="71"/>
      <c r="F30" s="39">
        <v>2020</v>
      </c>
      <c r="G30" s="39">
        <v>2021</v>
      </c>
      <c r="H30" s="39">
        <v>2022</v>
      </c>
      <c r="I30" s="39">
        <v>2023</v>
      </c>
      <c r="J30" s="39">
        <v>2024</v>
      </c>
      <c r="K30" s="39">
        <v>2025</v>
      </c>
      <c r="L30" s="39">
        <v>2026</v>
      </c>
      <c r="M30" s="39">
        <v>2027</v>
      </c>
      <c r="N30" s="39">
        <v>2028</v>
      </c>
      <c r="O30" s="39">
        <v>2029</v>
      </c>
      <c r="P30" s="39">
        <v>2030</v>
      </c>
      <c r="Q30" s="39">
        <v>2031</v>
      </c>
      <c r="R30" s="39">
        <v>2032</v>
      </c>
      <c r="S30" s="39">
        <v>2033</v>
      </c>
      <c r="T30" s="39">
        <v>2034</v>
      </c>
      <c r="U30" s="39">
        <v>2035</v>
      </c>
      <c r="V30" s="39">
        <v>2036</v>
      </c>
      <c r="W30" s="39">
        <v>2037</v>
      </c>
      <c r="X30" s="39">
        <v>2038</v>
      </c>
      <c r="Y30" s="39">
        <v>2039</v>
      </c>
      <c r="Z30" s="39">
        <v>2040</v>
      </c>
      <c r="AA30" s="39">
        <v>2041</v>
      </c>
      <c r="AB30" s="39">
        <v>2042</v>
      </c>
      <c r="AC30" s="39">
        <v>2043</v>
      </c>
      <c r="AD30" s="39">
        <v>2044</v>
      </c>
      <c r="AE30" s="39">
        <v>2045</v>
      </c>
      <c r="AF30" s="39">
        <v>2046</v>
      </c>
      <c r="AG30" s="39">
        <v>2047</v>
      </c>
      <c r="AH30" s="39">
        <v>2048</v>
      </c>
      <c r="AI30" s="39">
        <v>2049</v>
      </c>
      <c r="AJ30" s="39">
        <v>2050</v>
      </c>
    </row>
    <row r="31" spans="1:36" ht="14.5" thickBot="1" x14ac:dyDescent="0.35">
      <c r="A31" s="63">
        <f t="shared" si="0"/>
        <v>27</v>
      </c>
      <c r="B31" s="33" t="s">
        <v>63</v>
      </c>
      <c r="D31" s="42">
        <v>7590.3628000000008</v>
      </c>
      <c r="E31" s="42">
        <v>7590.3628000000008</v>
      </c>
      <c r="F31" s="55">
        <v>0</v>
      </c>
      <c r="G31" s="55">
        <v>0</v>
      </c>
      <c r="H31" s="55">
        <v>0</v>
      </c>
      <c r="I31" s="55">
        <v>0</v>
      </c>
      <c r="J31" s="42">
        <v>41.58075037472242</v>
      </c>
      <c r="K31" s="42">
        <v>132.20223907857269</v>
      </c>
      <c r="L31" s="42">
        <v>500.82492065251847</v>
      </c>
      <c r="M31" s="42">
        <v>611.57959219816485</v>
      </c>
      <c r="N31" s="42">
        <v>682.55908241159136</v>
      </c>
      <c r="O31" s="42">
        <v>757.90131006569038</v>
      </c>
      <c r="P31" s="42">
        <v>855.49684035301129</v>
      </c>
      <c r="Q31" s="42">
        <v>910.55328263745878</v>
      </c>
      <c r="R31" s="42">
        <v>972.25586145120656</v>
      </c>
      <c r="S31" s="42">
        <v>1037.4696124957316</v>
      </c>
      <c r="T31" s="42">
        <v>950.74894341073343</v>
      </c>
      <c r="U31" s="42">
        <v>137.19036487059807</v>
      </c>
      <c r="V31" s="42">
        <v>0</v>
      </c>
      <c r="W31" s="42">
        <v>0</v>
      </c>
      <c r="X31" s="42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  <c r="AG31" s="55">
        <v>0</v>
      </c>
      <c r="AH31" s="55">
        <v>0</v>
      </c>
      <c r="AI31" s="55">
        <v>0</v>
      </c>
      <c r="AJ31" s="55">
        <v>0</v>
      </c>
    </row>
    <row r="32" spans="1:36" ht="29" thickBot="1" x14ac:dyDescent="0.4">
      <c r="A32" s="63">
        <f t="shared" si="0"/>
        <v>28</v>
      </c>
      <c r="C32" s="58" t="s">
        <v>59</v>
      </c>
      <c r="D32" s="59"/>
      <c r="E32" s="60">
        <f>1800+NPV(0.1025,F31:AJ31)</f>
        <v>4363.1750011009372</v>
      </c>
    </row>
    <row r="33" spans="1:14" ht="15" thickBot="1" x14ac:dyDescent="0.4">
      <c r="A33" s="63">
        <f t="shared" si="0"/>
        <v>29</v>
      </c>
      <c r="C33" s="56" t="s">
        <v>60</v>
      </c>
      <c r="D33" s="52"/>
      <c r="E33" s="57">
        <v>7500</v>
      </c>
    </row>
    <row r="34" spans="1:14" ht="14.5" thickBot="1" x14ac:dyDescent="0.35">
      <c r="A34" s="63">
        <f t="shared" si="0"/>
        <v>30</v>
      </c>
      <c r="C34" s="61" t="s">
        <v>61</v>
      </c>
      <c r="D34" s="62"/>
      <c r="E34" s="60">
        <f>E33-E32</f>
        <v>3136.8249988990628</v>
      </c>
    </row>
    <row r="35" spans="1:14" x14ac:dyDescent="0.3">
      <c r="J35" s="53"/>
      <c r="N35" s="54"/>
    </row>
  </sheetData>
  <mergeCells count="4">
    <mergeCell ref="B1:P1"/>
    <mergeCell ref="B2:P2"/>
    <mergeCell ref="B3:P3"/>
    <mergeCell ref="B5:D5"/>
  </mergeCells>
  <pageMargins left="0.7" right="0.7" top="0.75" bottom="0.75" header="0.3" footer="0.3"/>
  <ignoredErrors>
    <ignoredError sqref="E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WP FOR TURN-01 p. 13, FN 45</vt:lpstr>
      <vt:lpstr>WP FOR TURN-01 pp. 18 &amp; 21</vt:lpstr>
      <vt:lpstr>WP FOR TURN-01 p. 7 and FN 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SMBP</cp:lastModifiedBy>
  <dcterms:created xsi:type="dcterms:W3CDTF">2020-05-29T21:28:36Z</dcterms:created>
  <dcterms:modified xsi:type="dcterms:W3CDTF">2020-12-01T00:27:11Z</dcterms:modified>
</cp:coreProperties>
</file>