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P:\SB350\FleetReady\Web\"/>
    </mc:Choice>
  </mc:AlternateContent>
  <xr:revisionPtr revIDLastSave="0" documentId="8_{3FCBBF95-5D40-40C1-8127-07F516C50520}" xr6:coauthVersionLast="31" xr6:coauthVersionMax="31" xr10:uidLastSave="{00000000-0000-0000-0000-000000000000}"/>
  <bookViews>
    <workbookView xWindow="0" yWindow="0" windowWidth="20490" windowHeight="7230" tabRatio="811" activeTab="1" xr2:uid="{00000000-000D-0000-FFFF-FFFF00000000}"/>
  </bookViews>
  <sheets>
    <sheet name="Instructions &amp; Disclaimers" sheetId="35" r:id="rId1"/>
    <sheet name="Inputs &amp; Results" sheetId="33" r:id="rId2"/>
    <sheet name="Calculations" sheetId="31" r:id="rId3"/>
    <sheet name="Rate Values (S)" sheetId="19" r:id="rId4"/>
    <sheet name="Rate Values (P)" sheetId="36" r:id="rId5"/>
    <sheet name="Historical Gas Diesel Price" sheetId="17" r:id="rId6"/>
  </sheets>
  <definedNames>
    <definedName name="_xlnm.Print_Area" localSheetId="1">'Inputs &amp; Results'!$B$1:$U$24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36" l="1"/>
  <c r="S7" i="36" s="1"/>
  <c r="S8" i="36" s="1"/>
  <c r="S9" i="36" s="1"/>
  <c r="S10" i="36" s="1"/>
  <c r="S11" i="36" s="1"/>
  <c r="S12" i="36" s="1"/>
  <c r="S13" i="36" s="1"/>
  <c r="S14" i="36" s="1"/>
  <c r="S15" i="36" s="1"/>
  <c r="S16" i="36" s="1"/>
  <c r="S17" i="36" s="1"/>
  <c r="S18" i="36" s="1"/>
  <c r="S19" i="36" s="1"/>
  <c r="S20" i="36" s="1"/>
  <c r="S21" i="36" s="1"/>
  <c r="S22" i="36" s="1"/>
  <c r="S23" i="36" s="1"/>
  <c r="S24" i="36" s="1"/>
  <c r="S25" i="36" s="1"/>
  <c r="S26" i="36" s="1"/>
  <c r="S27" i="36" s="1"/>
  <c r="S28" i="36" s="1"/>
  <c r="M11" i="33"/>
  <c r="C28" i="33" l="1"/>
  <c r="M23" i="33" l="1"/>
  <c r="C18" i="17"/>
  <c r="C8" i="17"/>
  <c r="B13" i="31"/>
  <c r="P13" i="36" l="1"/>
  <c r="O13" i="36"/>
  <c r="N13" i="36"/>
  <c r="P12" i="36"/>
  <c r="O12" i="36"/>
  <c r="N12" i="36"/>
  <c r="P11" i="36"/>
  <c r="O11" i="36"/>
  <c r="N11" i="36"/>
  <c r="D88" i="31" l="1"/>
  <c r="E88" i="31"/>
  <c r="F88" i="31"/>
  <c r="G88" i="31" s="1"/>
  <c r="H88" i="31" s="1"/>
  <c r="I88" i="31" s="1"/>
  <c r="J88" i="31" s="1"/>
  <c r="K88" i="31" s="1"/>
  <c r="L88" i="31" s="1"/>
  <c r="M88" i="31" s="1"/>
  <c r="N88" i="31" s="1"/>
  <c r="O88" i="31" s="1"/>
  <c r="P88" i="31" s="1"/>
  <c r="Q88" i="31" s="1"/>
  <c r="R88" i="31" s="1"/>
  <c r="S88" i="31" s="1"/>
  <c r="T88" i="31" s="1"/>
  <c r="U88" i="31" s="1"/>
  <c r="C88" i="31"/>
  <c r="U6" i="33"/>
  <c r="C32" i="33"/>
  <c r="B79" i="31" s="1"/>
  <c r="B78" i="31"/>
  <c r="C78" i="31" l="1"/>
  <c r="D78" i="31" s="1"/>
  <c r="E78" i="31" s="1"/>
  <c r="F78" i="31" s="1"/>
  <c r="G78" i="31" s="1"/>
  <c r="H78" i="31" s="1"/>
  <c r="I78" i="31" s="1"/>
  <c r="J78" i="31" s="1"/>
  <c r="K78" i="31" s="1"/>
  <c r="L78" i="31" s="1"/>
  <c r="M78" i="31" s="1"/>
  <c r="N78" i="31" s="1"/>
  <c r="O78" i="31" s="1"/>
  <c r="P78" i="31" s="1"/>
  <c r="Q78" i="31" s="1"/>
  <c r="R78" i="31" s="1"/>
  <c r="S78" i="31" s="1"/>
  <c r="T78" i="31" s="1"/>
  <c r="U78" i="31" s="1"/>
  <c r="V78" i="31" s="1"/>
  <c r="W78" i="31" s="1"/>
  <c r="X78" i="31" s="1"/>
  <c r="Y78" i="31" s="1"/>
  <c r="B80" i="31"/>
  <c r="C79" i="31" s="1"/>
  <c r="C80" i="31" s="1"/>
  <c r="A2" i="31"/>
  <c r="B2" i="31"/>
  <c r="A3" i="31"/>
  <c r="B3" i="31"/>
  <c r="A4" i="31"/>
  <c r="B4" i="31"/>
  <c r="A5" i="31"/>
  <c r="B5" i="31"/>
  <c r="A6" i="31"/>
  <c r="B6" i="31"/>
  <c r="A7" i="31"/>
  <c r="B7" i="31"/>
  <c r="A8" i="31"/>
  <c r="B8" i="31"/>
  <c r="A9" i="31"/>
  <c r="B9" i="31"/>
  <c r="A10" i="31"/>
  <c r="B10" i="31"/>
  <c r="A11" i="31"/>
  <c r="B11" i="31"/>
  <c r="A12" i="31"/>
  <c r="B12" i="31"/>
  <c r="A14" i="31"/>
  <c r="B14" i="31"/>
  <c r="A15" i="31"/>
  <c r="B15" i="31"/>
  <c r="A16" i="31"/>
  <c r="B16" i="31"/>
  <c r="A17" i="31"/>
  <c r="B17" i="31"/>
  <c r="A18" i="31"/>
  <c r="B18" i="31"/>
  <c r="A19" i="31"/>
  <c r="B19" i="31"/>
  <c r="A20" i="31"/>
  <c r="A21" i="31"/>
  <c r="A22" i="31"/>
  <c r="A23" i="31"/>
  <c r="A24" i="31"/>
  <c r="E7" i="31"/>
  <c r="E2" i="31" s="1"/>
  <c r="Q48" i="31"/>
  <c r="P48" i="31"/>
  <c r="Q41" i="31"/>
  <c r="P41" i="31"/>
  <c r="D79" i="31" l="1"/>
  <c r="D80" i="31" s="1"/>
  <c r="E4" i="31"/>
  <c r="E5" i="31"/>
  <c r="E6" i="31"/>
  <c r="E3" i="31"/>
  <c r="S7" i="19"/>
  <c r="S8" i="19" s="1"/>
  <c r="S9" i="19" s="1"/>
  <c r="S10" i="19" s="1"/>
  <c r="S11" i="19" s="1"/>
  <c r="S12" i="19" s="1"/>
  <c r="S13" i="19" s="1"/>
  <c r="S14" i="19" s="1"/>
  <c r="S15" i="19" s="1"/>
  <c r="S16" i="19" s="1"/>
  <c r="S17" i="19" s="1"/>
  <c r="S18" i="19" s="1"/>
  <c r="S19" i="19" s="1"/>
  <c r="S20" i="19" s="1"/>
  <c r="S21" i="19" s="1"/>
  <c r="S22" i="19" s="1"/>
  <c r="S23" i="19" s="1"/>
  <c r="S24" i="19" s="1"/>
  <c r="S25" i="19" s="1"/>
  <c r="S26" i="19" s="1"/>
  <c r="S27" i="19" s="1"/>
  <c r="S28" i="19" s="1"/>
  <c r="S6" i="19"/>
  <c r="E79" i="31" l="1"/>
  <c r="E80" i="31" s="1"/>
  <c r="D35" i="33"/>
  <c r="C31" i="33"/>
  <c r="B23" i="31" s="1"/>
  <c r="B20" i="31"/>
  <c r="C29" i="33"/>
  <c r="B21" i="31" s="1"/>
  <c r="F79" i="31" l="1"/>
  <c r="F80" i="31" s="1"/>
  <c r="B24" i="31"/>
  <c r="E35" i="33"/>
  <c r="F7" i="31"/>
  <c r="B26" i="31"/>
  <c r="B27" i="31" s="1"/>
  <c r="T3" i="33" s="1"/>
  <c r="B37" i="31" l="1"/>
  <c r="R3" i="33"/>
  <c r="S3" i="33"/>
  <c r="H36" i="31"/>
  <c r="O35" i="31"/>
  <c r="H39" i="31"/>
  <c r="O36" i="31"/>
  <c r="J35" i="31"/>
  <c r="Q35" i="31"/>
  <c r="K38" i="31"/>
  <c r="N34" i="31"/>
  <c r="J36" i="31"/>
  <c r="I37" i="31"/>
  <c r="P35" i="31"/>
  <c r="J34" i="31"/>
  <c r="P36" i="31"/>
  <c r="K37" i="31"/>
  <c r="H35" i="31"/>
  <c r="P39" i="31"/>
  <c r="N36" i="31"/>
  <c r="I35" i="31"/>
  <c r="Q36" i="31"/>
  <c r="J39" i="31"/>
  <c r="Q37" i="31"/>
  <c r="K35" i="31"/>
  <c r="H34" i="31"/>
  <c r="N39" i="31"/>
  <c r="I36" i="31"/>
  <c r="P34" i="31"/>
  <c r="N35" i="31"/>
  <c r="O37" i="31"/>
  <c r="G79" i="31"/>
  <c r="F5" i="31"/>
  <c r="F3" i="31"/>
  <c r="F6" i="31"/>
  <c r="F4" i="31"/>
  <c r="F2" i="31"/>
  <c r="F35" i="33"/>
  <c r="G7" i="31"/>
  <c r="G80" i="31" l="1"/>
  <c r="G2" i="31"/>
  <c r="G5" i="31"/>
  <c r="G3" i="31"/>
  <c r="G6" i="31"/>
  <c r="G4" i="31"/>
  <c r="G35" i="33"/>
  <c r="H7" i="31"/>
  <c r="H79" i="31" l="1"/>
  <c r="H2" i="31"/>
  <c r="H5" i="31"/>
  <c r="H6" i="31"/>
  <c r="H4" i="31"/>
  <c r="H3" i="31"/>
  <c r="H35" i="33"/>
  <c r="I7" i="31"/>
  <c r="H80" i="31" l="1"/>
  <c r="I5" i="31"/>
  <c r="I6" i="31"/>
  <c r="I2" i="31"/>
  <c r="I4" i="31"/>
  <c r="I3" i="31"/>
  <c r="I35" i="33"/>
  <c r="J7" i="31"/>
  <c r="I79" i="31" l="1"/>
  <c r="I80" i="31" s="1"/>
  <c r="J5" i="31"/>
  <c r="J6" i="31"/>
  <c r="J3" i="31"/>
  <c r="J2" i="31"/>
  <c r="J4" i="31"/>
  <c r="J35" i="33"/>
  <c r="K7" i="31"/>
  <c r="J79" i="31" l="1"/>
  <c r="J80" i="31" s="1"/>
  <c r="K35" i="33"/>
  <c r="L7" i="31"/>
  <c r="K2" i="31"/>
  <c r="K4" i="31"/>
  <c r="K6" i="31"/>
  <c r="K3" i="31"/>
  <c r="K5" i="31"/>
  <c r="K79" i="31" l="1"/>
  <c r="L5" i="31"/>
  <c r="L3" i="31"/>
  <c r="L2" i="31"/>
  <c r="L6" i="31"/>
  <c r="L4" i="31"/>
  <c r="L35" i="33"/>
  <c r="M7" i="31"/>
  <c r="K80" i="31" l="1"/>
  <c r="M2" i="31"/>
  <c r="M3" i="31"/>
  <c r="M5" i="31"/>
  <c r="M6" i="31"/>
  <c r="M4" i="31"/>
  <c r="M35" i="33"/>
  <c r="N7" i="31"/>
  <c r="L79" i="31" l="1"/>
  <c r="N5" i="31"/>
  <c r="N4" i="31"/>
  <c r="N2" i="31"/>
  <c r="N6" i="31"/>
  <c r="N3" i="31"/>
  <c r="N35" i="33"/>
  <c r="O7" i="31"/>
  <c r="L80" i="31" l="1"/>
  <c r="M79" i="31" s="1"/>
  <c r="M80" i="31" s="1"/>
  <c r="O2" i="31"/>
  <c r="O6" i="31"/>
  <c r="O3" i="31"/>
  <c r="O4" i="31"/>
  <c r="O5" i="31"/>
  <c r="O35" i="33"/>
  <c r="P7" i="31"/>
  <c r="K48" i="31"/>
  <c r="J48" i="31"/>
  <c r="E48" i="31"/>
  <c r="D48" i="31"/>
  <c r="K41" i="31"/>
  <c r="J41" i="31"/>
  <c r="E41" i="31"/>
  <c r="D41" i="31"/>
  <c r="N79" i="31" l="1"/>
  <c r="P4" i="31"/>
  <c r="P3" i="31"/>
  <c r="P2" i="31"/>
  <c r="P6" i="31"/>
  <c r="P5" i="31"/>
  <c r="P35" i="33"/>
  <c r="Q7" i="31"/>
  <c r="N80" i="31" l="1"/>
  <c r="Q35" i="33"/>
  <c r="R7" i="31"/>
  <c r="Q5" i="31"/>
  <c r="Q4" i="31"/>
  <c r="Q6" i="31"/>
  <c r="Q2" i="31"/>
  <c r="Q3" i="31"/>
  <c r="O79" i="31" l="1"/>
  <c r="L36" i="33" s="1"/>
  <c r="R5" i="31"/>
  <c r="R6" i="31"/>
  <c r="R3" i="31"/>
  <c r="R2" i="31"/>
  <c r="R4" i="31"/>
  <c r="R35" i="33"/>
  <c r="S7" i="31"/>
  <c r="P49" i="31"/>
  <c r="N49" i="31"/>
  <c r="C34" i="31"/>
  <c r="D37" i="31"/>
  <c r="C36" i="31"/>
  <c r="C35" i="31"/>
  <c r="A31" i="31"/>
  <c r="J49" i="31"/>
  <c r="H49" i="31"/>
  <c r="G31" i="31"/>
  <c r="M31" i="31" s="1"/>
  <c r="O80" i="31" l="1"/>
  <c r="S2" i="31"/>
  <c r="S3" i="31"/>
  <c r="S4" i="31"/>
  <c r="S6" i="31"/>
  <c r="S5" i="31"/>
  <c r="S35" i="33"/>
  <c r="T7" i="31"/>
  <c r="P79" i="31" l="1"/>
  <c r="T35" i="33"/>
  <c r="U7" i="31"/>
  <c r="T4" i="31"/>
  <c r="T6" i="31"/>
  <c r="T5" i="31"/>
  <c r="T3" i="31"/>
  <c r="T2" i="31"/>
  <c r="P80" i="31" l="1"/>
  <c r="U2" i="31"/>
  <c r="U4" i="31"/>
  <c r="U3" i="31"/>
  <c r="U6" i="31"/>
  <c r="U5" i="31"/>
  <c r="U35" i="33"/>
  <c r="V7" i="31"/>
  <c r="Q79" i="31" l="1"/>
  <c r="V5" i="31"/>
  <c r="V6" i="31"/>
  <c r="V4" i="31"/>
  <c r="V3" i="31"/>
  <c r="V2" i="31"/>
  <c r="V35" i="33"/>
  <c r="W7" i="31"/>
  <c r="O11" i="19"/>
  <c r="P11" i="19"/>
  <c r="O12" i="19"/>
  <c r="P12" i="19"/>
  <c r="O13" i="19"/>
  <c r="P13" i="19"/>
  <c r="N12" i="19"/>
  <c r="N13" i="19"/>
  <c r="N11" i="19"/>
  <c r="Q80" i="31" l="1"/>
  <c r="W35" i="33"/>
  <c r="X7" i="31"/>
  <c r="W2" i="31"/>
  <c r="W3" i="31"/>
  <c r="W5" i="31"/>
  <c r="W6" i="31"/>
  <c r="W4" i="31"/>
  <c r="E35" i="31"/>
  <c r="E36" i="31"/>
  <c r="E34" i="31"/>
  <c r="R79" i="31" l="1"/>
  <c r="X35" i="33"/>
  <c r="Y7" i="31"/>
  <c r="X2" i="31"/>
  <c r="X6" i="31"/>
  <c r="X4" i="31"/>
  <c r="X5" i="31"/>
  <c r="X3" i="31"/>
  <c r="R80" i="31" l="1"/>
  <c r="Y35" i="33"/>
  <c r="Z7" i="31"/>
  <c r="Y3" i="31"/>
  <c r="Y4" i="31"/>
  <c r="Y5" i="31"/>
  <c r="Y6" i="31"/>
  <c r="Y2" i="31"/>
  <c r="S79" i="31" l="1"/>
  <c r="Z5" i="31"/>
  <c r="Z6" i="31"/>
  <c r="Z4" i="31"/>
  <c r="Z3" i="31"/>
  <c r="Z2" i="31"/>
  <c r="Z35" i="33"/>
  <c r="AA7" i="31"/>
  <c r="S80" i="31" l="1"/>
  <c r="AA2" i="31"/>
  <c r="AA3" i="31"/>
  <c r="Q43" i="31" s="1"/>
  <c r="Q51" i="31" s="1"/>
  <c r="AA6" i="31"/>
  <c r="AA4" i="31"/>
  <c r="AA5" i="31"/>
  <c r="AB7" i="31"/>
  <c r="T79" i="31" l="1"/>
  <c r="D36" i="33" s="1"/>
  <c r="AB5" i="31"/>
  <c r="AB3" i="31"/>
  <c r="P43" i="31" s="1"/>
  <c r="P51" i="31" s="1"/>
  <c r="AB2" i="31"/>
  <c r="AB4" i="31"/>
  <c r="AB6" i="31"/>
  <c r="F8" i="31" l="1"/>
  <c r="D37" i="33"/>
  <c r="F9" i="31" s="1"/>
  <c r="T80" i="31"/>
  <c r="J44" i="31"/>
  <c r="J52" i="31" s="1"/>
  <c r="K44" i="31"/>
  <c r="K52" i="31" s="1"/>
  <c r="U79" i="31" l="1"/>
  <c r="E36" i="33" s="1"/>
  <c r="E37" i="33" l="1"/>
  <c r="G9" i="31" s="1"/>
  <c r="G8" i="31"/>
  <c r="U80" i="31"/>
  <c r="V79" i="31" l="1"/>
  <c r="F36" i="33" l="1"/>
  <c r="F37" i="33" s="1"/>
  <c r="H9" i="31" s="1"/>
  <c r="Q36" i="33"/>
  <c r="Q37" i="33" s="1"/>
  <c r="V80" i="31"/>
  <c r="H8" i="31" l="1"/>
  <c r="W79" i="31"/>
  <c r="G36" i="33" l="1"/>
  <c r="L37" i="33"/>
  <c r="W80" i="31"/>
  <c r="I8" i="31" l="1"/>
  <c r="G37" i="33"/>
  <c r="I9" i="31" s="1"/>
  <c r="N8" i="31"/>
  <c r="N9" i="31"/>
  <c r="X79" i="31"/>
  <c r="O36" i="33"/>
  <c r="O37" i="33" s="1"/>
  <c r="M36" i="33" l="1"/>
  <c r="M37" i="33" s="1"/>
  <c r="O9" i="31" s="1"/>
  <c r="U36" i="33"/>
  <c r="H36" i="33"/>
  <c r="W36" i="33"/>
  <c r="W37" i="33" s="1"/>
  <c r="X80" i="31"/>
  <c r="Q8" i="31"/>
  <c r="O8" i="31" l="1"/>
  <c r="U37" i="33"/>
  <c r="W9" i="31" s="1"/>
  <c r="W8" i="31"/>
  <c r="J8" i="31"/>
  <c r="H37" i="33"/>
  <c r="J9" i="31" s="1"/>
  <c r="Y8" i="31"/>
  <c r="Y79" i="31"/>
  <c r="P36" i="33"/>
  <c r="P37" i="33" s="1"/>
  <c r="Q9" i="31"/>
  <c r="C36" i="33" l="1"/>
  <c r="C37" i="33" s="1"/>
  <c r="E9" i="31" s="1"/>
  <c r="V36" i="33"/>
  <c r="R36" i="33"/>
  <c r="T36" i="33"/>
  <c r="T37" i="33" s="1"/>
  <c r="Z36" i="33"/>
  <c r="N36" i="33"/>
  <c r="N37" i="33" s="1"/>
  <c r="K36" i="33"/>
  <c r="Y36" i="33"/>
  <c r="Y37" i="33" s="1"/>
  <c r="S9" i="31"/>
  <c r="S36" i="33"/>
  <c r="X36" i="33"/>
  <c r="X37" i="33" s="1"/>
  <c r="I36" i="33"/>
  <c r="I37" i="33" s="1"/>
  <c r="Y9" i="31"/>
  <c r="Y80" i="31"/>
  <c r="J36" i="33"/>
  <c r="J37" i="33" s="1"/>
  <c r="R8" i="31"/>
  <c r="E8" i="31" l="1"/>
  <c r="V37" i="33"/>
  <c r="X9" i="31" s="1"/>
  <c r="X8" i="31"/>
  <c r="S37" i="33"/>
  <c r="U9" i="31" s="1"/>
  <c r="X13" i="33"/>
  <c r="M8" i="31"/>
  <c r="K37" i="33"/>
  <c r="M9" i="31" s="1"/>
  <c r="T8" i="31"/>
  <c r="R37" i="33"/>
  <c r="T9" i="31" s="1"/>
  <c r="Z37" i="33"/>
  <c r="AB9" i="31" s="1"/>
  <c r="V8" i="31"/>
  <c r="V9" i="31"/>
  <c r="AB8" i="31"/>
  <c r="P9" i="31"/>
  <c r="P8" i="31"/>
  <c r="C45" i="31" s="1"/>
  <c r="C52" i="31" s="1"/>
  <c r="AA8" i="31"/>
  <c r="AA9" i="31"/>
  <c r="S8" i="31"/>
  <c r="U8" i="31"/>
  <c r="Z8" i="31"/>
  <c r="Z9" i="31"/>
  <c r="K9" i="31"/>
  <c r="K8" i="31"/>
  <c r="R9" i="31"/>
  <c r="L8" i="31"/>
  <c r="AB36" i="33"/>
  <c r="E45" i="31" l="1"/>
  <c r="E52" i="31" s="1"/>
  <c r="C30" i="33"/>
  <c r="X11" i="33" s="1"/>
  <c r="AB37" i="33"/>
  <c r="H43" i="31"/>
  <c r="H51" i="31" s="1"/>
  <c r="H63" i="31"/>
  <c r="O44" i="31"/>
  <c r="O52" i="31" s="1"/>
  <c r="H44" i="31"/>
  <c r="H52" i="31" s="1"/>
  <c r="Q44" i="31"/>
  <c r="Q52" i="31" s="1"/>
  <c r="O43" i="31"/>
  <c r="O51" i="31" s="1"/>
  <c r="J43" i="31"/>
  <c r="J51" i="31" s="1"/>
  <c r="C43" i="31"/>
  <c r="C50" i="31" s="1"/>
  <c r="I44" i="31"/>
  <c r="I52" i="31" s="1"/>
  <c r="E43" i="31"/>
  <c r="E50" i="31" s="1"/>
  <c r="I43" i="31"/>
  <c r="I51" i="31" s="1"/>
  <c r="K43" i="31"/>
  <c r="K51" i="31" s="1"/>
  <c r="E44" i="31"/>
  <c r="E51" i="31" s="1"/>
  <c r="B43" i="31"/>
  <c r="B50" i="31" s="1"/>
  <c r="D43" i="31"/>
  <c r="D50" i="31" s="1"/>
  <c r="P44" i="31"/>
  <c r="P52" i="31" s="1"/>
  <c r="N44" i="31"/>
  <c r="N52" i="31" s="1"/>
  <c r="N43" i="31"/>
  <c r="N51" i="31" s="1"/>
  <c r="D45" i="31"/>
  <c r="D52" i="31" s="1"/>
  <c r="B45" i="31"/>
  <c r="B52" i="31" s="1"/>
  <c r="L9" i="31"/>
  <c r="I45" i="31"/>
  <c r="I53" i="31" s="1"/>
  <c r="O45" i="31"/>
  <c r="O53" i="31" s="1"/>
  <c r="C44" i="31"/>
  <c r="C51" i="31" s="1"/>
  <c r="K45" i="31"/>
  <c r="K53" i="31" s="1"/>
  <c r="Q45" i="31"/>
  <c r="Q53" i="31" s="1"/>
  <c r="B22" i="31" l="1"/>
  <c r="C53" i="31"/>
  <c r="Q54" i="31"/>
  <c r="O54" i="31"/>
  <c r="E53" i="31"/>
  <c r="K54" i="31"/>
  <c r="P45" i="31"/>
  <c r="P53" i="31" s="1"/>
  <c r="D44" i="31"/>
  <c r="D51" i="31" s="1"/>
  <c r="N42" i="31"/>
  <c r="H42" i="31"/>
  <c r="B42" i="31"/>
  <c r="H45" i="31"/>
  <c r="H53" i="31" s="1"/>
  <c r="B44" i="31"/>
  <c r="B51" i="31" s="1"/>
  <c r="N45" i="31"/>
  <c r="N53" i="31" s="1"/>
  <c r="J45" i="31"/>
  <c r="J53" i="31" s="1"/>
  <c r="I54" i="31"/>
  <c r="D42" i="31" l="1"/>
  <c r="D49" i="31" s="1"/>
  <c r="D53" i="31" s="1"/>
  <c r="B49" i="31"/>
  <c r="B53" i="31" s="1"/>
  <c r="B58" i="31" s="1"/>
  <c r="H50" i="31"/>
  <c r="J42" i="31"/>
  <c r="J50" i="31" s="1"/>
  <c r="P42" i="31"/>
  <c r="P50" i="31" s="1"/>
  <c r="P54" i="31" s="1"/>
  <c r="N50" i="31"/>
  <c r="N54" i="31" s="1"/>
  <c r="C58" i="31" l="1"/>
  <c r="D58" i="31" s="1"/>
  <c r="C57" i="31"/>
  <c r="C59" i="31" s="1"/>
  <c r="B57" i="31"/>
  <c r="B59" i="31" s="1"/>
  <c r="E61" i="31"/>
  <c r="D57" i="31" s="1"/>
  <c r="Q61" i="31"/>
  <c r="P57" i="31" s="1"/>
  <c r="R7" i="33" s="1"/>
  <c r="N57" i="31"/>
  <c r="N59" i="31" s="1"/>
  <c r="N58" i="31"/>
  <c r="J54" i="31"/>
  <c r="O57" i="31"/>
  <c r="O59" i="31" s="1"/>
  <c r="O58" i="31"/>
  <c r="H54" i="31"/>
  <c r="D59" i="31" l="1"/>
  <c r="T6" i="33" s="1"/>
  <c r="T7" i="33"/>
  <c r="T4" i="33"/>
  <c r="C86" i="31" s="1"/>
  <c r="D86" i="31" s="1"/>
  <c r="E86" i="31" s="1"/>
  <c r="F86" i="31" s="1"/>
  <c r="G86" i="31" s="1"/>
  <c r="H86" i="31" s="1"/>
  <c r="I86" i="31" s="1"/>
  <c r="J86" i="31" s="1"/>
  <c r="K86" i="31" s="1"/>
  <c r="L86" i="31" s="1"/>
  <c r="M86" i="31" s="1"/>
  <c r="N86" i="31" s="1"/>
  <c r="O86" i="31" s="1"/>
  <c r="P86" i="31" s="1"/>
  <c r="Q86" i="31" s="1"/>
  <c r="R86" i="31" s="1"/>
  <c r="S86" i="31" s="1"/>
  <c r="T86" i="31" s="1"/>
  <c r="U86" i="31" s="1"/>
  <c r="P58" i="31"/>
  <c r="R4" i="33" s="1"/>
  <c r="P59" i="31"/>
  <c r="R6" i="33" s="1"/>
  <c r="H57" i="31"/>
  <c r="H59" i="31" s="1"/>
  <c r="H58" i="31"/>
  <c r="K61" i="31"/>
  <c r="I57" i="31"/>
  <c r="I58" i="31"/>
  <c r="B85" i="31" l="1"/>
  <c r="B86" i="31" s="1"/>
  <c r="J58" i="31"/>
  <c r="E62" i="31"/>
  <c r="J57" i="31"/>
  <c r="S7" i="33" s="1"/>
  <c r="H64" i="31"/>
  <c r="I59" i="31"/>
  <c r="S4" i="33" l="1"/>
  <c r="C85" i="31" s="1"/>
  <c r="D85" i="31" s="1"/>
  <c r="E85" i="31" s="1"/>
  <c r="B89" i="31"/>
  <c r="F90" i="31"/>
  <c r="J90" i="31"/>
  <c r="N90" i="31"/>
  <c r="R90" i="31"/>
  <c r="B90" i="31"/>
  <c r="C90" i="31"/>
  <c r="G90" i="31"/>
  <c r="K90" i="31"/>
  <c r="O90" i="31"/>
  <c r="S90" i="31"/>
  <c r="D90" i="31"/>
  <c r="L90" i="31"/>
  <c r="T90" i="31"/>
  <c r="E90" i="31"/>
  <c r="I90" i="31"/>
  <c r="M90" i="31"/>
  <c r="Q90" i="31"/>
  <c r="U90" i="31"/>
  <c r="H90" i="31"/>
  <c r="P90" i="31"/>
  <c r="J59" i="31"/>
  <c r="S6" i="33" s="1"/>
  <c r="T5" i="33" l="1"/>
  <c r="C89" i="31"/>
  <c r="F85" i="31"/>
  <c r="G85" i="31" s="1"/>
  <c r="H85" i="31" s="1"/>
  <c r="I85" i="31" s="1"/>
  <c r="J85" i="31" s="1"/>
  <c r="K85" i="31" s="1"/>
  <c r="L85" i="31" s="1"/>
  <c r="M85" i="31" s="1"/>
  <c r="N85" i="31" s="1"/>
  <c r="O85" i="31" s="1"/>
  <c r="P85" i="31" s="1"/>
  <c r="Q85" i="31" s="1"/>
  <c r="R85" i="31" s="1"/>
  <c r="S85" i="31" s="1"/>
  <c r="T85" i="31" s="1"/>
  <c r="U85" i="31" s="1"/>
  <c r="D89" i="31"/>
  <c r="E89" i="31"/>
  <c r="P89" i="31" l="1"/>
  <c r="N89" i="31"/>
  <c r="Q89" i="31"/>
  <c r="G89" i="31"/>
  <c r="L89" i="31"/>
  <c r="K89" i="31"/>
  <c r="U89" i="31"/>
  <c r="T89" i="31"/>
  <c r="H89" i="31"/>
  <c r="J89" i="31"/>
  <c r="O89" i="31"/>
  <c r="S89" i="31"/>
  <c r="F89" i="31"/>
  <c r="S5" i="33" s="1"/>
  <c r="I89" i="31"/>
  <c r="R89" i="31"/>
  <c r="M89"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Calder Silcox</author>
  </authors>
  <commentList>
    <comment ref="M11" authorId="0" shapeId="0" xr:uid="{CCD51433-A9C6-46E8-B4BD-45ACB9C8A44D}">
      <text>
        <r>
          <rPr>
            <sz val="9"/>
            <color indexed="81"/>
            <rFont val="Tahoma"/>
            <family val="2"/>
          </rPr>
          <t>Default value is linked to cell M3</t>
        </r>
      </text>
    </comment>
    <comment ref="M12" authorId="0" shapeId="0" xr:uid="{4C60DB68-1E77-4B02-8CB4-FB874F28D542}">
      <text>
        <r>
          <rPr>
            <sz val="9"/>
            <color indexed="81"/>
            <rFont val="Tahoma"/>
            <family val="2"/>
          </rPr>
          <t>If this cell turns red, charging power is too low to provide needed energy in total available charging time. Either increase charging power or increase total number of hours avaialable charging time.</t>
        </r>
      </text>
    </comment>
    <comment ref="M14" authorId="0" shapeId="0" xr:uid="{6775BA00-3816-40CF-B6B7-C4C8977D62E4}">
      <text>
        <r>
          <rPr>
            <sz val="9"/>
            <color indexed="81"/>
            <rFont val="Tahoma"/>
            <family val="2"/>
          </rPr>
          <t>If this cell turns red, charging power is too low to provide needed energy in total available charging time. Either increase charging power or increase total number of hours avaialable charging time.</t>
        </r>
      </text>
    </comment>
    <comment ref="C28" authorId="0" shapeId="0" xr:uid="{3D4A16CD-217F-4998-BBB7-B5BF17C5DFBC}">
      <text>
        <r>
          <rPr>
            <sz val="9"/>
            <color indexed="81"/>
            <rFont val="Tahoma"/>
            <family val="2"/>
          </rPr>
          <t>=[Number of vehicles] * [daily driving distance] * [vehicle efficiency] * [days in use per month] * [1 + Charger losses]</t>
        </r>
      </text>
    </comment>
    <comment ref="C29" authorId="0" shapeId="0" xr:uid="{583E0B44-EB55-4764-BC36-350C71DB6766}">
      <text>
        <r>
          <rPr>
            <sz val="9"/>
            <color indexed="81"/>
            <rFont val="Tahoma"/>
            <family val="2"/>
          </rPr>
          <t>= [Chargers installed] * Charger power]
If Charging Optimized is "Yes" the calculator will attempt to minimize this value in bill calculations.</t>
        </r>
      </text>
    </comment>
    <comment ref="C30" authorId="0" shapeId="0" xr:uid="{37C19B14-0A2D-47EB-93DC-63F151BC9447}">
      <text>
        <r>
          <rPr>
            <sz val="9"/>
            <color indexed="81"/>
            <rFont val="Tahoma"/>
            <family val="2"/>
          </rPr>
          <t>=[Total Monthly kWh] / [Maximum kW] * [24 hours] * [30 days]
Higher site utilization can reduce average fuel costs</t>
        </r>
      </text>
    </comment>
    <comment ref="C31" authorId="0" shapeId="0" xr:uid="{6DC037D5-1E3F-4B34-B834-4670FA928FA1}">
      <text>
        <r>
          <rPr>
            <sz val="9"/>
            <color indexed="81"/>
            <rFont val="Tahoma"/>
            <family val="2"/>
          </rPr>
          <t>=[Daily kWh] / [Charger power] / [Chargers installed]</t>
        </r>
      </text>
    </comment>
    <comment ref="B34" authorId="0" shapeId="0" xr:uid="{9FE14CCE-0138-4BBB-8A8A-7494DBD75F60}">
      <text>
        <r>
          <rPr>
            <b/>
            <sz val="9"/>
            <color indexed="81"/>
            <rFont val="Tahoma"/>
            <family val="2"/>
          </rPr>
          <t>Fleets with more complicated charging needs can input energy usage into the two white rows in this table; overwriting the formulas in this table may reduce some functionality of the inputs above.</t>
        </r>
      </text>
    </comment>
    <comment ref="AB35" authorId="0" shapeId="0" xr:uid="{CF3745CC-724C-4D08-9F58-2641A281CD67}">
      <text>
        <r>
          <rPr>
            <b/>
            <sz val="9"/>
            <color indexed="81"/>
            <rFont val="Tahoma"/>
            <family val="2"/>
          </rPr>
          <t>If these cells turn red, charging power or number of chargers is not adequate to charge in the alotted number of hours.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Calder Silcox</author>
  </authors>
  <commentList>
    <comment ref="B4" authorId="0" shapeId="0" xr:uid="{76B10A39-DE67-4C08-8977-0DE9033BBE6D}">
      <text>
        <r>
          <rPr>
            <b/>
            <sz val="9"/>
            <color indexed="81"/>
            <rFont val="Tahoma"/>
            <family val="2"/>
          </rPr>
          <t>Note: A-6 is only available for Secondary voltage; If Primary is selected for a service below 75kW, values and calculations will use Secondary voltage A-6 rates.</t>
        </r>
      </text>
    </comment>
    <comment ref="H4" authorId="0" shapeId="0" xr:uid="{732542CD-9E58-4726-8368-C3E10F0E7B1A}">
      <text>
        <r>
          <rPr>
            <sz val="9"/>
            <color indexed="81"/>
            <rFont val="Tahoma"/>
            <family val="2"/>
          </rPr>
          <t>Note: A-6 is only available for Secondary voltage; If Primary is selected for a service below 75kW, values and calculations will use Secondary voltage A-6 rates.</t>
        </r>
      </text>
    </comment>
  </commentList>
</comments>
</file>

<file path=xl/sharedStrings.xml><?xml version="1.0" encoding="utf-8"?>
<sst xmlns="http://schemas.openxmlformats.org/spreadsheetml/2006/main" count="672" uniqueCount="191">
  <si>
    <t>Peak</t>
  </si>
  <si>
    <t>Off</t>
  </si>
  <si>
    <t>Partial</t>
  </si>
  <si>
    <t>kWh</t>
  </si>
  <si>
    <t>Hour beg.</t>
  </si>
  <si>
    <t>Total Monthly kWh</t>
  </si>
  <si>
    <t>Max Site kW</t>
  </si>
  <si>
    <t>Electricity</t>
  </si>
  <si>
    <t>Summer</t>
  </si>
  <si>
    <t>Winter</t>
  </si>
  <si>
    <t>Rates</t>
  </si>
  <si>
    <t>Demand $/kW</t>
  </si>
  <si>
    <t>Usage $/kWh</t>
  </si>
  <si>
    <t>Maximum</t>
  </si>
  <si>
    <t>Assumed</t>
  </si>
  <si>
    <t>Usage</t>
  </si>
  <si>
    <t>Usage (kWh)</t>
  </si>
  <si>
    <t>Fees</t>
  </si>
  <si>
    <t>Charged</t>
  </si>
  <si>
    <t>Demand Fees</t>
  </si>
  <si>
    <t>Meter Fee</t>
  </si>
  <si>
    <t>Total Fees</t>
  </si>
  <si>
    <t>Montly Average</t>
  </si>
  <si>
    <t>Estimated Bill</t>
  </si>
  <si>
    <t>Avg Rate $/kWh</t>
  </si>
  <si>
    <t>Utilization</t>
  </si>
  <si>
    <t>Summer Months</t>
  </si>
  <si>
    <t>SOP</t>
  </si>
  <si>
    <t>Max kW</t>
  </si>
  <si>
    <t>NA</t>
  </si>
  <si>
    <t> 2015</t>
  </si>
  <si>
    <t>  2016</t>
  </si>
  <si>
    <t>  2017</t>
  </si>
  <si>
    <t>  2018</t>
  </si>
  <si>
    <t>CA Gasoline Price History</t>
  </si>
  <si>
    <t>CA Diesel Price History</t>
  </si>
  <si>
    <t>12 month roll avg:</t>
  </si>
  <si>
    <t>Site Factors</t>
  </si>
  <si>
    <t>Monthly Load by Hour</t>
  </si>
  <si>
    <t>Hour Beginning</t>
  </si>
  <si>
    <t>Customer Charge</t>
  </si>
  <si>
    <t>EV-Small</t>
  </si>
  <si>
    <t>EV-Large P</t>
  </si>
  <si>
    <t>Subscription</t>
  </si>
  <si>
    <t>Summer Energy Rates</t>
  </si>
  <si>
    <t xml:space="preserve">   Peak</t>
  </si>
  <si>
    <t xml:space="preserve">   Off Peak</t>
  </si>
  <si>
    <t xml:space="preserve">   SOP</t>
  </si>
  <si>
    <t>Winter Energy Rates</t>
  </si>
  <si>
    <t>Gas/Diesel</t>
  </si>
  <si>
    <t>CEV TOU</t>
  </si>
  <si>
    <t>Part</t>
  </si>
  <si>
    <t>CEV Rate Annual Total</t>
  </si>
  <si>
    <t>GRC Rate Annual Total</t>
  </si>
  <si>
    <t>Average</t>
  </si>
  <si>
    <t>Demand (kW)</t>
  </si>
  <si>
    <t>Note: Analysis does not include "spring super-off peak" for GRC rates</t>
  </si>
  <si>
    <t>Energy Fees</t>
  </si>
  <si>
    <t>Connected Load</t>
  </si>
  <si>
    <t>EV-Large</t>
  </si>
  <si>
    <t>A-6</t>
  </si>
  <si>
    <t>A-10</t>
  </si>
  <si>
    <t>E-19</t>
  </si>
  <si>
    <t>E-20</t>
  </si>
  <si>
    <t>Off Peak</t>
  </si>
  <si>
    <t>Summer Demand Charges</t>
  </si>
  <si>
    <t>Winter Demand Charges</t>
  </si>
  <si>
    <t>Rate</t>
  </si>
  <si>
    <t xml:space="preserve">GRC Rate </t>
  </si>
  <si>
    <t xml:space="preserve">CEV Rate </t>
  </si>
  <si>
    <t>CEV Savings</t>
  </si>
  <si>
    <t>% of Winter Bill</t>
  </si>
  <si>
    <t>(Note: SOP not modeled into Winter bill estimates above)</t>
  </si>
  <si>
    <t>https://www.eia.gov/dnav/pet/hist/LeafHandler.ashx?n=PET&amp;s=EMD_EPD2D_PTE_SCA_DPG&amp;f=M</t>
  </si>
  <si>
    <t>Rate:</t>
  </si>
  <si>
    <t>GRC spring SOP monthly savings</t>
  </si>
  <si>
    <t xml:space="preserve">Source: https://www.eia.gov/dnav/pet/hist/LeafHandler.ashx?n=PET&amp;s=EMM_EPM0_PTE_SCA_DPG&amp;f=M </t>
  </si>
  <si>
    <t>GRC  Rates reflect values approved in 2017 GRC Ph 2. Bill modeling does not include spring super-off-peak rates in model for simplicity, but March-May savings are estimated in each scenario</t>
  </si>
  <si>
    <t>Rate TOU Periods</t>
  </si>
  <si>
    <t>CEV Rate</t>
  </si>
  <si>
    <t>Approved GRC Phase 2 Rates (Late 2019 Availability)</t>
  </si>
  <si>
    <t>Part Peak</t>
  </si>
  <si>
    <t>Current-Summer</t>
  </si>
  <si>
    <t>Current-Winter</t>
  </si>
  <si>
    <t>GRC Ph2-Summer</t>
  </si>
  <si>
    <t>GRC Ph2-Winter</t>
  </si>
  <si>
    <t>Available opt-in Nov. 2019; Default Nov 2020</t>
  </si>
  <si>
    <t>Average daily driving distance (miles/vehicle per day)</t>
  </si>
  <si>
    <t>Calculated values</t>
  </si>
  <si>
    <t>Assumptions</t>
  </si>
  <si>
    <t>kWh remaining</t>
  </si>
  <si>
    <t>Charging Time</t>
  </si>
  <si>
    <t>Daily kWh</t>
  </si>
  <si>
    <t>Vehicle Information</t>
  </si>
  <si>
    <t>Charging Information</t>
  </si>
  <si>
    <t>kWh in hour</t>
  </si>
  <si>
    <t>Maximum kW</t>
  </si>
  <si>
    <t>Reference calculations for above</t>
  </si>
  <si>
    <t>Check</t>
  </si>
  <si>
    <t>Inputs</t>
  </si>
  <si>
    <t>Avg Cost/Mile</t>
  </si>
  <si>
    <t>Results</t>
  </si>
  <si>
    <t>Rate name:</t>
  </si>
  <si>
    <t>Existing Rates</t>
  </si>
  <si>
    <t>1a</t>
  </si>
  <si>
    <t>1b</t>
  </si>
  <si>
    <t>1c</t>
  </si>
  <si>
    <t>1d</t>
  </si>
  <si>
    <t>1e</t>
  </si>
  <si>
    <t>1f</t>
  </si>
  <si>
    <t>2a</t>
  </si>
  <si>
    <t>2b</t>
  </si>
  <si>
    <t>2c</t>
  </si>
  <si>
    <t>3a</t>
  </si>
  <si>
    <t>3b</t>
  </si>
  <si>
    <t>Diesel/Gas Fuel Comparison</t>
  </si>
  <si>
    <t>4a</t>
  </si>
  <si>
    <t>4b</t>
  </si>
  <si>
    <t>Avg Monthly Electric Bill</t>
  </si>
  <si>
    <t>Proposed EV Rates</t>
  </si>
  <si>
    <t>Calculated Daily Load Profile</t>
  </si>
  <si>
    <t>Year</t>
  </si>
  <si>
    <t>Rate Escalation</t>
  </si>
  <si>
    <t>Average Rate Over Lifespan</t>
  </si>
  <si>
    <t>Lifespan Periods</t>
  </si>
  <si>
    <t>Estimated Results</t>
  </si>
  <si>
    <t>Utilization:</t>
  </si>
  <si>
    <t>Time of Use:</t>
  </si>
  <si>
    <t>EV Fleet Rate Calculator Instructions</t>
  </si>
  <si>
    <t>Current Rate (2020+)</t>
  </si>
  <si>
    <t>Current Rate (2019)</t>
  </si>
  <si>
    <t>See 2020+ Estimate</t>
  </si>
  <si>
    <t>Suggestions to improve costs</t>
  </si>
  <si>
    <t>Avg $/kWh over lifetime (escalated)</t>
  </si>
  <si>
    <t>Avg $/kWh</t>
  </si>
  <si>
    <t>Note: Current Rates modeled in this tool do not calculate 30 minute off-peak/part-peak change at 8:30 a.m. and 9:30 p.m. or weekend/holiday TOU changes.</t>
  </si>
  <si>
    <t>Jan</t>
  </si>
  <si>
    <t>Feb</t>
  </si>
  <si>
    <t>Mar</t>
  </si>
  <si>
    <t>Apr</t>
  </si>
  <si>
    <t>May</t>
  </si>
  <si>
    <t>Jun</t>
  </si>
  <si>
    <t>Jul</t>
  </si>
  <si>
    <t>Aug</t>
  </si>
  <si>
    <t>Sep</t>
  </si>
  <si>
    <t>Oct</t>
  </si>
  <si>
    <t>Nov</t>
  </si>
  <si>
    <t>Dec</t>
  </si>
  <si>
    <t>Understanding Results by Rate:</t>
  </si>
  <si>
    <t>CEV Rate*
(Proposed)</t>
  </si>
  <si>
    <t>*Note: Commercial Electric Vehicle (CEV) Rate is currently a proposal that has not been approved by the California Public Utilities Commission. Rate estimates are provided only based on PG&amp;E's initial proposal.</t>
  </si>
  <si>
    <t>2d</t>
  </si>
  <si>
    <t>Optimized?</t>
  </si>
  <si>
    <t>Yes</t>
  </si>
  <si>
    <t>No</t>
  </si>
  <si>
    <t>Voltage?</t>
  </si>
  <si>
    <t>Primary</t>
  </si>
  <si>
    <t>Secondary</t>
  </si>
  <si>
    <t>Voltage Level</t>
  </si>
  <si>
    <r>
      <rPr>
        <b/>
        <sz val="11"/>
        <color theme="1"/>
        <rFont val="Calibri"/>
        <family val="2"/>
        <scheme val="minor"/>
      </rPr>
      <t>Number of electric vehicles</t>
    </r>
    <r>
      <rPr>
        <sz val="11"/>
        <color theme="1"/>
        <rFont val="Calibri"/>
        <family val="2"/>
        <scheme val="minor"/>
      </rPr>
      <t xml:space="preserve">
- Input number of EVs charging on separate utility service.</t>
    </r>
  </si>
  <si>
    <r>
      <rPr>
        <b/>
        <sz val="11"/>
        <color theme="1"/>
        <rFont val="Calibri"/>
        <family val="2"/>
        <scheme val="minor"/>
      </rPr>
      <t>Days in use per month</t>
    </r>
    <r>
      <rPr>
        <sz val="11"/>
        <color theme="1"/>
        <rFont val="Calibri"/>
        <family val="2"/>
        <scheme val="minor"/>
      </rPr>
      <t xml:space="preserve">
- Value must be between 0 and 31.</t>
    </r>
  </si>
  <si>
    <r>
      <rPr>
        <b/>
        <sz val="11"/>
        <color theme="1"/>
        <rFont val="Calibri"/>
        <family val="2"/>
        <scheme val="minor"/>
      </rPr>
      <t>Chargers installed</t>
    </r>
    <r>
      <rPr>
        <sz val="11"/>
        <color theme="1"/>
        <rFont val="Calibri"/>
        <family val="2"/>
        <scheme val="minor"/>
      </rPr>
      <t xml:space="preserve">
- This model defaults to one charger per EV (linked to Input 1a) ;Override if chargers planned to be shared by more than one vehicle.</t>
    </r>
  </si>
  <si>
    <r>
      <rPr>
        <b/>
        <sz val="11"/>
        <color theme="1"/>
        <rFont val="Calibri"/>
        <family val="2"/>
        <scheme val="minor"/>
      </rPr>
      <t>Charger power (kW per charger)</t>
    </r>
    <r>
      <rPr>
        <sz val="11"/>
        <color theme="1"/>
        <rFont val="Calibri"/>
        <family val="2"/>
        <scheme val="minor"/>
      </rPr>
      <t xml:space="preserve">
- Level 2 chargers typically range from 7-19 kW; Fast chargers are typically 50 kW and above.</t>
    </r>
  </si>
  <si>
    <r>
      <rPr>
        <b/>
        <sz val="11"/>
        <color theme="1"/>
        <rFont val="Calibri"/>
        <family val="2"/>
        <scheme val="minor"/>
      </rPr>
      <t>Fleet charging start hour (use 24hr clock value)</t>
    </r>
    <r>
      <rPr>
        <sz val="11"/>
        <color theme="1"/>
        <rFont val="Calibri"/>
        <family val="2"/>
        <scheme val="minor"/>
      </rPr>
      <t xml:space="preserve">
- Input the hour (0-23) charging is expected to begin. This calculator models charging as one block of time based on this starting hour.</t>
    </r>
  </si>
  <si>
    <r>
      <rPr>
        <b/>
        <sz val="11"/>
        <color theme="1"/>
        <rFont val="Calibri"/>
        <family val="2"/>
        <scheme val="minor"/>
      </rPr>
      <t>Primary or or secondary voltage utility service?</t>
    </r>
    <r>
      <rPr>
        <sz val="11"/>
        <color theme="1"/>
        <rFont val="Calibri"/>
        <family val="2"/>
        <scheme val="minor"/>
      </rPr>
      <t xml:space="preserve">
-Typically utility service is provided at secondary voltage. Some customers elect to receive service at higher "primary" voltage, operating their own secondary electrical equipment in exchange for lower energy rates.(Note: Primary not available for sites below 75 kW total power)</t>
    </r>
  </si>
  <si>
    <r>
      <rPr>
        <b/>
        <sz val="11"/>
        <color theme="1"/>
        <rFont val="Calibri"/>
        <family val="2"/>
        <scheme val="minor"/>
      </rPr>
      <t xml:space="preserve">Charging optimized?
</t>
    </r>
    <r>
      <rPr>
        <sz val="11"/>
        <color theme="1"/>
        <rFont val="Calibri"/>
        <family val="2"/>
        <scheme val="minor"/>
      </rPr>
      <t>-If "yes" is selected, model will spread charging evenly over all available hours at a lower power level; if "no", assumes chargers used at full power to charge as fast as possible.</t>
    </r>
  </si>
  <si>
    <r>
      <rPr>
        <b/>
        <sz val="11"/>
        <color theme="1"/>
        <rFont val="Calibri"/>
        <family val="2"/>
        <scheme val="minor"/>
      </rPr>
      <t>Charger losses</t>
    </r>
    <r>
      <rPr>
        <sz val="11"/>
        <color theme="1"/>
        <rFont val="Calibri"/>
        <family val="2"/>
        <scheme val="minor"/>
      </rPr>
      <t xml:space="preserve">
- Energy losses can occur between utility meter, charger, and vehicle battery; This might range from 10-20%, default value is 15%.</t>
    </r>
  </si>
  <si>
    <r>
      <rPr>
        <b/>
        <sz val="11"/>
        <color theme="1"/>
        <rFont val="Calibri"/>
        <family val="2"/>
        <scheme val="minor"/>
      </rPr>
      <t>Rate escalation (per year)</t>
    </r>
    <r>
      <rPr>
        <sz val="11"/>
        <color theme="1"/>
        <rFont val="Calibri"/>
        <family val="2"/>
        <scheme val="minor"/>
      </rPr>
      <t xml:space="preserve">
- This model assumes annual rate increases to account for typical escalation of utility rate values.Default value is 3.0%.</t>
    </r>
  </si>
  <si>
    <r>
      <rPr>
        <b/>
        <sz val="11"/>
        <color theme="1"/>
        <rFont val="Calibri"/>
        <family val="2"/>
        <scheme val="minor"/>
      </rPr>
      <t>Vehicle miles/gallon efficiency (MPG)</t>
    </r>
    <r>
      <rPr>
        <sz val="11"/>
        <color theme="1"/>
        <rFont val="Calibri"/>
        <family val="2"/>
        <scheme val="minor"/>
      </rPr>
      <t xml:space="preserve">
- Input MPG of gas/diesel vehicle being replaced to compare cost per mile in results.Default Value is 5.5.</t>
    </r>
  </si>
  <si>
    <t>2e</t>
  </si>
  <si>
    <t>2f</t>
  </si>
  <si>
    <t>Minimum charging hours</t>
  </si>
  <si>
    <r>
      <rPr>
        <b/>
        <sz val="11"/>
        <color theme="1"/>
        <rFont val="Calibri"/>
        <family val="2"/>
        <scheme val="minor"/>
      </rPr>
      <t>Current Rate (2020+)</t>
    </r>
    <r>
      <rPr>
        <sz val="11"/>
        <color theme="1"/>
        <rFont val="Calibri"/>
        <family val="2"/>
        <scheme val="minor"/>
      </rPr>
      <t>: Estimates costs based on approved rates, available starting November 2019; These rates have the same structure as 2019, but new time-of-use periods.</t>
    </r>
  </si>
  <si>
    <r>
      <rPr>
        <b/>
        <sz val="11"/>
        <color theme="1"/>
        <rFont val="Calibri"/>
        <family val="2"/>
        <scheme val="minor"/>
      </rPr>
      <t>CEV Rate (Proposed):</t>
    </r>
    <r>
      <rPr>
        <sz val="11"/>
        <color theme="1"/>
        <rFont val="Calibri"/>
        <family val="2"/>
        <scheme val="minor"/>
      </rPr>
      <t xml:space="preserve"> Estimates costs based on a new Commercial EV Rate proposal that PG&amp;E filed with the CPUC in 2018. This rate has not been reviewed or approved by the CPUC and final values, if approved, may be different from original proposal included in this model.</t>
    </r>
  </si>
  <si>
    <r>
      <rPr>
        <b/>
        <sz val="11"/>
        <color theme="1"/>
        <rFont val="Calibri"/>
        <family val="2"/>
        <scheme val="minor"/>
      </rPr>
      <t>Current Rate (2019)</t>
    </r>
    <r>
      <rPr>
        <sz val="11"/>
        <color theme="1"/>
        <rFont val="Calibri"/>
        <family val="2"/>
        <scheme val="minor"/>
      </rPr>
      <t>: Estimates costs based on the rates that are currently in effect as of January 2019. These rate structures will be available until November 2020, when they will transition to the 2020 rates, with new time-of use periods.</t>
    </r>
  </si>
  <si>
    <r>
      <rPr>
        <b/>
        <sz val="11"/>
        <color theme="1"/>
        <rFont val="Calibri"/>
        <family val="2"/>
        <scheme val="minor"/>
      </rPr>
      <t>Total available charging time (hours)</t>
    </r>
    <r>
      <rPr>
        <sz val="11"/>
        <color theme="1"/>
        <rFont val="Calibri"/>
        <family val="2"/>
        <scheme val="minor"/>
      </rPr>
      <t xml:space="preserve">
-Input the total number of hours vehicles are available to be charging. For example, if vehicles start charging at 10 p.m. and must be finished by 6 a.m., this value would be 8 hours. This value is used if the "Charging optimized" option is selected "Yes" below.</t>
    </r>
  </si>
  <si>
    <t>Current PG&amp;E Rates (01/01/2019)</t>
  </si>
  <si>
    <r>
      <rPr>
        <b/>
        <sz val="11"/>
        <color rgb="FFFF0000"/>
        <rFont val="Calibri"/>
        <family val="2"/>
        <scheme val="minor"/>
      </rPr>
      <t>Version and Rate Values Current through January 30, 2019</t>
    </r>
    <r>
      <rPr>
        <b/>
        <sz val="11"/>
        <color theme="1"/>
        <rFont val="Calibri"/>
        <family val="2"/>
        <scheme val="minor"/>
      </rPr>
      <t xml:space="preserve">
</t>
    </r>
    <r>
      <rPr>
        <b/>
        <sz val="11"/>
        <color rgb="FFFF0000"/>
        <rFont val="Calibri"/>
        <family val="2"/>
        <scheme val="minor"/>
      </rPr>
      <t>DISCLAIMER</t>
    </r>
    <r>
      <rPr>
        <b/>
        <sz val="11"/>
        <color theme="1"/>
        <rFont val="Calibri"/>
        <family val="2"/>
        <scheme val="minor"/>
      </rPr>
      <t>: The models in this worksheet are intended to provide an illustrative estimate of vehicle charging costs and do not represent a representation or recommendation by PG&amp;E. It does not include real usage data, or other fees such as local utility user taxes and other taxes, surcharges, fees, or adjustments. As a result the cost comparison displayed in the chart will not reflect all of the charges on your bill.
PG&amp;E cannot guarantee the accuracy, completeness, or usefulness of rate information or the estimated cost information displayed.  PG&amp;E expressly disclaims any and all liability for any damages of any nature (including direct, indirect, incidental, and consequential) arising in connection with the use of the rate comparisons and arising in connection with the use of the estimated bill comparison.</t>
    </r>
  </si>
  <si>
    <t>Estimated General Rate Case approved rates going into effect Nov. 2019</t>
  </si>
  <si>
    <t>Currently available PG&amp;E rates, available until Nov. 2019.</t>
  </si>
  <si>
    <r>
      <t xml:space="preserve">Note: Current Rates modeled in this tool do not calculate </t>
    </r>
    <r>
      <rPr>
        <i/>
        <sz val="11"/>
        <color rgb="FFFF0000"/>
        <rFont val="Calibri"/>
        <family val="2"/>
        <scheme val="minor"/>
      </rPr>
      <t>30 minute off-peak/part-peak change</t>
    </r>
    <r>
      <rPr>
        <i/>
        <sz val="11"/>
        <color theme="1"/>
        <rFont val="Calibri"/>
        <family val="2"/>
        <scheme val="minor"/>
      </rPr>
      <t xml:space="preserve"> at 8:30 a.m. and 9:30 p.m. or weekend/holiday TOU changes.</t>
    </r>
  </si>
  <si>
    <t>Avg Fuel Cost/Mile</t>
  </si>
  <si>
    <r>
      <rPr>
        <b/>
        <sz val="11"/>
        <color theme="1"/>
        <rFont val="Calibri"/>
        <family val="2"/>
        <scheme val="minor"/>
      </rPr>
      <t>Vehicle drive efficiency (kWh/mile)</t>
    </r>
    <r>
      <rPr>
        <sz val="11"/>
        <color theme="1"/>
        <rFont val="Calibri"/>
        <family val="2"/>
        <scheme val="minor"/>
      </rPr>
      <t xml:space="preserve">
- Light duty passenger cars typically range from 0.25-0.35 kWh/mile. Vans and light trucks typically range from 0.8-1.4 kWh/mile. Heavier trucks and buses range from 1.6-2.2 kWh/mile.</t>
    </r>
  </si>
  <si>
    <r>
      <rPr>
        <b/>
        <sz val="11"/>
        <color theme="1"/>
        <rFont val="Calibri"/>
        <family val="2"/>
        <scheme val="minor"/>
      </rPr>
      <t>Expected vehicle lifespan (years)</t>
    </r>
    <r>
      <rPr>
        <sz val="11"/>
        <color theme="1"/>
        <rFont val="Calibri"/>
        <family val="2"/>
        <scheme val="minor"/>
      </rPr>
      <t xml:space="preserve">
- Maximum value for this model is 20 years.</t>
    </r>
  </si>
  <si>
    <r>
      <rPr>
        <b/>
        <sz val="11"/>
        <color theme="1"/>
        <rFont val="Calibri"/>
        <family val="2"/>
        <scheme val="minor"/>
      </rPr>
      <t>Optional: Other &amp; Non-Vehicle EV loads (kWh/day)</t>
    </r>
    <r>
      <rPr>
        <sz val="11"/>
        <color theme="1"/>
        <rFont val="Calibri"/>
        <family val="2"/>
        <scheme val="minor"/>
      </rPr>
      <t xml:space="preserve">
- For vehicles or technologies that do not follow the miles traveled input logic (such as eTRU), or for vehicles with non-road auxiliary loads, kWh energy usage can be input in this row. If inputting kWh usage here, inputs 1a, 1b, and 1c can be left blank.</t>
    </r>
  </si>
  <si>
    <r>
      <t xml:space="preserve">This calculator tool is designed to help fleets evaluate estimated EV charging costs for fleet vehicles charging on PG&amp;E's electric rates. The tool captures inputs for vehicle types, usage, and charging to estimate potential average electricity costs over the expected vehicle lifespan.
</t>
    </r>
    <r>
      <rPr>
        <b/>
        <sz val="11"/>
        <color theme="1"/>
        <rFont val="Calibri"/>
        <family val="2"/>
        <scheme val="minor"/>
      </rPr>
      <t>Tabs (below):</t>
    </r>
    <r>
      <rPr>
        <sz val="11"/>
        <color theme="1"/>
        <rFont val="Calibri"/>
        <family val="2"/>
        <scheme val="minor"/>
      </rPr>
      <t xml:space="preserve">
</t>
    </r>
    <r>
      <rPr>
        <b/>
        <sz val="11"/>
        <color theme="1"/>
        <rFont val="Calibri"/>
        <family val="2"/>
        <scheme val="minor"/>
      </rPr>
      <t>-Inputs and Results:</t>
    </r>
    <r>
      <rPr>
        <sz val="11"/>
        <color theme="1"/>
        <rFont val="Calibri"/>
        <family val="2"/>
        <scheme val="minor"/>
      </rPr>
      <t xml:space="preserve"> This is the main calculator tab. Users should input their values in</t>
    </r>
    <r>
      <rPr>
        <b/>
        <sz val="11"/>
        <color rgb="FF00B0F0"/>
        <rFont val="Calibri"/>
        <family val="2"/>
        <scheme val="minor"/>
      </rPr>
      <t xml:space="preserve"> all blue highlighted cells on the left.</t>
    </r>
    <r>
      <rPr>
        <sz val="11"/>
        <color theme="1"/>
        <rFont val="Calibri"/>
        <family val="2"/>
        <scheme val="minor"/>
      </rPr>
      <t xml:space="preserve"> Results will apear in the </t>
    </r>
    <r>
      <rPr>
        <b/>
        <sz val="11"/>
        <color theme="5"/>
        <rFont val="Calibri"/>
        <family val="2"/>
        <scheme val="minor"/>
      </rPr>
      <t xml:space="preserve">orange highlighted cells on the right. </t>
    </r>
    <r>
      <rPr>
        <sz val="11"/>
        <rFont val="Calibri"/>
        <family val="2"/>
        <scheme val="minor"/>
      </rPr>
      <t>Additional information and suggestions to improve costs are below the orange results. For more complex usage modeling, Hourly energy inputs can be entered at the bottom of the page. 
-</t>
    </r>
    <r>
      <rPr>
        <b/>
        <sz val="11"/>
        <rFont val="Calibri"/>
        <family val="2"/>
        <scheme val="minor"/>
      </rPr>
      <t xml:space="preserve">Calculations: </t>
    </r>
    <r>
      <rPr>
        <sz val="11"/>
        <rFont val="Calibri"/>
        <family val="2"/>
        <scheme val="minor"/>
      </rPr>
      <t xml:space="preserve">This tab computes the results based on the inputs entered on the previous tab. Users interested in understanding more about the rates can view calculations on this page. No action is needed on this tab.
</t>
    </r>
    <r>
      <rPr>
        <b/>
        <sz val="11"/>
        <rFont val="Calibri"/>
        <family val="2"/>
        <scheme val="minor"/>
      </rPr>
      <t xml:space="preserve">-Rate Values: </t>
    </r>
    <r>
      <rPr>
        <sz val="11"/>
        <rFont val="Calibri"/>
        <family val="2"/>
        <scheme val="minor"/>
      </rPr>
      <t xml:space="preserve">These tabs contains the approved and proposed rate values and time of use hours for PG&amp;E's applicable commercial rate schedules. The Rate Values (S) tab contains secondary voltage rates, while the Rate Values (P) tab contains the less common primary voltage rates. No action is needed on these tabs; they is used for reference in calculations.
</t>
    </r>
    <r>
      <rPr>
        <b/>
        <sz val="11"/>
        <rFont val="Calibri"/>
        <family val="2"/>
        <scheme val="minor"/>
      </rPr>
      <t xml:space="preserve">- Historical Gas &amp; Diesel Price: </t>
    </r>
    <r>
      <rPr>
        <sz val="11"/>
        <rFont val="Calibri"/>
        <family val="2"/>
        <scheme val="minor"/>
      </rPr>
      <t xml:space="preserve">This tab contains data from the Energy Information Administration (EIA) on California historical fossil fuel prices.  No action is needed on this tab; it is used for reference in calculations.
</t>
    </r>
    <r>
      <rPr>
        <b/>
        <sz val="11"/>
        <color theme="5"/>
        <rFont val="Calibri"/>
        <family val="2"/>
        <scheme val="minor"/>
      </rPr>
      <t xml:space="preserve">
</t>
    </r>
    <r>
      <rPr>
        <b/>
        <sz val="11"/>
        <rFont val="Calibri"/>
        <family val="2"/>
        <scheme val="minor"/>
      </rPr>
      <t>Notes:
1.</t>
    </r>
    <r>
      <rPr>
        <sz val="11"/>
        <rFont val="Calibri"/>
        <family val="2"/>
        <scheme val="minor"/>
      </rPr>
      <t xml:space="preserve"> This model provides estimates for PG&amp;E's currently approved rate structures, and a proposed Commercial EV (CEV) Rate, which has not been approved by the CPUC. This Proposed CEV rate, or an altered version of it, may be available at a later date, and is provided only as an estimate to help fleets understand potential new rate options that may become available in the future.</t>
    </r>
    <r>
      <rPr>
        <b/>
        <sz val="11"/>
        <rFont val="Calibri"/>
        <family val="2"/>
        <scheme val="minor"/>
      </rPr>
      <t xml:space="preserve">
2. </t>
    </r>
    <r>
      <rPr>
        <sz val="11"/>
        <rFont val="Calibri"/>
        <family val="2"/>
        <scheme val="minor"/>
      </rPr>
      <t xml:space="preserve">This tool does not factor in any existing building or facility electric usage, and is only designed to estimate standalone charging costs, where EV loads are metered separately from other electric usage.
</t>
    </r>
    <r>
      <rPr>
        <b/>
        <sz val="11"/>
        <rFont val="Calibri"/>
        <family val="2"/>
        <scheme val="minor"/>
      </rPr>
      <t>3.</t>
    </r>
    <r>
      <rPr>
        <sz val="11"/>
        <rFont val="Calibri"/>
        <family val="2"/>
        <scheme val="minor"/>
      </rPr>
      <t xml:space="preserve"> Charging patterns are simplified to estimate vehicle or fleet charging is one continuous block based on fleet charging start time. More complicated charging patterns will require separate analysis.
</t>
    </r>
    <r>
      <rPr>
        <b/>
        <sz val="11"/>
        <rFont val="Calibri"/>
        <family val="2"/>
        <scheme val="minor"/>
      </rPr>
      <t>4.</t>
    </r>
    <r>
      <rPr>
        <sz val="11"/>
        <rFont val="Calibri"/>
        <family val="2"/>
        <scheme val="minor"/>
      </rPr>
      <t xml:space="preserve"> PG&amp;E's current time-of-use rates, which will remain in effect until November 2019, have slightly different rate periods on weekends and holidays; this model assumes all charging based on weekday rates. After 11/2019, rates will be consistent all 7 days of the week, but will add a super-off-peak period mid day during March-May. This is not factored into the charging cost estimates.
</t>
    </r>
    <r>
      <rPr>
        <b/>
        <sz val="11"/>
        <rFont val="Calibri"/>
        <family val="2"/>
        <scheme val="minor"/>
      </rPr>
      <t>5</t>
    </r>
    <r>
      <rPr>
        <sz val="11"/>
        <rFont val="Calibri"/>
        <family val="2"/>
        <scheme val="minor"/>
      </rPr>
      <t xml:space="preserve">. Cells with a red-arrow in the top corner have additional notes; hover over those cells to see additional detail.
</t>
    </r>
  </si>
  <si>
    <t>Proposed CEV Rates currently under consideration by the CPUC</t>
  </si>
  <si>
    <t>Enter Value</t>
  </si>
  <si>
    <r>
      <rPr>
        <b/>
        <sz val="11"/>
        <color theme="1"/>
        <rFont val="Calibri"/>
        <family val="2"/>
        <scheme val="minor"/>
      </rPr>
      <t>Cost per gallon of diesel/gas</t>
    </r>
    <r>
      <rPr>
        <sz val="11"/>
        <color theme="1"/>
        <rFont val="Calibri"/>
        <family val="2"/>
        <scheme val="minor"/>
      </rPr>
      <t xml:space="preserve">
- Default value is  $3.88, based on 12 months of historical California Diesel prices, from the Energy Information Administration.</t>
    </r>
  </si>
  <si>
    <t>Proposed CEV Rates (Under consideration)</t>
  </si>
  <si>
    <t>Approved GRC Phase 2 Rates (Late 2019 availability)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</si>
</sst>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quot;$&quot;#,##0.00"/>
    <numFmt numFmtId="169" formatCode="&quot;$&quot;#,##0.00000"/>
    <numFmt numFmtId="170" formatCode="&quot;$&quot;#,##0"/>
    <numFmt numFmtId="171" formatCode="&quot;$&quot;#,##0.0000_);\(&quot;$&quot;#,##0.0000\)"/>
    <numFmt numFmtId="172"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9"/>
      <color theme="1"/>
      <name val="Arial"/>
      <family val="2"/>
    </font>
    <font>
      <sz val="9"/>
      <color theme="1"/>
      <name val="Times New Roman"/>
      <family val="1"/>
    </font>
    <font>
      <i/>
      <sz val="11"/>
      <color theme="1"/>
      <name val="Calibri"/>
      <family val="2"/>
      <scheme val="minor"/>
    </font>
    <font>
      <sz val="11"/>
      <name val="Calibri"/>
      <family val="2"/>
      <scheme val="minor"/>
    </font>
    <font>
      <u/>
      <sz val="11"/>
      <color theme="1"/>
      <name val="Calibri"/>
      <family val="2"/>
      <scheme val="minor"/>
    </font>
    <font>
      <u/>
      <sz val="11"/>
      <color theme="10"/>
      <name val="Calibri"/>
      <family val="2"/>
      <scheme val="minor"/>
    </font>
    <font>
      <sz val="11"/>
      <color rgb="FFFF0000"/>
      <name val="Calibri"/>
      <family val="2"/>
      <scheme val="minor"/>
    </font>
    <font>
      <sz val="11"/>
      <color theme="0" tint="-4.9989318521683403E-2"/>
      <name val="Calibri"/>
      <family val="2"/>
      <scheme val="minor"/>
    </font>
    <font>
      <sz val="11"/>
      <color theme="0"/>
      <name val="Calibri"/>
      <family val="2"/>
      <scheme val="minor"/>
    </font>
    <font>
      <b/>
      <i/>
      <sz val="14"/>
      <color theme="1"/>
      <name val="Calibri"/>
      <family val="2"/>
      <scheme val="minor"/>
    </font>
    <font>
      <b/>
      <sz val="11"/>
      <color theme="5"/>
      <name val="Calibri"/>
      <family val="2"/>
      <scheme val="minor"/>
    </font>
    <font>
      <b/>
      <sz val="11"/>
      <name val="Calibri"/>
      <family val="2"/>
      <scheme val="minor"/>
    </font>
    <font>
      <b/>
      <sz val="14"/>
      <color theme="1"/>
      <name val="Calibri"/>
      <family val="2"/>
      <scheme val="minor"/>
    </font>
    <font>
      <b/>
      <sz val="11"/>
      <color rgb="FF00B0F0"/>
      <name val="Calibri"/>
      <family val="2"/>
      <scheme val="minor"/>
    </font>
    <font>
      <i/>
      <sz val="14"/>
      <color theme="1"/>
      <name val="Calibri"/>
      <family val="2"/>
      <scheme val="minor"/>
    </font>
    <font>
      <sz val="10"/>
      <color theme="1"/>
      <name val="Calibri"/>
      <family val="2"/>
      <scheme val="minor"/>
    </font>
    <font>
      <sz val="9"/>
      <color indexed="81"/>
      <name val="Tahoma"/>
      <family val="2"/>
    </font>
    <font>
      <b/>
      <sz val="9"/>
      <color indexed="81"/>
      <name val="Tahoma"/>
      <family val="2"/>
    </font>
    <font>
      <i/>
      <sz val="11"/>
      <color rgb="FFFF0000"/>
      <name val="Calibri"/>
      <family val="2"/>
      <scheme val="minor"/>
    </font>
  </fonts>
  <fills count="1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DDDDDD"/>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D9D9D9"/>
        <bgColor indexed="64"/>
      </patternFill>
    </fill>
    <fill>
      <patternFill patternType="solid">
        <fgColor theme="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FFA1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14999847407452621"/>
      </right>
      <top style="thin">
        <color indexed="64"/>
      </top>
      <bottom/>
      <diagonal/>
    </border>
    <border>
      <left style="medium">
        <color indexed="64"/>
      </left>
      <right style="thin">
        <color theme="0" tint="-0.14999847407452621"/>
      </right>
      <top/>
      <bottom/>
      <diagonal/>
    </border>
    <border>
      <left/>
      <right/>
      <top style="medium">
        <color indexed="64"/>
      </top>
      <bottom style="medium">
        <color indexed="64"/>
      </bottom>
      <diagonal/>
    </border>
    <border>
      <left/>
      <right/>
      <top style="thin">
        <color indexed="64"/>
      </top>
      <bottom/>
      <diagonal/>
    </border>
    <border>
      <left style="medium">
        <color indexed="64"/>
      </left>
      <right/>
      <top style="thin">
        <color indexed="64"/>
      </top>
      <bottom style="hair">
        <color theme="0" tint="-0.249977111117893"/>
      </bottom>
      <diagonal/>
    </border>
    <border>
      <left/>
      <right/>
      <top style="thin">
        <color indexed="64"/>
      </top>
      <bottom style="hair">
        <color theme="0" tint="-0.249977111117893"/>
      </bottom>
      <diagonal/>
    </border>
    <border>
      <left style="medium">
        <color indexed="64"/>
      </left>
      <right/>
      <top style="hair">
        <color theme="0" tint="-0.249977111117893"/>
      </top>
      <bottom style="hair">
        <color theme="0" tint="-0.249977111117893"/>
      </bottom>
      <diagonal/>
    </border>
    <border>
      <left/>
      <right/>
      <top style="hair">
        <color theme="0" tint="-0.249977111117893"/>
      </top>
      <bottom style="hair">
        <color theme="0" tint="-0.249977111117893"/>
      </bottom>
      <diagonal/>
    </border>
    <border>
      <left style="medium">
        <color indexed="64"/>
      </left>
      <right/>
      <top/>
      <bottom style="hair">
        <color theme="0" tint="-0.249977111117893"/>
      </bottom>
      <diagonal/>
    </border>
    <border>
      <left/>
      <right/>
      <top/>
      <bottom style="hair">
        <color theme="0" tint="-0.249977111117893"/>
      </bottom>
      <diagonal/>
    </border>
    <border>
      <left/>
      <right style="medium">
        <color indexed="64"/>
      </right>
      <top/>
      <bottom style="hair">
        <color theme="0" tint="-0.249977111117893"/>
      </bottom>
      <diagonal/>
    </border>
    <border>
      <left style="thin">
        <color indexed="64"/>
      </left>
      <right style="thin">
        <color indexed="64"/>
      </right>
      <top/>
      <bottom style="hair">
        <color theme="0" tint="-0.249977111117893"/>
      </bottom>
      <diagonal/>
    </border>
    <border>
      <left style="thin">
        <color indexed="64"/>
      </left>
      <right style="thin">
        <color indexed="64"/>
      </right>
      <top style="hair">
        <color theme="0" tint="-0.249977111117893"/>
      </top>
      <bottom style="hair">
        <color theme="0" tint="-0.249977111117893"/>
      </bottom>
      <diagonal/>
    </border>
    <border>
      <left/>
      <right style="medium">
        <color indexed="64"/>
      </right>
      <top style="hair">
        <color theme="0" tint="-0.249977111117893"/>
      </top>
      <bottom style="hair">
        <color theme="0" tint="-0.249977111117893"/>
      </bottom>
      <diagonal/>
    </border>
    <border>
      <left style="medium">
        <color indexed="64"/>
      </left>
      <right/>
      <top style="hair">
        <color theme="0" tint="-0.249977111117893"/>
      </top>
      <bottom style="medium">
        <color indexed="64"/>
      </bottom>
      <diagonal/>
    </border>
    <border>
      <left/>
      <right/>
      <top style="hair">
        <color theme="0" tint="-0.249977111117893"/>
      </top>
      <bottom style="medium">
        <color indexed="64"/>
      </bottom>
      <diagonal/>
    </border>
    <border>
      <left/>
      <right style="medium">
        <color indexed="64"/>
      </right>
      <top style="hair">
        <color theme="0" tint="-0.249977111117893"/>
      </top>
      <bottom style="medium">
        <color indexed="64"/>
      </bottom>
      <diagonal/>
    </border>
    <border>
      <left/>
      <right style="medium">
        <color indexed="64"/>
      </right>
      <top style="thin">
        <color indexed="64"/>
      </top>
      <bottom style="hair">
        <color theme="0" tint="-0.249977111117893"/>
      </bottom>
      <diagonal/>
    </border>
    <border>
      <left style="medium">
        <color indexed="64"/>
      </left>
      <right/>
      <top style="hair">
        <color theme="0" tint="-0.249977111117893"/>
      </top>
      <bottom/>
      <diagonal/>
    </border>
    <border>
      <left/>
      <right/>
      <top style="hair">
        <color theme="0" tint="-0.249977111117893"/>
      </top>
      <bottom/>
      <diagonal/>
    </border>
    <border>
      <left style="thin">
        <color indexed="64"/>
      </left>
      <right style="medium">
        <color indexed="64"/>
      </right>
      <top/>
      <bottom/>
      <diagonal/>
    </border>
    <border>
      <left/>
      <right style="thin">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345">
    <xf numFmtId="0" fontId="0" fillId="0" borderId="0" xfId="0"/>
    <xf numFmtId="165" fontId="0" fillId="0" borderId="0" xfId="0" applyNumberFormat="1" applyBorder="1"/>
    <xf numFmtId="10" fontId="0" fillId="0" borderId="0" xfId="0" applyNumberFormat="1"/>
    <xf numFmtId="9" fontId="0" fillId="0" borderId="0" xfId="3" applyFont="1"/>
    <xf numFmtId="0" fontId="0" fillId="0" borderId="0" xfId="0" applyAlignment="1">
      <alignment horizontal="left"/>
    </xf>
    <xf numFmtId="0" fontId="0" fillId="0" borderId="0" xfId="0" applyNumberFormat="1"/>
    <xf numFmtId="9" fontId="0" fillId="0" borderId="0" xfId="0" applyNumberFormat="1"/>
    <xf numFmtId="165" fontId="0" fillId="0" borderId="0" xfId="0" applyNumberFormat="1"/>
    <xf numFmtId="43" fontId="0" fillId="0" borderId="0" xfId="0" applyNumberFormat="1"/>
    <xf numFmtId="7" fontId="0" fillId="0" borderId="0" xfId="0" applyNumberFormat="1"/>
    <xf numFmtId="0" fontId="0" fillId="0" borderId="12" xfId="0" applyBorder="1"/>
    <xf numFmtId="0" fontId="0" fillId="0" borderId="14" xfId="0" applyBorder="1"/>
    <xf numFmtId="0" fontId="4" fillId="4" borderId="0" xfId="0" applyFont="1" applyFill="1" applyAlignment="1">
      <alignment horizontal="center" vertical="center" wrapText="1"/>
    </xf>
    <xf numFmtId="0" fontId="5" fillId="0" borderId="0" xfId="0" applyFont="1" applyAlignment="1">
      <alignment horizontal="right" vertical="center" wrapText="1"/>
    </xf>
    <xf numFmtId="44" fontId="0" fillId="0" borderId="0" xfId="2" applyFont="1"/>
    <xf numFmtId="0" fontId="6" fillId="0" borderId="0" xfId="0" applyFont="1"/>
    <xf numFmtId="1" fontId="7" fillId="0" borderId="0" xfId="0" applyNumberFormat="1" applyFont="1" applyBorder="1"/>
    <xf numFmtId="0" fontId="0" fillId="0" borderId="0" xfId="0" applyFill="1"/>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0" fillId="0" borderId="0" xfId="0" applyAlignment="1">
      <alignment horizontal="left" indent="2"/>
    </xf>
    <xf numFmtId="166" fontId="0" fillId="0" borderId="0" xfId="2" applyNumberFormat="1" applyFont="1"/>
    <xf numFmtId="0" fontId="0" fillId="0" borderId="14" xfId="0" applyBorder="1" applyAlignment="1">
      <alignment horizontal="left"/>
    </xf>
    <xf numFmtId="165" fontId="0" fillId="0" borderId="13" xfId="0" applyNumberFormat="1" applyBorder="1"/>
    <xf numFmtId="0" fontId="0" fillId="0" borderId="18" xfId="0" applyBorder="1"/>
    <xf numFmtId="0" fontId="2" fillId="0" borderId="2" xfId="0" applyFont="1" applyFill="1" applyBorder="1"/>
    <xf numFmtId="0" fontId="0" fillId="0" borderId="3" xfId="0" applyFill="1" applyBorder="1" applyAlignment="1">
      <alignment horizontal="center"/>
    </xf>
    <xf numFmtId="0" fontId="2" fillId="0" borderId="6" xfId="0" applyFont="1" applyFill="1" applyBorder="1"/>
    <xf numFmtId="0" fontId="0" fillId="0" borderId="8" xfId="0" applyFill="1" applyBorder="1" applyAlignment="1">
      <alignment horizontal="center"/>
    </xf>
    <xf numFmtId="1" fontId="7" fillId="0" borderId="0" xfId="0" applyNumberFormat="1" applyFont="1" applyFill="1" applyBorder="1"/>
    <xf numFmtId="0" fontId="0" fillId="6" borderId="4" xfId="0" applyFill="1" applyBorder="1" applyAlignment="1">
      <alignment horizontal="center"/>
    </xf>
    <xf numFmtId="0" fontId="0" fillId="6" borderId="5" xfId="0" applyFill="1" applyBorder="1" applyAlignment="1">
      <alignment horizontal="center"/>
    </xf>
    <xf numFmtId="7" fontId="0" fillId="6" borderId="4" xfId="2" applyNumberFormat="1" applyFont="1" applyFill="1" applyBorder="1" applyAlignment="1">
      <alignment horizontal="center"/>
    </xf>
    <xf numFmtId="7" fontId="0" fillId="6" borderId="5" xfId="2" applyNumberFormat="1" applyFont="1" applyFill="1" applyBorder="1" applyAlignment="1">
      <alignment horizontal="center"/>
    </xf>
    <xf numFmtId="0" fontId="0" fillId="6" borderId="0" xfId="0" applyFill="1" applyBorder="1"/>
    <xf numFmtId="0" fontId="2" fillId="6" borderId="1" xfId="0" applyFont="1" applyFill="1" applyBorder="1" applyAlignment="1">
      <alignment horizontal="centerContinuous"/>
    </xf>
    <xf numFmtId="0" fontId="2" fillId="6" borderId="1" xfId="0" applyFont="1" applyFill="1" applyBorder="1" applyAlignment="1">
      <alignment horizontal="center"/>
    </xf>
    <xf numFmtId="5" fontId="0" fillId="6" borderId="1" xfId="0" applyNumberFormat="1" applyFont="1" applyFill="1" applyBorder="1" applyAlignment="1">
      <alignment horizontal="centerContinuous"/>
    </xf>
    <xf numFmtId="5" fontId="0" fillId="6" borderId="1" xfId="0" applyNumberFormat="1" applyFont="1" applyFill="1" applyBorder="1" applyAlignment="1">
      <alignment horizontal="center"/>
    </xf>
    <xf numFmtId="7" fontId="0" fillId="6" borderId="1" xfId="2" applyNumberFormat="1" applyFont="1" applyFill="1" applyBorder="1" applyAlignment="1">
      <alignment horizontal="center"/>
    </xf>
    <xf numFmtId="7" fontId="0" fillId="6" borderId="1" xfId="0" applyNumberFormat="1" applyFill="1" applyBorder="1" applyAlignment="1">
      <alignment horizontal="center"/>
    </xf>
    <xf numFmtId="5" fontId="0" fillId="6" borderId="1" xfId="2" applyNumberFormat="1" applyFont="1" applyFill="1" applyBorder="1" applyAlignment="1">
      <alignment horizontal="center"/>
    </xf>
    <xf numFmtId="0" fontId="0" fillId="6" borderId="13" xfId="0" applyFill="1" applyBorder="1"/>
    <xf numFmtId="0" fontId="0" fillId="6" borderId="12" xfId="0" applyFill="1" applyBorder="1"/>
    <xf numFmtId="0" fontId="0" fillId="6" borderId="20" xfId="0" applyFill="1" applyBorder="1" applyAlignment="1">
      <alignment horizontal="center"/>
    </xf>
    <xf numFmtId="0" fontId="0" fillId="6" borderId="21" xfId="0" applyFill="1" applyBorder="1" applyAlignment="1">
      <alignment horizontal="center"/>
    </xf>
    <xf numFmtId="0" fontId="0" fillId="6" borderId="13" xfId="0" applyFill="1" applyBorder="1" applyAlignment="1">
      <alignment horizontal="center"/>
    </xf>
    <xf numFmtId="0" fontId="0" fillId="6" borderId="21" xfId="0" applyFill="1" applyBorder="1" applyAlignment="1">
      <alignment horizontal="left"/>
    </xf>
    <xf numFmtId="7" fontId="0" fillId="6" borderId="13" xfId="2" applyNumberFormat="1" applyFont="1" applyFill="1" applyBorder="1" applyAlignment="1">
      <alignment horizontal="center"/>
    </xf>
    <xf numFmtId="0" fontId="0" fillId="6" borderId="22" xfId="0" applyFill="1" applyBorder="1" applyAlignment="1">
      <alignment horizontal="left"/>
    </xf>
    <xf numFmtId="0" fontId="0" fillId="6" borderId="21" xfId="0" applyFill="1" applyBorder="1"/>
    <xf numFmtId="166" fontId="2" fillId="6" borderId="22" xfId="0" applyNumberFormat="1" applyFont="1" applyFill="1" applyBorder="1"/>
    <xf numFmtId="0" fontId="0" fillId="6" borderId="23" xfId="0" applyFill="1" applyBorder="1"/>
    <xf numFmtId="0" fontId="2" fillId="6" borderId="13" xfId="0" applyFont="1" applyFill="1" applyBorder="1" applyAlignment="1">
      <alignment horizontal="centerContinuous"/>
    </xf>
    <xf numFmtId="0" fontId="0" fillId="6" borderId="14" xfId="0" applyFill="1" applyBorder="1"/>
    <xf numFmtId="0" fontId="0" fillId="6" borderId="15" xfId="0" applyFill="1" applyBorder="1"/>
    <xf numFmtId="5" fontId="0" fillId="6" borderId="26" xfId="0" applyNumberFormat="1" applyFill="1" applyBorder="1"/>
    <xf numFmtId="5" fontId="0" fillId="6" borderId="4" xfId="2" applyNumberFormat="1" applyFont="1" applyFill="1" applyBorder="1" applyAlignment="1">
      <alignment horizontal="center"/>
    </xf>
    <xf numFmtId="170" fontId="0" fillId="0" borderId="0" xfId="0" applyNumberFormat="1"/>
    <xf numFmtId="0" fontId="8" fillId="0" borderId="0" xfId="0" applyFont="1"/>
    <xf numFmtId="166" fontId="2" fillId="6" borderId="12" xfId="0" applyNumberFormat="1" applyFont="1" applyFill="1" applyBorder="1"/>
    <xf numFmtId="5" fontId="2" fillId="6" borderId="0" xfId="0" applyNumberFormat="1" applyFont="1" applyFill="1" applyBorder="1" applyAlignment="1">
      <alignment horizontal="right"/>
    </xf>
    <xf numFmtId="5" fontId="2" fillId="6" borderId="13" xfId="0" applyNumberFormat="1" applyFont="1" applyFill="1" applyBorder="1" applyAlignment="1">
      <alignment horizontal="right"/>
    </xf>
    <xf numFmtId="0" fontId="0" fillId="6" borderId="12" xfId="0" applyFill="1" applyBorder="1" applyAlignment="1">
      <alignment horizontal="left"/>
    </xf>
    <xf numFmtId="170" fontId="0" fillId="6" borderId="0" xfId="2" applyNumberFormat="1" applyFont="1" applyFill="1" applyBorder="1" applyAlignment="1">
      <alignment horizontal="center"/>
    </xf>
    <xf numFmtId="170" fontId="0" fillId="6" borderId="0" xfId="0" applyNumberFormat="1" applyFill="1" applyBorder="1" applyAlignment="1">
      <alignment horizontal="center"/>
    </xf>
    <xf numFmtId="170" fontId="0" fillId="6" borderId="13" xfId="0" applyNumberFormat="1" applyFill="1" applyBorder="1" applyAlignment="1">
      <alignment horizontal="center"/>
    </xf>
    <xf numFmtId="0" fontId="0" fillId="0" borderId="12" xfId="0" applyFont="1" applyBorder="1"/>
    <xf numFmtId="0" fontId="6" fillId="6" borderId="12" xfId="0" applyFont="1" applyFill="1" applyBorder="1"/>
    <xf numFmtId="0" fontId="2" fillId="6" borderId="13" xfId="0" applyFont="1" applyFill="1" applyBorder="1" applyAlignment="1">
      <alignment horizontal="center"/>
    </xf>
    <xf numFmtId="7" fontId="0" fillId="6" borderId="8" xfId="2" applyNumberFormat="1" applyFont="1" applyFill="1" applyBorder="1" applyAlignment="1">
      <alignment horizontal="center"/>
    </xf>
    <xf numFmtId="0" fontId="0" fillId="6" borderId="28" xfId="0" applyFill="1" applyBorder="1" applyAlignment="1">
      <alignment horizontal="center"/>
    </xf>
    <xf numFmtId="0" fontId="0" fillId="6" borderId="12" xfId="0" applyFill="1" applyBorder="1" applyAlignment="1">
      <alignment horizontal="center"/>
    </xf>
    <xf numFmtId="0" fontId="0" fillId="6" borderId="18" xfId="0" applyFill="1" applyBorder="1" applyAlignment="1">
      <alignment horizontal="left"/>
    </xf>
    <xf numFmtId="7" fontId="0" fillId="6" borderId="6" xfId="2" applyNumberFormat="1" applyFont="1" applyFill="1" applyBorder="1" applyAlignment="1">
      <alignment horizontal="center"/>
    </xf>
    <xf numFmtId="169" fontId="0" fillId="0" borderId="0" xfId="0" applyNumberFormat="1" applyFont="1" applyFill="1" applyBorder="1" applyAlignment="1">
      <alignment horizontal="center"/>
    </xf>
    <xf numFmtId="0" fontId="0" fillId="0" borderId="0" xfId="0" applyAlignment="1">
      <alignment horizontal="left" indent="1"/>
    </xf>
    <xf numFmtId="168" fontId="0" fillId="0" borderId="0" xfId="2" applyNumberFormat="1" applyFont="1" applyBorder="1" applyAlignment="1">
      <alignment horizontal="center"/>
    </xf>
    <xf numFmtId="169" fontId="0" fillId="8" borderId="0" xfId="2" applyNumberFormat="1" applyFont="1" applyFill="1" applyBorder="1" applyAlignment="1">
      <alignment horizontal="center"/>
    </xf>
    <xf numFmtId="168" fontId="0" fillId="7" borderId="0" xfId="0" applyNumberFormat="1" applyFont="1" applyFill="1" applyBorder="1" applyAlignment="1">
      <alignment horizontal="center"/>
    </xf>
    <xf numFmtId="169" fontId="2" fillId="0" borderId="0" xfId="0" applyNumberFormat="1" applyFont="1" applyBorder="1" applyAlignment="1">
      <alignment horizontal="center"/>
    </xf>
    <xf numFmtId="168" fontId="0" fillId="6" borderId="4" xfId="0" applyNumberFormat="1" applyFill="1" applyBorder="1" applyAlignment="1">
      <alignment horizontal="center"/>
    </xf>
    <xf numFmtId="7" fontId="0" fillId="6" borderId="0" xfId="2" applyNumberFormat="1" applyFont="1" applyFill="1" applyBorder="1" applyAlignment="1">
      <alignment horizontal="center"/>
    </xf>
    <xf numFmtId="7" fontId="0" fillId="6" borderId="19" xfId="2" applyNumberFormat="1" applyFont="1" applyFill="1" applyBorder="1" applyAlignment="1">
      <alignment horizontal="center"/>
    </xf>
    <xf numFmtId="7" fontId="0" fillId="6" borderId="7" xfId="0" applyNumberFormat="1" applyFill="1" applyBorder="1"/>
    <xf numFmtId="7" fontId="0" fillId="6" borderId="19" xfId="0" applyNumberFormat="1" applyFill="1" applyBorder="1"/>
    <xf numFmtId="170" fontId="0" fillId="6" borderId="21" xfId="0" applyNumberFormat="1" applyFill="1" applyBorder="1" applyAlignment="1">
      <alignment horizontal="left"/>
    </xf>
    <xf numFmtId="1" fontId="0" fillId="6" borderId="4" xfId="0" applyNumberFormat="1" applyFill="1" applyBorder="1" applyAlignment="1">
      <alignment horizontal="center"/>
    </xf>
    <xf numFmtId="1" fontId="0" fillId="6" borderId="13" xfId="0" applyNumberFormat="1" applyFill="1" applyBorder="1" applyAlignment="1">
      <alignment horizontal="center"/>
    </xf>
    <xf numFmtId="170" fontId="0" fillId="6" borderId="4" xfId="0" applyNumberFormat="1" applyFill="1" applyBorder="1" applyAlignment="1">
      <alignment horizontal="center"/>
    </xf>
    <xf numFmtId="170" fontId="0" fillId="6" borderId="5" xfId="0" applyNumberFormat="1" applyFill="1" applyBorder="1" applyAlignment="1">
      <alignment horizontal="center"/>
    </xf>
    <xf numFmtId="170" fontId="2" fillId="6" borderId="6" xfId="0" applyNumberFormat="1" applyFont="1" applyFill="1" applyBorder="1" applyAlignment="1">
      <alignment horizontal="center"/>
    </xf>
    <xf numFmtId="170" fontId="2" fillId="6" borderId="8" xfId="0" applyNumberFormat="1" applyFont="1" applyFill="1" applyBorder="1" applyAlignment="1">
      <alignment horizontal="center"/>
    </xf>
    <xf numFmtId="170" fontId="2" fillId="6" borderId="19" xfId="0" applyNumberFormat="1" applyFont="1" applyFill="1" applyBorder="1" applyAlignment="1">
      <alignment horizontal="center"/>
    </xf>
    <xf numFmtId="9" fontId="0" fillId="0" borderId="0" xfId="3" applyNumberFormat="1" applyFont="1"/>
    <xf numFmtId="0" fontId="0" fillId="0" borderId="32" xfId="0" applyBorder="1"/>
    <xf numFmtId="9" fontId="0" fillId="0" borderId="33" xfId="3" applyFont="1" applyBorder="1"/>
    <xf numFmtId="0" fontId="9" fillId="0" borderId="0" xfId="4"/>
    <xf numFmtId="0" fontId="0" fillId="0" borderId="12" xfId="0" applyBorder="1" applyAlignment="1">
      <alignment horizontal="left" indent="2"/>
    </xf>
    <xf numFmtId="169" fontId="2" fillId="0" borderId="13" xfId="0" applyNumberFormat="1" applyFont="1" applyFill="1" applyBorder="1" applyAlignment="1">
      <alignment horizontal="center"/>
    </xf>
    <xf numFmtId="0" fontId="0" fillId="8" borderId="12" xfId="0" applyFill="1" applyBorder="1" applyAlignment="1">
      <alignment horizontal="left"/>
    </xf>
    <xf numFmtId="169" fontId="0" fillId="8" borderId="13" xfId="2" applyNumberFormat="1" applyFont="1" applyFill="1" applyBorder="1"/>
    <xf numFmtId="168" fontId="0" fillId="0" borderId="13" xfId="2" applyNumberFormat="1" applyFont="1" applyBorder="1" applyAlignment="1">
      <alignment horizontal="center"/>
    </xf>
    <xf numFmtId="168" fontId="0" fillId="0" borderId="0" xfId="0" applyNumberFormat="1" applyBorder="1" applyAlignment="1">
      <alignment horizontal="center"/>
    </xf>
    <xf numFmtId="168" fontId="0" fillId="0" borderId="13" xfId="0" applyNumberFormat="1" applyBorder="1" applyAlignment="1">
      <alignment horizontal="center"/>
    </xf>
    <xf numFmtId="168" fontId="0" fillId="8" borderId="0" xfId="0" applyNumberFormat="1" applyFill="1" applyBorder="1" applyAlignment="1">
      <alignment horizontal="center"/>
    </xf>
    <xf numFmtId="168" fontId="0" fillId="8" borderId="13" xfId="0" applyNumberFormat="1" applyFill="1" applyBorder="1" applyAlignment="1">
      <alignment horizontal="center"/>
    </xf>
    <xf numFmtId="168" fontId="0" fillId="8" borderId="0" xfId="2" applyNumberFormat="1" applyFont="1" applyFill="1" applyBorder="1" applyAlignment="1">
      <alignment horizontal="center"/>
    </xf>
    <xf numFmtId="168" fontId="0" fillId="8" borderId="13" xfId="2" applyNumberFormat="1" applyFont="1" applyFill="1" applyBorder="1" applyAlignment="1">
      <alignment horizontal="center"/>
    </xf>
    <xf numFmtId="168" fontId="0" fillId="0" borderId="15" xfId="0" applyNumberFormat="1" applyBorder="1" applyAlignment="1">
      <alignment horizontal="center"/>
    </xf>
    <xf numFmtId="168" fontId="0" fillId="0" borderId="16" xfId="0" applyNumberFormat="1" applyBorder="1" applyAlignment="1">
      <alignment horizontal="center"/>
    </xf>
    <xf numFmtId="169" fontId="2" fillId="0" borderId="13" xfId="0" applyNumberFormat="1" applyFont="1" applyBorder="1" applyAlignment="1">
      <alignment horizontal="center"/>
    </xf>
    <xf numFmtId="168" fontId="0" fillId="0" borderId="13" xfId="0" applyNumberFormat="1" applyFont="1" applyBorder="1" applyAlignment="1">
      <alignment horizontal="center"/>
    </xf>
    <xf numFmtId="0" fontId="0" fillId="7" borderId="12" xfId="0" applyFont="1" applyFill="1" applyBorder="1"/>
    <xf numFmtId="168" fontId="0" fillId="7" borderId="13" xfId="0" applyNumberFormat="1" applyFont="1" applyFill="1" applyBorder="1" applyAlignment="1">
      <alignment horizontal="center"/>
    </xf>
    <xf numFmtId="0" fontId="0" fillId="0" borderId="14" xfId="0" applyFont="1" applyBorder="1"/>
    <xf numFmtId="168" fontId="0" fillId="0" borderId="15" xfId="0" applyNumberFormat="1" applyFont="1" applyBorder="1" applyAlignment="1">
      <alignment horizontal="center"/>
    </xf>
    <xf numFmtId="168" fontId="0" fillId="0" borderId="16" xfId="0" applyNumberFormat="1" applyFont="1" applyBorder="1" applyAlignment="1">
      <alignment horizontal="center"/>
    </xf>
    <xf numFmtId="0" fontId="0" fillId="0" borderId="12" xfId="0" applyFill="1" applyBorder="1" applyAlignment="1">
      <alignment horizontal="left" indent="2"/>
    </xf>
    <xf numFmtId="0" fontId="0" fillId="0" borderId="0" xfId="0" applyFill="1" applyBorder="1" applyAlignment="1">
      <alignment horizontal="left" indent="2"/>
    </xf>
    <xf numFmtId="168" fontId="0" fillId="0" borderId="0" xfId="0" applyNumberFormat="1" applyFill="1" applyBorder="1" applyAlignment="1">
      <alignment horizontal="center"/>
    </xf>
    <xf numFmtId="165" fontId="0" fillId="0" borderId="0" xfId="1" applyNumberFormat="1" applyFont="1" applyFill="1" applyBorder="1" applyAlignment="1">
      <alignment horizontal="center"/>
    </xf>
    <xf numFmtId="20" fontId="0" fillId="0" borderId="0" xfId="0" applyNumberFormat="1" applyFill="1" applyBorder="1"/>
    <xf numFmtId="0" fontId="0" fillId="0" borderId="12" xfId="0" applyFill="1" applyBorder="1"/>
    <xf numFmtId="0" fontId="0" fillId="3" borderId="12" xfId="0" applyFill="1" applyBorder="1"/>
    <xf numFmtId="0" fontId="0" fillId="3" borderId="14" xfId="0" applyFill="1" applyBorder="1"/>
    <xf numFmtId="0" fontId="11" fillId="3" borderId="12" xfId="0" applyFont="1" applyFill="1" applyBorder="1"/>
    <xf numFmtId="1" fontId="11" fillId="3" borderId="0" xfId="0" applyNumberFormat="1" applyFont="1" applyFill="1" applyBorder="1"/>
    <xf numFmtId="1" fontId="11" fillId="3" borderId="13" xfId="0" applyNumberFormat="1" applyFont="1" applyFill="1" applyBorder="1"/>
    <xf numFmtId="165" fontId="11" fillId="3" borderId="0" xfId="1" applyNumberFormat="1" applyFont="1" applyFill="1" applyBorder="1"/>
    <xf numFmtId="165" fontId="11" fillId="3" borderId="13" xfId="1" applyNumberFormat="1" applyFont="1" applyFill="1" applyBorder="1"/>
    <xf numFmtId="0" fontId="11" fillId="3" borderId="14" xfId="0" applyFont="1" applyFill="1" applyBorder="1"/>
    <xf numFmtId="165" fontId="11" fillId="3" borderId="15" xfId="1" applyNumberFormat="1" applyFont="1" applyFill="1" applyBorder="1"/>
    <xf numFmtId="165" fontId="11" fillId="3" borderId="16" xfId="1" applyNumberFormat="1" applyFont="1" applyFill="1" applyBorder="1"/>
    <xf numFmtId="0" fontId="0" fillId="5" borderId="17" xfId="0" applyFill="1" applyBorder="1" applyAlignment="1">
      <alignment horizontal="center"/>
    </xf>
    <xf numFmtId="0" fontId="0" fillId="5" borderId="13" xfId="0" applyFill="1" applyBorder="1" applyAlignment="1">
      <alignment horizontal="center"/>
    </xf>
    <xf numFmtId="0" fontId="0" fillId="5" borderId="16" xfId="0" applyFill="1" applyBorder="1" applyAlignment="1">
      <alignment horizontal="center"/>
    </xf>
    <xf numFmtId="1" fontId="7" fillId="5" borderId="16" xfId="0" applyNumberFormat="1" applyFont="1" applyFill="1" applyBorder="1" applyAlignment="1">
      <alignment horizontal="center"/>
    </xf>
    <xf numFmtId="9" fontId="0" fillId="0" borderId="16" xfId="0" applyNumberFormat="1" applyBorder="1" applyAlignment="1">
      <alignment horizontal="center"/>
    </xf>
    <xf numFmtId="0" fontId="0" fillId="0" borderId="34" xfId="0" applyBorder="1"/>
    <xf numFmtId="0" fontId="0" fillId="0" borderId="35" xfId="0" applyFill="1" applyBorder="1"/>
    <xf numFmtId="165" fontId="0" fillId="3" borderId="13" xfId="1" applyNumberFormat="1" applyFont="1" applyFill="1" applyBorder="1" applyAlignment="1">
      <alignment horizontal="center" vertical="center"/>
    </xf>
    <xf numFmtId="165" fontId="0" fillId="9" borderId="16" xfId="1" applyNumberFormat="1" applyFont="1" applyFill="1" applyBorder="1" applyAlignment="1">
      <alignment horizontal="center" vertical="center"/>
    </xf>
    <xf numFmtId="164" fontId="0" fillId="9" borderId="13" xfId="1" applyNumberFormat="1" applyFont="1" applyFill="1" applyBorder="1" applyAlignment="1">
      <alignment horizontal="center" vertical="center"/>
    </xf>
    <xf numFmtId="9" fontId="0" fillId="3" borderId="13" xfId="3" applyFont="1" applyFill="1" applyBorder="1" applyAlignment="1">
      <alignment horizontal="right" vertical="center"/>
    </xf>
    <xf numFmtId="167" fontId="0" fillId="5" borderId="13" xfId="0" applyNumberFormat="1" applyFill="1" applyBorder="1" applyAlignment="1">
      <alignment horizontal="center"/>
    </xf>
    <xf numFmtId="1" fontId="0" fillId="0" borderId="0" xfId="0" applyNumberFormat="1" applyBorder="1" applyAlignment="1">
      <alignment horizontal="center"/>
    </xf>
    <xf numFmtId="1" fontId="0" fillId="0" borderId="13" xfId="0" applyNumberFormat="1" applyBorder="1" applyAlignment="1">
      <alignment horizontal="center"/>
    </xf>
    <xf numFmtId="0" fontId="0" fillId="2" borderId="0" xfId="0" applyFill="1" applyBorder="1"/>
    <xf numFmtId="0" fontId="0" fillId="0" borderId="14" xfId="0" applyFill="1" applyBorder="1"/>
    <xf numFmtId="1" fontId="0" fillId="6" borderId="0" xfId="0" applyNumberFormat="1" applyFill="1" applyBorder="1" applyAlignment="1">
      <alignment horizontal="center"/>
    </xf>
    <xf numFmtId="0" fontId="13" fillId="0" borderId="0" xfId="0" applyFont="1"/>
    <xf numFmtId="0" fontId="0" fillId="0" borderId="0" xfId="0" applyAlignment="1">
      <alignment vertical="center"/>
    </xf>
    <xf numFmtId="0" fontId="0" fillId="12" borderId="0" xfId="0" applyFill="1"/>
    <xf numFmtId="0" fontId="0" fillId="11" borderId="0" xfId="0" applyFill="1"/>
    <xf numFmtId="171" fontId="0" fillId="0" borderId="0" xfId="0" applyNumberFormat="1"/>
    <xf numFmtId="0" fontId="13" fillId="0" borderId="0" xfId="0" applyFont="1" applyAlignment="1">
      <alignment horizontal="right"/>
    </xf>
    <xf numFmtId="0" fontId="0" fillId="0" borderId="0" xfId="0" applyAlignment="1">
      <alignment horizontal="right" vertical="center"/>
    </xf>
    <xf numFmtId="0" fontId="0" fillId="0" borderId="16" xfId="0" applyBorder="1"/>
    <xf numFmtId="167" fontId="0" fillId="12" borderId="0" xfId="0" applyNumberFormat="1" applyFill="1"/>
    <xf numFmtId="0" fontId="0" fillId="2" borderId="7" xfId="0" applyFill="1" applyBorder="1"/>
    <xf numFmtId="0" fontId="0" fillId="0" borderId="9" xfId="0" applyBorder="1"/>
    <xf numFmtId="0" fontId="0" fillId="2" borderId="10" xfId="0" applyFill="1" applyBorder="1"/>
    <xf numFmtId="0" fontId="0" fillId="2" borderId="11" xfId="0" applyFill="1" applyBorder="1"/>
    <xf numFmtId="0" fontId="0" fillId="2" borderId="13" xfId="0" applyFill="1" applyBorder="1"/>
    <xf numFmtId="0" fontId="0" fillId="2" borderId="19" xfId="0" applyFill="1" applyBorder="1"/>
    <xf numFmtId="164" fontId="0" fillId="0" borderId="15" xfId="0" applyNumberFormat="1" applyBorder="1"/>
    <xf numFmtId="164" fontId="0" fillId="0" borderId="16" xfId="0" applyNumberFormat="1" applyBorder="1"/>
    <xf numFmtId="0" fontId="12" fillId="0" borderId="0" xfId="0" applyFont="1"/>
    <xf numFmtId="0" fontId="12" fillId="0" borderId="12" xfId="0" applyFont="1" applyBorder="1"/>
    <xf numFmtId="9" fontId="0" fillId="0" borderId="16" xfId="0" applyNumberFormat="1" applyFill="1" applyBorder="1" applyAlignment="1">
      <alignment horizontal="center"/>
    </xf>
    <xf numFmtId="0" fontId="0" fillId="13" borderId="0" xfId="0" applyFill="1"/>
    <xf numFmtId="0" fontId="2" fillId="7" borderId="12" xfId="0" quotePrefix="1" applyFont="1" applyFill="1" applyBorder="1" applyAlignment="1">
      <alignment vertical="top" wrapText="1"/>
    </xf>
    <xf numFmtId="0" fontId="2" fillId="7" borderId="0" xfId="0" quotePrefix="1" applyFont="1" applyFill="1" applyBorder="1" applyAlignment="1">
      <alignment vertical="top" wrapText="1"/>
    </xf>
    <xf numFmtId="0" fontId="2" fillId="7" borderId="13" xfId="0" quotePrefix="1" applyFont="1" applyFill="1" applyBorder="1" applyAlignment="1">
      <alignment vertical="top" wrapText="1"/>
    </xf>
    <xf numFmtId="5" fontId="0" fillId="10" borderId="27" xfId="0" applyNumberFormat="1" applyFill="1" applyBorder="1" applyAlignment="1">
      <alignment horizontal="center" vertical="center"/>
    </xf>
    <xf numFmtId="165" fontId="10" fillId="11" borderId="0" xfId="0" applyNumberFormat="1" applyFont="1" applyFill="1"/>
    <xf numFmtId="5" fontId="0" fillId="10" borderId="15" xfId="0" applyNumberFormat="1" applyFont="1" applyFill="1" applyBorder="1" applyAlignment="1">
      <alignment horizontal="center"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20" fontId="0" fillId="0" borderId="12" xfId="0" applyNumberFormat="1" applyBorder="1"/>
    <xf numFmtId="20" fontId="0" fillId="0" borderId="14" xfId="0" applyNumberFormat="1" applyBorder="1"/>
    <xf numFmtId="0" fontId="0" fillId="2" borderId="16" xfId="0" applyFill="1" applyBorder="1"/>
    <xf numFmtId="0" fontId="0" fillId="0" borderId="0" xfId="0" applyFill="1" applyBorder="1" applyAlignment="1">
      <alignment horizontal="center"/>
    </xf>
    <xf numFmtId="0" fontId="0" fillId="0" borderId="0" xfId="0" applyAlignment="1">
      <alignment vertical="center" wrapText="1"/>
    </xf>
    <xf numFmtId="0" fontId="0" fillId="0" borderId="0" xfId="0" applyBorder="1"/>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10" borderId="43" xfId="0" applyFont="1" applyFill="1" applyBorder="1" applyAlignment="1">
      <alignment horizontal="center" vertical="center"/>
    </xf>
    <xf numFmtId="0" fontId="0" fillId="10" borderId="45" xfId="0" applyFill="1" applyBorder="1" applyAlignment="1">
      <alignment horizontal="center" vertical="center"/>
    </xf>
    <xf numFmtId="0" fontId="0" fillId="0" borderId="44" xfId="0" applyBorder="1"/>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7" fontId="0" fillId="10" borderId="41" xfId="0" applyNumberFormat="1" applyFont="1" applyFill="1" applyBorder="1" applyAlignment="1">
      <alignment horizontal="center" vertical="center"/>
    </xf>
    <xf numFmtId="7" fontId="0" fillId="10" borderId="46" xfId="0" applyNumberFormat="1" applyFill="1" applyBorder="1" applyAlignment="1">
      <alignment horizontal="center" vertical="center"/>
    </xf>
    <xf numFmtId="0" fontId="0" fillId="0" borderId="47" xfId="0" applyBorder="1"/>
    <xf numFmtId="0" fontId="15" fillId="0" borderId="41" xfId="0" applyFont="1" applyBorder="1" applyAlignment="1">
      <alignment horizontal="left" vertical="center" wrapText="1"/>
    </xf>
    <xf numFmtId="0" fontId="7" fillId="0" borderId="47" xfId="0" applyFont="1" applyBorder="1"/>
    <xf numFmtId="7" fontId="0" fillId="0" borderId="47" xfId="0" applyNumberFormat="1" applyFont="1" applyFill="1" applyBorder="1" applyAlignment="1">
      <alignment horizontal="center" vertical="center" wrapText="1"/>
    </xf>
    <xf numFmtId="0" fontId="2" fillId="0" borderId="48" xfId="0" applyFont="1" applyBorder="1" applyAlignment="1">
      <alignment horizontal="center" vertical="center"/>
    </xf>
    <xf numFmtId="0" fontId="7" fillId="10" borderId="41" xfId="0" applyFont="1" applyFill="1" applyBorder="1" applyAlignment="1">
      <alignment horizontal="center" vertical="center" wrapText="1"/>
    </xf>
    <xf numFmtId="168" fontId="7" fillId="10" borderId="46" xfId="2" applyNumberFormat="1" applyFont="1" applyFill="1" applyBorder="1" applyAlignment="1">
      <alignment horizontal="center" vertical="center"/>
    </xf>
    <xf numFmtId="0" fontId="0" fillId="0" borderId="0" xfId="0" applyFont="1" applyFill="1" applyBorder="1"/>
    <xf numFmtId="0" fontId="0" fillId="5" borderId="51" xfId="0" applyFill="1" applyBorder="1" applyAlignment="1" applyProtection="1">
      <alignment horizontal="center" vertical="center"/>
      <protection locked="0"/>
    </xf>
    <xf numFmtId="0" fontId="0" fillId="5" borderId="44" xfId="0" applyFill="1" applyBorder="1" applyAlignment="1" applyProtection="1">
      <alignment horizontal="center" vertical="center"/>
      <protection locked="0"/>
    </xf>
    <xf numFmtId="167" fontId="0" fillId="5" borderId="44" xfId="0" applyNumberFormat="1"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1" fontId="7" fillId="5" borderId="16" xfId="0" applyNumberFormat="1" applyFont="1" applyFill="1" applyBorder="1" applyAlignment="1" applyProtection="1">
      <alignment horizontal="center" vertical="center"/>
      <protection locked="0"/>
    </xf>
    <xf numFmtId="9" fontId="0" fillId="14" borderId="44" xfId="0" applyNumberFormat="1" applyFill="1" applyBorder="1" applyAlignment="1" applyProtection="1">
      <alignment horizontal="center" vertical="center"/>
      <protection locked="0"/>
    </xf>
    <xf numFmtId="172" fontId="0" fillId="14" borderId="16" xfId="0" applyNumberFormat="1" applyFill="1" applyBorder="1" applyAlignment="1" applyProtection="1">
      <alignment horizontal="center" vertical="center"/>
      <protection locked="0"/>
    </xf>
    <xf numFmtId="168" fontId="0" fillId="5" borderId="44" xfId="0" applyNumberFormat="1"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165" fontId="19" fillId="0" borderId="0" xfId="0" applyNumberFormat="1" applyFont="1" applyBorder="1" applyAlignment="1" applyProtection="1">
      <alignment horizontal="center"/>
      <protection locked="0"/>
    </xf>
    <xf numFmtId="165" fontId="19" fillId="0" borderId="13" xfId="0" applyNumberFormat="1" applyFont="1" applyBorder="1" applyAlignment="1" applyProtection="1">
      <alignment horizontal="center"/>
      <protection locked="0"/>
    </xf>
    <xf numFmtId="165" fontId="19" fillId="0" borderId="15" xfId="0" applyNumberFormat="1" applyFont="1" applyBorder="1" applyAlignment="1" applyProtection="1">
      <alignment horizontal="center"/>
      <protection locked="0"/>
    </xf>
    <xf numFmtId="165" fontId="19" fillId="0" borderId="16" xfId="0" applyNumberFormat="1" applyFont="1" applyBorder="1" applyAlignment="1" applyProtection="1">
      <alignment horizontal="center"/>
      <protection locked="0"/>
    </xf>
    <xf numFmtId="0" fontId="7" fillId="0" borderId="40"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horizontal="center" vertical="center"/>
    </xf>
    <xf numFmtId="1" fontId="7" fillId="5" borderId="13" xfId="0" applyNumberFormat="1" applyFont="1" applyFill="1" applyBorder="1" applyAlignment="1" applyProtection="1">
      <alignment horizontal="center" vertical="center"/>
      <protection locked="0"/>
    </xf>
    <xf numFmtId="167" fontId="7" fillId="5" borderId="13" xfId="0" applyNumberFormat="1" applyFont="1" applyFill="1" applyBorder="1" applyAlignment="1" applyProtection="1">
      <alignment horizontal="center" vertical="center"/>
      <protection locked="0"/>
    </xf>
    <xf numFmtId="168" fontId="10" fillId="8" borderId="13" xfId="0" applyNumberFormat="1" applyFont="1" applyFill="1" applyBorder="1" applyAlignment="1">
      <alignment horizontal="center"/>
    </xf>
    <xf numFmtId="168" fontId="7" fillId="0" borderId="0" xfId="2" applyNumberFormat="1" applyFont="1" applyBorder="1" applyAlignment="1">
      <alignment horizontal="center"/>
    </xf>
    <xf numFmtId="168" fontId="7" fillId="0" borderId="13" xfId="2" applyNumberFormat="1" applyFont="1" applyBorder="1" applyAlignment="1">
      <alignment horizontal="center"/>
    </xf>
    <xf numFmtId="168" fontId="7" fillId="0" borderId="0" xfId="0" applyNumberFormat="1" applyFont="1" applyBorder="1" applyAlignment="1">
      <alignment horizontal="center"/>
    </xf>
    <xf numFmtId="168" fontId="7" fillId="0" borderId="13" xfId="0" applyNumberFormat="1" applyFont="1" applyBorder="1" applyAlignment="1">
      <alignment horizontal="center"/>
    </xf>
    <xf numFmtId="168" fontId="7" fillId="8" borderId="0" xfId="0" applyNumberFormat="1" applyFont="1" applyFill="1" applyBorder="1" applyAlignment="1">
      <alignment horizontal="center"/>
    </xf>
    <xf numFmtId="168" fontId="7" fillId="8" borderId="13" xfId="0" applyNumberFormat="1" applyFont="1" applyFill="1" applyBorder="1" applyAlignment="1">
      <alignment horizontal="center"/>
    </xf>
    <xf numFmtId="168" fontId="7" fillId="8" borderId="0" xfId="2" applyNumberFormat="1" applyFont="1" applyFill="1" applyBorder="1" applyAlignment="1">
      <alignment horizontal="center"/>
    </xf>
    <xf numFmtId="168" fontId="7" fillId="8" borderId="13" xfId="2" applyNumberFormat="1" applyFont="1" applyFill="1" applyBorder="1" applyAlignment="1">
      <alignment horizontal="center"/>
    </xf>
    <xf numFmtId="0" fontId="7" fillId="0" borderId="0" xfId="0" applyFont="1"/>
    <xf numFmtId="0" fontId="12" fillId="0" borderId="10" xfId="0" applyFont="1" applyFill="1" applyBorder="1" applyAlignment="1">
      <alignment horizontal="center"/>
    </xf>
    <xf numFmtId="1" fontId="7" fillId="5" borderId="13" xfId="0" applyNumberFormat="1" applyFont="1" applyFill="1" applyBorder="1" applyAlignment="1">
      <alignment horizontal="center"/>
    </xf>
    <xf numFmtId="0" fontId="0" fillId="6" borderId="54" xfId="0" applyFill="1" applyBorder="1"/>
    <xf numFmtId="0" fontId="0" fillId="6" borderId="0" xfId="0" applyFill="1" applyBorder="1" applyAlignment="1">
      <alignment horizontal="center"/>
    </xf>
    <xf numFmtId="1" fontId="0" fillId="6" borderId="0" xfId="0" quotePrefix="1" applyNumberFormat="1" applyFill="1" applyBorder="1" applyAlignment="1">
      <alignment horizontal="center"/>
    </xf>
    <xf numFmtId="3" fontId="0" fillId="6" borderId="0" xfId="0" applyNumberFormat="1" applyFill="1" applyBorder="1" applyAlignment="1">
      <alignment horizontal="center"/>
    </xf>
    <xf numFmtId="165" fontId="0" fillId="6" borderId="6" xfId="0" applyNumberFormat="1" applyFill="1" applyBorder="1" applyAlignment="1">
      <alignment horizontal="center"/>
    </xf>
    <xf numFmtId="0" fontId="0" fillId="6" borderId="19" xfId="0" applyFill="1" applyBorder="1"/>
    <xf numFmtId="0" fontId="0" fillId="6" borderId="6" xfId="0" applyFill="1" applyBorder="1"/>
    <xf numFmtId="3" fontId="0" fillId="6" borderId="13" xfId="0" applyNumberFormat="1" applyFill="1" applyBorder="1" applyAlignment="1">
      <alignment horizontal="center"/>
    </xf>
    <xf numFmtId="9" fontId="0" fillId="3" borderId="13" xfId="3" applyNumberFormat="1" applyFont="1" applyFill="1" applyBorder="1" applyAlignment="1">
      <alignment horizontal="right" vertical="center"/>
    </xf>
    <xf numFmtId="20" fontId="0" fillId="15" borderId="0" xfId="0" applyNumberFormat="1" applyFill="1" applyBorder="1"/>
    <xf numFmtId="20" fontId="10" fillId="15" borderId="0" xfId="0" applyNumberFormat="1" applyFont="1" applyFill="1" applyBorder="1"/>
    <xf numFmtId="20" fontId="0" fillId="15" borderId="15" xfId="0" applyNumberFormat="1" applyFill="1" applyBorder="1"/>
    <xf numFmtId="20" fontId="0" fillId="16" borderId="0" xfId="0" applyNumberFormat="1" applyFill="1" applyBorder="1"/>
    <xf numFmtId="20" fontId="10" fillId="16" borderId="0" xfId="0" applyNumberFormat="1" applyFont="1" applyFill="1" applyBorder="1"/>
    <xf numFmtId="20" fontId="0" fillId="17" borderId="0" xfId="0" applyNumberFormat="1" applyFill="1" applyBorder="1"/>
    <xf numFmtId="0" fontId="0" fillId="0" borderId="13" xfId="0" applyBorder="1"/>
    <xf numFmtId="0" fontId="0" fillId="0" borderId="5" xfId="0" applyBorder="1"/>
    <xf numFmtId="1" fontId="0" fillId="0" borderId="5" xfId="0" applyNumberFormat="1" applyBorder="1"/>
    <xf numFmtId="1" fontId="0" fillId="0" borderId="55" xfId="0" applyNumberFormat="1" applyBorder="1"/>
    <xf numFmtId="20" fontId="0" fillId="15" borderId="5" xfId="0" applyNumberFormat="1" applyFill="1" applyBorder="1"/>
    <xf numFmtId="20" fontId="10" fillId="15" borderId="5" xfId="0" applyNumberFormat="1" applyFont="1" applyFill="1" applyBorder="1"/>
    <xf numFmtId="20" fontId="0" fillId="16" borderId="5" xfId="0" applyNumberFormat="1" applyFill="1" applyBorder="1"/>
    <xf numFmtId="20" fontId="10" fillId="16" borderId="5" xfId="0" applyNumberFormat="1" applyFont="1" applyFill="1" applyBorder="1"/>
    <xf numFmtId="20" fontId="0" fillId="15" borderId="55" xfId="0" applyNumberFormat="1" applyFill="1" applyBorder="1"/>
    <xf numFmtId="0" fontId="0" fillId="2" borderId="5" xfId="0" applyFill="1" applyBorder="1"/>
    <xf numFmtId="0" fontId="7" fillId="0" borderId="12" xfId="0" applyFont="1" applyBorder="1" applyAlignment="1">
      <alignment horizontal="left" indent="2"/>
    </xf>
    <xf numFmtId="0" fontId="7" fillId="8" borderId="12" xfId="0" applyFont="1" applyFill="1" applyBorder="1" applyAlignment="1">
      <alignment horizontal="left"/>
    </xf>
    <xf numFmtId="167" fontId="0" fillId="5" borderId="13" xfId="0" applyNumberFormat="1" applyFill="1" applyBorder="1" applyAlignment="1" applyProtection="1">
      <alignment horizontal="center" vertical="center"/>
      <protection locked="0"/>
    </xf>
    <xf numFmtId="43" fontId="0" fillId="11" borderId="0" xfId="0" applyNumberFormat="1" applyFill="1"/>
    <xf numFmtId="0" fontId="2" fillId="0" borderId="9" xfId="0" quotePrefix="1" applyFont="1" applyBorder="1" applyAlignment="1">
      <alignment horizontal="left" vertical="center" wrapText="1"/>
    </xf>
    <xf numFmtId="0" fontId="2" fillId="0" borderId="10" xfId="0" quotePrefix="1" applyFont="1" applyBorder="1" applyAlignment="1">
      <alignment horizontal="left" vertical="center" wrapText="1"/>
    </xf>
    <xf numFmtId="0" fontId="2" fillId="0" borderId="11" xfId="0" quotePrefix="1" applyFont="1" applyBorder="1" applyAlignment="1">
      <alignment horizontal="left" vertical="center" wrapText="1"/>
    </xf>
    <xf numFmtId="0" fontId="2" fillId="0" borderId="12" xfId="0" quotePrefix="1" applyFont="1" applyBorder="1" applyAlignment="1">
      <alignment horizontal="left" vertical="center" wrapText="1"/>
    </xf>
    <xf numFmtId="0" fontId="2" fillId="0" borderId="0" xfId="0" quotePrefix="1" applyFont="1" applyBorder="1" applyAlignment="1">
      <alignment horizontal="left" vertical="center" wrapText="1"/>
    </xf>
    <xf numFmtId="0" fontId="2" fillId="0" borderId="13" xfId="0" quotePrefix="1" applyFont="1" applyBorder="1" applyAlignment="1">
      <alignment horizontal="left" vertical="center" wrapText="1"/>
    </xf>
    <xf numFmtId="0" fontId="16" fillId="0" borderId="12" xfId="0" quotePrefix="1" applyFont="1" applyBorder="1" applyAlignment="1">
      <alignment horizontal="center" vertical="top" wrapText="1"/>
    </xf>
    <xf numFmtId="0" fontId="16" fillId="0" borderId="0" xfId="0" quotePrefix="1" applyFont="1" applyBorder="1" applyAlignment="1">
      <alignment horizontal="center" vertical="top" wrapText="1"/>
    </xf>
    <xf numFmtId="0" fontId="16" fillId="0" borderId="13" xfId="0" quotePrefix="1" applyFont="1" applyBorder="1" applyAlignment="1">
      <alignment horizontal="center" vertical="top" wrapText="1"/>
    </xf>
    <xf numFmtId="0" fontId="0" fillId="0" borderId="12" xfId="0" quotePrefix="1" applyFont="1" applyBorder="1" applyAlignment="1">
      <alignment horizontal="left" vertical="top" wrapText="1"/>
    </xf>
    <xf numFmtId="0" fontId="0" fillId="0" borderId="0" xfId="0" quotePrefix="1" applyFont="1" applyBorder="1" applyAlignment="1">
      <alignment horizontal="left" vertical="top" wrapText="1"/>
    </xf>
    <xf numFmtId="0" fontId="0" fillId="0" borderId="13" xfId="0" quotePrefix="1" applyFont="1" applyBorder="1" applyAlignment="1">
      <alignment horizontal="left" vertical="top" wrapText="1"/>
    </xf>
    <xf numFmtId="0" fontId="0" fillId="0" borderId="14" xfId="0" quotePrefix="1" applyFont="1" applyBorder="1" applyAlignment="1">
      <alignment horizontal="left" vertical="top" wrapText="1"/>
    </xf>
    <xf numFmtId="0" fontId="0" fillId="0" borderId="15" xfId="0" quotePrefix="1" applyFont="1" applyBorder="1" applyAlignment="1">
      <alignment horizontal="left" vertical="top" wrapText="1"/>
    </xf>
    <xf numFmtId="0" fontId="0" fillId="0" borderId="16" xfId="0" quotePrefix="1" applyFont="1" applyBorder="1" applyAlignment="1">
      <alignment horizontal="left" vertical="top" wrapText="1"/>
    </xf>
    <xf numFmtId="0" fontId="6" fillId="7" borderId="29" xfId="0" applyFont="1" applyFill="1" applyBorder="1" applyAlignment="1">
      <alignment horizontal="center"/>
    </xf>
    <xf numFmtId="0" fontId="6" fillId="7" borderId="31" xfId="0" applyFont="1" applyFill="1" applyBorder="1" applyAlignment="1">
      <alignment horizontal="center"/>
    </xf>
    <xf numFmtId="0" fontId="6" fillId="3" borderId="29" xfId="0" applyFont="1" applyFill="1" applyBorder="1" applyAlignment="1">
      <alignment horizontal="center"/>
    </xf>
    <xf numFmtId="0" fontId="6" fillId="3" borderId="30" xfId="0" applyFont="1" applyFill="1" applyBorder="1" applyAlignment="1">
      <alignment horizontal="center"/>
    </xf>
    <xf numFmtId="0" fontId="6" fillId="3" borderId="31" xfId="0" applyFont="1" applyFill="1" applyBorder="1" applyAlignment="1">
      <alignment horizontal="center"/>
    </xf>
    <xf numFmtId="0" fontId="18" fillId="7" borderId="29" xfId="0" applyFont="1" applyFill="1" applyBorder="1" applyAlignment="1">
      <alignment horizontal="center" vertical="center"/>
    </xf>
    <xf numFmtId="0" fontId="18" fillId="7" borderId="30" xfId="0" applyFont="1" applyFill="1" applyBorder="1" applyAlignment="1">
      <alignment horizontal="center" vertical="center"/>
    </xf>
    <xf numFmtId="0" fontId="18" fillId="7" borderId="31" xfId="0" applyFont="1" applyFill="1" applyBorder="1" applyAlignment="1">
      <alignment horizontal="center" vertical="center"/>
    </xf>
    <xf numFmtId="0" fontId="0" fillId="0" borderId="32" xfId="0" applyFont="1" applyBorder="1" applyAlignment="1">
      <alignment horizontal="left" vertical="center" wrapText="1"/>
    </xf>
    <xf numFmtId="0" fontId="0" fillId="0" borderId="36"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2"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0" xfId="0" applyFont="1" applyBorder="1" applyAlignment="1">
      <alignment horizontal="left" vertical="center" wrapText="1"/>
    </xf>
    <xf numFmtId="0" fontId="2" fillId="7" borderId="9" xfId="0" applyFont="1" applyFill="1" applyBorder="1" applyAlignment="1">
      <alignment horizontal="left" vertical="center"/>
    </xf>
    <xf numFmtId="0" fontId="2" fillId="7" borderId="10" xfId="0" applyFont="1" applyFill="1" applyBorder="1" applyAlignment="1">
      <alignment horizontal="left" vertical="center"/>
    </xf>
    <xf numFmtId="0" fontId="0" fillId="0" borderId="28" xfId="0" applyBorder="1" applyAlignment="1">
      <alignment horizontal="left" vertical="center" wrapText="1"/>
    </xf>
    <xf numFmtId="0" fontId="0" fillId="0" borderId="37" xfId="0" applyBorder="1" applyAlignment="1">
      <alignment horizontal="left" vertical="center" wrapText="1"/>
    </xf>
    <xf numFmtId="0" fontId="0" fillId="0" borderId="17"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7" xfId="0" applyBorder="1" applyAlignment="1">
      <alignment horizontal="left" vertical="center" wrapText="1"/>
    </xf>
    <xf numFmtId="0" fontId="0" fillId="0" borderId="10" xfId="0" applyFont="1" applyFill="1" applyBorder="1" applyAlignment="1">
      <alignment horizontal="left" vertical="top" wrapText="1"/>
    </xf>
    <xf numFmtId="0" fontId="2" fillId="0" borderId="12" xfId="0" applyFont="1" applyBorder="1" applyAlignment="1">
      <alignment horizontal="center" vertical="center" wrapText="1"/>
    </xf>
    <xf numFmtId="0" fontId="2" fillId="0" borderId="42" xfId="0" applyFont="1" applyBorder="1" applyAlignment="1">
      <alignment horizontal="center"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11" fillId="3" borderId="29" xfId="0" applyFont="1" applyFill="1" applyBorder="1" applyAlignment="1">
      <alignment horizontal="center"/>
    </xf>
    <xf numFmtId="0" fontId="11" fillId="3" borderId="30" xfId="0" applyFont="1" applyFill="1" applyBorder="1" applyAlignment="1">
      <alignment horizontal="center"/>
    </xf>
    <xf numFmtId="0" fontId="11" fillId="3" borderId="3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17" xfId="0" applyFont="1" applyFill="1" applyBorder="1" applyAlignment="1">
      <alignment horizontal="center"/>
    </xf>
    <xf numFmtId="0" fontId="2" fillId="6" borderId="24" xfId="0" applyFont="1" applyFill="1" applyBorder="1" applyAlignment="1">
      <alignment horizontal="center"/>
    </xf>
    <xf numFmtId="0" fontId="2" fillId="6" borderId="25" xfId="0" applyFont="1" applyFill="1" applyBorder="1" applyAlignment="1">
      <alignment horizontal="center"/>
    </xf>
    <xf numFmtId="0" fontId="2" fillId="6" borderId="37" xfId="0" applyFont="1" applyFill="1" applyBorder="1" applyAlignment="1">
      <alignment horizontal="center"/>
    </xf>
    <xf numFmtId="0" fontId="6" fillId="7" borderId="9" xfId="0" applyFont="1" applyFill="1" applyBorder="1" applyAlignment="1">
      <alignment horizontal="center"/>
    </xf>
    <xf numFmtId="0" fontId="6" fillId="7" borderId="11" xfId="0" applyFont="1" applyFill="1" applyBorder="1" applyAlignment="1">
      <alignment horizontal="center"/>
    </xf>
    <xf numFmtId="0" fontId="3" fillId="6" borderId="29" xfId="0" applyFont="1" applyFill="1" applyBorder="1" applyAlignment="1">
      <alignment horizontal="center"/>
    </xf>
    <xf numFmtId="0" fontId="3" fillId="6" borderId="30" xfId="0" applyFont="1" applyFill="1" applyBorder="1" applyAlignment="1">
      <alignment horizontal="center"/>
    </xf>
    <xf numFmtId="0" fontId="3" fillId="6" borderId="31" xfId="0" applyFont="1" applyFill="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50">
    <dxf>
      <fill>
        <patternFill>
          <bgColor theme="7" tint="0.59996337778862885"/>
        </patternFill>
      </fill>
    </dxf>
    <dxf>
      <fill>
        <patternFill>
          <bgColor theme="5" tint="0.59996337778862885"/>
        </patternFill>
      </fill>
    </dxf>
    <dxf>
      <fill>
        <patternFill>
          <bgColor theme="5"/>
        </patternFill>
      </fill>
    </dxf>
    <dxf>
      <font>
        <color theme="0"/>
      </font>
      <fill>
        <patternFill>
          <bgColor theme="7" tint="-0.24994659260841701"/>
        </patternFill>
      </fill>
    </dxf>
    <dxf>
      <fill>
        <patternFill>
          <bgColor theme="7" tint="0.59996337778862885"/>
        </patternFill>
      </fill>
    </dxf>
    <dxf>
      <fill>
        <patternFill>
          <bgColor theme="5" tint="0.59996337778862885"/>
        </patternFill>
      </fill>
    </dxf>
    <dxf>
      <fill>
        <patternFill>
          <bgColor theme="5"/>
        </patternFill>
      </fill>
    </dxf>
    <dxf>
      <font>
        <color theme="0"/>
      </font>
      <fill>
        <patternFill>
          <bgColor theme="7" tint="-0.24994659260841701"/>
        </patternFill>
      </fill>
    </dxf>
    <dxf>
      <fill>
        <patternFill>
          <bgColor theme="7" tint="0.59996337778862885"/>
        </patternFill>
      </fill>
    </dxf>
    <dxf>
      <fill>
        <patternFill>
          <bgColor theme="5" tint="0.59996337778862885"/>
        </patternFill>
      </fill>
    </dxf>
    <dxf>
      <fill>
        <patternFill>
          <bgColor theme="5"/>
        </patternFill>
      </fill>
    </dxf>
    <dxf>
      <font>
        <color theme="0"/>
      </font>
      <fill>
        <patternFill>
          <bgColor theme="7" tint="-0.24994659260841701"/>
        </patternFill>
      </fill>
    </dxf>
    <dxf>
      <fill>
        <patternFill>
          <bgColor theme="7" tint="0.59996337778862885"/>
        </patternFill>
      </fill>
    </dxf>
    <dxf>
      <fill>
        <patternFill>
          <bgColor theme="5" tint="0.59996337778862885"/>
        </patternFill>
      </fill>
    </dxf>
    <dxf>
      <fill>
        <patternFill>
          <bgColor theme="5"/>
        </patternFill>
      </fill>
    </dxf>
    <dxf>
      <font>
        <color theme="0"/>
      </font>
      <fill>
        <patternFill>
          <bgColor theme="7" tint="-0.24994659260841701"/>
        </patternFill>
      </fill>
    </dxf>
    <dxf>
      <fill>
        <patternFill>
          <bgColor theme="7" tint="0.59996337778862885"/>
        </patternFill>
      </fill>
    </dxf>
    <dxf>
      <fill>
        <patternFill>
          <bgColor theme="5" tint="0.59996337778862885"/>
        </patternFill>
      </fill>
    </dxf>
    <dxf>
      <fill>
        <patternFill>
          <bgColor theme="5"/>
        </patternFill>
      </fill>
    </dxf>
    <dxf>
      <font>
        <color theme="0"/>
      </font>
      <fill>
        <patternFill>
          <bgColor theme="7" tint="-0.24994659260841701"/>
        </patternFill>
      </fill>
    </dxf>
    <dxf>
      <fill>
        <patternFill>
          <bgColor theme="7" tint="0.59996337778862885"/>
        </patternFill>
      </fill>
    </dxf>
    <dxf>
      <fill>
        <patternFill>
          <bgColor theme="5" tint="0.59996337778862885"/>
        </patternFill>
      </fill>
    </dxf>
    <dxf>
      <fill>
        <patternFill>
          <bgColor theme="5"/>
        </patternFill>
      </fill>
    </dxf>
    <dxf>
      <font>
        <color theme="0"/>
      </font>
      <fill>
        <patternFill>
          <bgColor theme="7" tint="-0.24994659260841701"/>
        </patternFill>
      </fill>
    </dxf>
    <dxf>
      <fill>
        <patternFill>
          <bgColor theme="7" tint="0.59996337778862885"/>
        </patternFill>
      </fill>
    </dxf>
    <dxf>
      <fill>
        <patternFill>
          <bgColor theme="5" tint="0.59996337778862885"/>
        </patternFill>
      </fill>
    </dxf>
    <dxf>
      <fill>
        <patternFill>
          <bgColor theme="5"/>
        </patternFill>
      </fill>
    </dxf>
    <dxf>
      <font>
        <color theme="0"/>
      </font>
      <fill>
        <patternFill>
          <bgColor theme="7" tint="-0.24994659260841701"/>
        </patternFill>
      </fill>
    </dxf>
    <dxf>
      <fill>
        <patternFill>
          <bgColor theme="7" tint="0.59996337778862885"/>
        </patternFill>
      </fill>
    </dxf>
    <dxf>
      <fill>
        <patternFill>
          <bgColor theme="5" tint="0.59996337778862885"/>
        </patternFill>
      </fill>
    </dxf>
    <dxf>
      <fill>
        <patternFill>
          <bgColor theme="5"/>
        </patternFill>
      </fill>
    </dxf>
    <dxf>
      <font>
        <color theme="0"/>
      </font>
      <fill>
        <patternFill>
          <bgColor theme="7" tint="-0.24994659260841701"/>
        </patternFill>
      </fill>
    </dxf>
    <dxf>
      <fill>
        <patternFill>
          <bgColor theme="7" tint="0.59996337778862885"/>
        </patternFill>
      </fill>
    </dxf>
    <dxf>
      <fill>
        <patternFill>
          <bgColor theme="5" tint="0.59996337778862885"/>
        </patternFill>
      </fill>
    </dxf>
    <dxf>
      <fill>
        <patternFill>
          <bgColor theme="5"/>
        </patternFill>
      </fill>
    </dxf>
    <dxf>
      <font>
        <color theme="0"/>
      </font>
      <fill>
        <patternFill>
          <bgColor theme="7" tint="-0.24994659260841701"/>
        </patternFill>
      </fill>
    </dxf>
    <dxf>
      <fill>
        <patternFill>
          <bgColor theme="7" tint="0.59996337778862885"/>
        </patternFill>
      </fill>
    </dxf>
    <dxf>
      <fill>
        <patternFill>
          <bgColor theme="5" tint="0.59996337778862885"/>
        </patternFill>
      </fill>
    </dxf>
    <dxf>
      <fill>
        <patternFill>
          <bgColor theme="5"/>
        </patternFill>
      </fill>
    </dxf>
    <dxf>
      <font>
        <color theme="0"/>
      </font>
      <fill>
        <patternFill>
          <bgColor theme="7" tint="-0.24994659260841701"/>
        </patternFill>
      </fill>
    </dxf>
    <dxf>
      <fill>
        <patternFill>
          <bgColor theme="7" tint="0.59996337778862885"/>
        </patternFill>
      </fill>
    </dxf>
    <dxf>
      <fill>
        <patternFill>
          <bgColor theme="5" tint="0.59996337778862885"/>
        </patternFill>
      </fill>
    </dxf>
    <dxf>
      <fill>
        <patternFill>
          <bgColor theme="5"/>
        </patternFill>
      </fill>
    </dxf>
    <dxf>
      <font>
        <color theme="0"/>
      </font>
      <fill>
        <patternFill>
          <bgColor theme="7" tint="-0.24994659260841701"/>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C00000"/>
        </patternFill>
      </fill>
    </dxf>
    <dxf>
      <font>
        <color theme="7" tint="-0.24994659260841701"/>
      </font>
      <fill>
        <patternFill>
          <bgColor rgb="FF00B050"/>
        </patternFill>
      </fill>
    </dxf>
  </dxfs>
  <tableStyles count="0" defaultTableStyle="TableStyleMedium2" defaultPivotStyle="PivotStyleLight16"/>
  <colors>
    <mruColors>
      <color rgb="FFFFA100"/>
      <color rgb="FF000000"/>
      <color rgb="FFD9D9D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Daily Charging Usage by Hour</a:t>
            </a:r>
          </a:p>
        </c:rich>
      </c:tx>
      <c:layout>
        <c:manualLayout>
          <c:xMode val="edge"/>
          <c:yMode val="edge"/>
          <c:x val="2.6398514058031421E-2"/>
          <c:y val="8.33332742895079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05876387251516"/>
          <c:y val="0.32796405657626132"/>
          <c:w val="0.8742392274778974"/>
          <c:h val="0.46947114642504317"/>
        </c:manualLayout>
      </c:layout>
      <c:barChart>
        <c:barDir val="col"/>
        <c:grouping val="clustered"/>
        <c:varyColors val="0"/>
        <c:ser>
          <c:idx val="0"/>
          <c:order val="0"/>
          <c:tx>
            <c:v>Energy Usage (kWh)</c:v>
          </c:tx>
          <c:spPr>
            <a:solidFill>
              <a:schemeClr val="accent1"/>
            </a:solidFill>
            <a:ln>
              <a:noFill/>
            </a:ln>
            <a:effectLst/>
          </c:spPr>
          <c:invertIfNegative val="0"/>
          <c:cat>
            <c:numRef>
              <c:f>'Inputs &amp; Results'!$C$35:$Z$35</c:f>
              <c:numCache>
                <c:formatCode>0</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'Inputs &amp; Results'!$C$36:$Z$36</c:f>
              <c:numCache>
                <c:formatCode>_(* #,##0_);_(* \(#,##0\);_(*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#N/A</c:v>
                </c:pt>
              </c:numCache>
            </c:numRef>
          </c:val>
          <c:extLst>
            <c:ext xmlns:c16="http://schemas.microsoft.com/office/drawing/2014/chart" uri="{C3380CC4-5D6E-409C-BE32-E72D297353CC}">
              <c16:uniqueId val="{00000000-56CF-4F34-863E-9C38CFADE0BC}"/>
            </c:ext>
          </c:extLst>
        </c:ser>
        <c:dLbls>
          <c:showLegendKey val="0"/>
          <c:showVal val="0"/>
          <c:showCatName val="0"/>
          <c:showSerName val="0"/>
          <c:showPercent val="0"/>
          <c:showBubbleSize val="0"/>
        </c:dLbls>
        <c:gapWidth val="150"/>
        <c:axId val="162789184"/>
        <c:axId val="508029584"/>
      </c:barChart>
      <c:lineChart>
        <c:grouping val="standard"/>
        <c:varyColors val="0"/>
        <c:ser>
          <c:idx val="1"/>
          <c:order val="1"/>
          <c:tx>
            <c:v>Maximum Charger Power (kW)</c:v>
          </c:tx>
          <c:spPr>
            <a:ln w="28575" cap="rnd">
              <a:solidFill>
                <a:srgbClr val="FFA100">
                  <a:alpha val="80000"/>
                </a:srgbClr>
              </a:solidFill>
              <a:prstDash val="sysDot"/>
              <a:round/>
            </a:ln>
            <a:effectLst/>
          </c:spPr>
          <c:marker>
            <c:symbol val="none"/>
          </c:marker>
          <c:val>
            <c:numRef>
              <c:f>'Inputs &amp; Results'!$C$37:$Z$37</c:f>
              <c:numCache>
                <c:formatCode>_(* #,##0_);_(* \(#,##0\);_(* "-"??_);_(@_)</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#N/A</c:v>
                </c:pt>
              </c:numCache>
            </c:numRef>
          </c:val>
          <c:smooth val="0"/>
          <c:extLst>
            <c:ext xmlns:c16="http://schemas.microsoft.com/office/drawing/2014/chart" uri="{C3380CC4-5D6E-409C-BE32-E72D297353CC}">
              <c16:uniqueId val="{00000001-56CF-4F34-863E-9C38CFADE0BC}"/>
            </c:ext>
          </c:extLst>
        </c:ser>
        <c:dLbls>
          <c:showLegendKey val="0"/>
          <c:showVal val="0"/>
          <c:showCatName val="0"/>
          <c:showSerName val="0"/>
          <c:showPercent val="0"/>
          <c:showBubbleSize val="0"/>
        </c:dLbls>
        <c:marker val="1"/>
        <c:smooth val="0"/>
        <c:axId val="162789184"/>
        <c:axId val="508029584"/>
      </c:lineChart>
      <c:catAx>
        <c:axId val="162789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Hour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8029584"/>
        <c:crosses val="autoZero"/>
        <c:auto val="1"/>
        <c:lblAlgn val="ctr"/>
        <c:lblOffset val="100"/>
        <c:noMultiLvlLbl val="0"/>
      </c:catAx>
      <c:valAx>
        <c:axId val="508029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kWh and kW usage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789184"/>
        <c:crosses val="autoZero"/>
        <c:crossBetween val="between"/>
      </c:valAx>
      <c:spPr>
        <a:noFill/>
        <a:ln>
          <a:noFill/>
        </a:ln>
        <a:effectLst/>
      </c:spPr>
    </c:plotArea>
    <c:legend>
      <c:legendPos val="tr"/>
      <c:layout>
        <c:manualLayout>
          <c:xMode val="edge"/>
          <c:yMode val="edge"/>
          <c:x val="0.56515339510681539"/>
          <c:y val="4.6713128045823282E-2"/>
          <c:w val="0.39428327726807927"/>
          <c:h val="0.15201946402984864"/>
        </c:manualLayout>
      </c:layout>
      <c:overlay val="0"/>
      <c:spPr>
        <a:solidFill>
          <a:schemeClr val="bg1">
            <a:lumMod val="95000"/>
          </a:schemeClr>
        </a:solidFill>
        <a:ln>
          <a:solidFill>
            <a:schemeClr val="bg1">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Estimated</a:t>
            </a:r>
            <a:r>
              <a:rPr lang="en-US" b="1" baseline="0"/>
              <a:t> </a:t>
            </a:r>
            <a:r>
              <a:rPr lang="en-US" b="1"/>
              <a:t>Avg. Fuel</a:t>
            </a:r>
            <a:r>
              <a:rPr lang="en-US" b="1" baseline="0"/>
              <a:t> </a:t>
            </a:r>
            <a:r>
              <a:rPr lang="en-US" b="1"/>
              <a:t>Cost/Mile</a:t>
            </a:r>
          </a:p>
        </c:rich>
      </c:tx>
      <c:layout>
        <c:manualLayout>
          <c:xMode val="edge"/>
          <c:yMode val="edge"/>
          <c:x val="2.3158636782255927E-2"/>
          <c:y val="4.2905864420846845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998111157950749E-2"/>
          <c:y val="0.26522975189486825"/>
          <c:w val="0.87699395195903562"/>
          <c:h val="0.49032619155272494"/>
        </c:manualLayout>
      </c:layout>
      <c:barChart>
        <c:barDir val="col"/>
        <c:grouping val="clustered"/>
        <c:varyColors val="0"/>
        <c:ser>
          <c:idx val="0"/>
          <c:order val="0"/>
          <c:tx>
            <c:strRef>
              <c:f>'Inputs &amp; Results'!$P$6</c:f>
              <c:strCache>
                <c:ptCount val="1"/>
                <c:pt idx="0">
                  <c:v>Avg Fuel Cost/Mile</c:v>
                </c:pt>
              </c:strCache>
            </c:strRef>
          </c:tx>
          <c:spPr>
            <a:solidFill>
              <a:schemeClr val="accent2"/>
            </a:solidFill>
            <a:ln>
              <a:noFill/>
            </a:ln>
            <a:effectLst/>
          </c:spPr>
          <c:invertIfNegative val="0"/>
          <c:dPt>
            <c:idx val="3"/>
            <c:invertIfNegative val="0"/>
            <c:bubble3D val="0"/>
            <c:spPr>
              <a:solidFill>
                <a:schemeClr val="accent5"/>
              </a:solidFill>
              <a:ln>
                <a:noFill/>
              </a:ln>
              <a:effectLst/>
            </c:spPr>
            <c:extLst>
              <c:ext xmlns:c16="http://schemas.microsoft.com/office/drawing/2014/chart" uri="{C3380CC4-5D6E-409C-BE32-E72D297353CC}">
                <c16:uniqueId val="{00000008-F156-48A6-A01F-6B1C3B3326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'Inputs &amp; Results'!$Q$2:$U$2</c15:sqref>
                  </c15:fullRef>
                </c:ext>
              </c:extLst>
              <c:f>'Inputs &amp; Results'!$R$2:$U$2</c:f>
              <c:strCache>
                <c:ptCount val="4"/>
                <c:pt idx="0">
                  <c:v>Current Rate (2019)</c:v>
                </c:pt>
                <c:pt idx="1">
                  <c:v>Current Rate (2020+)</c:v>
                </c:pt>
                <c:pt idx="2">
                  <c:v>CEV Rate*
(Proposed)</c:v>
                </c:pt>
                <c:pt idx="3">
                  <c:v>Gas/Diesel</c:v>
                </c:pt>
              </c:strCache>
            </c:strRef>
          </c:cat>
          <c:val>
            <c:numRef>
              <c:extLst>
                <c:ext xmlns:c15="http://schemas.microsoft.com/office/drawing/2012/chart" uri="{02D57815-91ED-43cb-92C2-25804820EDAC}">
                  <c15:fullRef>
                    <c15:sqref>'Inputs &amp; Results'!$Q$6:$U$6</c15:sqref>
                  </c15:fullRef>
                </c:ext>
              </c:extLst>
              <c:f>'Inputs &amp; Results'!$R$6:$U$6</c:f>
              <c:numCache>
                <c:formatCode>"$"#,##0.00_);\("$"#,##0.00\)</c:formatCode>
                <c:ptCount val="4"/>
                <c:pt idx="0">
                  <c:v>0</c:v>
                </c:pt>
                <c:pt idx="1">
                  <c:v>0</c:v>
                </c:pt>
                <c:pt idx="2">
                  <c:v>0</c:v>
                </c:pt>
                <c:pt idx="3">
                  <c:v>0</c:v>
                </c:pt>
              </c:numCache>
            </c:numRef>
          </c:val>
          <c:extLst>
            <c:ext xmlns:c16="http://schemas.microsoft.com/office/drawing/2014/chart" uri="{C3380CC4-5D6E-409C-BE32-E72D297353CC}">
              <c16:uniqueId val="{00000000-F156-48A6-A01F-6B1C3B332693}"/>
            </c:ext>
          </c:extLst>
        </c:ser>
        <c:dLbls>
          <c:showLegendKey val="0"/>
          <c:showVal val="0"/>
          <c:showCatName val="0"/>
          <c:showSerName val="0"/>
          <c:showPercent val="0"/>
          <c:showBubbleSize val="0"/>
        </c:dLbls>
        <c:gapWidth val="219"/>
        <c:overlap val="-27"/>
        <c:axId val="370196312"/>
        <c:axId val="370202544"/>
      </c:barChart>
      <c:catAx>
        <c:axId val="370196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370202544"/>
        <c:crosses val="autoZero"/>
        <c:auto val="1"/>
        <c:lblAlgn val="ctr"/>
        <c:lblOffset val="100"/>
        <c:noMultiLvlLbl val="0"/>
      </c:catAx>
      <c:valAx>
        <c:axId val="370202544"/>
        <c:scaling>
          <c:orientation val="minMax"/>
        </c:scaling>
        <c:delete val="0"/>
        <c:axPos val="l"/>
        <c:numFmt formatCode="&quot;$&quot;#,##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019631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svg"/><Relationship Id="rId1" Type="http://schemas.openxmlformats.org/officeDocument/2006/relationships/image" Target="../media/image3.png"/><Relationship Id="rId4" Type="http://schemas.openxmlformats.org/officeDocument/2006/relationships/image" Target="../media/image6.svg"/></Relationships>
</file>

<file path=xl/drawings/drawing1.xml><?xml version="1.0" encoding="utf-8"?>
<xdr:wsDr xmlns:xdr="http://schemas.openxmlformats.org/drawingml/2006/spreadsheetDrawing" xmlns:a="http://schemas.openxmlformats.org/drawingml/2006/main">
  <xdr:twoCellAnchor editAs="oneCell">
    <xdr:from>
      <xdr:col>12</xdr:col>
      <xdr:colOff>314325</xdr:colOff>
      <xdr:row>9</xdr:row>
      <xdr:rowOff>114300</xdr:rowOff>
    </xdr:from>
    <xdr:to>
      <xdr:col>19</xdr:col>
      <xdr:colOff>605118</xdr:colOff>
      <xdr:row>13</xdr:row>
      <xdr:rowOff>45622</xdr:rowOff>
    </xdr:to>
    <xdr:pic>
      <xdr:nvPicPr>
        <xdr:cNvPr id="2" name="Picture 1">
          <a:extLst>
            <a:ext uri="{FF2B5EF4-FFF2-40B4-BE49-F238E27FC236}">
              <a16:creationId xmlns:a16="http://schemas.microsoft.com/office/drawing/2014/main" id="{D2C54539-07B6-494B-BA79-661497B76491}"/>
            </a:ext>
          </a:extLst>
        </xdr:cNvPr>
        <xdr:cNvPicPr>
          <a:picLocks noChangeAspect="1"/>
        </xdr:cNvPicPr>
      </xdr:nvPicPr>
      <xdr:blipFill rotWithShape="1">
        <a:blip xmlns:r="http://schemas.openxmlformats.org/officeDocument/2006/relationships" r:embed="rId1"/>
        <a:srcRect r="330"/>
        <a:stretch/>
      </xdr:blipFill>
      <xdr:spPr>
        <a:xfrm>
          <a:off x="7642972" y="1828800"/>
          <a:ext cx="4565837" cy="827793"/>
        </a:xfrm>
        <a:prstGeom prst="rect">
          <a:avLst/>
        </a:prstGeom>
        <a:effectLst>
          <a:outerShdw blurRad="50800" dist="38100" dir="2700000" algn="tl" rotWithShape="0">
            <a:prstClr val="black">
              <a:alpha val="40000"/>
            </a:prstClr>
          </a:outerShdw>
        </a:effectLst>
      </xdr:spPr>
    </xdr:pic>
    <xdr:clientData/>
  </xdr:twoCellAnchor>
  <xdr:twoCellAnchor>
    <xdr:from>
      <xdr:col>9</xdr:col>
      <xdr:colOff>314325</xdr:colOff>
      <xdr:row>11</xdr:row>
      <xdr:rowOff>247650</xdr:rowOff>
    </xdr:from>
    <xdr:to>
      <xdr:col>19</xdr:col>
      <xdr:colOff>180975</xdr:colOff>
      <xdr:row>17</xdr:row>
      <xdr:rowOff>19050</xdr:rowOff>
    </xdr:to>
    <xdr:cxnSp macro="">
      <xdr:nvCxnSpPr>
        <xdr:cNvPr id="4" name="Straight Arrow Connector 3">
          <a:extLst>
            <a:ext uri="{FF2B5EF4-FFF2-40B4-BE49-F238E27FC236}">
              <a16:creationId xmlns:a16="http://schemas.microsoft.com/office/drawing/2014/main" id="{D1C48042-E258-4BC2-AF4A-F7A532C1C8C6}"/>
            </a:ext>
          </a:extLst>
        </xdr:cNvPr>
        <xdr:cNvCxnSpPr/>
      </xdr:nvCxnSpPr>
      <xdr:spPr>
        <a:xfrm flipV="1">
          <a:off x="5800725" y="2343150"/>
          <a:ext cx="5962650" cy="1047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314325</xdr:colOff>
      <xdr:row>15</xdr:row>
      <xdr:rowOff>152401</xdr:rowOff>
    </xdr:from>
    <xdr:to>
      <xdr:col>20</xdr:col>
      <xdr:colOff>9525</xdr:colOff>
      <xdr:row>23</xdr:row>
      <xdr:rowOff>67734</xdr:rowOff>
    </xdr:to>
    <xdr:pic>
      <xdr:nvPicPr>
        <xdr:cNvPr id="6" name="Picture 5">
          <a:extLst>
            <a:ext uri="{FF2B5EF4-FFF2-40B4-BE49-F238E27FC236}">
              <a16:creationId xmlns:a16="http://schemas.microsoft.com/office/drawing/2014/main" id="{9DF26767-D589-4BFA-A02B-D3B302D17F24}"/>
            </a:ext>
          </a:extLst>
        </xdr:cNvPr>
        <xdr:cNvPicPr>
          <a:picLocks noChangeAspect="1"/>
        </xdr:cNvPicPr>
      </xdr:nvPicPr>
      <xdr:blipFill>
        <a:blip xmlns:r="http://schemas.openxmlformats.org/officeDocument/2006/relationships" r:embed="rId2"/>
        <a:stretch>
          <a:fillRect/>
        </a:stretch>
      </xdr:blipFill>
      <xdr:spPr>
        <a:xfrm>
          <a:off x="7629525" y="3143251"/>
          <a:ext cx="4572000" cy="1439333"/>
        </a:xfrm>
        <a:prstGeom prst="rect">
          <a:avLst/>
        </a:prstGeom>
        <a:effectLst>
          <a:outerShdw blurRad="50800" dist="38100" dir="2700000" algn="tl" rotWithShape="0">
            <a:prstClr val="black">
              <a:alpha val="40000"/>
            </a:prstClr>
          </a:outerShdw>
        </a:effectLst>
      </xdr:spPr>
    </xdr:pic>
    <xdr:clientData/>
  </xdr:twoCellAnchor>
  <xdr:twoCellAnchor>
    <xdr:from>
      <xdr:col>4</xdr:col>
      <xdr:colOff>485775</xdr:colOff>
      <xdr:row>18</xdr:row>
      <xdr:rowOff>171450</xdr:rowOff>
    </xdr:from>
    <xdr:to>
      <xdr:col>14</xdr:col>
      <xdr:colOff>600075</xdr:colOff>
      <xdr:row>19</xdr:row>
      <xdr:rowOff>133350</xdr:rowOff>
    </xdr:to>
    <xdr:cxnSp macro="">
      <xdr:nvCxnSpPr>
        <xdr:cNvPr id="8" name="Straight Arrow Connector 7">
          <a:extLst>
            <a:ext uri="{FF2B5EF4-FFF2-40B4-BE49-F238E27FC236}">
              <a16:creationId xmlns:a16="http://schemas.microsoft.com/office/drawing/2014/main" id="{69B7F83B-2CFE-42C5-A763-A94B1C208840}"/>
            </a:ext>
          </a:extLst>
        </xdr:cNvPr>
        <xdr:cNvCxnSpPr/>
      </xdr:nvCxnSpPr>
      <xdr:spPr>
        <a:xfrm>
          <a:off x="2924175" y="3733800"/>
          <a:ext cx="6210300" cy="1524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390525</xdr:colOff>
      <xdr:row>8</xdr:row>
      <xdr:rowOff>142875</xdr:rowOff>
    </xdr:from>
    <xdr:to>
      <xdr:col>26</xdr:col>
      <xdr:colOff>219075</xdr:colOff>
      <xdr:row>14</xdr:row>
      <xdr:rowOff>19050</xdr:rowOff>
    </xdr:to>
    <xdr:sp macro="" textlink="">
      <xdr:nvSpPr>
        <xdr:cNvPr id="3" name="Speech Bubble: Rectangle with Corners Rounded 2">
          <a:extLst>
            <a:ext uri="{FF2B5EF4-FFF2-40B4-BE49-F238E27FC236}">
              <a16:creationId xmlns:a16="http://schemas.microsoft.com/office/drawing/2014/main" id="{90C1CCB8-DC3F-4368-9C57-EE54368AEE9A}"/>
            </a:ext>
          </a:extLst>
        </xdr:cNvPr>
        <xdr:cNvSpPr/>
      </xdr:nvSpPr>
      <xdr:spPr>
        <a:xfrm>
          <a:off x="12582525" y="1666875"/>
          <a:ext cx="3486150" cy="1152525"/>
        </a:xfrm>
        <a:prstGeom prst="wedgeRoundRectCallout">
          <a:avLst>
            <a:gd name="adj1" fmla="val -59904"/>
            <a:gd name="adj2" fmla="val -2789"/>
            <a:gd name="adj3" fmla="val 16667"/>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Values in blue cells</a:t>
          </a:r>
          <a:r>
            <a:rPr lang="en-US" sz="1100" baseline="0"/>
            <a:t> should be edited to reflect your fleet project and charging characteristics. These inputs are used to estimate a monthly electricity usage pattern for the fleet, which is then multiplied by PG&amp;E's rates to estimate average fuel costs.</a:t>
          </a:r>
          <a:endParaRPr lang="en-US" sz="1100"/>
        </a:p>
      </xdr:txBody>
    </xdr:sp>
    <xdr:clientData/>
  </xdr:twoCellAnchor>
  <xdr:twoCellAnchor>
    <xdr:from>
      <xdr:col>20</xdr:col>
      <xdr:colOff>390525</xdr:colOff>
      <xdr:row>17</xdr:row>
      <xdr:rowOff>66675</xdr:rowOff>
    </xdr:from>
    <xdr:to>
      <xdr:col>26</xdr:col>
      <xdr:colOff>219075</xdr:colOff>
      <xdr:row>23</xdr:row>
      <xdr:rowOff>76200</xdr:rowOff>
    </xdr:to>
    <xdr:sp macro="" textlink="">
      <xdr:nvSpPr>
        <xdr:cNvPr id="7" name="Speech Bubble: Rectangle with Corners Rounded 6">
          <a:extLst>
            <a:ext uri="{FF2B5EF4-FFF2-40B4-BE49-F238E27FC236}">
              <a16:creationId xmlns:a16="http://schemas.microsoft.com/office/drawing/2014/main" id="{95D03D4E-90F9-42A9-8E00-D2A5DC1CFE90}"/>
            </a:ext>
          </a:extLst>
        </xdr:cNvPr>
        <xdr:cNvSpPr/>
      </xdr:nvSpPr>
      <xdr:spPr>
        <a:xfrm>
          <a:off x="12582525" y="3438525"/>
          <a:ext cx="3486150" cy="1152525"/>
        </a:xfrm>
        <a:prstGeom prst="wedgeRoundRectCallout">
          <a:avLst>
            <a:gd name="adj1" fmla="val -81762"/>
            <a:gd name="adj2" fmla="val -310"/>
            <a:gd name="adj3" fmla="val 1666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If you see blank values or error messages in the orange cells, make sure you have correctly entered all of the inputs in the blue</a:t>
          </a:r>
          <a:r>
            <a:rPr lang="en-US" sz="1100" baseline="0"/>
            <a:t> cells.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14</xdr:row>
      <xdr:rowOff>273846</xdr:rowOff>
    </xdr:from>
    <xdr:to>
      <xdr:col>20</xdr:col>
      <xdr:colOff>1061356</xdr:colOff>
      <xdr:row>20</xdr:row>
      <xdr:rowOff>59532</xdr:rowOff>
    </xdr:to>
    <xdr:graphicFrame macro="">
      <xdr:nvGraphicFramePr>
        <xdr:cNvPr id="2" name="Chart 1">
          <a:extLst>
            <a:ext uri="{FF2B5EF4-FFF2-40B4-BE49-F238E27FC236}">
              <a16:creationId xmlns:a16="http://schemas.microsoft.com/office/drawing/2014/main" id="{D1BE3649-A665-4C6F-AEB4-279B9D167F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8</xdr:row>
      <xdr:rowOff>146336</xdr:rowOff>
    </xdr:from>
    <xdr:to>
      <xdr:col>21</xdr:col>
      <xdr:colOff>0</xdr:colOff>
      <xdr:row>14</xdr:row>
      <xdr:rowOff>13607</xdr:rowOff>
    </xdr:to>
    <xdr:graphicFrame macro="">
      <xdr:nvGraphicFramePr>
        <xdr:cNvPr id="3" name="Chart 2">
          <a:extLst>
            <a:ext uri="{FF2B5EF4-FFF2-40B4-BE49-F238E27FC236}">
              <a16:creationId xmlns:a16="http://schemas.microsoft.com/office/drawing/2014/main" id="{CAD578C0-F08D-4F6C-A52C-54F21CD4CB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0.33293</cdr:x>
      <cdr:y>0.22337</cdr:y>
    </cdr:from>
    <cdr:to>
      <cdr:x>0.38797</cdr:x>
      <cdr:y>0.32733</cdr:y>
    </cdr:to>
    <cdr:grpSp>
      <cdr:nvGrpSpPr>
        <cdr:cNvPr id="2" name="Group 1">
          <a:extLst xmlns:a="http://schemas.openxmlformats.org/drawingml/2006/main">
            <a:ext uri="{FF2B5EF4-FFF2-40B4-BE49-F238E27FC236}">
              <a16:creationId xmlns:a16="http://schemas.microsoft.com/office/drawing/2014/main" id="{58C5B6E2-2748-4A80-A1CF-7B6793426A8E}"/>
            </a:ext>
          </a:extLst>
        </cdr:cNvPr>
        <cdr:cNvGrpSpPr/>
      </cdr:nvGrpSpPr>
      <cdr:grpSpPr>
        <a:xfrm xmlns:a="http://schemas.openxmlformats.org/drawingml/2006/main">
          <a:off x="2197159" y="520501"/>
          <a:ext cx="363235" cy="242250"/>
          <a:chOff x="2062092" y="460563"/>
          <a:chExt cx="453918" cy="214353"/>
        </a:xfrm>
      </cdr:grpSpPr>
      <cdr:pic>
        <cdr:nvPicPr>
          <cdr:cNvPr id="5" name="Graphic 4" descr="Sun">
            <a:extLst xmlns:a="http://schemas.openxmlformats.org/drawingml/2006/main">
              <a:ext uri="{FF2B5EF4-FFF2-40B4-BE49-F238E27FC236}">
                <a16:creationId xmlns:a16="http://schemas.microsoft.com/office/drawing/2014/main" id="{385EF429-07A2-4516-8B9D-405CE6D98BE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2244599" y="460563"/>
            <a:ext cx="271411" cy="206188"/>
          </a:xfrm>
          <a:prstGeom xmlns:a="http://schemas.openxmlformats.org/drawingml/2006/main" prst="rect">
            <a:avLst/>
          </a:prstGeom>
        </cdr:spPr>
      </cdr:pic>
      <cdr:pic>
        <cdr:nvPicPr>
          <cdr:cNvPr id="12" name="Graphic 11" descr="Moon and stars">
            <a:extLst xmlns:a="http://schemas.openxmlformats.org/drawingml/2006/main">
              <a:ext uri="{FF2B5EF4-FFF2-40B4-BE49-F238E27FC236}">
                <a16:creationId xmlns:a16="http://schemas.microsoft.com/office/drawing/2014/main" id="{D55B4590-E344-42A9-97AF-0EB33E0989E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xmlns:a="http://schemas.openxmlformats.org/drawingml/2006/main">
            <a:fillRect/>
          </a:stretch>
        </cdr:blipFill>
        <cdr:spPr>
          <a:xfrm xmlns:a="http://schemas.openxmlformats.org/drawingml/2006/main">
            <a:off x="2062092" y="546873"/>
            <a:ext cx="168487" cy="128043"/>
          </a:xfrm>
          <a:prstGeom xmlns:a="http://schemas.openxmlformats.org/drawingml/2006/main" prst="rect">
            <a:avLst/>
          </a:prstGeom>
        </cdr:spPr>
      </cdr:pic>
    </cdr:grpSp>
  </cdr:relSizeAnchor>
  <cdr:relSizeAnchor xmlns:cdr="http://schemas.openxmlformats.org/drawingml/2006/chartDrawing">
    <cdr:from>
      <cdr:x>0.78135</cdr:x>
      <cdr:y>0.22337</cdr:y>
    </cdr:from>
    <cdr:to>
      <cdr:x>0.83254</cdr:x>
      <cdr:y>0.32375</cdr:y>
    </cdr:to>
    <cdr:grpSp>
      <cdr:nvGrpSpPr>
        <cdr:cNvPr id="3" name="Group 2">
          <a:extLst xmlns:a="http://schemas.openxmlformats.org/drawingml/2006/main">
            <a:ext uri="{FF2B5EF4-FFF2-40B4-BE49-F238E27FC236}">
              <a16:creationId xmlns:a16="http://schemas.microsoft.com/office/drawing/2014/main" id="{D18D0324-CCBE-4BF0-9B33-089E6DAB7E5F}"/>
            </a:ext>
          </a:extLst>
        </cdr:cNvPr>
        <cdr:cNvGrpSpPr/>
      </cdr:nvGrpSpPr>
      <cdr:grpSpPr>
        <a:xfrm xmlns:a="http://schemas.openxmlformats.org/drawingml/2006/main">
          <a:off x="5156490" y="520501"/>
          <a:ext cx="337827" cy="233908"/>
          <a:chOff x="5995605" y="460563"/>
          <a:chExt cx="422166" cy="206971"/>
        </a:xfrm>
      </cdr:grpSpPr>
      <cdr:pic>
        <cdr:nvPicPr>
          <cdr:cNvPr id="10" name="Graphic 9" descr="Moon and stars">
            <a:extLst xmlns:a="http://schemas.openxmlformats.org/drawingml/2006/main">
              <a:ext uri="{FF2B5EF4-FFF2-40B4-BE49-F238E27FC236}">
                <a16:creationId xmlns:a16="http://schemas.microsoft.com/office/drawing/2014/main" id="{C5F1A0C5-233D-4AB6-86D2-3F5A5FE5225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xmlns:a="http://schemas.openxmlformats.org/drawingml/2006/main">
            <a:fillRect/>
          </a:stretch>
        </cdr:blipFill>
        <cdr:spPr>
          <a:xfrm xmlns:a="http://schemas.openxmlformats.org/drawingml/2006/main">
            <a:off x="6146443" y="460563"/>
            <a:ext cx="271328" cy="206188"/>
          </a:xfrm>
          <a:prstGeom xmlns:a="http://schemas.openxmlformats.org/drawingml/2006/main" prst="rect">
            <a:avLst/>
          </a:prstGeom>
        </cdr:spPr>
      </cdr:pic>
      <cdr:pic>
        <cdr:nvPicPr>
          <cdr:cNvPr id="13" name="Graphic 12" descr="Sun">
            <a:extLst xmlns:a="http://schemas.openxmlformats.org/drawingml/2006/main">
              <a:ext uri="{FF2B5EF4-FFF2-40B4-BE49-F238E27FC236}">
                <a16:creationId xmlns:a16="http://schemas.microsoft.com/office/drawing/2014/main" id="{94C9B4E2-7CFE-4511-B6FB-CDEA37C0D84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xmlns:a="http://schemas.openxmlformats.org/drawingml/2006/main">
            <a:fillRect/>
          </a:stretch>
        </cdr:blipFill>
        <cdr:spPr>
          <a:xfrm xmlns:a="http://schemas.openxmlformats.org/drawingml/2006/main">
            <a:off x="5995605" y="539491"/>
            <a:ext cx="168487" cy="128043"/>
          </a:xfrm>
          <a:prstGeom xmlns:a="http://schemas.openxmlformats.org/drawingml/2006/main" prst="rect">
            <a:avLst/>
          </a:prstGeom>
        </cdr:spPr>
      </cdr:pic>
    </cdr:grpSp>
  </cdr:relSizeAnchor>
</c:userShapes>
</file>

<file path=xl/theme/theme1.xml><?xml version="1.0" encoding="utf-8"?>
<a:theme xmlns:a="http://schemas.openxmlformats.org/drawingml/2006/main" name="Office Theme">
  <a:themeElements>
    <a:clrScheme name="PG&amp;E Brand">
      <a:dk1>
        <a:sysClr val="windowText" lastClr="000000"/>
      </a:dk1>
      <a:lt1>
        <a:sysClr val="window" lastClr="FFFFFF"/>
      </a:lt1>
      <a:dk2>
        <a:srgbClr val="1F497D"/>
      </a:dk2>
      <a:lt2>
        <a:srgbClr val="EEECE1"/>
      </a:lt2>
      <a:accent1>
        <a:srgbClr val="0089C4"/>
      </a:accent1>
      <a:accent2>
        <a:srgbClr val="FFA100"/>
      </a:accent2>
      <a:accent3>
        <a:srgbClr val="777777"/>
      </a:accent3>
      <a:accent4>
        <a:srgbClr val="70A489"/>
      </a:accent4>
      <a:accent5>
        <a:srgbClr val="CAB575"/>
      </a:accent5>
      <a:accent6>
        <a:srgbClr val="A3A86B"/>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ia.gov/dnav/pet/hist/LeafHandler.ashx?n=PET&amp;s=EMD_EPD2D_PTE_SCA_DPG&amp;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70192-51E5-4C6C-BB40-70D5ACDE3D1B}">
  <sheetPr>
    <tabColor theme="3" tint="0.79998168889431442"/>
  </sheetPr>
  <dimension ref="A1:L128"/>
  <sheetViews>
    <sheetView showGridLines="0" zoomScaleNormal="100" workbookViewId="0">
      <selection activeCell="AA28" sqref="AA28"/>
    </sheetView>
  </sheetViews>
  <sheetFormatPr defaultRowHeight="15" x14ac:dyDescent="0.25"/>
  <sheetData>
    <row r="1" spans="1:12" s="171" customFormat="1" ht="15" customHeight="1" x14ac:dyDescent="0.25">
      <c r="A1" s="265" t="s">
        <v>177</v>
      </c>
      <c r="B1" s="266"/>
      <c r="C1" s="266"/>
      <c r="D1" s="266"/>
      <c r="E1" s="266"/>
      <c r="F1" s="266"/>
      <c r="G1" s="266"/>
      <c r="H1" s="266"/>
      <c r="I1" s="266"/>
      <c r="J1" s="266"/>
      <c r="K1" s="266"/>
      <c r="L1" s="267"/>
    </row>
    <row r="2" spans="1:12" s="171" customFormat="1" x14ac:dyDescent="0.25">
      <c r="A2" s="268"/>
      <c r="B2" s="269"/>
      <c r="C2" s="269"/>
      <c r="D2" s="269"/>
      <c r="E2" s="269"/>
      <c r="F2" s="269"/>
      <c r="G2" s="269"/>
      <c r="H2" s="269"/>
      <c r="I2" s="269"/>
      <c r="J2" s="269"/>
      <c r="K2" s="269"/>
      <c r="L2" s="270"/>
    </row>
    <row r="3" spans="1:12" s="171" customFormat="1" x14ac:dyDescent="0.25">
      <c r="A3" s="268"/>
      <c r="B3" s="269"/>
      <c r="C3" s="269"/>
      <c r="D3" s="269"/>
      <c r="E3" s="269"/>
      <c r="F3" s="269"/>
      <c r="G3" s="269"/>
      <c r="H3" s="269"/>
      <c r="I3" s="269"/>
      <c r="J3" s="269"/>
      <c r="K3" s="269"/>
      <c r="L3" s="270"/>
    </row>
    <row r="4" spans="1:12" s="171" customFormat="1" x14ac:dyDescent="0.25">
      <c r="A4" s="268"/>
      <c r="B4" s="269"/>
      <c r="C4" s="269"/>
      <c r="D4" s="269"/>
      <c r="E4" s="269"/>
      <c r="F4" s="269"/>
      <c r="G4" s="269"/>
      <c r="H4" s="269"/>
      <c r="I4" s="269"/>
      <c r="J4" s="269"/>
      <c r="K4" s="269"/>
      <c r="L4" s="270"/>
    </row>
    <row r="5" spans="1:12" s="171" customFormat="1" x14ac:dyDescent="0.25">
      <c r="A5" s="268"/>
      <c r="B5" s="269"/>
      <c r="C5" s="269"/>
      <c r="D5" s="269"/>
      <c r="E5" s="269"/>
      <c r="F5" s="269"/>
      <c r="G5" s="269"/>
      <c r="H5" s="269"/>
      <c r="I5" s="269"/>
      <c r="J5" s="269"/>
      <c r="K5" s="269"/>
      <c r="L5" s="270"/>
    </row>
    <row r="6" spans="1:12" s="171" customFormat="1" x14ac:dyDescent="0.25">
      <c r="A6" s="268"/>
      <c r="B6" s="269"/>
      <c r="C6" s="269"/>
      <c r="D6" s="269"/>
      <c r="E6" s="269"/>
      <c r="F6" s="269"/>
      <c r="G6" s="269"/>
      <c r="H6" s="269"/>
      <c r="I6" s="269"/>
      <c r="J6" s="269"/>
      <c r="K6" s="269"/>
      <c r="L6" s="270"/>
    </row>
    <row r="7" spans="1:12" s="171" customFormat="1" x14ac:dyDescent="0.25">
      <c r="A7" s="268"/>
      <c r="B7" s="269"/>
      <c r="C7" s="269"/>
      <c r="D7" s="269"/>
      <c r="E7" s="269"/>
      <c r="F7" s="269"/>
      <c r="G7" s="269"/>
      <c r="H7" s="269"/>
      <c r="I7" s="269"/>
      <c r="J7" s="269"/>
      <c r="K7" s="269"/>
      <c r="L7" s="270"/>
    </row>
    <row r="8" spans="1:12" s="171" customFormat="1" x14ac:dyDescent="0.25">
      <c r="A8" s="268"/>
      <c r="B8" s="269"/>
      <c r="C8" s="269"/>
      <c r="D8" s="269"/>
      <c r="E8" s="269"/>
      <c r="F8" s="269"/>
      <c r="G8" s="269"/>
      <c r="H8" s="269"/>
      <c r="I8" s="269"/>
      <c r="J8" s="269"/>
      <c r="K8" s="269"/>
      <c r="L8" s="270"/>
    </row>
    <row r="9" spans="1:12" s="171" customFormat="1" x14ac:dyDescent="0.25">
      <c r="A9" s="268"/>
      <c r="B9" s="269"/>
      <c r="C9" s="269"/>
      <c r="D9" s="269"/>
      <c r="E9" s="269"/>
      <c r="F9" s="269"/>
      <c r="G9" s="269"/>
      <c r="H9" s="269"/>
      <c r="I9" s="269"/>
      <c r="J9" s="269"/>
      <c r="K9" s="269"/>
      <c r="L9" s="270"/>
    </row>
    <row r="10" spans="1:12" s="171" customFormat="1" x14ac:dyDescent="0.25">
      <c r="A10" s="268"/>
      <c r="B10" s="269"/>
      <c r="C10" s="269"/>
      <c r="D10" s="269"/>
      <c r="E10" s="269"/>
      <c r="F10" s="269"/>
      <c r="G10" s="269"/>
      <c r="H10" s="269"/>
      <c r="I10" s="269"/>
      <c r="J10" s="269"/>
      <c r="K10" s="269"/>
      <c r="L10" s="270"/>
    </row>
    <row r="11" spans="1:12" s="171" customFormat="1" x14ac:dyDescent="0.25">
      <c r="A11" s="172"/>
      <c r="B11" s="173"/>
      <c r="C11" s="173"/>
      <c r="D11" s="173"/>
      <c r="E11" s="173"/>
      <c r="F11" s="173"/>
      <c r="G11" s="173"/>
      <c r="H11" s="173"/>
      <c r="I11" s="173"/>
      <c r="J11" s="173"/>
      <c r="K11" s="173"/>
      <c r="L11" s="174"/>
    </row>
    <row r="12" spans="1:12" s="171" customFormat="1" ht="25.5" customHeight="1" x14ac:dyDescent="0.25">
      <c r="A12" s="271" t="s">
        <v>128</v>
      </c>
      <c r="B12" s="272"/>
      <c r="C12" s="272"/>
      <c r="D12" s="272"/>
      <c r="E12" s="272"/>
      <c r="F12" s="272"/>
      <c r="G12" s="272"/>
      <c r="H12" s="272"/>
      <c r="I12" s="272"/>
      <c r="J12" s="272"/>
      <c r="K12" s="272"/>
      <c r="L12" s="273"/>
    </row>
    <row r="13" spans="1:12" s="171" customFormat="1" ht="15" customHeight="1" x14ac:dyDescent="0.25">
      <c r="A13" s="274" t="s">
        <v>185</v>
      </c>
      <c r="B13" s="275"/>
      <c r="C13" s="275"/>
      <c r="D13" s="275"/>
      <c r="E13" s="275"/>
      <c r="F13" s="275"/>
      <c r="G13" s="275"/>
      <c r="H13" s="275"/>
      <c r="I13" s="275"/>
      <c r="J13" s="275"/>
      <c r="K13" s="275"/>
      <c r="L13" s="276"/>
    </row>
    <row r="14" spans="1:12" s="171" customFormat="1" x14ac:dyDescent="0.25">
      <c r="A14" s="274"/>
      <c r="B14" s="275"/>
      <c r="C14" s="275"/>
      <c r="D14" s="275"/>
      <c r="E14" s="275"/>
      <c r="F14" s="275"/>
      <c r="G14" s="275"/>
      <c r="H14" s="275"/>
      <c r="I14" s="275"/>
      <c r="J14" s="275"/>
      <c r="K14" s="275"/>
      <c r="L14" s="276"/>
    </row>
    <row r="15" spans="1:12" s="171" customFormat="1" x14ac:dyDescent="0.25">
      <c r="A15" s="274"/>
      <c r="B15" s="275"/>
      <c r="C15" s="275"/>
      <c r="D15" s="275"/>
      <c r="E15" s="275"/>
      <c r="F15" s="275"/>
      <c r="G15" s="275"/>
      <c r="H15" s="275"/>
      <c r="I15" s="275"/>
      <c r="J15" s="275"/>
      <c r="K15" s="275"/>
      <c r="L15" s="276"/>
    </row>
    <row r="16" spans="1:12" s="171" customFormat="1" x14ac:dyDescent="0.25">
      <c r="A16" s="274"/>
      <c r="B16" s="275"/>
      <c r="C16" s="275"/>
      <c r="D16" s="275"/>
      <c r="E16" s="275"/>
      <c r="F16" s="275"/>
      <c r="G16" s="275"/>
      <c r="H16" s="275"/>
      <c r="I16" s="275"/>
      <c r="J16" s="275"/>
      <c r="K16" s="275"/>
      <c r="L16" s="276"/>
    </row>
    <row r="17" spans="1:12" s="171" customFormat="1" x14ac:dyDescent="0.25">
      <c r="A17" s="274"/>
      <c r="B17" s="275"/>
      <c r="C17" s="275"/>
      <c r="D17" s="275"/>
      <c r="E17" s="275"/>
      <c r="F17" s="275"/>
      <c r="G17" s="275"/>
      <c r="H17" s="275"/>
      <c r="I17" s="275"/>
      <c r="J17" s="275"/>
      <c r="K17" s="275"/>
      <c r="L17" s="276"/>
    </row>
    <row r="18" spans="1:12" s="171" customFormat="1" x14ac:dyDescent="0.25">
      <c r="A18" s="274"/>
      <c r="B18" s="275"/>
      <c r="C18" s="275"/>
      <c r="D18" s="275"/>
      <c r="E18" s="275"/>
      <c r="F18" s="275"/>
      <c r="G18" s="275"/>
      <c r="H18" s="275"/>
      <c r="I18" s="275"/>
      <c r="J18" s="275"/>
      <c r="K18" s="275"/>
      <c r="L18" s="276"/>
    </row>
    <row r="19" spans="1:12" s="171" customFormat="1" x14ac:dyDescent="0.25">
      <c r="A19" s="274"/>
      <c r="B19" s="275"/>
      <c r="C19" s="275"/>
      <c r="D19" s="275"/>
      <c r="E19" s="275"/>
      <c r="F19" s="275"/>
      <c r="G19" s="275"/>
      <c r="H19" s="275"/>
      <c r="I19" s="275"/>
      <c r="J19" s="275"/>
      <c r="K19" s="275"/>
      <c r="L19" s="276"/>
    </row>
    <row r="20" spans="1:12" s="171" customFormat="1" x14ac:dyDescent="0.25">
      <c r="A20" s="274"/>
      <c r="B20" s="275"/>
      <c r="C20" s="275"/>
      <c r="D20" s="275"/>
      <c r="E20" s="275"/>
      <c r="F20" s="275"/>
      <c r="G20" s="275"/>
      <c r="H20" s="275"/>
      <c r="I20" s="275"/>
      <c r="J20" s="275"/>
      <c r="K20" s="275"/>
      <c r="L20" s="276"/>
    </row>
    <row r="21" spans="1:12" s="171" customFormat="1" x14ac:dyDescent="0.25">
      <c r="A21" s="274"/>
      <c r="B21" s="275"/>
      <c r="C21" s="275"/>
      <c r="D21" s="275"/>
      <c r="E21" s="275"/>
      <c r="F21" s="275"/>
      <c r="G21" s="275"/>
      <c r="H21" s="275"/>
      <c r="I21" s="275"/>
      <c r="J21" s="275"/>
      <c r="K21" s="275"/>
      <c r="L21" s="276"/>
    </row>
    <row r="22" spans="1:12" s="171" customFormat="1" x14ac:dyDescent="0.25">
      <c r="A22" s="274"/>
      <c r="B22" s="275"/>
      <c r="C22" s="275"/>
      <c r="D22" s="275"/>
      <c r="E22" s="275"/>
      <c r="F22" s="275"/>
      <c r="G22" s="275"/>
      <c r="H22" s="275"/>
      <c r="I22" s="275"/>
      <c r="J22" s="275"/>
      <c r="K22" s="275"/>
      <c r="L22" s="276"/>
    </row>
    <row r="23" spans="1:12" s="171" customFormat="1" x14ac:dyDescent="0.25">
      <c r="A23" s="274"/>
      <c r="B23" s="275"/>
      <c r="C23" s="275"/>
      <c r="D23" s="275"/>
      <c r="E23" s="275"/>
      <c r="F23" s="275"/>
      <c r="G23" s="275"/>
      <c r="H23" s="275"/>
      <c r="I23" s="275"/>
      <c r="J23" s="275"/>
      <c r="K23" s="275"/>
      <c r="L23" s="276"/>
    </row>
    <row r="24" spans="1:12" s="171" customFormat="1" x14ac:dyDescent="0.25">
      <c r="A24" s="274"/>
      <c r="B24" s="275"/>
      <c r="C24" s="275"/>
      <c r="D24" s="275"/>
      <c r="E24" s="275"/>
      <c r="F24" s="275"/>
      <c r="G24" s="275"/>
      <c r="H24" s="275"/>
      <c r="I24" s="275"/>
      <c r="J24" s="275"/>
      <c r="K24" s="275"/>
      <c r="L24" s="276"/>
    </row>
    <row r="25" spans="1:12" s="171" customFormat="1" x14ac:dyDescent="0.25">
      <c r="A25" s="274"/>
      <c r="B25" s="275"/>
      <c r="C25" s="275"/>
      <c r="D25" s="275"/>
      <c r="E25" s="275"/>
      <c r="F25" s="275"/>
      <c r="G25" s="275"/>
      <c r="H25" s="275"/>
      <c r="I25" s="275"/>
      <c r="J25" s="275"/>
      <c r="K25" s="275"/>
      <c r="L25" s="276"/>
    </row>
    <row r="26" spans="1:12" s="171" customFormat="1" x14ac:dyDescent="0.25">
      <c r="A26" s="274"/>
      <c r="B26" s="275"/>
      <c r="C26" s="275"/>
      <c r="D26" s="275"/>
      <c r="E26" s="275"/>
      <c r="F26" s="275"/>
      <c r="G26" s="275"/>
      <c r="H26" s="275"/>
      <c r="I26" s="275"/>
      <c r="J26" s="275"/>
      <c r="K26" s="275"/>
      <c r="L26" s="276"/>
    </row>
    <row r="27" spans="1:12" s="171" customFormat="1" x14ac:dyDescent="0.25">
      <c r="A27" s="274"/>
      <c r="B27" s="275"/>
      <c r="C27" s="275"/>
      <c r="D27" s="275"/>
      <c r="E27" s="275"/>
      <c r="F27" s="275"/>
      <c r="G27" s="275"/>
      <c r="H27" s="275"/>
      <c r="I27" s="275"/>
      <c r="J27" s="275"/>
      <c r="K27" s="275"/>
      <c r="L27" s="276"/>
    </row>
    <row r="28" spans="1:12" s="171" customFormat="1" x14ac:dyDescent="0.25">
      <c r="A28" s="274"/>
      <c r="B28" s="275"/>
      <c r="C28" s="275"/>
      <c r="D28" s="275"/>
      <c r="E28" s="275"/>
      <c r="F28" s="275"/>
      <c r="G28" s="275"/>
      <c r="H28" s="275"/>
      <c r="I28" s="275"/>
      <c r="J28" s="275"/>
      <c r="K28" s="275"/>
      <c r="L28" s="276"/>
    </row>
    <row r="29" spans="1:12" s="171" customFormat="1" x14ac:dyDescent="0.25">
      <c r="A29" s="274"/>
      <c r="B29" s="275"/>
      <c r="C29" s="275"/>
      <c r="D29" s="275"/>
      <c r="E29" s="275"/>
      <c r="F29" s="275"/>
      <c r="G29" s="275"/>
      <c r="H29" s="275"/>
      <c r="I29" s="275"/>
      <c r="J29" s="275"/>
      <c r="K29" s="275"/>
      <c r="L29" s="276"/>
    </row>
    <row r="30" spans="1:12" s="171" customFormat="1" x14ac:dyDescent="0.25">
      <c r="A30" s="274"/>
      <c r="B30" s="275"/>
      <c r="C30" s="275"/>
      <c r="D30" s="275"/>
      <c r="E30" s="275"/>
      <c r="F30" s="275"/>
      <c r="G30" s="275"/>
      <c r="H30" s="275"/>
      <c r="I30" s="275"/>
      <c r="J30" s="275"/>
      <c r="K30" s="275"/>
      <c r="L30" s="276"/>
    </row>
    <row r="31" spans="1:12" s="171" customFormat="1" x14ac:dyDescent="0.25">
      <c r="A31" s="274"/>
      <c r="B31" s="275"/>
      <c r="C31" s="275"/>
      <c r="D31" s="275"/>
      <c r="E31" s="275"/>
      <c r="F31" s="275"/>
      <c r="G31" s="275"/>
      <c r="H31" s="275"/>
      <c r="I31" s="275"/>
      <c r="J31" s="275"/>
      <c r="K31" s="275"/>
      <c r="L31" s="276"/>
    </row>
    <row r="32" spans="1:12" s="171" customFormat="1" x14ac:dyDescent="0.25">
      <c r="A32" s="274"/>
      <c r="B32" s="275"/>
      <c r="C32" s="275"/>
      <c r="D32" s="275"/>
      <c r="E32" s="275"/>
      <c r="F32" s="275"/>
      <c r="G32" s="275"/>
      <c r="H32" s="275"/>
      <c r="I32" s="275"/>
      <c r="J32" s="275"/>
      <c r="K32" s="275"/>
      <c r="L32" s="276"/>
    </row>
    <row r="33" spans="1:12" s="171" customFormat="1" x14ac:dyDescent="0.25">
      <c r="A33" s="274"/>
      <c r="B33" s="275"/>
      <c r="C33" s="275"/>
      <c r="D33" s="275"/>
      <c r="E33" s="275"/>
      <c r="F33" s="275"/>
      <c r="G33" s="275"/>
      <c r="H33" s="275"/>
      <c r="I33" s="275"/>
      <c r="J33" s="275"/>
      <c r="K33" s="275"/>
      <c r="L33" s="276"/>
    </row>
    <row r="34" spans="1:12" s="171" customFormat="1" x14ac:dyDescent="0.25">
      <c r="A34" s="274"/>
      <c r="B34" s="275"/>
      <c r="C34" s="275"/>
      <c r="D34" s="275"/>
      <c r="E34" s="275"/>
      <c r="F34" s="275"/>
      <c r="G34" s="275"/>
      <c r="H34" s="275"/>
      <c r="I34" s="275"/>
      <c r="J34" s="275"/>
      <c r="K34" s="275"/>
      <c r="L34" s="276"/>
    </row>
    <row r="35" spans="1:12" s="171" customFormat="1" x14ac:dyDescent="0.25">
      <c r="A35" s="274"/>
      <c r="B35" s="275"/>
      <c r="C35" s="275"/>
      <c r="D35" s="275"/>
      <c r="E35" s="275"/>
      <c r="F35" s="275"/>
      <c r="G35" s="275"/>
      <c r="H35" s="275"/>
      <c r="I35" s="275"/>
      <c r="J35" s="275"/>
      <c r="K35" s="275"/>
      <c r="L35" s="276"/>
    </row>
    <row r="36" spans="1:12" s="171" customFormat="1" x14ac:dyDescent="0.25">
      <c r="A36" s="274"/>
      <c r="B36" s="275"/>
      <c r="C36" s="275"/>
      <c r="D36" s="275"/>
      <c r="E36" s="275"/>
      <c r="F36" s="275"/>
      <c r="G36" s="275"/>
      <c r="H36" s="275"/>
      <c r="I36" s="275"/>
      <c r="J36" s="275"/>
      <c r="K36" s="275"/>
      <c r="L36" s="276"/>
    </row>
    <row r="37" spans="1:12" s="171" customFormat="1" x14ac:dyDescent="0.25">
      <c r="A37" s="274"/>
      <c r="B37" s="275"/>
      <c r="C37" s="275"/>
      <c r="D37" s="275"/>
      <c r="E37" s="275"/>
      <c r="F37" s="275"/>
      <c r="G37" s="275"/>
      <c r="H37" s="275"/>
      <c r="I37" s="275"/>
      <c r="J37" s="275"/>
      <c r="K37" s="275"/>
      <c r="L37" s="276"/>
    </row>
    <row r="38" spans="1:12" s="171" customFormat="1" x14ac:dyDescent="0.25">
      <c r="A38" s="274"/>
      <c r="B38" s="275"/>
      <c r="C38" s="275"/>
      <c r="D38" s="275"/>
      <c r="E38" s="275"/>
      <c r="F38" s="275"/>
      <c r="G38" s="275"/>
      <c r="H38" s="275"/>
      <c r="I38" s="275"/>
      <c r="J38" s="275"/>
      <c r="K38" s="275"/>
      <c r="L38" s="276"/>
    </row>
    <row r="39" spans="1:12" s="171" customFormat="1" x14ac:dyDescent="0.25">
      <c r="A39" s="274"/>
      <c r="B39" s="275"/>
      <c r="C39" s="275"/>
      <c r="D39" s="275"/>
      <c r="E39" s="275"/>
      <c r="F39" s="275"/>
      <c r="G39" s="275"/>
      <c r="H39" s="275"/>
      <c r="I39" s="275"/>
      <c r="J39" s="275"/>
      <c r="K39" s="275"/>
      <c r="L39" s="276"/>
    </row>
    <row r="40" spans="1:12" s="171" customFormat="1" x14ac:dyDescent="0.25">
      <c r="A40" s="274"/>
      <c r="B40" s="275"/>
      <c r="C40" s="275"/>
      <c r="D40" s="275"/>
      <c r="E40" s="275"/>
      <c r="F40" s="275"/>
      <c r="G40" s="275"/>
      <c r="H40" s="275"/>
      <c r="I40" s="275"/>
      <c r="J40" s="275"/>
      <c r="K40" s="275"/>
      <c r="L40" s="276"/>
    </row>
    <row r="41" spans="1:12" s="171" customFormat="1" x14ac:dyDescent="0.25">
      <c r="A41" s="274"/>
      <c r="B41" s="275"/>
      <c r="C41" s="275"/>
      <c r="D41" s="275"/>
      <c r="E41" s="275"/>
      <c r="F41" s="275"/>
      <c r="G41" s="275"/>
      <c r="H41" s="275"/>
      <c r="I41" s="275"/>
      <c r="J41" s="275"/>
      <c r="K41" s="275"/>
      <c r="L41" s="276"/>
    </row>
    <row r="42" spans="1:12" s="171" customFormat="1" x14ac:dyDescent="0.25">
      <c r="A42" s="274"/>
      <c r="B42" s="275"/>
      <c r="C42" s="275"/>
      <c r="D42" s="275"/>
      <c r="E42" s="275"/>
      <c r="F42" s="275"/>
      <c r="G42" s="275"/>
      <c r="H42" s="275"/>
      <c r="I42" s="275"/>
      <c r="J42" s="275"/>
      <c r="K42" s="275"/>
      <c r="L42" s="276"/>
    </row>
    <row r="43" spans="1:12" s="171" customFormat="1" x14ac:dyDescent="0.25">
      <c r="A43" s="274"/>
      <c r="B43" s="275"/>
      <c r="C43" s="275"/>
      <c r="D43" s="275"/>
      <c r="E43" s="275"/>
      <c r="F43" s="275"/>
      <c r="G43" s="275"/>
      <c r="H43" s="275"/>
      <c r="I43" s="275"/>
      <c r="J43" s="275"/>
      <c r="K43" s="275"/>
      <c r="L43" s="276"/>
    </row>
    <row r="44" spans="1:12" s="171" customFormat="1" x14ac:dyDescent="0.25">
      <c r="A44" s="274"/>
      <c r="B44" s="275"/>
      <c r="C44" s="275"/>
      <c r="D44" s="275"/>
      <c r="E44" s="275"/>
      <c r="F44" s="275"/>
      <c r="G44" s="275"/>
      <c r="H44" s="275"/>
      <c r="I44" s="275"/>
      <c r="J44" s="275"/>
      <c r="K44" s="275"/>
      <c r="L44" s="276"/>
    </row>
    <row r="45" spans="1:12" s="171" customFormat="1" x14ac:dyDescent="0.25">
      <c r="A45" s="274"/>
      <c r="B45" s="275"/>
      <c r="C45" s="275"/>
      <c r="D45" s="275"/>
      <c r="E45" s="275"/>
      <c r="F45" s="275"/>
      <c r="G45" s="275"/>
      <c r="H45" s="275"/>
      <c r="I45" s="275"/>
      <c r="J45" s="275"/>
      <c r="K45" s="275"/>
      <c r="L45" s="276"/>
    </row>
    <row r="46" spans="1:12" s="171" customFormat="1" ht="15.75" thickBot="1" x14ac:dyDescent="0.3">
      <c r="A46" s="277"/>
      <c r="B46" s="278"/>
      <c r="C46" s="278"/>
      <c r="D46" s="278"/>
      <c r="E46" s="278"/>
      <c r="F46" s="278"/>
      <c r="G46" s="278"/>
      <c r="H46" s="278"/>
      <c r="I46" s="278"/>
      <c r="J46" s="278"/>
      <c r="K46" s="278"/>
      <c r="L46" s="279"/>
    </row>
    <row r="47" spans="1:12" s="171" customFormat="1" x14ac:dyDescent="0.25">
      <c r="A47"/>
      <c r="B47"/>
      <c r="C47"/>
      <c r="D47"/>
      <c r="E47"/>
      <c r="F47"/>
      <c r="G47"/>
      <c r="H47"/>
      <c r="I47"/>
      <c r="J47"/>
      <c r="K47"/>
      <c r="L47"/>
    </row>
    <row r="48" spans="1:12" s="171" customFormat="1" x14ac:dyDescent="0.25">
      <c r="A48"/>
      <c r="B48"/>
      <c r="C48"/>
      <c r="D48"/>
      <c r="E48"/>
      <c r="F48"/>
      <c r="G48"/>
      <c r="H48"/>
      <c r="I48"/>
      <c r="J48"/>
      <c r="K48"/>
      <c r="L48"/>
    </row>
    <row r="49" spans="1:12" s="171" customFormat="1" x14ac:dyDescent="0.25">
      <c r="A49"/>
      <c r="B49"/>
      <c r="C49"/>
      <c r="D49"/>
      <c r="E49"/>
      <c r="F49"/>
      <c r="G49"/>
      <c r="H49"/>
      <c r="I49"/>
      <c r="J49"/>
      <c r="K49"/>
      <c r="L49"/>
    </row>
    <row r="50" spans="1:12" s="171" customFormat="1" x14ac:dyDescent="0.25">
      <c r="A50"/>
      <c r="B50"/>
      <c r="C50"/>
      <c r="D50"/>
      <c r="E50"/>
      <c r="F50"/>
      <c r="G50"/>
      <c r="H50"/>
      <c r="I50"/>
      <c r="J50"/>
      <c r="K50"/>
      <c r="L50"/>
    </row>
    <row r="51" spans="1:12" s="171" customFormat="1" x14ac:dyDescent="0.25">
      <c r="A51"/>
      <c r="B51"/>
      <c r="C51"/>
      <c r="D51"/>
      <c r="E51"/>
      <c r="F51"/>
      <c r="G51"/>
      <c r="H51"/>
      <c r="I51"/>
      <c r="J51"/>
      <c r="K51"/>
      <c r="L51"/>
    </row>
    <row r="52" spans="1:12" s="171" customFormat="1" x14ac:dyDescent="0.25">
      <c r="A52"/>
      <c r="B52"/>
      <c r="C52"/>
      <c r="D52"/>
      <c r="E52"/>
      <c r="F52"/>
      <c r="G52"/>
      <c r="H52"/>
      <c r="I52"/>
      <c r="J52"/>
      <c r="K52"/>
      <c r="L52"/>
    </row>
    <row r="53" spans="1:12" s="171" customFormat="1" x14ac:dyDescent="0.25">
      <c r="A53"/>
      <c r="B53"/>
      <c r="C53"/>
      <c r="D53"/>
      <c r="E53"/>
      <c r="F53"/>
      <c r="G53"/>
      <c r="H53"/>
      <c r="I53"/>
      <c r="J53"/>
      <c r="K53"/>
      <c r="L53"/>
    </row>
    <row r="54" spans="1:12" s="171" customFormat="1" x14ac:dyDescent="0.25">
      <c r="A54"/>
      <c r="B54"/>
      <c r="C54"/>
      <c r="D54"/>
      <c r="E54"/>
      <c r="F54"/>
      <c r="G54"/>
      <c r="H54"/>
      <c r="I54"/>
      <c r="J54"/>
      <c r="K54"/>
      <c r="L54"/>
    </row>
    <row r="55" spans="1:12" s="171" customFormat="1" x14ac:dyDescent="0.25">
      <c r="A55"/>
      <c r="B55"/>
      <c r="C55"/>
      <c r="D55"/>
      <c r="E55"/>
      <c r="F55"/>
      <c r="G55"/>
      <c r="H55"/>
      <c r="I55"/>
      <c r="J55"/>
      <c r="K55"/>
      <c r="L55"/>
    </row>
    <row r="56" spans="1:12" s="171" customFormat="1" x14ac:dyDescent="0.25">
      <c r="A56"/>
      <c r="B56"/>
      <c r="C56"/>
      <c r="D56"/>
      <c r="E56"/>
      <c r="F56"/>
      <c r="G56"/>
      <c r="H56"/>
      <c r="I56"/>
      <c r="J56"/>
      <c r="K56"/>
      <c r="L56"/>
    </row>
    <row r="57" spans="1:12" s="171" customFormat="1" x14ac:dyDescent="0.25">
      <c r="A57"/>
      <c r="B57"/>
      <c r="C57"/>
      <c r="D57"/>
      <c r="E57"/>
      <c r="F57"/>
      <c r="G57"/>
      <c r="H57"/>
      <c r="I57"/>
      <c r="J57"/>
      <c r="K57"/>
      <c r="L57"/>
    </row>
    <row r="58" spans="1:12" s="171" customFormat="1" x14ac:dyDescent="0.25">
      <c r="A58"/>
      <c r="B58"/>
      <c r="C58"/>
      <c r="D58"/>
      <c r="E58"/>
      <c r="F58"/>
      <c r="G58"/>
      <c r="H58"/>
      <c r="I58"/>
      <c r="J58"/>
      <c r="K58"/>
      <c r="L58"/>
    </row>
    <row r="59" spans="1:12" s="171" customFormat="1" x14ac:dyDescent="0.25">
      <c r="A59"/>
      <c r="B59"/>
      <c r="C59"/>
      <c r="D59"/>
      <c r="E59"/>
      <c r="F59"/>
      <c r="G59"/>
      <c r="H59"/>
      <c r="I59"/>
      <c r="J59"/>
      <c r="K59"/>
      <c r="L59"/>
    </row>
    <row r="60" spans="1:12" s="171" customFormat="1" x14ac:dyDescent="0.25">
      <c r="A60"/>
      <c r="B60"/>
      <c r="C60"/>
      <c r="D60"/>
      <c r="E60"/>
      <c r="F60"/>
      <c r="G60"/>
      <c r="H60"/>
      <c r="I60"/>
      <c r="J60"/>
      <c r="K60"/>
      <c r="L60"/>
    </row>
    <row r="61" spans="1:12" s="171" customFormat="1" x14ac:dyDescent="0.25">
      <c r="A61"/>
      <c r="B61"/>
      <c r="C61"/>
      <c r="D61"/>
      <c r="E61"/>
      <c r="F61"/>
      <c r="G61"/>
      <c r="H61"/>
      <c r="I61"/>
      <c r="J61"/>
      <c r="K61"/>
      <c r="L61"/>
    </row>
    <row r="62" spans="1:12" s="171" customFormat="1" x14ac:dyDescent="0.25">
      <c r="A62"/>
      <c r="B62"/>
      <c r="C62"/>
      <c r="D62"/>
      <c r="E62"/>
      <c r="F62"/>
      <c r="G62"/>
      <c r="H62"/>
      <c r="I62"/>
      <c r="J62"/>
      <c r="K62"/>
      <c r="L62"/>
    </row>
    <row r="63" spans="1:12" s="171" customFormat="1" x14ac:dyDescent="0.25">
      <c r="A63"/>
      <c r="B63"/>
      <c r="C63"/>
      <c r="D63"/>
      <c r="E63"/>
      <c r="F63"/>
      <c r="G63"/>
      <c r="H63"/>
      <c r="I63"/>
      <c r="J63"/>
      <c r="K63"/>
      <c r="L63"/>
    </row>
    <row r="64" spans="1:12" s="171" customFormat="1" x14ac:dyDescent="0.25">
      <c r="A64"/>
      <c r="B64"/>
      <c r="C64"/>
      <c r="D64"/>
      <c r="E64"/>
      <c r="F64"/>
      <c r="G64"/>
      <c r="H64"/>
      <c r="I64"/>
      <c r="J64"/>
      <c r="K64"/>
      <c r="L64"/>
    </row>
    <row r="65" spans="1:12" s="171" customFormat="1" x14ac:dyDescent="0.25">
      <c r="A65"/>
      <c r="B65"/>
      <c r="C65"/>
      <c r="D65"/>
      <c r="E65"/>
      <c r="F65"/>
      <c r="G65"/>
      <c r="H65"/>
      <c r="I65"/>
      <c r="J65"/>
      <c r="K65"/>
      <c r="L65"/>
    </row>
    <row r="66" spans="1:12" s="171" customFormat="1" x14ac:dyDescent="0.25">
      <c r="A66"/>
      <c r="B66"/>
      <c r="C66"/>
      <c r="D66"/>
      <c r="E66"/>
      <c r="F66"/>
      <c r="G66"/>
      <c r="H66"/>
      <c r="I66"/>
      <c r="J66"/>
      <c r="K66"/>
      <c r="L66"/>
    </row>
    <row r="67" spans="1:12" s="171" customFormat="1" x14ac:dyDescent="0.25">
      <c r="A67"/>
      <c r="B67"/>
      <c r="C67"/>
      <c r="D67"/>
      <c r="E67"/>
      <c r="F67"/>
      <c r="G67"/>
      <c r="H67"/>
      <c r="I67"/>
      <c r="J67"/>
      <c r="K67"/>
      <c r="L67"/>
    </row>
    <row r="68" spans="1:12" s="171" customFormat="1" x14ac:dyDescent="0.25">
      <c r="A68"/>
      <c r="B68"/>
      <c r="C68"/>
      <c r="D68"/>
      <c r="E68"/>
      <c r="F68"/>
      <c r="G68"/>
      <c r="H68"/>
      <c r="I68"/>
      <c r="J68"/>
      <c r="K68"/>
      <c r="L68"/>
    </row>
    <row r="69" spans="1:12" s="171" customFormat="1" x14ac:dyDescent="0.25">
      <c r="A69"/>
      <c r="B69"/>
      <c r="C69"/>
      <c r="D69"/>
      <c r="E69"/>
      <c r="F69"/>
      <c r="G69"/>
      <c r="H69"/>
      <c r="I69"/>
      <c r="J69"/>
      <c r="K69"/>
      <c r="L69"/>
    </row>
    <row r="70" spans="1:12" s="171" customFormat="1" x14ac:dyDescent="0.25">
      <c r="A70"/>
      <c r="B70"/>
      <c r="C70"/>
      <c r="D70"/>
      <c r="E70"/>
      <c r="F70"/>
      <c r="G70"/>
      <c r="H70"/>
      <c r="I70"/>
      <c r="J70"/>
      <c r="K70"/>
      <c r="L70"/>
    </row>
    <row r="71" spans="1:12" s="171" customFormat="1" x14ac:dyDescent="0.25">
      <c r="A71"/>
      <c r="B71"/>
      <c r="C71"/>
      <c r="D71"/>
      <c r="E71"/>
      <c r="F71"/>
      <c r="G71"/>
      <c r="H71"/>
      <c r="I71"/>
      <c r="J71"/>
      <c r="K71"/>
      <c r="L71"/>
    </row>
    <row r="72" spans="1:12" s="171" customFormat="1" x14ac:dyDescent="0.25">
      <c r="A72"/>
      <c r="B72"/>
      <c r="C72"/>
      <c r="D72"/>
      <c r="E72"/>
      <c r="F72"/>
      <c r="G72"/>
      <c r="H72"/>
      <c r="I72"/>
      <c r="J72"/>
      <c r="K72"/>
      <c r="L72"/>
    </row>
    <row r="73" spans="1:12" s="171" customFormat="1" x14ac:dyDescent="0.25">
      <c r="A73"/>
      <c r="B73"/>
      <c r="C73"/>
      <c r="D73"/>
      <c r="E73"/>
      <c r="F73"/>
      <c r="G73"/>
      <c r="H73"/>
      <c r="I73"/>
      <c r="J73"/>
      <c r="K73"/>
      <c r="L73"/>
    </row>
    <row r="74" spans="1:12" s="171" customFormat="1" x14ac:dyDescent="0.25">
      <c r="A74"/>
      <c r="B74"/>
      <c r="C74"/>
      <c r="D74"/>
      <c r="E74"/>
      <c r="F74"/>
      <c r="G74"/>
      <c r="H74"/>
      <c r="I74"/>
      <c r="J74"/>
      <c r="K74"/>
      <c r="L74"/>
    </row>
    <row r="75" spans="1:12" s="171" customFormat="1" x14ac:dyDescent="0.25">
      <c r="A75"/>
      <c r="B75"/>
      <c r="C75"/>
      <c r="D75"/>
      <c r="E75"/>
      <c r="F75"/>
      <c r="G75"/>
      <c r="H75"/>
      <c r="I75"/>
      <c r="J75"/>
      <c r="K75"/>
      <c r="L75"/>
    </row>
    <row r="76" spans="1:12" s="171" customFormat="1" x14ac:dyDescent="0.25">
      <c r="A76"/>
      <c r="B76"/>
      <c r="C76"/>
      <c r="D76"/>
      <c r="E76"/>
      <c r="F76"/>
      <c r="G76"/>
      <c r="H76"/>
      <c r="I76"/>
      <c r="J76"/>
      <c r="K76"/>
      <c r="L76"/>
    </row>
    <row r="77" spans="1:12" s="171" customFormat="1" x14ac:dyDescent="0.25">
      <c r="A77"/>
      <c r="B77"/>
      <c r="C77"/>
      <c r="D77"/>
      <c r="E77"/>
      <c r="F77"/>
      <c r="G77"/>
      <c r="H77"/>
      <c r="I77"/>
      <c r="J77"/>
      <c r="K77"/>
      <c r="L77"/>
    </row>
    <row r="78" spans="1:12" s="171" customFormat="1" x14ac:dyDescent="0.25">
      <c r="A78"/>
      <c r="B78"/>
      <c r="C78"/>
      <c r="D78"/>
      <c r="E78"/>
      <c r="F78"/>
      <c r="G78"/>
      <c r="H78"/>
      <c r="I78"/>
      <c r="J78"/>
      <c r="K78"/>
      <c r="L78"/>
    </row>
    <row r="79" spans="1:12" s="171" customFormat="1" x14ac:dyDescent="0.25">
      <c r="A79"/>
      <c r="B79"/>
      <c r="C79"/>
      <c r="D79"/>
      <c r="E79"/>
      <c r="F79"/>
      <c r="G79"/>
      <c r="H79"/>
      <c r="I79"/>
      <c r="J79"/>
      <c r="K79"/>
      <c r="L79"/>
    </row>
    <row r="80" spans="1:12" s="171" customFormat="1" x14ac:dyDescent="0.25">
      <c r="A80"/>
      <c r="B80"/>
      <c r="C80"/>
      <c r="D80"/>
      <c r="E80"/>
      <c r="F80"/>
      <c r="G80"/>
      <c r="H80"/>
      <c r="I80"/>
      <c r="J80"/>
      <c r="K80"/>
      <c r="L80"/>
    </row>
    <row r="81" spans="1:12" s="171" customFormat="1" x14ac:dyDescent="0.25">
      <c r="A81"/>
      <c r="B81"/>
      <c r="C81"/>
      <c r="D81"/>
      <c r="E81"/>
      <c r="F81"/>
      <c r="G81"/>
      <c r="H81"/>
      <c r="I81"/>
      <c r="J81"/>
      <c r="K81"/>
      <c r="L81"/>
    </row>
    <row r="82" spans="1:12" s="171" customFormat="1" x14ac:dyDescent="0.25">
      <c r="A82"/>
      <c r="B82"/>
      <c r="C82"/>
      <c r="D82"/>
      <c r="E82"/>
      <c r="F82"/>
      <c r="G82"/>
      <c r="H82"/>
      <c r="I82"/>
      <c r="J82"/>
      <c r="K82"/>
      <c r="L82"/>
    </row>
    <row r="83" spans="1:12" s="171" customFormat="1" x14ac:dyDescent="0.25">
      <c r="A83"/>
      <c r="B83"/>
      <c r="C83"/>
      <c r="D83"/>
      <c r="E83"/>
      <c r="F83"/>
      <c r="G83"/>
      <c r="H83"/>
      <c r="I83"/>
      <c r="J83"/>
      <c r="K83"/>
      <c r="L83"/>
    </row>
    <row r="84" spans="1:12" s="171" customFormat="1" x14ac:dyDescent="0.25">
      <c r="A84"/>
      <c r="B84"/>
      <c r="C84"/>
      <c r="D84"/>
      <c r="E84"/>
      <c r="F84"/>
      <c r="G84"/>
      <c r="H84"/>
      <c r="I84"/>
      <c r="J84"/>
      <c r="K84"/>
      <c r="L84"/>
    </row>
    <row r="85" spans="1:12" s="171" customFormat="1" x14ac:dyDescent="0.25">
      <c r="A85"/>
      <c r="B85"/>
      <c r="C85"/>
      <c r="D85"/>
      <c r="E85"/>
      <c r="F85"/>
      <c r="G85"/>
      <c r="H85"/>
      <c r="I85"/>
      <c r="J85"/>
      <c r="K85"/>
      <c r="L85"/>
    </row>
    <row r="86" spans="1:12" s="171" customFormat="1" x14ac:dyDescent="0.25">
      <c r="A86"/>
      <c r="B86"/>
      <c r="C86"/>
      <c r="D86"/>
      <c r="E86"/>
      <c r="F86"/>
      <c r="G86"/>
      <c r="H86"/>
      <c r="I86"/>
      <c r="J86"/>
      <c r="K86"/>
      <c r="L86"/>
    </row>
    <row r="87" spans="1:12" s="171" customFormat="1" x14ac:dyDescent="0.25">
      <c r="A87"/>
      <c r="B87"/>
      <c r="C87"/>
      <c r="D87"/>
      <c r="E87"/>
      <c r="F87"/>
      <c r="G87"/>
      <c r="H87"/>
      <c r="I87"/>
      <c r="J87"/>
      <c r="K87"/>
      <c r="L87"/>
    </row>
    <row r="88" spans="1:12" s="171" customFormat="1" x14ac:dyDescent="0.25">
      <c r="A88"/>
      <c r="B88"/>
      <c r="C88"/>
      <c r="D88"/>
      <c r="E88"/>
      <c r="F88"/>
      <c r="G88"/>
      <c r="H88"/>
      <c r="I88"/>
      <c r="J88"/>
      <c r="K88"/>
      <c r="L88"/>
    </row>
    <row r="89" spans="1:12" s="171" customFormat="1" x14ac:dyDescent="0.25">
      <c r="A89"/>
      <c r="B89"/>
      <c r="C89"/>
      <c r="D89"/>
      <c r="E89"/>
      <c r="F89"/>
      <c r="G89"/>
      <c r="H89"/>
      <c r="I89"/>
      <c r="J89"/>
      <c r="K89"/>
      <c r="L89"/>
    </row>
    <row r="90" spans="1:12" s="171" customFormat="1" x14ac:dyDescent="0.25">
      <c r="A90"/>
      <c r="B90"/>
      <c r="C90"/>
      <c r="D90"/>
      <c r="E90"/>
      <c r="F90"/>
      <c r="G90"/>
      <c r="H90"/>
      <c r="I90"/>
      <c r="J90"/>
      <c r="K90"/>
      <c r="L90"/>
    </row>
    <row r="91" spans="1:12" s="171" customFormat="1" x14ac:dyDescent="0.25">
      <c r="A91"/>
      <c r="B91"/>
      <c r="C91"/>
      <c r="D91"/>
      <c r="E91"/>
      <c r="F91"/>
      <c r="G91"/>
      <c r="H91"/>
      <c r="I91"/>
      <c r="J91"/>
      <c r="K91"/>
      <c r="L91"/>
    </row>
    <row r="92" spans="1:12" s="171" customFormat="1" x14ac:dyDescent="0.25">
      <c r="A92"/>
      <c r="B92"/>
      <c r="C92"/>
      <c r="D92"/>
      <c r="E92"/>
      <c r="F92"/>
      <c r="G92"/>
      <c r="H92"/>
      <c r="I92"/>
      <c r="J92"/>
      <c r="K92"/>
      <c r="L92"/>
    </row>
    <row r="93" spans="1:12" s="171" customFormat="1" x14ac:dyDescent="0.25">
      <c r="A93"/>
      <c r="B93"/>
      <c r="C93"/>
      <c r="D93"/>
      <c r="E93"/>
      <c r="F93"/>
      <c r="G93"/>
      <c r="H93"/>
      <c r="I93"/>
      <c r="J93"/>
      <c r="K93"/>
      <c r="L93"/>
    </row>
    <row r="94" spans="1:12" s="171" customFormat="1" x14ac:dyDescent="0.25">
      <c r="A94"/>
      <c r="B94"/>
      <c r="C94"/>
      <c r="D94"/>
      <c r="E94"/>
      <c r="F94"/>
      <c r="G94"/>
      <c r="H94"/>
      <c r="I94"/>
      <c r="J94"/>
      <c r="K94"/>
      <c r="L94"/>
    </row>
    <row r="95" spans="1:12" s="171" customFormat="1" x14ac:dyDescent="0.25">
      <c r="A95"/>
      <c r="B95"/>
      <c r="C95"/>
      <c r="D95"/>
      <c r="E95"/>
      <c r="F95"/>
      <c r="G95"/>
      <c r="H95"/>
      <c r="I95"/>
      <c r="J95"/>
      <c r="K95"/>
      <c r="L95"/>
    </row>
    <row r="96" spans="1:12" s="171" customFormat="1" x14ac:dyDescent="0.25">
      <c r="A96"/>
      <c r="B96"/>
      <c r="C96"/>
      <c r="D96"/>
      <c r="E96"/>
      <c r="F96"/>
      <c r="G96"/>
      <c r="H96"/>
      <c r="I96"/>
      <c r="J96"/>
      <c r="K96"/>
      <c r="L96"/>
    </row>
    <row r="97" spans="1:12" s="171" customFormat="1" x14ac:dyDescent="0.25">
      <c r="A97"/>
      <c r="B97"/>
      <c r="C97"/>
      <c r="D97"/>
      <c r="E97"/>
      <c r="F97"/>
      <c r="G97"/>
      <c r="H97"/>
      <c r="I97"/>
      <c r="J97"/>
      <c r="K97"/>
      <c r="L97"/>
    </row>
    <row r="98" spans="1:12" s="171" customFormat="1" x14ac:dyDescent="0.25">
      <c r="A98"/>
      <c r="B98"/>
      <c r="C98"/>
      <c r="D98"/>
      <c r="E98"/>
      <c r="F98"/>
      <c r="G98"/>
      <c r="H98"/>
      <c r="I98"/>
      <c r="J98"/>
      <c r="K98"/>
      <c r="L98"/>
    </row>
    <row r="99" spans="1:12" s="171" customFormat="1" x14ac:dyDescent="0.25">
      <c r="A99"/>
      <c r="B99"/>
      <c r="C99"/>
      <c r="D99"/>
      <c r="E99"/>
      <c r="F99"/>
      <c r="G99"/>
      <c r="H99"/>
      <c r="I99"/>
      <c r="J99"/>
      <c r="K99"/>
      <c r="L99"/>
    </row>
    <row r="100" spans="1:12" s="171" customFormat="1" x14ac:dyDescent="0.25">
      <c r="A100"/>
      <c r="B100"/>
      <c r="C100"/>
      <c r="D100"/>
      <c r="E100"/>
      <c r="F100"/>
      <c r="G100"/>
      <c r="H100"/>
      <c r="I100"/>
      <c r="J100"/>
      <c r="K100"/>
      <c r="L100"/>
    </row>
    <row r="101" spans="1:12" s="171" customFormat="1" x14ac:dyDescent="0.25">
      <c r="A101"/>
      <c r="B101"/>
      <c r="C101"/>
      <c r="D101"/>
      <c r="E101"/>
      <c r="F101"/>
      <c r="G101"/>
      <c r="H101"/>
      <c r="I101"/>
      <c r="J101"/>
      <c r="K101"/>
      <c r="L101"/>
    </row>
    <row r="102" spans="1:12" s="171" customFormat="1" x14ac:dyDescent="0.25">
      <c r="A102"/>
      <c r="B102"/>
      <c r="C102"/>
      <c r="D102"/>
      <c r="E102"/>
      <c r="F102"/>
      <c r="G102"/>
      <c r="H102"/>
      <c r="I102"/>
      <c r="J102"/>
      <c r="K102"/>
      <c r="L102"/>
    </row>
    <row r="103" spans="1:12" s="171" customFormat="1" x14ac:dyDescent="0.25">
      <c r="A103"/>
      <c r="B103"/>
      <c r="C103"/>
      <c r="D103"/>
      <c r="E103"/>
      <c r="F103"/>
      <c r="G103"/>
      <c r="H103"/>
      <c r="I103"/>
      <c r="J103"/>
      <c r="K103"/>
      <c r="L103"/>
    </row>
    <row r="104" spans="1:12" s="171" customFormat="1" x14ac:dyDescent="0.25">
      <c r="A104"/>
      <c r="B104"/>
      <c r="C104"/>
      <c r="D104"/>
      <c r="E104"/>
      <c r="F104"/>
      <c r="G104"/>
      <c r="H104"/>
      <c r="I104"/>
      <c r="J104"/>
      <c r="K104"/>
      <c r="L104"/>
    </row>
    <row r="105" spans="1:12" s="171" customFormat="1" x14ac:dyDescent="0.25">
      <c r="A105"/>
      <c r="B105"/>
      <c r="C105"/>
      <c r="D105"/>
      <c r="E105"/>
      <c r="F105"/>
      <c r="G105"/>
      <c r="H105"/>
      <c r="I105"/>
      <c r="J105"/>
      <c r="K105"/>
      <c r="L105"/>
    </row>
    <row r="106" spans="1:12" s="171" customFormat="1" x14ac:dyDescent="0.25">
      <c r="A106"/>
      <c r="B106"/>
      <c r="C106"/>
      <c r="D106"/>
      <c r="E106"/>
      <c r="F106"/>
      <c r="G106"/>
      <c r="H106"/>
      <c r="I106"/>
      <c r="J106"/>
      <c r="K106"/>
      <c r="L106"/>
    </row>
    <row r="107" spans="1:12" s="171" customFormat="1" x14ac:dyDescent="0.25">
      <c r="A107"/>
      <c r="B107"/>
      <c r="C107"/>
      <c r="D107"/>
      <c r="E107"/>
      <c r="F107"/>
      <c r="G107"/>
      <c r="H107"/>
      <c r="I107"/>
      <c r="J107"/>
      <c r="K107"/>
      <c r="L107"/>
    </row>
    <row r="108" spans="1:12" s="171" customFormat="1" x14ac:dyDescent="0.25">
      <c r="A108"/>
      <c r="B108"/>
      <c r="C108"/>
      <c r="D108"/>
      <c r="E108"/>
      <c r="F108"/>
      <c r="G108"/>
      <c r="H108"/>
      <c r="I108"/>
      <c r="J108"/>
      <c r="K108"/>
      <c r="L108"/>
    </row>
    <row r="109" spans="1:12" s="171" customFormat="1" x14ac:dyDescent="0.25">
      <c r="A109"/>
      <c r="B109"/>
      <c r="C109"/>
      <c r="D109"/>
      <c r="E109"/>
      <c r="F109"/>
      <c r="G109"/>
      <c r="H109"/>
      <c r="I109"/>
      <c r="J109"/>
      <c r="K109"/>
      <c r="L109"/>
    </row>
    <row r="110" spans="1:12" s="171" customFormat="1" x14ac:dyDescent="0.25">
      <c r="A110"/>
      <c r="B110"/>
      <c r="C110"/>
      <c r="D110"/>
      <c r="E110"/>
      <c r="F110"/>
      <c r="G110"/>
      <c r="H110"/>
      <c r="I110"/>
      <c r="J110"/>
      <c r="K110"/>
      <c r="L110"/>
    </row>
    <row r="111" spans="1:12" s="171" customFormat="1" x14ac:dyDescent="0.25">
      <c r="A111"/>
      <c r="B111"/>
      <c r="C111"/>
      <c r="D111"/>
      <c r="E111"/>
      <c r="F111"/>
      <c r="G111"/>
      <c r="H111"/>
      <c r="I111"/>
      <c r="J111"/>
      <c r="K111"/>
      <c r="L111"/>
    </row>
    <row r="112" spans="1:12" s="171" customFormat="1" x14ac:dyDescent="0.25">
      <c r="A112"/>
      <c r="B112"/>
      <c r="C112"/>
      <c r="D112"/>
      <c r="E112"/>
      <c r="F112"/>
      <c r="G112"/>
      <c r="H112"/>
      <c r="I112"/>
      <c r="J112"/>
      <c r="K112"/>
      <c r="L112"/>
    </row>
    <row r="113" spans="1:12" s="171" customFormat="1" x14ac:dyDescent="0.25">
      <c r="A113"/>
      <c r="B113"/>
      <c r="C113"/>
      <c r="D113"/>
      <c r="E113"/>
      <c r="F113"/>
      <c r="G113"/>
      <c r="H113"/>
      <c r="I113"/>
      <c r="J113"/>
      <c r="K113"/>
      <c r="L113"/>
    </row>
    <row r="114" spans="1:12" s="171" customFormat="1" x14ac:dyDescent="0.25">
      <c r="A114"/>
      <c r="B114"/>
      <c r="C114"/>
      <c r="D114"/>
      <c r="E114"/>
      <c r="F114"/>
      <c r="G114"/>
      <c r="H114"/>
      <c r="I114"/>
      <c r="J114"/>
      <c r="K114"/>
      <c r="L114"/>
    </row>
    <row r="115" spans="1:12" s="171" customFormat="1" x14ac:dyDescent="0.25">
      <c r="A115"/>
      <c r="B115"/>
      <c r="C115"/>
      <c r="D115"/>
      <c r="E115"/>
      <c r="F115"/>
      <c r="G115"/>
      <c r="H115"/>
      <c r="I115"/>
      <c r="J115"/>
      <c r="K115"/>
      <c r="L115"/>
    </row>
    <row r="116" spans="1:12" s="171" customFormat="1" x14ac:dyDescent="0.25">
      <c r="A116"/>
      <c r="B116"/>
      <c r="C116"/>
      <c r="D116"/>
      <c r="E116"/>
      <c r="F116"/>
      <c r="G116"/>
      <c r="H116"/>
      <c r="I116"/>
      <c r="J116"/>
      <c r="K116"/>
      <c r="L116"/>
    </row>
    <row r="117" spans="1:12" s="171" customFormat="1" x14ac:dyDescent="0.25">
      <c r="A117"/>
      <c r="B117"/>
      <c r="C117"/>
      <c r="D117"/>
      <c r="E117"/>
      <c r="F117"/>
      <c r="G117"/>
      <c r="H117"/>
      <c r="I117"/>
      <c r="J117"/>
      <c r="K117"/>
      <c r="L117"/>
    </row>
    <row r="118" spans="1:12" s="171" customFormat="1" x14ac:dyDescent="0.25">
      <c r="A118"/>
      <c r="B118"/>
      <c r="C118"/>
      <c r="D118"/>
      <c r="E118"/>
      <c r="F118"/>
      <c r="G118"/>
      <c r="H118"/>
      <c r="I118"/>
      <c r="J118"/>
      <c r="K118"/>
      <c r="L118"/>
    </row>
    <row r="119" spans="1:12" s="171" customFormat="1" x14ac:dyDescent="0.25">
      <c r="A119"/>
      <c r="B119"/>
      <c r="C119"/>
      <c r="D119"/>
      <c r="E119"/>
      <c r="F119"/>
      <c r="G119"/>
      <c r="H119"/>
      <c r="I119"/>
      <c r="J119"/>
      <c r="K119"/>
      <c r="L119"/>
    </row>
    <row r="120" spans="1:12" s="171" customFormat="1" x14ac:dyDescent="0.25">
      <c r="A120"/>
      <c r="B120"/>
      <c r="C120"/>
      <c r="D120"/>
      <c r="E120"/>
      <c r="F120"/>
      <c r="G120"/>
      <c r="H120"/>
      <c r="I120"/>
      <c r="J120"/>
      <c r="K120"/>
      <c r="L120"/>
    </row>
    <row r="121" spans="1:12" s="171" customFormat="1" x14ac:dyDescent="0.25">
      <c r="A121"/>
      <c r="B121"/>
      <c r="C121"/>
      <c r="D121"/>
      <c r="E121"/>
      <c r="F121"/>
      <c r="G121"/>
      <c r="H121"/>
      <c r="I121"/>
      <c r="J121"/>
      <c r="K121"/>
      <c r="L121"/>
    </row>
    <row r="122" spans="1:12" s="171" customFormat="1" x14ac:dyDescent="0.25">
      <c r="A122"/>
      <c r="B122"/>
      <c r="C122"/>
      <c r="D122"/>
      <c r="E122"/>
      <c r="F122"/>
      <c r="G122"/>
      <c r="H122"/>
      <c r="I122"/>
      <c r="J122"/>
      <c r="K122"/>
      <c r="L122"/>
    </row>
    <row r="123" spans="1:12" s="171" customFormat="1" x14ac:dyDescent="0.25">
      <c r="A123"/>
      <c r="B123"/>
      <c r="C123"/>
      <c r="D123"/>
      <c r="E123"/>
      <c r="F123"/>
      <c r="G123"/>
      <c r="H123"/>
      <c r="I123"/>
      <c r="J123"/>
      <c r="K123"/>
      <c r="L123"/>
    </row>
    <row r="124" spans="1:12" s="171" customFormat="1" x14ac:dyDescent="0.25">
      <c r="A124"/>
      <c r="B124"/>
      <c r="C124"/>
      <c r="D124"/>
      <c r="E124"/>
      <c r="F124"/>
      <c r="G124"/>
      <c r="H124"/>
      <c r="I124"/>
      <c r="J124"/>
      <c r="K124"/>
      <c r="L124"/>
    </row>
    <row r="125" spans="1:12" s="171" customFormat="1" x14ac:dyDescent="0.25">
      <c r="A125"/>
      <c r="B125"/>
      <c r="C125"/>
      <c r="D125"/>
      <c r="E125"/>
      <c r="F125"/>
      <c r="G125"/>
      <c r="H125"/>
      <c r="I125"/>
      <c r="J125"/>
      <c r="K125"/>
      <c r="L125"/>
    </row>
    <row r="126" spans="1:12" s="171" customFormat="1" x14ac:dyDescent="0.25">
      <c r="A126"/>
      <c r="B126"/>
      <c r="C126"/>
      <c r="D126"/>
      <c r="E126"/>
      <c r="F126"/>
      <c r="G126"/>
      <c r="H126"/>
      <c r="I126"/>
      <c r="J126"/>
      <c r="K126"/>
      <c r="L126"/>
    </row>
    <row r="127" spans="1:12" s="171" customFormat="1" x14ac:dyDescent="0.25">
      <c r="A127"/>
      <c r="B127"/>
      <c r="C127"/>
      <c r="D127"/>
      <c r="E127"/>
      <c r="F127"/>
      <c r="G127"/>
      <c r="H127"/>
      <c r="I127"/>
      <c r="J127"/>
      <c r="K127"/>
      <c r="L127"/>
    </row>
    <row r="128" spans="1:12" s="171" customFormat="1" x14ac:dyDescent="0.25">
      <c r="A128"/>
      <c r="B128"/>
      <c r="C128"/>
      <c r="D128"/>
      <c r="E128"/>
      <c r="F128"/>
      <c r="G128"/>
      <c r="H128"/>
      <c r="I128"/>
      <c r="J128"/>
      <c r="K128"/>
      <c r="L128"/>
    </row>
  </sheetData>
  <sheetProtection algorithmName="SHA-512" hashValue="kf3ks1CH9v3ScHHvjcx8aP34/kJddUYwf5FvasCIEdsNEV1aQF0qcdi1JM9MDqtT4aK9/T9tZvwt9kUHO0IlKQ==" saltValue="sZPvU42SOE/uGomcJOt+HQ==" spinCount="100000" sheet="1" objects="1" scenarios="1"/>
  <mergeCells count="3">
    <mergeCell ref="A1:L10"/>
    <mergeCell ref="A12:L12"/>
    <mergeCell ref="A13:L4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7B53A-92CB-43AE-A820-2C87080D5EC9}">
  <sheetPr>
    <tabColor theme="3" tint="0.59999389629810485"/>
    <pageSetUpPr fitToPage="1"/>
  </sheetPr>
  <dimension ref="A1:AB51"/>
  <sheetViews>
    <sheetView showGridLines="0" tabSelected="1" zoomScale="70" zoomScaleNormal="70" workbookViewId="0">
      <selection activeCell="M3" sqref="M3"/>
    </sheetView>
  </sheetViews>
  <sheetFormatPr defaultRowHeight="15" x14ac:dyDescent="0.25"/>
  <cols>
    <col min="1" max="1" width="3.28515625" style="153" customWidth="1"/>
    <col min="2" max="2" width="46.85546875" style="153" customWidth="1"/>
    <col min="3" max="3" width="13" style="153" customWidth="1"/>
    <col min="4" max="12" width="8.5703125" style="153" customWidth="1"/>
    <col min="13" max="13" width="12.28515625" style="153" customWidth="1"/>
    <col min="14" max="14" width="3.42578125" style="153" customWidth="1"/>
    <col min="15" max="15" width="0.5703125" style="153" customWidth="1"/>
    <col min="16" max="16" width="24.28515625" style="153" customWidth="1"/>
    <col min="17" max="17" width="7.85546875" style="153" customWidth="1"/>
    <col min="18" max="20" width="17" style="153" customWidth="1"/>
    <col min="21" max="21" width="16" style="153" customWidth="1"/>
    <col min="22" max="22" width="14" style="153" customWidth="1"/>
    <col min="23" max="23" width="18" style="153" customWidth="1"/>
    <col min="24" max="24" width="19.28515625" style="153" customWidth="1"/>
    <col min="25" max="25" width="16.28515625" style="153" customWidth="1"/>
    <col min="26" max="26" width="21.7109375" style="153" customWidth="1"/>
    <col min="27" max="27" width="12.7109375" style="153" customWidth="1"/>
    <col min="28" max="28" width="8.28515625" style="153" customWidth="1"/>
    <col min="29" max="16384" width="9.140625" style="153"/>
  </cols>
  <sheetData>
    <row r="1" spans="1:28" ht="19.5" thickBot="1" x14ac:dyDescent="0.35">
      <c r="A1" s="156"/>
      <c r="B1" s="151" t="s">
        <v>99</v>
      </c>
      <c r="C1"/>
      <c r="D1"/>
      <c r="E1"/>
      <c r="F1"/>
      <c r="G1"/>
      <c r="H1"/>
      <c r="I1"/>
      <c r="J1"/>
      <c r="K1"/>
      <c r="L1"/>
      <c r="M1"/>
      <c r="N1"/>
      <c r="O1" s="156"/>
      <c r="P1" s="151" t="s">
        <v>101</v>
      </c>
      <c r="Q1"/>
      <c r="R1"/>
      <c r="S1"/>
      <c r="T1" s="17"/>
      <c r="U1" s="151"/>
      <c r="V1"/>
      <c r="W1"/>
      <c r="X1"/>
      <c r="Y1"/>
      <c r="Z1"/>
      <c r="AA1" s="17"/>
      <c r="AB1" s="154"/>
    </row>
    <row r="2" spans="1:28" ht="31.5" customHeight="1" x14ac:dyDescent="0.25">
      <c r="A2"/>
      <c r="B2" s="285" t="s">
        <v>93</v>
      </c>
      <c r="C2" s="286"/>
      <c r="D2" s="286"/>
      <c r="E2" s="286"/>
      <c r="F2" s="286"/>
      <c r="G2" s="286"/>
      <c r="H2" s="286"/>
      <c r="I2" s="286"/>
      <c r="J2" s="286"/>
      <c r="K2" s="286"/>
      <c r="L2" s="286"/>
      <c r="M2" s="287"/>
      <c r="N2"/>
      <c r="O2" s="17"/>
      <c r="P2" s="303" t="s">
        <v>125</v>
      </c>
      <c r="Q2" s="304"/>
      <c r="R2" s="186" t="s">
        <v>130</v>
      </c>
      <c r="S2" s="186" t="s">
        <v>129</v>
      </c>
      <c r="T2" s="186" t="s">
        <v>149</v>
      </c>
      <c r="U2" s="187" t="s">
        <v>49</v>
      </c>
      <c r="V2" s="17"/>
      <c r="W2" s="285" t="s">
        <v>148</v>
      </c>
      <c r="X2" s="286"/>
      <c r="Y2" s="286"/>
      <c r="Z2" s="286"/>
      <c r="AA2" s="287"/>
      <c r="AB2" s="184"/>
    </row>
    <row r="3" spans="1:28" ht="37.5" customHeight="1" x14ac:dyDescent="0.25">
      <c r="A3" s="157" t="s">
        <v>104</v>
      </c>
      <c r="B3" s="298" t="s">
        <v>159</v>
      </c>
      <c r="C3" s="299"/>
      <c r="D3" s="299"/>
      <c r="E3" s="299"/>
      <c r="F3" s="299"/>
      <c r="G3" s="299"/>
      <c r="H3" s="299"/>
      <c r="I3" s="299"/>
      <c r="J3" s="299"/>
      <c r="K3" s="299"/>
      <c r="L3" s="299"/>
      <c r="M3" s="205" t="s">
        <v>187</v>
      </c>
      <c r="N3"/>
      <c r="O3"/>
      <c r="P3" s="188" t="s">
        <v>102</v>
      </c>
      <c r="Q3" s="189"/>
      <c r="R3" s="190" t="str">
        <f>IFERROR(Calculations!B26,"")</f>
        <v/>
      </c>
      <c r="S3" s="191" t="str">
        <f>IFERROR(Calculations!B26,"")</f>
        <v/>
      </c>
      <c r="T3" s="191" t="str">
        <f>IFERROR(Calculations!B27,"")</f>
        <v/>
      </c>
      <c r="U3" s="192"/>
      <c r="V3" s="17"/>
      <c r="W3" s="305" t="s">
        <v>174</v>
      </c>
      <c r="X3" s="306"/>
      <c r="Y3" s="306"/>
      <c r="Z3" s="306"/>
      <c r="AA3" s="307"/>
      <c r="AB3" s="184"/>
    </row>
    <row r="4" spans="1:28" ht="37.5" customHeight="1" x14ac:dyDescent="0.25">
      <c r="A4" s="157" t="s">
        <v>105</v>
      </c>
      <c r="B4" s="300" t="s">
        <v>87</v>
      </c>
      <c r="C4" s="301"/>
      <c r="D4" s="301"/>
      <c r="E4" s="301"/>
      <c r="F4" s="301"/>
      <c r="G4" s="301"/>
      <c r="H4" s="301"/>
      <c r="I4" s="301"/>
      <c r="J4" s="301"/>
      <c r="K4" s="301"/>
      <c r="L4" s="301"/>
      <c r="M4" s="206" t="s">
        <v>187</v>
      </c>
      <c r="N4"/>
      <c r="O4"/>
      <c r="P4" s="193" t="s">
        <v>134</v>
      </c>
      <c r="Q4" s="194"/>
      <c r="R4" s="195" t="str">
        <f>IFERROR(Calculations!P58,"")</f>
        <v/>
      </c>
      <c r="S4" s="196" t="str">
        <f>IFERROR(Calculations!J58,"")</f>
        <v/>
      </c>
      <c r="T4" s="196" t="str">
        <f>IFERROR(Calculations!D58,"")</f>
        <v/>
      </c>
      <c r="U4" s="197"/>
      <c r="V4" s="17"/>
      <c r="W4" s="308"/>
      <c r="X4" s="309"/>
      <c r="Y4" s="309"/>
      <c r="Z4" s="309"/>
      <c r="AA4" s="310"/>
      <c r="AB4" s="184"/>
    </row>
    <row r="5" spans="1:28" ht="41.25" customHeight="1" x14ac:dyDescent="0.25">
      <c r="A5" s="157" t="s">
        <v>106</v>
      </c>
      <c r="B5" s="302" t="s">
        <v>182</v>
      </c>
      <c r="C5" s="301"/>
      <c r="D5" s="301"/>
      <c r="E5" s="301"/>
      <c r="F5" s="301"/>
      <c r="G5" s="301"/>
      <c r="H5" s="301"/>
      <c r="I5" s="301"/>
      <c r="J5" s="301"/>
      <c r="K5" s="301"/>
      <c r="L5" s="301"/>
      <c r="M5" s="207" t="s">
        <v>187</v>
      </c>
      <c r="N5"/>
      <c r="O5"/>
      <c r="P5" s="219" t="s">
        <v>133</v>
      </c>
      <c r="Q5" s="198"/>
      <c r="R5" s="202" t="s">
        <v>131</v>
      </c>
      <c r="S5" s="203" t="str">
        <f>IFERROR(HLOOKUP($M$7,Calculations!$B$88:$U$90,2,FALSE),"")</f>
        <v/>
      </c>
      <c r="T5" s="203" t="str">
        <f>IFERROR(HLOOKUP($M$7,Calculations!$B$88:$U$90,3,FALSE),"")</f>
        <v/>
      </c>
      <c r="U5" s="199"/>
      <c r="V5" s="17"/>
      <c r="W5" s="317" t="s">
        <v>172</v>
      </c>
      <c r="X5" s="318"/>
      <c r="Y5" s="318"/>
      <c r="Z5" s="318"/>
      <c r="AA5" s="319"/>
      <c r="AB5" s="184"/>
    </row>
    <row r="6" spans="1:28" ht="37.5" customHeight="1" x14ac:dyDescent="0.25">
      <c r="A6" s="157" t="s">
        <v>107</v>
      </c>
      <c r="B6" s="302" t="s">
        <v>160</v>
      </c>
      <c r="C6" s="301"/>
      <c r="D6" s="301"/>
      <c r="E6" s="301"/>
      <c r="F6" s="301"/>
      <c r="G6" s="301"/>
      <c r="H6" s="301"/>
      <c r="I6" s="301"/>
      <c r="J6" s="301"/>
      <c r="K6" s="301"/>
      <c r="L6" s="301"/>
      <c r="M6" s="206" t="s">
        <v>187</v>
      </c>
      <c r="N6"/>
      <c r="O6"/>
      <c r="P6" s="193" t="s">
        <v>181</v>
      </c>
      <c r="Q6" s="194"/>
      <c r="R6" s="195" t="str">
        <f>IFERROR(Calculations!P59,"")</f>
        <v/>
      </c>
      <c r="S6" s="196" t="str">
        <f>IFERROR(Calculations!J59,"")</f>
        <v/>
      </c>
      <c r="T6" s="196" t="str">
        <f>IFERROR(Calculations!D59,"")</f>
        <v/>
      </c>
      <c r="U6" s="200" t="str">
        <f>IFERROR(M23/M24,"Please enter diesel/gas comparison inputs")</f>
        <v>Please enter diesel/gas comparison inputs</v>
      </c>
      <c r="V6" s="17"/>
      <c r="W6" s="311" t="s">
        <v>173</v>
      </c>
      <c r="X6" s="312"/>
      <c r="Y6" s="312"/>
      <c r="Z6" s="312"/>
      <c r="AA6" s="313"/>
      <c r="AB6" s="184"/>
    </row>
    <row r="7" spans="1:28" ht="37.5" customHeight="1" thickBot="1" x14ac:dyDescent="0.3">
      <c r="A7" s="157" t="s">
        <v>108</v>
      </c>
      <c r="B7" s="294" t="s">
        <v>183</v>
      </c>
      <c r="C7" s="295"/>
      <c r="D7" s="295"/>
      <c r="E7" s="295"/>
      <c r="F7" s="295"/>
      <c r="G7" s="295"/>
      <c r="H7" s="295"/>
      <c r="I7" s="295"/>
      <c r="J7" s="295"/>
      <c r="K7" s="295"/>
      <c r="L7" s="295"/>
      <c r="M7" s="208" t="s">
        <v>187</v>
      </c>
      <c r="N7"/>
      <c r="O7"/>
      <c r="P7" s="178" t="s">
        <v>118</v>
      </c>
      <c r="Q7" s="179"/>
      <c r="R7" s="177" t="str">
        <f>IFERROR(Calculations!P57,"")</f>
        <v/>
      </c>
      <c r="S7" s="175" t="str">
        <f>IFERROR(Calculations!J57,"")</f>
        <v/>
      </c>
      <c r="T7" s="175" t="str">
        <f>IFERROR(Calculations!D57,"")</f>
        <v/>
      </c>
      <c r="U7" s="158"/>
      <c r="V7" s="17"/>
      <c r="W7" s="314"/>
      <c r="X7" s="315"/>
      <c r="Y7" s="315"/>
      <c r="Z7" s="315"/>
      <c r="AA7" s="316"/>
      <c r="AB7" s="17"/>
    </row>
    <row r="8" spans="1:28" ht="45" customHeight="1" thickBot="1" x14ac:dyDescent="0.3">
      <c r="A8" s="157" t="s">
        <v>109</v>
      </c>
      <c r="B8" s="288" t="s">
        <v>184</v>
      </c>
      <c r="C8" s="289"/>
      <c r="D8" s="289"/>
      <c r="E8" s="289"/>
      <c r="F8" s="289"/>
      <c r="G8" s="289"/>
      <c r="H8" s="289"/>
      <c r="I8" s="289"/>
      <c r="J8" s="289"/>
      <c r="K8" s="289"/>
      <c r="L8" s="289"/>
      <c r="M8" s="209"/>
      <c r="N8"/>
      <c r="O8" s="185"/>
      <c r="P8" s="320" t="s">
        <v>150</v>
      </c>
      <c r="Q8" s="320"/>
      <c r="R8" s="320"/>
      <c r="S8" s="320"/>
      <c r="T8" s="320"/>
      <c r="U8" s="320"/>
      <c r="V8" s="17"/>
      <c r="W8" s="17"/>
      <c r="X8" s="17"/>
      <c r="Y8" s="17"/>
      <c r="Z8" s="17"/>
      <c r="AA8" s="17"/>
      <c r="AB8" s="154"/>
    </row>
    <row r="9" spans="1:28" ht="15.75" customHeight="1" thickBot="1" x14ac:dyDescent="0.3">
      <c r="A9" s="157"/>
      <c r="B9" s="185"/>
      <c r="C9" s="183"/>
      <c r="D9"/>
      <c r="E9"/>
      <c r="F9"/>
      <c r="G9"/>
      <c r="H9"/>
      <c r="I9"/>
      <c r="J9"/>
      <c r="K9"/>
      <c r="L9"/>
      <c r="M9"/>
      <c r="N9"/>
      <c r="O9"/>
      <c r="P9"/>
      <c r="Q9"/>
      <c r="R9"/>
      <c r="S9"/>
      <c r="T9"/>
      <c r="U9"/>
      <c r="V9"/>
      <c r="W9" s="17"/>
      <c r="X9" s="17"/>
      <c r="Y9" s="17"/>
      <c r="Z9" s="17"/>
      <c r="AA9" s="17"/>
      <c r="AB9" s="154"/>
    </row>
    <row r="10" spans="1:28" ht="18.75" x14ac:dyDescent="0.25">
      <c r="A10" s="157"/>
      <c r="B10" s="285" t="s">
        <v>94</v>
      </c>
      <c r="C10" s="286"/>
      <c r="D10" s="286"/>
      <c r="E10" s="286"/>
      <c r="F10" s="286"/>
      <c r="G10" s="286"/>
      <c r="H10" s="286"/>
      <c r="I10" s="286"/>
      <c r="J10" s="286"/>
      <c r="K10" s="286"/>
      <c r="L10" s="286"/>
      <c r="M10" s="287"/>
      <c r="N10"/>
      <c r="O10"/>
      <c r="P10" s="17"/>
      <c r="Q10" s="17"/>
      <c r="R10" s="17"/>
      <c r="S10" s="17"/>
      <c r="T10" s="17"/>
      <c r="U10" s="17"/>
      <c r="V10"/>
      <c r="W10" s="285" t="s">
        <v>132</v>
      </c>
      <c r="X10" s="286"/>
      <c r="Y10" s="286"/>
      <c r="Z10" s="286"/>
      <c r="AA10" s="287"/>
      <c r="AB10"/>
    </row>
    <row r="11" spans="1:28" ht="39" customHeight="1" x14ac:dyDescent="0.25">
      <c r="A11" s="157" t="s">
        <v>110</v>
      </c>
      <c r="B11" s="290" t="s">
        <v>161</v>
      </c>
      <c r="C11" s="291"/>
      <c r="D11" s="291"/>
      <c r="E11" s="291"/>
      <c r="F11" s="291"/>
      <c r="G11" s="291"/>
      <c r="H11" s="291"/>
      <c r="I11" s="291"/>
      <c r="J11" s="291"/>
      <c r="K11" s="291"/>
      <c r="L11" s="291"/>
      <c r="M11" s="206" t="str">
        <f>M3</f>
        <v>Enter Value</v>
      </c>
      <c r="N11"/>
      <c r="O11"/>
      <c r="P11" s="17"/>
      <c r="Q11" s="17"/>
      <c r="R11" s="17"/>
      <c r="S11" s="17"/>
      <c r="T11" s="17"/>
      <c r="U11" s="17"/>
      <c r="V11"/>
      <c r="W11" s="321" t="s">
        <v>126</v>
      </c>
      <c r="X11" s="306" t="str">
        <f>IFERROR(IF(C30&lt;0.1,"Improve utilization by charging at lower power (kW) over more hours; consider charge management to limit power. Improved utilization will reduce the impact of demand or subscription charges. Select 'Yes' for Charging optimized input to simulate this.","Current utilization rates are not significantly impacting costs."),"")</f>
        <v/>
      </c>
      <c r="Y11" s="306"/>
      <c r="Z11" s="306"/>
      <c r="AA11" s="307"/>
      <c r="AB11"/>
    </row>
    <row r="12" spans="1:28" ht="39" customHeight="1" x14ac:dyDescent="0.25">
      <c r="A12" s="157" t="s">
        <v>111</v>
      </c>
      <c r="B12" s="292" t="s">
        <v>162</v>
      </c>
      <c r="C12" s="293"/>
      <c r="D12" s="293"/>
      <c r="E12" s="293"/>
      <c r="F12" s="293"/>
      <c r="G12" s="293"/>
      <c r="H12" s="293"/>
      <c r="I12" s="293"/>
      <c r="J12" s="293"/>
      <c r="K12" s="293"/>
      <c r="L12" s="293"/>
      <c r="M12" s="208" t="s">
        <v>187</v>
      </c>
      <c r="N12"/>
      <c r="O12"/>
      <c r="P12" s="17"/>
      <c r="Q12" s="17"/>
      <c r="R12" s="17"/>
      <c r="S12" s="17"/>
      <c r="T12" s="17"/>
      <c r="U12" s="17"/>
      <c r="V12" s="17"/>
      <c r="W12" s="322"/>
      <c r="X12" s="309"/>
      <c r="Y12" s="309"/>
      <c r="Z12" s="309"/>
      <c r="AA12" s="310"/>
      <c r="AB12"/>
    </row>
    <row r="13" spans="1:28" ht="39" customHeight="1" thickBot="1" x14ac:dyDescent="0.3">
      <c r="A13" s="157" t="s">
        <v>112</v>
      </c>
      <c r="B13" s="294" t="s">
        <v>163</v>
      </c>
      <c r="C13" s="295"/>
      <c r="D13" s="295"/>
      <c r="E13" s="295"/>
      <c r="F13" s="295"/>
      <c r="G13" s="295"/>
      <c r="H13" s="295"/>
      <c r="I13" s="295"/>
      <c r="J13" s="295"/>
      <c r="K13" s="295"/>
      <c r="L13" s="295"/>
      <c r="M13" s="222" t="s">
        <v>187</v>
      </c>
      <c r="N13"/>
      <c r="O13"/>
      <c r="P13" s="17"/>
      <c r="Q13" s="17"/>
      <c r="R13" s="17"/>
      <c r="S13" s="17"/>
      <c r="T13" s="17"/>
      <c r="U13" s="17"/>
      <c r="V13" s="17"/>
      <c r="W13" s="201" t="s">
        <v>127</v>
      </c>
      <c r="X13" s="323" t="str">
        <f>IFERROR(IF(SUM(S36:X36)&gt;0.2*C32, "Consider shifting charging to after 9 p.m. or 10 p.m. if possible, or finish charging before 4 p.m., when Peak period rates begin.", "Current usage is primarily out of peak period, and is not significantly impacting electricity costs."),"")</f>
        <v/>
      </c>
      <c r="Y13" s="323"/>
      <c r="Z13" s="323"/>
      <c r="AA13" s="324"/>
      <c r="AB13"/>
    </row>
    <row r="14" spans="1:28" ht="45.75" customHeight="1" x14ac:dyDescent="0.25">
      <c r="A14" s="157" t="s">
        <v>151</v>
      </c>
      <c r="B14" s="294" t="s">
        <v>175</v>
      </c>
      <c r="C14" s="295"/>
      <c r="D14" s="295"/>
      <c r="E14" s="295"/>
      <c r="F14" s="295"/>
      <c r="G14" s="295"/>
      <c r="H14" s="295"/>
      <c r="I14" s="295"/>
      <c r="J14" s="295"/>
      <c r="K14" s="295"/>
      <c r="L14" s="295"/>
      <c r="M14" s="263" t="s">
        <v>187</v>
      </c>
      <c r="N14"/>
      <c r="O14"/>
      <c r="P14" s="17"/>
      <c r="Q14" s="17"/>
      <c r="R14" s="17"/>
      <c r="S14" s="17"/>
      <c r="T14" s="17"/>
      <c r="U14" s="17"/>
      <c r="V14" s="17"/>
      <c r="W14" s="221"/>
      <c r="X14" s="220"/>
      <c r="Y14" s="220"/>
      <c r="Z14" s="220"/>
      <c r="AA14" s="220"/>
      <c r="AB14"/>
    </row>
    <row r="15" spans="1:28" ht="45.75" customHeight="1" x14ac:dyDescent="0.25">
      <c r="A15" s="157" t="s">
        <v>169</v>
      </c>
      <c r="B15" s="294" t="s">
        <v>164</v>
      </c>
      <c r="C15" s="295"/>
      <c r="D15" s="295"/>
      <c r="E15" s="295"/>
      <c r="F15" s="295"/>
      <c r="G15" s="295"/>
      <c r="H15" s="295"/>
      <c r="I15" s="295"/>
      <c r="J15" s="295"/>
      <c r="K15" s="295"/>
      <c r="L15" s="295"/>
      <c r="M15" s="223" t="s">
        <v>156</v>
      </c>
      <c r="N15"/>
      <c r="O15"/>
      <c r="P15" s="17"/>
      <c r="Q15" s="17"/>
      <c r="R15" s="17"/>
      <c r="S15" s="17"/>
      <c r="T15" s="17"/>
      <c r="U15" s="17"/>
      <c r="V15" s="17"/>
      <c r="W15" s="221"/>
      <c r="X15" s="220"/>
      <c r="Y15" s="220"/>
      <c r="Z15" s="220"/>
      <c r="AA15" s="220"/>
      <c r="AB15"/>
    </row>
    <row r="16" spans="1:28" ht="45.75" customHeight="1" thickBot="1" x14ac:dyDescent="0.3">
      <c r="A16" s="157" t="s">
        <v>170</v>
      </c>
      <c r="B16" s="296" t="s">
        <v>165</v>
      </c>
      <c r="C16" s="297"/>
      <c r="D16" s="297"/>
      <c r="E16" s="297"/>
      <c r="F16" s="297"/>
      <c r="G16" s="297"/>
      <c r="H16" s="297"/>
      <c r="I16" s="297"/>
      <c r="J16" s="297"/>
      <c r="K16" s="297"/>
      <c r="L16" s="297"/>
      <c r="M16" s="210" t="s">
        <v>154</v>
      </c>
      <c r="N16"/>
      <c r="O16"/>
      <c r="P16" s="17"/>
      <c r="Q16" s="17"/>
      <c r="R16" s="17"/>
      <c r="S16" s="17"/>
      <c r="T16" s="17"/>
      <c r="U16" s="17"/>
      <c r="V16" s="17"/>
      <c r="W16" s="221"/>
      <c r="X16" s="220"/>
      <c r="Y16" s="220"/>
      <c r="Z16" s="220"/>
      <c r="AA16" s="220"/>
      <c r="AB16"/>
    </row>
    <row r="17" spans="1:28" ht="15.75" thickBot="1" x14ac:dyDescent="0.3">
      <c r="A17" s="157"/>
      <c r="B17"/>
      <c r="C17"/>
      <c r="D17" s="152"/>
      <c r="E17" s="152"/>
      <c r="F17" s="152"/>
      <c r="G17" s="152"/>
      <c r="H17" s="152"/>
      <c r="I17" s="152"/>
      <c r="J17" s="152"/>
      <c r="K17" s="152"/>
      <c r="L17" s="152"/>
      <c r="M17" s="152"/>
      <c r="N17" s="152"/>
      <c r="O17" s="152"/>
      <c r="P17"/>
      <c r="Q17"/>
      <c r="R17"/>
      <c r="S17"/>
      <c r="T17"/>
      <c r="U17"/>
      <c r="V17" s="17"/>
      <c r="W17" s="17"/>
      <c r="X17" s="17"/>
      <c r="Y17" s="17"/>
      <c r="Z17" s="17"/>
      <c r="AA17" s="17"/>
      <c r="AB17" s="154"/>
    </row>
    <row r="18" spans="1:28" ht="18.75" x14ac:dyDescent="0.25">
      <c r="A18" s="157"/>
      <c r="B18" s="285" t="s">
        <v>89</v>
      </c>
      <c r="C18" s="286"/>
      <c r="D18" s="286"/>
      <c r="E18" s="286"/>
      <c r="F18" s="286"/>
      <c r="G18" s="286"/>
      <c r="H18" s="286"/>
      <c r="I18" s="286"/>
      <c r="J18" s="286"/>
      <c r="K18" s="286"/>
      <c r="L18" s="286"/>
      <c r="M18" s="287"/>
      <c r="N18"/>
      <c r="O18"/>
      <c r="P18"/>
      <c r="Q18"/>
      <c r="R18"/>
      <c r="S18"/>
      <c r="T18"/>
      <c r="U18"/>
      <c r="V18" s="17"/>
      <c r="W18" s="17"/>
      <c r="X18" s="17"/>
      <c r="Y18" s="17"/>
      <c r="Z18" s="17"/>
      <c r="AA18" s="17"/>
      <c r="AB18" s="154"/>
    </row>
    <row r="19" spans="1:28" ht="36.75" customHeight="1" x14ac:dyDescent="0.25">
      <c r="A19" s="157" t="s">
        <v>113</v>
      </c>
      <c r="B19" s="290" t="s">
        <v>166</v>
      </c>
      <c r="C19" s="291"/>
      <c r="D19" s="291"/>
      <c r="E19" s="291"/>
      <c r="F19" s="291"/>
      <c r="G19" s="291"/>
      <c r="H19" s="291"/>
      <c r="I19" s="291"/>
      <c r="J19" s="291"/>
      <c r="K19" s="291"/>
      <c r="L19" s="291"/>
      <c r="M19" s="211">
        <v>0.15</v>
      </c>
      <c r="N19"/>
      <c r="O19"/>
      <c r="P19"/>
      <c r="Q19"/>
      <c r="R19"/>
      <c r="S19"/>
      <c r="T19"/>
      <c r="U19"/>
      <c r="V19" s="17"/>
      <c r="W19" s="17"/>
      <c r="X19" s="17"/>
      <c r="Y19" s="17"/>
      <c r="Z19" s="17"/>
      <c r="AA19" s="17"/>
      <c r="AB19" s="154"/>
    </row>
    <row r="20" spans="1:28" ht="36.75" customHeight="1" thickBot="1" x14ac:dyDescent="0.3">
      <c r="A20" s="157" t="s">
        <v>114</v>
      </c>
      <c r="B20" s="296" t="s">
        <v>167</v>
      </c>
      <c r="C20" s="297"/>
      <c r="D20" s="297"/>
      <c r="E20" s="297"/>
      <c r="F20" s="297"/>
      <c r="G20" s="297"/>
      <c r="H20" s="297"/>
      <c r="I20" s="297"/>
      <c r="J20" s="297"/>
      <c r="K20" s="297"/>
      <c r="L20" s="297"/>
      <c r="M20" s="212">
        <v>0.03</v>
      </c>
      <c r="N20"/>
      <c r="O20"/>
      <c r="P20"/>
      <c r="Q20"/>
      <c r="R20"/>
      <c r="S20"/>
      <c r="T20"/>
      <c r="U20"/>
      <c r="V20" s="17"/>
      <c r="W20" s="17"/>
      <c r="X20" s="17"/>
      <c r="Y20" s="17"/>
      <c r="Z20" s="17"/>
      <c r="AA20" s="17"/>
      <c r="AB20" s="154"/>
    </row>
    <row r="21" spans="1:28" ht="15.75" customHeight="1" thickBot="1" x14ac:dyDescent="0.3">
      <c r="A21" s="157"/>
      <c r="B21"/>
      <c r="C21"/>
      <c r="D21" s="152"/>
      <c r="E21" s="152"/>
      <c r="F21" s="152"/>
      <c r="G21" s="152"/>
      <c r="H21" s="152"/>
      <c r="I21" s="152"/>
      <c r="J21" s="152"/>
      <c r="K21" s="152"/>
      <c r="L21" s="152"/>
      <c r="M21" s="152"/>
      <c r="N21" s="152"/>
      <c r="O21" s="152"/>
      <c r="P21"/>
      <c r="Q21"/>
      <c r="R21"/>
      <c r="S21"/>
      <c r="T21"/>
      <c r="U21"/>
      <c r="V21" s="17"/>
      <c r="W21" s="17"/>
      <c r="X21" s="17"/>
      <c r="Y21" s="17"/>
      <c r="Z21" s="17"/>
      <c r="AA21" s="17"/>
      <c r="AB21" s="154"/>
    </row>
    <row r="22" spans="1:28" ht="18.75" x14ac:dyDescent="0.25">
      <c r="A22" s="157"/>
      <c r="B22" s="285" t="s">
        <v>115</v>
      </c>
      <c r="C22" s="286"/>
      <c r="D22" s="286"/>
      <c r="E22" s="286"/>
      <c r="F22" s="286"/>
      <c r="G22" s="286"/>
      <c r="H22" s="286"/>
      <c r="I22" s="286"/>
      <c r="J22" s="286"/>
      <c r="K22" s="286"/>
      <c r="L22" s="286"/>
      <c r="M22" s="287"/>
      <c r="N22"/>
      <c r="O22"/>
      <c r="P22"/>
      <c r="Q22"/>
      <c r="R22"/>
      <c r="S22"/>
      <c r="T22"/>
      <c r="U22"/>
      <c r="V22" s="17"/>
      <c r="W22" s="17"/>
      <c r="X22" s="17"/>
      <c r="Y22" s="17"/>
      <c r="Z22" s="17"/>
      <c r="AA22" s="17"/>
      <c r="AB22" s="154"/>
    </row>
    <row r="23" spans="1:28" ht="37.5" customHeight="1" x14ac:dyDescent="0.25">
      <c r="A23" s="157" t="s">
        <v>116</v>
      </c>
      <c r="B23" s="290" t="s">
        <v>188</v>
      </c>
      <c r="C23" s="291"/>
      <c r="D23" s="291"/>
      <c r="E23" s="291"/>
      <c r="F23" s="291"/>
      <c r="G23" s="291"/>
      <c r="H23" s="291"/>
      <c r="I23" s="291"/>
      <c r="J23" s="291"/>
      <c r="K23" s="291"/>
      <c r="L23" s="291"/>
      <c r="M23" s="213">
        <f>'Historical Gas Diesel Price'!C18</f>
        <v>3.875083333333333</v>
      </c>
      <c r="N23"/>
      <c r="O23"/>
      <c r="P23"/>
      <c r="Q23"/>
      <c r="R23"/>
      <c r="S23"/>
      <c r="T23"/>
      <c r="U23"/>
      <c r="V23" s="17"/>
      <c r="W23" s="17"/>
      <c r="X23" s="17"/>
      <c r="Y23" s="17"/>
      <c r="Z23" s="17"/>
      <c r="AA23" s="17"/>
      <c r="AB23" s="154"/>
    </row>
    <row r="24" spans="1:28" ht="37.5" customHeight="1" thickBot="1" x14ac:dyDescent="0.3">
      <c r="A24" s="157" t="s">
        <v>117</v>
      </c>
      <c r="B24" s="296" t="s">
        <v>168</v>
      </c>
      <c r="C24" s="297"/>
      <c r="D24" s="297"/>
      <c r="E24" s="297"/>
      <c r="F24" s="297"/>
      <c r="G24" s="297"/>
      <c r="H24" s="297"/>
      <c r="I24" s="297"/>
      <c r="J24" s="297"/>
      <c r="K24" s="297"/>
      <c r="L24" s="297"/>
      <c r="M24" s="214" t="s">
        <v>187</v>
      </c>
      <c r="N24"/>
      <c r="O24"/>
      <c r="P24"/>
      <c r="Q24"/>
      <c r="R24"/>
      <c r="S24"/>
      <c r="T24" s="17"/>
      <c r="U24"/>
      <c r="V24"/>
      <c r="W24"/>
      <c r="X24"/>
      <c r="Y24"/>
      <c r="Z24"/>
      <c r="AA24" s="17"/>
      <c r="AB24" s="154"/>
    </row>
    <row r="25" spans="1:28" x14ac:dyDescent="0.25">
      <c r="A25" s="152"/>
      <c r="B25"/>
      <c r="C25"/>
      <c r="D25"/>
      <c r="E25"/>
      <c r="F25"/>
      <c r="G25"/>
      <c r="H25"/>
      <c r="I25"/>
      <c r="J25"/>
      <c r="K25"/>
      <c r="L25"/>
      <c r="M25"/>
      <c r="N25"/>
      <c r="O25"/>
      <c r="P25"/>
      <c r="Q25"/>
      <c r="R25"/>
      <c r="S25"/>
      <c r="T25" s="17"/>
      <c r="U25"/>
      <c r="V25"/>
      <c r="W25"/>
      <c r="X25"/>
      <c r="Y25"/>
      <c r="Z25"/>
      <c r="AA25" s="17"/>
      <c r="AB25" s="154"/>
    </row>
    <row r="26" spans="1:28" ht="15.75" thickBot="1" x14ac:dyDescent="0.3">
      <c r="A26"/>
      <c r="B26"/>
      <c r="C26"/>
      <c r="D26"/>
      <c r="E26"/>
      <c r="F26"/>
      <c r="G26"/>
      <c r="H26"/>
      <c r="I26"/>
      <c r="J26"/>
      <c r="K26"/>
      <c r="L26"/>
      <c r="M26"/>
      <c r="N26"/>
      <c r="O26"/>
      <c r="P26"/>
      <c r="Q26"/>
      <c r="R26"/>
      <c r="S26"/>
      <c r="T26" s="17"/>
      <c r="U26"/>
      <c r="V26"/>
      <c r="W26"/>
      <c r="X26"/>
      <c r="Y26"/>
      <c r="Z26"/>
      <c r="AA26" s="17"/>
      <c r="AB26" s="154"/>
    </row>
    <row r="27" spans="1:28" x14ac:dyDescent="0.25">
      <c r="A27"/>
      <c r="B27" s="280" t="s">
        <v>88</v>
      </c>
      <c r="C27" s="281"/>
      <c r="D27"/>
      <c r="E27"/>
      <c r="F27"/>
      <c r="G27"/>
      <c r="H27"/>
      <c r="I27"/>
      <c r="J27"/>
      <c r="K27"/>
      <c r="L27"/>
      <c r="M27"/>
      <c r="N27"/>
      <c r="O27"/>
      <c r="P27"/>
      <c r="Q27"/>
      <c r="R27"/>
      <c r="S27"/>
      <c r="T27" s="17"/>
      <c r="U27"/>
      <c r="V27"/>
      <c r="W27"/>
      <c r="X27"/>
      <c r="Y27"/>
      <c r="Z27"/>
      <c r="AA27" s="17"/>
      <c r="AB27" s="154"/>
    </row>
    <row r="28" spans="1:28" ht="24.75" customHeight="1" x14ac:dyDescent="0.25">
      <c r="A28"/>
      <c r="B28" s="124" t="s">
        <v>5</v>
      </c>
      <c r="C28" s="141" t="e">
        <f>(M5*M4*M3+M8)*M6*(1+M19)</f>
        <v>#VALUE!</v>
      </c>
      <c r="D28"/>
      <c r="E28"/>
      <c r="F28" s="7"/>
      <c r="G28"/>
      <c r="H28"/>
      <c r="I28"/>
      <c r="J28"/>
      <c r="K28"/>
      <c r="L28"/>
      <c r="M28"/>
      <c r="N28"/>
      <c r="O28"/>
      <c r="P28"/>
      <c r="Q28"/>
      <c r="R28"/>
      <c r="S28"/>
      <c r="T28" s="17"/>
      <c r="U28"/>
      <c r="V28"/>
      <c r="W28"/>
      <c r="X28"/>
      <c r="Y28"/>
      <c r="Z28"/>
      <c r="AA28" s="17"/>
      <c r="AB28" s="154"/>
    </row>
    <row r="29" spans="1:28" ht="24.75" customHeight="1" x14ac:dyDescent="0.25">
      <c r="A29"/>
      <c r="B29" s="124" t="s">
        <v>6</v>
      </c>
      <c r="C29" s="141" t="e">
        <f>M12*M11</f>
        <v>#VALUE!</v>
      </c>
      <c r="D29"/>
      <c r="E29"/>
      <c r="F29"/>
      <c r="G29"/>
      <c r="H29"/>
      <c r="I29"/>
      <c r="J29"/>
      <c r="K29"/>
      <c r="L29"/>
      <c r="M29"/>
      <c r="N29"/>
      <c r="O29"/>
      <c r="P29"/>
      <c r="Q29"/>
      <c r="R29"/>
      <c r="S29"/>
      <c r="T29" s="17"/>
      <c r="U29"/>
      <c r="V29"/>
      <c r="W29"/>
      <c r="X29"/>
      <c r="Y29"/>
      <c r="Z29"/>
      <c r="AA29" s="17"/>
      <c r="AB29" s="154"/>
    </row>
    <row r="30" spans="1:28" ht="24.75" customHeight="1" x14ac:dyDescent="0.25">
      <c r="A30"/>
      <c r="B30" s="124" t="s">
        <v>25</v>
      </c>
      <c r="C30" s="244" t="e">
        <f>C28/(MAX(C37:Z37)*24*30)</f>
        <v>#VALUE!</v>
      </c>
      <c r="D30"/>
      <c r="E30"/>
      <c r="F30"/>
      <c r="G30"/>
      <c r="H30"/>
      <c r="I30"/>
      <c r="J30"/>
      <c r="K30"/>
      <c r="L30"/>
      <c r="M30"/>
      <c r="N30"/>
      <c r="O30"/>
      <c r="P30"/>
      <c r="Q30"/>
      <c r="R30"/>
      <c r="S30"/>
      <c r="T30" s="17"/>
      <c r="U30"/>
      <c r="V30"/>
      <c r="W30"/>
      <c r="X30"/>
      <c r="Y30"/>
      <c r="Z30"/>
      <c r="AA30" s="17"/>
      <c r="AB30" s="154"/>
    </row>
    <row r="31" spans="1:28" ht="24.75" customHeight="1" x14ac:dyDescent="0.25">
      <c r="A31"/>
      <c r="B31" s="124" t="s">
        <v>171</v>
      </c>
      <c r="C31" s="143" t="e">
        <f>(M3*M4*M5*(1+M19))/M12/M11</f>
        <v>#VALUE!</v>
      </c>
      <c r="D31"/>
      <c r="E31"/>
      <c r="F31"/>
      <c r="G31"/>
      <c r="H31"/>
      <c r="I31"/>
      <c r="J31"/>
      <c r="K31"/>
      <c r="L31"/>
      <c r="M31"/>
      <c r="N31"/>
      <c r="O31"/>
      <c r="P31"/>
      <c r="Q31"/>
      <c r="R31"/>
      <c r="S31"/>
      <c r="T31" s="17"/>
      <c r="U31"/>
      <c r="V31"/>
      <c r="W31"/>
      <c r="X31"/>
      <c r="Y31"/>
      <c r="Z31"/>
      <c r="AA31" s="17"/>
      <c r="AB31" s="154"/>
    </row>
    <row r="32" spans="1:28" ht="24.75" customHeight="1" thickBot="1" x14ac:dyDescent="0.3">
      <c r="A32"/>
      <c r="B32" s="125" t="s">
        <v>92</v>
      </c>
      <c r="C32" s="142" t="e">
        <f>(M3*M4*M5+M8)*(M19+1)</f>
        <v>#VALUE!</v>
      </c>
      <c r="D32"/>
      <c r="E32"/>
      <c r="F32"/>
      <c r="G32"/>
      <c r="H32"/>
      <c r="I32"/>
      <c r="J32"/>
      <c r="K32"/>
      <c r="L32"/>
      <c r="M32"/>
      <c r="N32"/>
      <c r="O32"/>
      <c r="P32"/>
      <c r="Q32"/>
      <c r="R32"/>
      <c r="S32"/>
      <c r="T32" s="17"/>
      <c r="U32"/>
      <c r="V32"/>
      <c r="W32"/>
      <c r="X32"/>
      <c r="Y32"/>
      <c r="Z32"/>
      <c r="AA32" s="17"/>
      <c r="AB32" s="154"/>
    </row>
    <row r="33" spans="1:28" ht="15.75" thickBot="1" x14ac:dyDescent="0.3">
      <c r="A33"/>
      <c r="B33"/>
      <c r="C33"/>
      <c r="D33"/>
      <c r="E33"/>
      <c r="F33"/>
      <c r="G33"/>
      <c r="H33"/>
      <c r="I33"/>
      <c r="J33"/>
      <c r="K33"/>
      <c r="L33"/>
      <c r="M33"/>
      <c r="N33"/>
      <c r="O33"/>
      <c r="P33"/>
      <c r="Q33"/>
      <c r="R33"/>
      <c r="S33"/>
      <c r="T33"/>
      <c r="U33"/>
      <c r="V33"/>
      <c r="W33"/>
      <c r="X33"/>
      <c r="Y33"/>
      <c r="Z33"/>
      <c r="AA33" s="17"/>
      <c r="AB33" s="154"/>
    </row>
    <row r="34" spans="1:28" x14ac:dyDescent="0.25">
      <c r="A34"/>
      <c r="B34" s="282" t="s">
        <v>120</v>
      </c>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4"/>
      <c r="AA34" s="17"/>
      <c r="AB34" s="154"/>
    </row>
    <row r="35" spans="1:28" x14ac:dyDescent="0.25">
      <c r="A35"/>
      <c r="B35" s="43" t="s">
        <v>39</v>
      </c>
      <c r="C35" s="150">
        <v>0</v>
      </c>
      <c r="D35" s="150">
        <f>C35+1</f>
        <v>1</v>
      </c>
      <c r="E35" s="150">
        <f t="shared" ref="E35:Z35" si="0">D35+1</f>
        <v>2</v>
      </c>
      <c r="F35" s="150">
        <f t="shared" si="0"/>
        <v>3</v>
      </c>
      <c r="G35" s="150">
        <f t="shared" si="0"/>
        <v>4</v>
      </c>
      <c r="H35" s="150">
        <f t="shared" si="0"/>
        <v>5</v>
      </c>
      <c r="I35" s="150">
        <f t="shared" si="0"/>
        <v>6</v>
      </c>
      <c r="J35" s="150">
        <f t="shared" si="0"/>
        <v>7</v>
      </c>
      <c r="K35" s="150">
        <f t="shared" si="0"/>
        <v>8</v>
      </c>
      <c r="L35" s="150">
        <f t="shared" si="0"/>
        <v>9</v>
      </c>
      <c r="M35" s="150">
        <f t="shared" si="0"/>
        <v>10</v>
      </c>
      <c r="N35" s="150">
        <f t="shared" si="0"/>
        <v>11</v>
      </c>
      <c r="O35" s="150">
        <f t="shared" si="0"/>
        <v>12</v>
      </c>
      <c r="P35" s="150">
        <f t="shared" si="0"/>
        <v>13</v>
      </c>
      <c r="Q35" s="150">
        <f t="shared" si="0"/>
        <v>14</v>
      </c>
      <c r="R35" s="150">
        <f t="shared" si="0"/>
        <v>15</v>
      </c>
      <c r="S35" s="150">
        <f t="shared" si="0"/>
        <v>16</v>
      </c>
      <c r="T35" s="150">
        <f t="shared" si="0"/>
        <v>17</v>
      </c>
      <c r="U35" s="150">
        <f t="shared" si="0"/>
        <v>18</v>
      </c>
      <c r="V35" s="150">
        <f t="shared" si="0"/>
        <v>19</v>
      </c>
      <c r="W35" s="150">
        <f>V35+1</f>
        <v>20</v>
      </c>
      <c r="X35" s="150">
        <f t="shared" si="0"/>
        <v>21</v>
      </c>
      <c r="Y35" s="150">
        <f t="shared" si="0"/>
        <v>22</v>
      </c>
      <c r="Z35" s="88">
        <f t="shared" si="0"/>
        <v>23</v>
      </c>
      <c r="AA35" s="17"/>
      <c r="AB35" s="154" t="s">
        <v>98</v>
      </c>
    </row>
    <row r="36" spans="1:28" x14ac:dyDescent="0.25">
      <c r="A36"/>
      <c r="B36" s="10" t="s">
        <v>95</v>
      </c>
      <c r="C36" s="215" t="e">
        <f>HLOOKUP(C35,Calculations!$B$78:$Y$79,2,FALSE)</f>
        <v>#VALUE!</v>
      </c>
      <c r="D36" s="215" t="e">
        <f>HLOOKUP(D35,Calculations!$B$78:$Y$79,2,FALSE)</f>
        <v>#VALUE!</v>
      </c>
      <c r="E36" s="215" t="e">
        <f>HLOOKUP(E35,Calculations!$B$78:$Y$79,2,FALSE)</f>
        <v>#VALUE!</v>
      </c>
      <c r="F36" s="215" t="e">
        <f>HLOOKUP(F35,Calculations!$B$78:$Y$79,2,FALSE)</f>
        <v>#VALUE!</v>
      </c>
      <c r="G36" s="215" t="e">
        <f>HLOOKUP(G35,Calculations!$B$78:$Y$79,2,FALSE)</f>
        <v>#VALUE!</v>
      </c>
      <c r="H36" s="215" t="e">
        <f>HLOOKUP(H35,Calculations!$B$78:$Y$79,2,FALSE)</f>
        <v>#VALUE!</v>
      </c>
      <c r="I36" s="215" t="e">
        <f>HLOOKUP(I35,Calculations!$B$78:$Y$79,2,FALSE)</f>
        <v>#VALUE!</v>
      </c>
      <c r="J36" s="215" t="e">
        <f>HLOOKUP(J35,Calculations!$B$78:$Y$79,2,FALSE)</f>
        <v>#VALUE!</v>
      </c>
      <c r="K36" s="215" t="e">
        <f>HLOOKUP(K35,Calculations!$B$78:$Y$79,2,FALSE)</f>
        <v>#VALUE!</v>
      </c>
      <c r="L36" s="215" t="e">
        <f>HLOOKUP(L35,Calculations!$B$78:$Y$79,2,FALSE)</f>
        <v>#VALUE!</v>
      </c>
      <c r="M36" s="215" t="e">
        <f>HLOOKUP(M35,Calculations!$B$78:$Y$79,2,FALSE)</f>
        <v>#VALUE!</v>
      </c>
      <c r="N36" s="215" t="e">
        <f>HLOOKUP(N35,Calculations!$B$78:$Y$79,2,FALSE)</f>
        <v>#VALUE!</v>
      </c>
      <c r="O36" s="215" t="e">
        <f>HLOOKUP(O35,Calculations!$B$78:$Y$79,2,FALSE)</f>
        <v>#VALUE!</v>
      </c>
      <c r="P36" s="215" t="e">
        <f>HLOOKUP(P35,Calculations!$B$78:$Y$79,2,FALSE)</f>
        <v>#VALUE!</v>
      </c>
      <c r="Q36" s="215" t="e">
        <f>HLOOKUP(Q35,Calculations!$B$78:$Y$79,2,FALSE)</f>
        <v>#VALUE!</v>
      </c>
      <c r="R36" s="215" t="e">
        <f>HLOOKUP(R35,Calculations!$B$78:$Y$79,2,FALSE)</f>
        <v>#VALUE!</v>
      </c>
      <c r="S36" s="215" t="e">
        <f>HLOOKUP(S35,Calculations!$B$78:$Y$79,2,FALSE)</f>
        <v>#VALUE!</v>
      </c>
      <c r="T36" s="215" t="e">
        <f>HLOOKUP(T35,Calculations!$B$78:$Y$79,2,FALSE)</f>
        <v>#VALUE!</v>
      </c>
      <c r="U36" s="215" t="e">
        <f>HLOOKUP(U35,Calculations!$B$78:$Y$79,2,FALSE)</f>
        <v>#VALUE!</v>
      </c>
      <c r="V36" s="215" t="e">
        <f>HLOOKUP(V35,Calculations!$B$78:$Y$79,2,FALSE)</f>
        <v>#VALUE!</v>
      </c>
      <c r="W36" s="215" t="e">
        <f>HLOOKUP(W35,Calculations!$B$78:$Y$79,2,FALSE)</f>
        <v>#VALUE!</v>
      </c>
      <c r="X36" s="215" t="e">
        <f>HLOOKUP(X35,Calculations!$B$78:$Y$79,2,FALSE)</f>
        <v>#VALUE!</v>
      </c>
      <c r="Y36" s="215" t="e">
        <f>HLOOKUP(Y35,Calculations!$B$78:$Y$79,2,FALSE)</f>
        <v>#VALUE!</v>
      </c>
      <c r="Z36" s="216" t="e">
        <f>HLOOKUP(Z35,Calculations!$B$78:$Y$79,2,FALSE)</f>
        <v>#N/A</v>
      </c>
      <c r="AA36" s="17"/>
      <c r="AB36" s="176" t="e">
        <f>SUM(C36:Z36)</f>
        <v>#VALUE!</v>
      </c>
    </row>
    <row r="37" spans="1:28" ht="15.75" thickBot="1" x14ac:dyDescent="0.3">
      <c r="A37"/>
      <c r="B37" s="11" t="s">
        <v>96</v>
      </c>
      <c r="C37" s="217" t="e">
        <f>IF($M$16="yes",C36,IF(C36&gt;0,$C$29,0))</f>
        <v>#VALUE!</v>
      </c>
      <c r="D37" s="217" t="e">
        <f t="shared" ref="D37:I37" si="1">IF($M$16="yes",D36,IF(D36&gt;0,$C$29,0))</f>
        <v>#VALUE!</v>
      </c>
      <c r="E37" s="217" t="e">
        <f t="shared" si="1"/>
        <v>#VALUE!</v>
      </c>
      <c r="F37" s="217" t="e">
        <f t="shared" si="1"/>
        <v>#VALUE!</v>
      </c>
      <c r="G37" s="217" t="e">
        <f t="shared" si="1"/>
        <v>#VALUE!</v>
      </c>
      <c r="H37" s="217" t="e">
        <f t="shared" si="1"/>
        <v>#VALUE!</v>
      </c>
      <c r="I37" s="217" t="e">
        <f t="shared" si="1"/>
        <v>#VALUE!</v>
      </c>
      <c r="J37" s="217" t="e">
        <f t="shared" ref="J37" si="2">IF($M$16="yes",J36,IF(J36&gt;0,$C$29,0))</f>
        <v>#VALUE!</v>
      </c>
      <c r="K37" s="217" t="e">
        <f t="shared" ref="K37" si="3">IF($M$16="yes",K36,IF(K36&gt;0,$C$29,0))</f>
        <v>#VALUE!</v>
      </c>
      <c r="L37" s="217" t="e">
        <f t="shared" ref="L37" si="4">IF($M$16="yes",L36,IF(L36&gt;0,$C$29,0))</f>
        <v>#VALUE!</v>
      </c>
      <c r="M37" s="217" t="e">
        <f t="shared" ref="M37" si="5">IF($M$16="yes",M36,IF(M36&gt;0,$C$29,0))</f>
        <v>#VALUE!</v>
      </c>
      <c r="N37" s="217" t="e">
        <f t="shared" ref="N37" si="6">IF($M$16="yes",N36,IF(N36&gt;0,$C$29,0))</f>
        <v>#VALUE!</v>
      </c>
      <c r="O37" s="217" t="e">
        <f t="shared" ref="O37" si="7">IF($M$16="yes",O36,IF(O36&gt;0,$C$29,0))</f>
        <v>#VALUE!</v>
      </c>
      <c r="P37" s="217" t="e">
        <f t="shared" ref="P37" si="8">IF($M$16="yes",P36,IF(P36&gt;0,$C$29,0))</f>
        <v>#VALUE!</v>
      </c>
      <c r="Q37" s="217" t="e">
        <f t="shared" ref="Q37" si="9">IF($M$16="yes",Q36,IF(Q36&gt;0,$C$29,0))</f>
        <v>#VALUE!</v>
      </c>
      <c r="R37" s="217" t="e">
        <f t="shared" ref="R37" si="10">IF($M$16="yes",R36,IF(R36&gt;0,$C$29,0))</f>
        <v>#VALUE!</v>
      </c>
      <c r="S37" s="217" t="e">
        <f t="shared" ref="S37" si="11">IF($M$16="yes",S36,IF(S36&gt;0,$C$29,0))</f>
        <v>#VALUE!</v>
      </c>
      <c r="T37" s="217" t="e">
        <f t="shared" ref="T37" si="12">IF($M$16="yes",T36,IF(T36&gt;0,$C$29,0))</f>
        <v>#VALUE!</v>
      </c>
      <c r="U37" s="217" t="e">
        <f t="shared" ref="U37" si="13">IF($M$16="yes",U36,IF(U36&gt;0,$C$29,0))</f>
        <v>#VALUE!</v>
      </c>
      <c r="V37" s="217" t="e">
        <f t="shared" ref="V37" si="14">IF($M$16="yes",V36,IF(V36&gt;0,$C$29,0))</f>
        <v>#VALUE!</v>
      </c>
      <c r="W37" s="217" t="e">
        <f t="shared" ref="W37" si="15">IF($M$16="yes",W36,IF(W36&gt;0,$C$29,0))</f>
        <v>#VALUE!</v>
      </c>
      <c r="X37" s="217" t="e">
        <f t="shared" ref="X37" si="16">IF($M$16="yes",X36,IF(X36&gt;0,$C$29,0))</f>
        <v>#VALUE!</v>
      </c>
      <c r="Y37" s="217" t="e">
        <f t="shared" ref="Y37" si="17">IF($M$16="yes",Y36,IF(Y36&gt;0,$C$29,0))</f>
        <v>#VALUE!</v>
      </c>
      <c r="Z37" s="218" t="e">
        <f t="shared" ref="Z37" si="18">IF($M$16="yes",Z36,IF(Z36&gt;0,$C$29,0))</f>
        <v>#N/A</v>
      </c>
      <c r="AA37" s="17"/>
      <c r="AB37" s="264" t="e">
        <f>MAX(C37:Z37)-C29</f>
        <v>#VALUE!</v>
      </c>
    </row>
    <row r="38" spans="1:28" x14ac:dyDescent="0.25">
      <c r="A38"/>
      <c r="B38"/>
      <c r="C38"/>
      <c r="D38"/>
      <c r="E38"/>
      <c r="F38"/>
      <c r="G38"/>
      <c r="H38"/>
      <c r="I38"/>
      <c r="J38"/>
      <c r="K38"/>
      <c r="L38"/>
      <c r="M38"/>
      <c r="N38"/>
      <c r="O38"/>
      <c r="P38"/>
      <c r="Q38"/>
      <c r="R38"/>
      <c r="S38"/>
      <c r="T38"/>
      <c r="U38"/>
      <c r="V38"/>
      <c r="W38"/>
      <c r="X38"/>
      <c r="Y38"/>
      <c r="Z38"/>
      <c r="AA38" s="17"/>
      <c r="AB38" s="154"/>
    </row>
    <row r="51" spans="3:3" x14ac:dyDescent="0.25">
      <c r="C51" s="159"/>
    </row>
  </sheetData>
  <sheetProtection algorithmName="SHA-512" hashValue="Lu/dLhVRe5G1V6+clAr4ZPbHGPqo7zVeaqiySBcVDp6IOBEAa/G7vv6vNrNOTkUsDFpDo0XTO5CNn9NarZ+hTA==" saltValue="8Tehz/QLxumow8C2Z50k5Q==" spinCount="100000" sheet="1" formatColumns="0" formatRows="0"/>
  <mergeCells count="32">
    <mergeCell ref="B14:L14"/>
    <mergeCell ref="B16:L16"/>
    <mergeCell ref="B15:L15"/>
    <mergeCell ref="P8:U8"/>
    <mergeCell ref="W11:W12"/>
    <mergeCell ref="W10:AA10"/>
    <mergeCell ref="X11:AA12"/>
    <mergeCell ref="X13:AA13"/>
    <mergeCell ref="B5:L5"/>
    <mergeCell ref="B6:L6"/>
    <mergeCell ref="B7:L7"/>
    <mergeCell ref="P2:Q2"/>
    <mergeCell ref="W3:AA4"/>
    <mergeCell ref="W2:AA2"/>
    <mergeCell ref="W6:AA7"/>
    <mergeCell ref="W5:AA5"/>
    <mergeCell ref="B27:C27"/>
    <mergeCell ref="B34:Z34"/>
    <mergeCell ref="B2:M2"/>
    <mergeCell ref="B8:L8"/>
    <mergeCell ref="B10:M10"/>
    <mergeCell ref="B11:L11"/>
    <mergeCell ref="B12:L12"/>
    <mergeCell ref="B13:L13"/>
    <mergeCell ref="B18:M18"/>
    <mergeCell ref="B22:M22"/>
    <mergeCell ref="B19:L19"/>
    <mergeCell ref="B20:L20"/>
    <mergeCell ref="B23:L23"/>
    <mergeCell ref="B24:L24"/>
    <mergeCell ref="B3:L3"/>
    <mergeCell ref="B4:L4"/>
  </mergeCells>
  <conditionalFormatting sqref="AB36">
    <cfRule type="expression" dxfId="49" priority="9">
      <formula>$AB$36=$C$32</formula>
    </cfRule>
  </conditionalFormatting>
  <conditionalFormatting sqref="AB37">
    <cfRule type="cellIs" dxfId="48" priority="7" operator="greaterThan">
      <formula>0</formula>
    </cfRule>
    <cfRule type="cellIs" dxfId="47" priority="8" operator="lessThanOrEqual">
      <formula>0</formula>
    </cfRule>
  </conditionalFormatting>
  <conditionalFormatting sqref="M12">
    <cfRule type="expression" dxfId="46" priority="5">
      <formula>$AB$37&gt;0</formula>
    </cfRule>
  </conditionalFormatting>
  <conditionalFormatting sqref="M16">
    <cfRule type="expression" dxfId="45" priority="2">
      <formula>"AB37&gt;0"</formula>
    </cfRule>
  </conditionalFormatting>
  <conditionalFormatting sqref="M14">
    <cfRule type="expression" dxfId="44" priority="1">
      <formula>$AB$37&gt;0</formula>
    </cfRule>
  </conditionalFormatting>
  <dataValidations count="3">
    <dataValidation type="whole" errorStyle="warning" allowBlank="1" showInputMessage="1" showErrorMessage="1" errorTitle="Error" error="Please input a whole number, 0-23, based on expected hour of charging start time" sqref="M13" xr:uid="{7F747533-6224-481B-ABFE-49ACBEA50B6C}">
      <formula1>0</formula1>
      <formula2>23</formula2>
    </dataValidation>
    <dataValidation type="whole" errorStyle="warning" allowBlank="1" showInputMessage="1" showErrorMessage="1" errorTitle="Warning" error="Value must be a whole number less than 31" sqref="M6" xr:uid="{D156D550-3EAC-4CE2-91A0-E65C4152DFC6}">
      <formula1>0</formula1>
      <formula2>31</formula2>
    </dataValidation>
    <dataValidation type="decimal" errorStyle="warning" allowBlank="1" showInputMessage="1" showErrorMessage="1" errorTitle="Error" error="Enter value between 0 and 24." sqref="M14" xr:uid="{A3AB9E0B-1873-4123-B5BE-F2DED0A921EC}">
      <formula1>0</formula1>
      <formula2>24</formula2>
    </dataValidation>
  </dataValidations>
  <pageMargins left="0.25" right="0.25" top="0.75" bottom="0.75" header="0.3" footer="0.3"/>
  <pageSetup scale="5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errorTitle="Error" error="Please input a whole number, 0-23, based on expected hour of charging start time" xr:uid="{ECBF0A4A-AD75-475F-B922-EE8879E919A9}">
          <x14:formula1>
            <xm:f>'Rate Values (S)'!$AA$4:$AA$5</xm:f>
          </x14:formula1>
          <xm:sqref>M16</xm:sqref>
        </x14:dataValidation>
        <x14:dataValidation type="list" errorStyle="warning" allowBlank="1" showInputMessage="1" showErrorMessage="1" errorTitle="Error" error="Charger power is too low to fully charge vehicles in number of hours entered. Increase total available charging hours or increase charger power." xr:uid="{B87DE988-0A08-4A0E-8B0A-FFEDB6CB68F0}">
          <x14:formula1>
            <xm:f>'Rate Values (S)'!$AA$8:$AA$9</xm:f>
          </x14:formula1>
          <xm:sqref>M15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FADEC-1569-4550-BC71-44890DFFA25F}">
  <sheetPr>
    <tabColor theme="3" tint="0.39997558519241921"/>
  </sheetPr>
  <dimension ref="A1:AO90"/>
  <sheetViews>
    <sheetView showGridLines="0" zoomScale="70" zoomScaleNormal="70" workbookViewId="0">
      <selection activeCell="H33" sqref="H33"/>
    </sheetView>
  </sheetViews>
  <sheetFormatPr defaultRowHeight="15" x14ac:dyDescent="0.25"/>
  <cols>
    <col min="1" max="28" width="18.7109375" customWidth="1"/>
    <col min="29" max="29" width="10.5703125" customWidth="1"/>
    <col min="30" max="30" width="10.85546875" customWidth="1"/>
  </cols>
  <sheetData>
    <row r="1" spans="1:30" ht="15.75" thickBot="1" x14ac:dyDescent="0.3">
      <c r="A1" s="15" t="s">
        <v>37</v>
      </c>
      <c r="D1" s="15" t="s">
        <v>38</v>
      </c>
    </row>
    <row r="2" spans="1:30" x14ac:dyDescent="0.25">
      <c r="A2" s="280" t="str">
        <f>'Inputs &amp; Results'!B2</f>
        <v>Vehicle Information</v>
      </c>
      <c r="B2" s="281">
        <f>'Inputs &amp; Results'!C2</f>
        <v>0</v>
      </c>
      <c r="D2" s="161" t="s">
        <v>82</v>
      </c>
      <c r="E2" s="162" t="str">
        <f>VLOOKUP(E$7,'Rate Values (S)'!$S$5:$X$28,2,FALSE)</f>
        <v>Off</v>
      </c>
      <c r="F2" s="162" t="str">
        <f>VLOOKUP(F$7,'Rate Values (S)'!$S$5:$X$28,2,FALSE)</f>
        <v>Off</v>
      </c>
      <c r="G2" s="162" t="str">
        <f>VLOOKUP(G$7,'Rate Values (S)'!$S$5:$X$28,2,FALSE)</f>
        <v>Off</v>
      </c>
      <c r="H2" s="162" t="str">
        <f>VLOOKUP(H$7,'Rate Values (S)'!$S$5:$X$28,2,FALSE)</f>
        <v>Off</v>
      </c>
      <c r="I2" s="162" t="str">
        <f>VLOOKUP(I$7,'Rate Values (S)'!$S$5:$X$28,2,FALSE)</f>
        <v>Off</v>
      </c>
      <c r="J2" s="162" t="str">
        <f>VLOOKUP(J$7,'Rate Values (S)'!$S$5:$X$28,2,FALSE)</f>
        <v>Off</v>
      </c>
      <c r="K2" s="162" t="str">
        <f>VLOOKUP(K$7,'Rate Values (S)'!$S$5:$X$28,2,FALSE)</f>
        <v>Off</v>
      </c>
      <c r="L2" s="162" t="str">
        <f>VLOOKUP(L$7,'Rate Values (S)'!$S$5:$X$28,2,FALSE)</f>
        <v>Off</v>
      </c>
      <c r="M2" s="162" t="str">
        <f>VLOOKUP(M$7,'Rate Values (S)'!$S$5:$X$28,2,FALSE)</f>
        <v>Off</v>
      </c>
      <c r="N2" s="162" t="str">
        <f>VLOOKUP(N$7,'Rate Values (S)'!$S$5:$X$28,2,FALSE)</f>
        <v>Part</v>
      </c>
      <c r="O2" s="162" t="str">
        <f>VLOOKUP(O$7,'Rate Values (S)'!$S$5:$X$28,2,FALSE)</f>
        <v>Part</v>
      </c>
      <c r="P2" s="162" t="str">
        <f>VLOOKUP(P$7,'Rate Values (S)'!$S$5:$X$28,2,FALSE)</f>
        <v>Part</v>
      </c>
      <c r="Q2" s="162" t="str">
        <f>VLOOKUP(Q$7,'Rate Values (S)'!$S$5:$X$28,2,FALSE)</f>
        <v>Peak</v>
      </c>
      <c r="R2" s="162" t="str">
        <f>VLOOKUP(R$7,'Rate Values (S)'!$S$5:$X$28,2,FALSE)</f>
        <v>Peak</v>
      </c>
      <c r="S2" s="162" t="str">
        <f>VLOOKUP(S$7,'Rate Values (S)'!$S$5:$X$28,2,FALSE)</f>
        <v>Peak</v>
      </c>
      <c r="T2" s="162" t="str">
        <f>VLOOKUP(T$7,'Rate Values (S)'!$S$5:$X$28,2,FALSE)</f>
        <v>Peak</v>
      </c>
      <c r="U2" s="162" t="str">
        <f>VLOOKUP(U$7,'Rate Values (S)'!$S$5:$X$28,2,FALSE)</f>
        <v>Peak</v>
      </c>
      <c r="V2" s="162" t="str">
        <f>VLOOKUP(V$7,'Rate Values (S)'!$S$5:$X$28,2,FALSE)</f>
        <v>Peak</v>
      </c>
      <c r="W2" s="162" t="str">
        <f>VLOOKUP(W$7,'Rate Values (S)'!$S$5:$X$28,2,FALSE)</f>
        <v>Part</v>
      </c>
      <c r="X2" s="162" t="str">
        <f>VLOOKUP(X$7,'Rate Values (S)'!$S$5:$X$28,2,FALSE)</f>
        <v>Part</v>
      </c>
      <c r="Y2" s="162" t="str">
        <f>VLOOKUP(Y$7,'Rate Values (S)'!$S$5:$X$28,2,FALSE)</f>
        <v>Part</v>
      </c>
      <c r="Z2" s="162" t="str">
        <f>VLOOKUP(Z$7,'Rate Values (S)'!$S$5:$X$28,2,FALSE)</f>
        <v>Part</v>
      </c>
      <c r="AA2" s="162" t="str">
        <f>VLOOKUP(AA$7,'Rate Values (S)'!$S$5:$X$28,2,FALSE)</f>
        <v>Off</v>
      </c>
      <c r="AB2" s="163" t="str">
        <f>VLOOKUP(AB$7,'Rate Values (S)'!$S$5:$X$28,2,FALSE)</f>
        <v>Off</v>
      </c>
    </row>
    <row r="3" spans="1:30" x14ac:dyDescent="0.25">
      <c r="A3" s="139" t="str">
        <f>'Inputs &amp; Results'!B3</f>
        <v>Number of electric vehicles
- Input number of EVs charging on separate utility service.</v>
      </c>
      <c r="B3" s="134" t="str">
        <f>'Inputs &amp; Results'!M3</f>
        <v>Enter Value</v>
      </c>
      <c r="D3" s="10" t="s">
        <v>83</v>
      </c>
      <c r="E3" s="148" t="str">
        <f>VLOOKUP(E$7,'Rate Values (S)'!$S$5:$X$28,3,FALSE)</f>
        <v>Off</v>
      </c>
      <c r="F3" s="148" t="str">
        <f>VLOOKUP(F$7,'Rate Values (S)'!$S$5:$X$28,3,FALSE)</f>
        <v>Off</v>
      </c>
      <c r="G3" s="148" t="str">
        <f>VLOOKUP(G$7,'Rate Values (S)'!$S$5:$X$28,3,FALSE)</f>
        <v>Off</v>
      </c>
      <c r="H3" s="148" t="str">
        <f>VLOOKUP(H$7,'Rate Values (S)'!$S$5:$X$28,3,FALSE)</f>
        <v>Off</v>
      </c>
      <c r="I3" s="148" t="str">
        <f>VLOOKUP(I$7,'Rate Values (S)'!$S$5:$X$28,3,FALSE)</f>
        <v>Off</v>
      </c>
      <c r="J3" s="148" t="str">
        <f>VLOOKUP(J$7,'Rate Values (S)'!$S$5:$X$28,3,FALSE)</f>
        <v>Off</v>
      </c>
      <c r="K3" s="148" t="str">
        <f>VLOOKUP(K$7,'Rate Values (S)'!$S$5:$X$28,3,FALSE)</f>
        <v>Off</v>
      </c>
      <c r="L3" s="148" t="str">
        <f>VLOOKUP(L$7,'Rate Values (S)'!$S$5:$X$28,3,FALSE)</f>
        <v>Off</v>
      </c>
      <c r="M3" s="148" t="str">
        <f>VLOOKUP(M$7,'Rate Values (S)'!$S$5:$X$28,3,FALSE)</f>
        <v>Off</v>
      </c>
      <c r="N3" s="148" t="str">
        <f>VLOOKUP(N$7,'Rate Values (S)'!$S$5:$X$28,3,FALSE)</f>
        <v>Part</v>
      </c>
      <c r="O3" s="148" t="str">
        <f>VLOOKUP(O$7,'Rate Values (S)'!$S$5:$X$28,3,FALSE)</f>
        <v>Part</v>
      </c>
      <c r="P3" s="148" t="str">
        <f>VLOOKUP(P$7,'Rate Values (S)'!$S$5:$X$28,3,FALSE)</f>
        <v>Part</v>
      </c>
      <c r="Q3" s="148" t="str">
        <f>VLOOKUP(Q$7,'Rate Values (S)'!$S$5:$X$28,3,FALSE)</f>
        <v>Part</v>
      </c>
      <c r="R3" s="148" t="str">
        <f>VLOOKUP(R$7,'Rate Values (S)'!$S$5:$X$28,3,FALSE)</f>
        <v>Part</v>
      </c>
      <c r="S3" s="148" t="str">
        <f>VLOOKUP(S$7,'Rate Values (S)'!$S$5:$X$28,3,FALSE)</f>
        <v>Part</v>
      </c>
      <c r="T3" s="148" t="str">
        <f>VLOOKUP(T$7,'Rate Values (S)'!$S$5:$X$28,3,FALSE)</f>
        <v>Part</v>
      </c>
      <c r="U3" s="148" t="str">
        <f>VLOOKUP(U$7,'Rate Values (S)'!$S$5:$X$28,3,FALSE)</f>
        <v>Part</v>
      </c>
      <c r="V3" s="148" t="str">
        <f>VLOOKUP(V$7,'Rate Values (S)'!$S$5:$X$28,3,FALSE)</f>
        <v>Part</v>
      </c>
      <c r="W3" s="148" t="str">
        <f>VLOOKUP(W$7,'Rate Values (S)'!$S$5:$X$28,3,FALSE)</f>
        <v>Part</v>
      </c>
      <c r="X3" s="148" t="str">
        <f>VLOOKUP(X$7,'Rate Values (S)'!$S$5:$X$28,3,FALSE)</f>
        <v>Part</v>
      </c>
      <c r="Y3" s="148" t="str">
        <f>VLOOKUP(Y$7,'Rate Values (S)'!$S$5:$X$28,3,FALSE)</f>
        <v>Part</v>
      </c>
      <c r="Z3" s="148" t="str">
        <f>VLOOKUP(Z$7,'Rate Values (S)'!$S$5:$X$28,3,FALSE)</f>
        <v>Part</v>
      </c>
      <c r="AA3" s="148" t="str">
        <f>VLOOKUP(AA$7,'Rate Values (S)'!$S$5:$X$28,3,FALSE)</f>
        <v>Off</v>
      </c>
      <c r="AB3" s="164" t="str">
        <f>VLOOKUP(AB$7,'Rate Values (S)'!$S$5:$X$28,3,FALSE)</f>
        <v>Off</v>
      </c>
      <c r="AC3" s="15"/>
    </row>
    <row r="4" spans="1:30" x14ac:dyDescent="0.25">
      <c r="A4" s="140" t="str">
        <f>'Inputs &amp; Results'!B4</f>
        <v>Average daily driving distance (miles/vehicle per day)</v>
      </c>
      <c r="B4" s="135" t="str">
        <f>'Inputs &amp; Results'!M4</f>
        <v>Enter Value</v>
      </c>
      <c r="D4" s="10" t="s">
        <v>84</v>
      </c>
      <c r="E4" s="148" t="str">
        <f>VLOOKUP(E$7,'Rate Values (S)'!$S$5:$X$28,4,FALSE)</f>
        <v>Off</v>
      </c>
      <c r="F4" s="148" t="str">
        <f>VLOOKUP(F$7,'Rate Values (S)'!$S$5:$X$28,4,FALSE)</f>
        <v>Off</v>
      </c>
      <c r="G4" s="148" t="str">
        <f>VLOOKUP(G$7,'Rate Values (S)'!$S$5:$X$28,4,FALSE)</f>
        <v>Off</v>
      </c>
      <c r="H4" s="148" t="str">
        <f>VLOOKUP(H$7,'Rate Values (S)'!$S$5:$X$28,4,FALSE)</f>
        <v>Off</v>
      </c>
      <c r="I4" s="148" t="str">
        <f>VLOOKUP(I$7,'Rate Values (S)'!$S$5:$X$28,4,FALSE)</f>
        <v>Off</v>
      </c>
      <c r="J4" s="148" t="str">
        <f>VLOOKUP(J$7,'Rate Values (S)'!$S$5:$X$28,4,FALSE)</f>
        <v>Off</v>
      </c>
      <c r="K4" s="148" t="str">
        <f>VLOOKUP(K$7,'Rate Values (S)'!$S$5:$X$28,4,FALSE)</f>
        <v>Off</v>
      </c>
      <c r="L4" s="148" t="str">
        <f>VLOOKUP(L$7,'Rate Values (S)'!$S$5:$X$28,4,FALSE)</f>
        <v>Off</v>
      </c>
      <c r="M4" s="148" t="str">
        <f>VLOOKUP(M$7,'Rate Values (S)'!$S$5:$X$28,4,FALSE)</f>
        <v>Off</v>
      </c>
      <c r="N4" s="148" t="str">
        <f>VLOOKUP(N$7,'Rate Values (S)'!$S$5:$X$28,4,FALSE)</f>
        <v>Off</v>
      </c>
      <c r="O4" s="148" t="str">
        <f>VLOOKUP(O$7,'Rate Values (S)'!$S$5:$X$28,4,FALSE)</f>
        <v>Off</v>
      </c>
      <c r="P4" s="148" t="str">
        <f>VLOOKUP(P$7,'Rate Values (S)'!$S$5:$X$28,4,FALSE)</f>
        <v>Off</v>
      </c>
      <c r="Q4" s="148" t="str">
        <f>VLOOKUP(Q$7,'Rate Values (S)'!$S$5:$X$28,4,FALSE)</f>
        <v>Off</v>
      </c>
      <c r="R4" s="148" t="str">
        <f>VLOOKUP(R$7,'Rate Values (S)'!$S$5:$X$28,4,FALSE)</f>
        <v>Off</v>
      </c>
      <c r="S4" s="148" t="str">
        <f>VLOOKUP(S$7,'Rate Values (S)'!$S$5:$X$28,4,FALSE)</f>
        <v>Part</v>
      </c>
      <c r="T4" s="148" t="str">
        <f>VLOOKUP(T$7,'Rate Values (S)'!$S$5:$X$28,4,FALSE)</f>
        <v>Part</v>
      </c>
      <c r="U4" s="148" t="str">
        <f>VLOOKUP(U$7,'Rate Values (S)'!$S$5:$X$28,4,FALSE)</f>
        <v>Peak</v>
      </c>
      <c r="V4" s="148" t="str">
        <f>VLOOKUP(V$7,'Rate Values (S)'!$S$5:$X$28,4,FALSE)</f>
        <v>Peak</v>
      </c>
      <c r="W4" s="148" t="str">
        <f>VLOOKUP(W$7,'Rate Values (S)'!$S$5:$X$28,4,FALSE)</f>
        <v>Peak</v>
      </c>
      <c r="X4" s="148" t="str">
        <f>VLOOKUP(X$7,'Rate Values (S)'!$S$5:$X$28,4,FALSE)</f>
        <v>Peak</v>
      </c>
      <c r="Y4" s="148" t="str">
        <f>VLOOKUP(Y$7,'Rate Values (S)'!$S$5:$X$28,4,FALSE)</f>
        <v>Peak</v>
      </c>
      <c r="Z4" s="148" t="str">
        <f>VLOOKUP(Z$7,'Rate Values (S)'!$S$5:$X$28,4,FALSE)</f>
        <v>Part</v>
      </c>
      <c r="AA4" s="148" t="str">
        <f>VLOOKUP(AA$7,'Rate Values (S)'!$S$5:$X$28,4,FALSE)</f>
        <v>Part</v>
      </c>
      <c r="AB4" s="164" t="str">
        <f>VLOOKUP(AB$7,'Rate Values (S)'!$S$5:$X$28,4,FALSE)</f>
        <v>Off</v>
      </c>
    </row>
    <row r="5" spans="1:30" x14ac:dyDescent="0.25">
      <c r="A5" s="123" t="str">
        <f>'Inputs &amp; Results'!B5</f>
        <v>Vehicle drive efficiency (kWh/mile)
- Light duty passenger cars typically range from 0.25-0.35 kWh/mile. Vans and light trucks typically range from 0.8-1.4 kWh/mile. Heavier trucks and buses range from 1.6-2.2 kWh/mile.</v>
      </c>
      <c r="B5" s="145" t="str">
        <f>'Inputs &amp; Results'!M5</f>
        <v>Enter Value</v>
      </c>
      <c r="D5" s="10" t="s">
        <v>85</v>
      </c>
      <c r="E5" s="148" t="str">
        <f>VLOOKUP(E$7,'Rate Values (S)'!$S$5:$X$28,5,FALSE)</f>
        <v>Off</v>
      </c>
      <c r="F5" s="148" t="str">
        <f>VLOOKUP(F$7,'Rate Values (S)'!$S$5:$X$28,5,FALSE)</f>
        <v>Off</v>
      </c>
      <c r="G5" s="148" t="str">
        <f>VLOOKUP(G$7,'Rate Values (S)'!$S$5:$X$28,5,FALSE)</f>
        <v>Off</v>
      </c>
      <c r="H5" s="148" t="str">
        <f>VLOOKUP(H$7,'Rate Values (S)'!$S$5:$X$28,5,FALSE)</f>
        <v>Off</v>
      </c>
      <c r="I5" s="148" t="str">
        <f>VLOOKUP(I$7,'Rate Values (S)'!$S$5:$X$28,5,FALSE)</f>
        <v>Off</v>
      </c>
      <c r="J5" s="148" t="str">
        <f>VLOOKUP(J$7,'Rate Values (S)'!$S$5:$X$28,5,FALSE)</f>
        <v>Off</v>
      </c>
      <c r="K5" s="148" t="str">
        <f>VLOOKUP(K$7,'Rate Values (S)'!$S$5:$X$28,5,FALSE)</f>
        <v>Off</v>
      </c>
      <c r="L5" s="148" t="str">
        <f>VLOOKUP(L$7,'Rate Values (S)'!$S$5:$X$28,5,FALSE)</f>
        <v>Off</v>
      </c>
      <c r="M5" s="148" t="str">
        <f>VLOOKUP(M$7,'Rate Values (S)'!$S$5:$X$28,5,FALSE)</f>
        <v>Off</v>
      </c>
      <c r="N5" s="148" t="str">
        <f>VLOOKUP(N$7,'Rate Values (S)'!$S$5:$X$28,5,FALSE)</f>
        <v>Off</v>
      </c>
      <c r="O5" s="148" t="str">
        <f>VLOOKUP(O$7,'Rate Values (S)'!$S$5:$X$28,5,FALSE)</f>
        <v>Off</v>
      </c>
      <c r="P5" s="148" t="str">
        <f>VLOOKUP(P$7,'Rate Values (S)'!$S$5:$X$28,5,FALSE)</f>
        <v>Off</v>
      </c>
      <c r="Q5" s="148" t="str">
        <f>VLOOKUP(Q$7,'Rate Values (S)'!$S$5:$X$28,5,FALSE)</f>
        <v>Off</v>
      </c>
      <c r="R5" s="148" t="str">
        <f>VLOOKUP(R$7,'Rate Values (S)'!$S$5:$X$28,5,FALSE)</f>
        <v>Off</v>
      </c>
      <c r="S5" s="148" t="str">
        <f>VLOOKUP(S$7,'Rate Values (S)'!$S$5:$X$28,5,FALSE)</f>
        <v>Off</v>
      </c>
      <c r="T5" s="148" t="str">
        <f>VLOOKUP(T$7,'Rate Values (S)'!$S$5:$X$28,5,FALSE)</f>
        <v>Off</v>
      </c>
      <c r="U5" s="148" t="str">
        <f>VLOOKUP(U$7,'Rate Values (S)'!$S$5:$X$28,5,FALSE)</f>
        <v>Peak</v>
      </c>
      <c r="V5" s="148" t="str">
        <f>VLOOKUP(V$7,'Rate Values (S)'!$S$5:$X$28,5,FALSE)</f>
        <v>Peak</v>
      </c>
      <c r="W5" s="148" t="str">
        <f>VLOOKUP(W$7,'Rate Values (S)'!$S$5:$X$28,5,FALSE)</f>
        <v>Peak</v>
      </c>
      <c r="X5" s="148" t="str">
        <f>VLOOKUP(X$7,'Rate Values (S)'!$S$5:$X$28,5,FALSE)</f>
        <v>Peak</v>
      </c>
      <c r="Y5" s="148" t="str">
        <f>VLOOKUP(Y$7,'Rate Values (S)'!$S$5:$X$28,5,FALSE)</f>
        <v>Peak</v>
      </c>
      <c r="Z5" s="148" t="str">
        <f>VLOOKUP(Z$7,'Rate Values (S)'!$S$5:$X$28,5,FALSE)</f>
        <v>Off</v>
      </c>
      <c r="AA5" s="148" t="str">
        <f>VLOOKUP(AA$7,'Rate Values (S)'!$S$5:$X$28,5,FALSE)</f>
        <v>Off</v>
      </c>
      <c r="AB5" s="164" t="str">
        <f>VLOOKUP(AB$7,'Rate Values (S)'!$S$5:$X$28,5,FALSE)</f>
        <v>Off</v>
      </c>
    </row>
    <row r="6" spans="1:30" x14ac:dyDescent="0.25">
      <c r="A6" s="10" t="str">
        <f>'Inputs &amp; Results'!B6</f>
        <v>Days in use per month
- Value must be between 0 and 31.</v>
      </c>
      <c r="B6" s="135" t="str">
        <f>'Inputs &amp; Results'!M6</f>
        <v>Enter Value</v>
      </c>
      <c r="D6" s="24" t="s">
        <v>50</v>
      </c>
      <c r="E6" s="160" t="str">
        <f>VLOOKUP(E$7,'Rate Values (S)'!$S$5:$X$28,6,FALSE)</f>
        <v>Off</v>
      </c>
      <c r="F6" s="160" t="str">
        <f>VLOOKUP(F$7,'Rate Values (S)'!$S$5:$X$28,6,FALSE)</f>
        <v>Off</v>
      </c>
      <c r="G6" s="160" t="str">
        <f>VLOOKUP(G$7,'Rate Values (S)'!$S$5:$X$28,6,FALSE)</f>
        <v>Off</v>
      </c>
      <c r="H6" s="160" t="str">
        <f>VLOOKUP(H$7,'Rate Values (S)'!$S$5:$X$28,6,FALSE)</f>
        <v>Off</v>
      </c>
      <c r="I6" s="160" t="str">
        <f>VLOOKUP(I$7,'Rate Values (S)'!$S$5:$X$28,6,FALSE)</f>
        <v>Off</v>
      </c>
      <c r="J6" s="160" t="str">
        <f>VLOOKUP(J$7,'Rate Values (S)'!$S$5:$X$28,6,FALSE)</f>
        <v>Off</v>
      </c>
      <c r="K6" s="160" t="str">
        <f>VLOOKUP(K$7,'Rate Values (S)'!$S$5:$X$28,6,FALSE)</f>
        <v>Off</v>
      </c>
      <c r="L6" s="160" t="str">
        <f>VLOOKUP(L$7,'Rate Values (S)'!$S$5:$X$28,6,FALSE)</f>
        <v>Off</v>
      </c>
      <c r="M6" s="160" t="str">
        <f>VLOOKUP(M$7,'Rate Values (S)'!$S$5:$X$28,6,FALSE)</f>
        <v>Off</v>
      </c>
      <c r="N6" s="160" t="str">
        <f>VLOOKUP(N$7,'Rate Values (S)'!$S$5:$X$28,6,FALSE)</f>
        <v>SOP</v>
      </c>
      <c r="O6" s="160" t="str">
        <f>VLOOKUP(O$7,'Rate Values (S)'!$S$5:$X$28,6,FALSE)</f>
        <v>SOP</v>
      </c>
      <c r="P6" s="160" t="str">
        <f>VLOOKUP(P$7,'Rate Values (S)'!$S$5:$X$28,6,FALSE)</f>
        <v>SOP</v>
      </c>
      <c r="Q6" s="160" t="str">
        <f>VLOOKUP(Q$7,'Rate Values (S)'!$S$5:$X$28,6,FALSE)</f>
        <v>SOP</v>
      </c>
      <c r="R6" s="160" t="str">
        <f>VLOOKUP(R$7,'Rate Values (S)'!$S$5:$X$28,6,FALSE)</f>
        <v>SOP</v>
      </c>
      <c r="S6" s="160" t="str">
        <f>VLOOKUP(S$7,'Rate Values (S)'!$S$5:$X$28,6,FALSE)</f>
        <v>Off</v>
      </c>
      <c r="T6" s="160" t="str">
        <f>VLOOKUP(T$7,'Rate Values (S)'!$S$5:$X$28,6,FALSE)</f>
        <v>Off</v>
      </c>
      <c r="U6" s="160" t="str">
        <f>VLOOKUP(U$7,'Rate Values (S)'!$S$5:$X$28,6,FALSE)</f>
        <v>Peak</v>
      </c>
      <c r="V6" s="160" t="str">
        <f>VLOOKUP(V$7,'Rate Values (S)'!$S$5:$X$28,6,FALSE)</f>
        <v>Peak</v>
      </c>
      <c r="W6" s="160" t="str">
        <f>VLOOKUP(W$7,'Rate Values (S)'!$S$5:$X$28,6,FALSE)</f>
        <v>Peak</v>
      </c>
      <c r="X6" s="160" t="str">
        <f>VLOOKUP(X$7,'Rate Values (S)'!$S$5:$X$28,6,FALSE)</f>
        <v>Peak</v>
      </c>
      <c r="Y6" s="160" t="str">
        <f>VLOOKUP(Y$7,'Rate Values (S)'!$S$5:$X$28,6,FALSE)</f>
        <v>Peak</v>
      </c>
      <c r="Z6" s="160" t="str">
        <f>VLOOKUP(Z$7,'Rate Values (S)'!$S$5:$X$28,6,FALSE)</f>
        <v>Peak</v>
      </c>
      <c r="AA6" s="160" t="str">
        <f>VLOOKUP(AA$7,'Rate Values (S)'!$S$5:$X$28,6,FALSE)</f>
        <v>Off</v>
      </c>
      <c r="AB6" s="165" t="str">
        <f>VLOOKUP(AB$7,'Rate Values (S)'!$S$5:$X$28,6,FALSE)</f>
        <v>Off</v>
      </c>
    </row>
    <row r="7" spans="1:30" ht="15.75" thickBot="1" x14ac:dyDescent="0.3">
      <c r="A7" s="11" t="str">
        <f>'Inputs &amp; Results'!B7</f>
        <v>Expected vehicle lifespan (years)
- Maximum value for this model is 20 years.</v>
      </c>
      <c r="B7" s="136" t="str">
        <f>'Inputs &amp; Results'!M7</f>
        <v>Enter Value</v>
      </c>
      <c r="D7" s="10" t="s">
        <v>4</v>
      </c>
      <c r="E7" s="146">
        <f>'Inputs &amp; Results'!C35</f>
        <v>0</v>
      </c>
      <c r="F7" s="146">
        <f>'Inputs &amp; Results'!D35</f>
        <v>1</v>
      </c>
      <c r="G7" s="146">
        <f>'Inputs &amp; Results'!E35</f>
        <v>2</v>
      </c>
      <c r="H7" s="146">
        <f>'Inputs &amp; Results'!F35</f>
        <v>3</v>
      </c>
      <c r="I7" s="146">
        <f>'Inputs &amp; Results'!G35</f>
        <v>4</v>
      </c>
      <c r="J7" s="146">
        <f>'Inputs &amp; Results'!H35</f>
        <v>5</v>
      </c>
      <c r="K7" s="146">
        <f>'Inputs &amp; Results'!I35</f>
        <v>6</v>
      </c>
      <c r="L7" s="146">
        <f>'Inputs &amp; Results'!J35</f>
        <v>7</v>
      </c>
      <c r="M7" s="146">
        <f>'Inputs &amp; Results'!K35</f>
        <v>8</v>
      </c>
      <c r="N7" s="146">
        <f>'Inputs &amp; Results'!L35</f>
        <v>9</v>
      </c>
      <c r="O7" s="146">
        <f>'Inputs &amp; Results'!M35</f>
        <v>10</v>
      </c>
      <c r="P7" s="146">
        <f>'Inputs &amp; Results'!N35</f>
        <v>11</v>
      </c>
      <c r="Q7" s="146">
        <f>'Inputs &amp; Results'!O35</f>
        <v>12</v>
      </c>
      <c r="R7" s="146">
        <f>'Inputs &amp; Results'!P35</f>
        <v>13</v>
      </c>
      <c r="S7" s="146">
        <f>'Inputs &amp; Results'!Q35</f>
        <v>14</v>
      </c>
      <c r="T7" s="146">
        <f>'Inputs &amp; Results'!R35</f>
        <v>15</v>
      </c>
      <c r="U7" s="146">
        <f>'Inputs &amp; Results'!S35</f>
        <v>16</v>
      </c>
      <c r="V7" s="146">
        <f>'Inputs &amp; Results'!T35</f>
        <v>17</v>
      </c>
      <c r="W7" s="146">
        <f>'Inputs &amp; Results'!U35</f>
        <v>18</v>
      </c>
      <c r="X7" s="146">
        <f>'Inputs &amp; Results'!V35</f>
        <v>19</v>
      </c>
      <c r="Y7" s="146">
        <f>'Inputs &amp; Results'!W35</f>
        <v>20</v>
      </c>
      <c r="Z7" s="146">
        <f>'Inputs &amp; Results'!X35</f>
        <v>21</v>
      </c>
      <c r="AA7" s="146">
        <f>'Inputs &amp; Results'!Y35</f>
        <v>22</v>
      </c>
      <c r="AB7" s="147">
        <f>'Inputs &amp; Results'!Z35</f>
        <v>23</v>
      </c>
    </row>
    <row r="8" spans="1:30" ht="15.75" thickBot="1" x14ac:dyDescent="0.3">
      <c r="A8" s="169">
        <f>'Inputs &amp; Results'!B9</f>
        <v>0</v>
      </c>
      <c r="B8" s="234">
        <f>'Inputs &amp; Results'!C9</f>
        <v>0</v>
      </c>
      <c r="D8" s="10" t="s">
        <v>3</v>
      </c>
      <c r="E8" s="1" t="e">
        <f>'Inputs &amp; Results'!C36</f>
        <v>#VALUE!</v>
      </c>
      <c r="F8" s="1" t="e">
        <f>'Inputs &amp; Results'!D36</f>
        <v>#VALUE!</v>
      </c>
      <c r="G8" s="1" t="e">
        <f>'Inputs &amp; Results'!E36</f>
        <v>#VALUE!</v>
      </c>
      <c r="H8" s="1" t="e">
        <f>'Inputs &amp; Results'!F36</f>
        <v>#VALUE!</v>
      </c>
      <c r="I8" s="1" t="e">
        <f>'Inputs &amp; Results'!G36</f>
        <v>#VALUE!</v>
      </c>
      <c r="J8" s="1" t="e">
        <f>'Inputs &amp; Results'!H36</f>
        <v>#VALUE!</v>
      </c>
      <c r="K8" s="1" t="e">
        <f>'Inputs &amp; Results'!I36</f>
        <v>#VALUE!</v>
      </c>
      <c r="L8" s="1" t="e">
        <f>'Inputs &amp; Results'!J36</f>
        <v>#VALUE!</v>
      </c>
      <c r="M8" s="1" t="e">
        <f>'Inputs &amp; Results'!K36</f>
        <v>#VALUE!</v>
      </c>
      <c r="N8" s="1" t="e">
        <f>'Inputs &amp; Results'!L36</f>
        <v>#VALUE!</v>
      </c>
      <c r="O8" s="1" t="e">
        <f>'Inputs &amp; Results'!M36</f>
        <v>#VALUE!</v>
      </c>
      <c r="P8" s="1" t="e">
        <f>'Inputs &amp; Results'!N36</f>
        <v>#VALUE!</v>
      </c>
      <c r="Q8" s="1" t="e">
        <f>'Inputs &amp; Results'!O36</f>
        <v>#VALUE!</v>
      </c>
      <c r="R8" s="1" t="e">
        <f>'Inputs &amp; Results'!P36</f>
        <v>#VALUE!</v>
      </c>
      <c r="S8" s="1" t="e">
        <f>'Inputs &amp; Results'!Q36</f>
        <v>#VALUE!</v>
      </c>
      <c r="T8" s="1" t="e">
        <f>'Inputs &amp; Results'!R36</f>
        <v>#VALUE!</v>
      </c>
      <c r="U8" s="1" t="e">
        <f>'Inputs &amp; Results'!S36</f>
        <v>#VALUE!</v>
      </c>
      <c r="V8" s="1" t="e">
        <f>'Inputs &amp; Results'!T36</f>
        <v>#VALUE!</v>
      </c>
      <c r="W8" s="1" t="e">
        <f>'Inputs &amp; Results'!U36</f>
        <v>#VALUE!</v>
      </c>
      <c r="X8" s="1" t="e">
        <f>'Inputs &amp; Results'!V36</f>
        <v>#VALUE!</v>
      </c>
      <c r="Y8" s="1" t="e">
        <f>'Inputs &amp; Results'!W36</f>
        <v>#VALUE!</v>
      </c>
      <c r="Z8" s="1" t="e">
        <f>'Inputs &amp; Results'!X36</f>
        <v>#VALUE!</v>
      </c>
      <c r="AA8" s="1" t="e">
        <f>'Inputs &amp; Results'!Y36</f>
        <v>#VALUE!</v>
      </c>
      <c r="AB8" s="23" t="e">
        <f>'Inputs &amp; Results'!Z36</f>
        <v>#N/A</v>
      </c>
      <c r="AC8" s="2"/>
      <c r="AD8" s="6"/>
    </row>
    <row r="9" spans="1:30" ht="15.75" thickBot="1" x14ac:dyDescent="0.3">
      <c r="A9" s="334" t="str">
        <f>'Inputs &amp; Results'!B10</f>
        <v>Charging Information</v>
      </c>
      <c r="B9" s="335">
        <f>'Inputs &amp; Results'!C10</f>
        <v>0</v>
      </c>
      <c r="D9" s="11" t="s">
        <v>28</v>
      </c>
      <c r="E9" s="166" t="e">
        <f>'Inputs &amp; Results'!C37</f>
        <v>#VALUE!</v>
      </c>
      <c r="F9" s="166" t="e">
        <f>'Inputs &amp; Results'!D37</f>
        <v>#VALUE!</v>
      </c>
      <c r="G9" s="166" t="e">
        <f>'Inputs &amp; Results'!E37</f>
        <v>#VALUE!</v>
      </c>
      <c r="H9" s="166" t="e">
        <f>'Inputs &amp; Results'!F37</f>
        <v>#VALUE!</v>
      </c>
      <c r="I9" s="166" t="e">
        <f>'Inputs &amp; Results'!G37</f>
        <v>#VALUE!</v>
      </c>
      <c r="J9" s="166" t="e">
        <f>'Inputs &amp; Results'!H37</f>
        <v>#VALUE!</v>
      </c>
      <c r="K9" s="166" t="e">
        <f>'Inputs &amp; Results'!I37</f>
        <v>#VALUE!</v>
      </c>
      <c r="L9" s="166" t="e">
        <f>'Inputs &amp; Results'!J37</f>
        <v>#VALUE!</v>
      </c>
      <c r="M9" s="166" t="e">
        <f>'Inputs &amp; Results'!K37</f>
        <v>#VALUE!</v>
      </c>
      <c r="N9" s="166" t="e">
        <f>'Inputs &amp; Results'!L37</f>
        <v>#VALUE!</v>
      </c>
      <c r="O9" s="166" t="e">
        <f>'Inputs &amp; Results'!M37</f>
        <v>#VALUE!</v>
      </c>
      <c r="P9" s="166" t="e">
        <f>'Inputs &amp; Results'!N37</f>
        <v>#VALUE!</v>
      </c>
      <c r="Q9" s="166" t="e">
        <f>'Inputs &amp; Results'!O37</f>
        <v>#VALUE!</v>
      </c>
      <c r="R9" s="166" t="e">
        <f>'Inputs &amp; Results'!P37</f>
        <v>#VALUE!</v>
      </c>
      <c r="S9" s="166" t="e">
        <f>'Inputs &amp; Results'!Q37</f>
        <v>#VALUE!</v>
      </c>
      <c r="T9" s="166" t="e">
        <f>'Inputs &amp; Results'!R37</f>
        <v>#VALUE!</v>
      </c>
      <c r="U9" s="166" t="e">
        <f>'Inputs &amp; Results'!S37</f>
        <v>#VALUE!</v>
      </c>
      <c r="V9" s="166" t="e">
        <f>'Inputs &amp; Results'!T37</f>
        <v>#VALUE!</v>
      </c>
      <c r="W9" s="166" t="e">
        <f>'Inputs &amp; Results'!U37</f>
        <v>#VALUE!</v>
      </c>
      <c r="X9" s="166" t="e">
        <f>'Inputs &amp; Results'!V37</f>
        <v>#VALUE!</v>
      </c>
      <c r="Y9" s="166" t="e">
        <f>'Inputs &amp; Results'!W37</f>
        <v>#VALUE!</v>
      </c>
      <c r="Z9" s="166" t="e">
        <f>'Inputs &amp; Results'!X37</f>
        <v>#VALUE!</v>
      </c>
      <c r="AA9" s="166" t="e">
        <f>'Inputs &amp; Results'!Y37</f>
        <v>#VALUE!</v>
      </c>
      <c r="AB9" s="167" t="e">
        <f>'Inputs &amp; Results'!Z37</f>
        <v>#N/A</v>
      </c>
      <c r="AC9" s="2"/>
    </row>
    <row r="10" spans="1:30" x14ac:dyDescent="0.25">
      <c r="A10" s="123" t="str">
        <f>'Inputs &amp; Results'!B11</f>
        <v>Chargers installed
- This model defaults to one charger per EV (linked to Input 1a) ;Override if chargers planned to be shared by more than one vehicle.</v>
      </c>
      <c r="B10" s="135" t="str">
        <f>'Inputs &amp; Results'!M11</f>
        <v>Enter Value</v>
      </c>
      <c r="C10" s="8"/>
    </row>
    <row r="11" spans="1:30" x14ac:dyDescent="0.25">
      <c r="A11" s="10" t="str">
        <f>'Inputs &amp; Results'!B12</f>
        <v>Charger power (kW per charger)
- Level 2 chargers typically range from 7-19 kW; Fast chargers are typically 50 kW and above.</v>
      </c>
      <c r="B11" s="135" t="str">
        <f>'Inputs &amp; Results'!M12</f>
        <v>Enter Value</v>
      </c>
    </row>
    <row r="12" spans="1:30" x14ac:dyDescent="0.25">
      <c r="A12" s="10" t="str">
        <f>'Inputs &amp; Results'!B13</f>
        <v>Fleet charging start hour (use 24hr clock value)
- Input the hour (0-23) charging is expected to begin. This calculator models charging as one block of time based on this starting hour.</v>
      </c>
      <c r="B12" s="235" t="str">
        <f>'Inputs &amp; Results'!M13</f>
        <v>Enter Value</v>
      </c>
    </row>
    <row r="13" spans="1:30" ht="15.75" thickBot="1" x14ac:dyDescent="0.3">
      <c r="A13" s="11" t="s">
        <v>158</v>
      </c>
      <c r="B13" s="137" t="str">
        <f>'Inputs &amp; Results'!M15</f>
        <v>Primary</v>
      </c>
    </row>
    <row r="14" spans="1:30" ht="15.75" thickBot="1" x14ac:dyDescent="0.3">
      <c r="A14" s="168">
        <f>'Inputs &amp; Results'!B17</f>
        <v>0</v>
      </c>
      <c r="B14" s="168">
        <f>'Inputs &amp; Results'!C17</f>
        <v>0</v>
      </c>
    </row>
    <row r="15" spans="1:30" x14ac:dyDescent="0.25">
      <c r="A15" s="280" t="str">
        <f>'Inputs &amp; Results'!B18</f>
        <v>Assumptions</v>
      </c>
      <c r="B15" s="281">
        <f>'Inputs &amp; Results'!C18</f>
        <v>0</v>
      </c>
    </row>
    <row r="16" spans="1:30" ht="15.75" thickBot="1" x14ac:dyDescent="0.3">
      <c r="A16" s="11" t="str">
        <f>'Inputs &amp; Results'!B19</f>
        <v>Charger losses
- Energy losses can occur between utility meter, charger, and vehicle battery; This might range from 10-20%, default value is 15%.</v>
      </c>
      <c r="B16" s="138">
        <f>'Inputs &amp; Results'!M19</f>
        <v>0.15</v>
      </c>
    </row>
    <row r="17" spans="1:17" ht="15.75" thickBot="1" x14ac:dyDescent="0.3">
      <c r="A17" s="149" t="str">
        <f>'Inputs &amp; Results'!B20</f>
        <v>Rate escalation (per year)
- This model assumes annual rate increases to account for typical escalation of utility rate values.Default value is 3.0%.</v>
      </c>
      <c r="B17" s="170">
        <f>'Inputs &amp; Results'!M20</f>
        <v>0.03</v>
      </c>
    </row>
    <row r="18" spans="1:17" ht="15.75" thickBot="1" x14ac:dyDescent="0.3">
      <c r="A18" s="168">
        <f>'Inputs &amp; Results'!B21</f>
        <v>0</v>
      </c>
      <c r="B18" s="168">
        <f>'Inputs &amp; Results'!C21</f>
        <v>0</v>
      </c>
    </row>
    <row r="19" spans="1:17" x14ac:dyDescent="0.25">
      <c r="A19" s="280" t="str">
        <f>'Inputs &amp; Results'!B27</f>
        <v>Calculated values</v>
      </c>
      <c r="B19" s="281">
        <f>'Inputs &amp; Results'!C27</f>
        <v>0</v>
      </c>
    </row>
    <row r="20" spans="1:17" x14ac:dyDescent="0.25">
      <c r="A20" s="124" t="str">
        <f>'Inputs &amp; Results'!B28</f>
        <v>Total Monthly kWh</v>
      </c>
      <c r="B20" s="141" t="e">
        <f>'Inputs &amp; Results'!C28</f>
        <v>#VALUE!</v>
      </c>
    </row>
    <row r="21" spans="1:17" x14ac:dyDescent="0.25">
      <c r="A21" s="124" t="str">
        <f>'Inputs &amp; Results'!B29</f>
        <v>Max Site kW</v>
      </c>
      <c r="B21" s="141" t="e">
        <f>'Inputs &amp; Results'!C29</f>
        <v>#VALUE!</v>
      </c>
    </row>
    <row r="22" spans="1:17" x14ac:dyDescent="0.25">
      <c r="A22" s="124" t="str">
        <f>'Inputs &amp; Results'!B30</f>
        <v>Utilization</v>
      </c>
      <c r="B22" s="144" t="e">
        <f>'Inputs &amp; Results'!C30</f>
        <v>#VALUE!</v>
      </c>
    </row>
    <row r="23" spans="1:17" x14ac:dyDescent="0.25">
      <c r="A23" s="124" t="str">
        <f>'Inputs &amp; Results'!B31</f>
        <v>Minimum charging hours</v>
      </c>
      <c r="B23" s="143" t="e">
        <f>'Inputs &amp; Results'!C31</f>
        <v>#VALUE!</v>
      </c>
    </row>
    <row r="24" spans="1:17" ht="15.75" thickBot="1" x14ac:dyDescent="0.3">
      <c r="A24" s="125" t="str">
        <f>'Inputs &amp; Results'!B32</f>
        <v>Daily kWh</v>
      </c>
      <c r="B24" s="142" t="e">
        <f>'Inputs &amp; Results'!C32</f>
        <v>#VALUE!</v>
      </c>
    </row>
    <row r="26" spans="1:17" x14ac:dyDescent="0.25">
      <c r="A26" s="25" t="s">
        <v>68</v>
      </c>
      <c r="B26" s="26" t="e">
        <f>IF(B21&gt;1000.00001,"E-20",IF(B21&gt;500.0001,"E-19",IF(B21&gt;75.000001,"A-10","A-6")))</f>
        <v>#VALUE!</v>
      </c>
    </row>
    <row r="27" spans="1:17" x14ac:dyDescent="0.25">
      <c r="A27" s="27" t="s">
        <v>69</v>
      </c>
      <c r="B27" s="28" t="e">
        <f>IF(B26="#VALUE!","&amp;B26",IF(B13="Secondary",IF(B21&gt;100,"EV-Large",IF(B21&lt;100.001,"EV-Small")),"EV-Large P"))</f>
        <v>#VALUE!</v>
      </c>
    </row>
    <row r="30" spans="1:17" ht="15.75" thickBot="1" x14ac:dyDescent="0.3">
      <c r="A30" t="s">
        <v>186</v>
      </c>
      <c r="G30" t="s">
        <v>178</v>
      </c>
      <c r="M30" t="s">
        <v>179</v>
      </c>
    </row>
    <row r="31" spans="1:17" x14ac:dyDescent="0.25">
      <c r="A31" s="336" t="e">
        <f>A27&amp;B27</f>
        <v>#VALUE!</v>
      </c>
      <c r="B31" s="337"/>
      <c r="C31" s="337"/>
      <c r="D31" s="337"/>
      <c r="E31" s="338"/>
      <c r="G31" s="336" t="e">
        <f>A26&amp;B26</f>
        <v>#VALUE!</v>
      </c>
      <c r="H31" s="337"/>
      <c r="I31" s="337"/>
      <c r="J31" s="337"/>
      <c r="K31" s="338"/>
      <c r="M31" s="336" t="e">
        <f>G31</f>
        <v>#VALUE!</v>
      </c>
      <c r="N31" s="337"/>
      <c r="O31" s="337"/>
      <c r="P31" s="337"/>
      <c r="Q31" s="338"/>
    </row>
    <row r="32" spans="1:17" x14ac:dyDescent="0.25">
      <c r="A32" s="71" t="s">
        <v>7</v>
      </c>
      <c r="B32" s="328" t="s">
        <v>8</v>
      </c>
      <c r="C32" s="329"/>
      <c r="D32" s="328" t="s">
        <v>9</v>
      </c>
      <c r="E32" s="330"/>
      <c r="G32" s="44" t="s">
        <v>7</v>
      </c>
      <c r="H32" s="328" t="s">
        <v>8</v>
      </c>
      <c r="I32" s="329"/>
      <c r="J32" s="328" t="s">
        <v>9</v>
      </c>
      <c r="K32" s="330"/>
      <c r="M32" s="44" t="s">
        <v>7</v>
      </c>
      <c r="N32" s="328" t="s">
        <v>8</v>
      </c>
      <c r="O32" s="329"/>
      <c r="P32" s="328" t="s">
        <v>9</v>
      </c>
      <c r="Q32" s="330"/>
    </row>
    <row r="33" spans="1:41" x14ac:dyDescent="0.25">
      <c r="A33" s="72" t="s">
        <v>10</v>
      </c>
      <c r="B33" s="30" t="s">
        <v>43</v>
      </c>
      <c r="C33" s="31" t="s">
        <v>12</v>
      </c>
      <c r="D33" s="30" t="s">
        <v>43</v>
      </c>
      <c r="E33" s="46" t="s">
        <v>12</v>
      </c>
      <c r="G33" s="45" t="s">
        <v>10</v>
      </c>
      <c r="H33" s="30" t="s">
        <v>11</v>
      </c>
      <c r="I33" s="31" t="s">
        <v>12</v>
      </c>
      <c r="J33" s="30" t="s">
        <v>11</v>
      </c>
      <c r="K33" s="46" t="s">
        <v>12</v>
      </c>
      <c r="M33" s="45" t="s">
        <v>10</v>
      </c>
      <c r="N33" s="30" t="s">
        <v>11</v>
      </c>
      <c r="O33" s="31" t="s">
        <v>12</v>
      </c>
      <c r="P33" s="30" t="s">
        <v>11</v>
      </c>
      <c r="Q33" s="46" t="s">
        <v>12</v>
      </c>
    </row>
    <row r="34" spans="1:41" x14ac:dyDescent="0.25">
      <c r="A34" s="63" t="s">
        <v>0</v>
      </c>
      <c r="B34" s="57"/>
      <c r="C34" s="33" t="e">
        <f>HLOOKUP($B$27,'Rate Values (S)'!$N$4:$P$13,4,FALSE)</f>
        <v>#VALUE!</v>
      </c>
      <c r="D34" s="57"/>
      <c r="E34" s="48" t="e">
        <f>HLOOKUP($B$27,'Rate Values (S)'!$N$4:$P$13,8,FALSE)</f>
        <v>#VALUE!</v>
      </c>
      <c r="G34" s="47" t="s">
        <v>13</v>
      </c>
      <c r="H34" s="32" t="e">
        <f>IF($B$13="Secondary",HLOOKUP($B$26,'Rate Values (S)'!$H$4:$K$21,3,FALSE),HLOOKUP($B$26,'Rate Values (P)'!$H$4:$K$21,3,FALSE))</f>
        <v>#VALUE!</v>
      </c>
      <c r="I34" s="82"/>
      <c r="J34" s="32" t="e">
        <f>IF($B$13="Secondary",HLOOKUP($B$26,'Rate Values (S)'!$H$4:$K$21,7,FALSE),HLOOKUP($B$26,'Rate Values (P)'!$H$4:$K$21,7,FALSE))</f>
        <v>#VALUE!</v>
      </c>
      <c r="K34" s="48"/>
      <c r="M34" s="47" t="s">
        <v>13</v>
      </c>
      <c r="N34" s="32" t="e">
        <f>IF($B$13="secondary",HLOOKUP($B$26,'Rate Values (S)'!$B$4:$E$21,3,FALSE),HLOOKUP($B$26,'Rate Values (P)'!$B$4:$E$21,3,FALSE))</f>
        <v>#VALUE!</v>
      </c>
      <c r="O34" s="82"/>
      <c r="P34" s="32" t="e">
        <f>IF($B$13="secondary",HLOOKUP($B$26,'Rate Values (S)'!$B$4:$E$21,7,FALSE),HLOOKUP($B$26,'Rate Values (P)'!$B$4:$E$21,7,FALSE))</f>
        <v>#VALUE!</v>
      </c>
      <c r="Q34" s="48"/>
    </row>
    <row r="35" spans="1:41" x14ac:dyDescent="0.25">
      <c r="A35" s="63" t="s">
        <v>1</v>
      </c>
      <c r="B35" s="57"/>
      <c r="C35" s="33" t="e">
        <f>HLOOKUP($B$27,'Rate Values (S)'!$N$4:$P$13,5,FALSE)</f>
        <v>#VALUE!</v>
      </c>
      <c r="D35" s="57"/>
      <c r="E35" s="48" t="e">
        <f>HLOOKUP($B$27,'Rate Values (S)'!$N$4:$P$13,9,FALSE)</f>
        <v>#VALUE!</v>
      </c>
      <c r="G35" s="47" t="s">
        <v>0</v>
      </c>
      <c r="H35" s="32" t="e">
        <f>IF($B$13="Secondary",HLOOKUP($B$26,'Rate Values (S)'!$H$4:$K$21,4,FALSE),HLOOKUP($B$26,'Rate Values (P)'!$H$4:$K$21,4,FALSE))</f>
        <v>#VALUE!</v>
      </c>
      <c r="I35" s="82" t="e">
        <f>IF($B$13="Secondary",HLOOKUP($B$26,'Rate Values (S)'!$H$4:$K$21,11,FALSE),HLOOKUP($B$26,'Rate Values (P)'!$H$4:$K$21,11,FALSE))</f>
        <v>#VALUE!</v>
      </c>
      <c r="J35" s="32" t="e">
        <f>IF($B$13="Secondary",HLOOKUP($B$26,'Rate Values (S)'!$H$4:$K$21,8,FALSE),HLOOKUP($B$26,'Rate Values (P)'!$H$4:$K$21,8,FALSE))</f>
        <v>#VALUE!</v>
      </c>
      <c r="K35" s="48" t="e">
        <f>IF($B$13="Secondary",HLOOKUP($B$26,'Rate Values (S)'!$H$4:$K$21,15,FALSE),HLOOKUP($B$26,'Rate Values (P)'!$H$4:$K$21,15,FALSE))</f>
        <v>#VALUE!</v>
      </c>
      <c r="M35" s="47" t="s">
        <v>0</v>
      </c>
      <c r="N35" s="32" t="e">
        <f>IF($B$13="secondary",HLOOKUP($B$26,'Rate Values (S)'!$B$4:$E$21,4,FALSE),HLOOKUP($B$26,'Rate Values (P)'!$B$4:$E$21,4,FALSE))</f>
        <v>#VALUE!</v>
      </c>
      <c r="O35" s="82" t="e">
        <f>IF($B$13="secondary",HLOOKUP($B$26,'Rate Values (S)'!$B$4:$E$21,11,FALSE),HLOOKUP($B$26,'Rate Values (P)'!$B$4:$E$21,11,FALSE))</f>
        <v>#VALUE!</v>
      </c>
      <c r="P35" s="32" t="e">
        <f>IF($B$13="secondary",HLOOKUP($B$26,'Rate Values (S)'!$B$4:$E$21,8,FALSE),HLOOKUP($B$26,'Rate Values (P)'!$B$4:$E$21,8,FALSE))</f>
        <v>#VALUE!</v>
      </c>
      <c r="Q35" s="48" t="e">
        <f>IF($B$13="secondary",HLOOKUP($B$26,'Rate Values (S)'!$B$4:$E$21,15,FALSE),HLOOKUP($B$26,'Rate Values (P)'!$B$4:$E$21,15,FALSE))</f>
        <v>#VALUE!</v>
      </c>
    </row>
    <row r="36" spans="1:41" x14ac:dyDescent="0.25">
      <c r="A36" s="63" t="s">
        <v>27</v>
      </c>
      <c r="B36" s="57"/>
      <c r="C36" s="33" t="e">
        <f>HLOOKUP($B$27,'Rate Values (S)'!$N$4:$P$13,6,FALSE)</f>
        <v>#VALUE!</v>
      </c>
      <c r="D36" s="57"/>
      <c r="E36" s="48" t="e">
        <f>HLOOKUP($B$27,'Rate Values (S)'!$N$4:$P$13,10,FALSE)</f>
        <v>#VALUE!</v>
      </c>
      <c r="G36" s="47" t="s">
        <v>2</v>
      </c>
      <c r="H36" s="32" t="e">
        <f>IF($B$13="Secondary",HLOOKUP($B$26,'Rate Values (S)'!$H$4:$K$21,5,FALSE),HLOOKUP($B$26,'Rate Values (P)'!$H$4:$K$21,5,FALSE))</f>
        <v>#VALUE!</v>
      </c>
      <c r="I36" s="82" t="e">
        <f>IF($B$13="Secondary",HLOOKUP($B$26,'Rate Values (S)'!$H$4:$K$21,12,FALSE),HLOOKUP($B$26,'Rate Values (P)'!$H$4:$K$21,12,FALSE))</f>
        <v>#VALUE!</v>
      </c>
      <c r="J36" s="32" t="e">
        <f>IF($B$13="Secondary",HLOOKUP($B$26,'Rate Values (S)'!$H$4:$K$21,9,FALSE),HLOOKUP($B$26,'Rate Values (P)'!$H$4:$K$21,9,FALSE))</f>
        <v>#VALUE!</v>
      </c>
      <c r="K36" s="48"/>
      <c r="M36" s="47" t="s">
        <v>2</v>
      </c>
      <c r="N36" s="32" t="e">
        <f>IF($B$13="secondary",HLOOKUP($B$26,'Rate Values (S)'!$B$4:$E$21,5,FALSE),HLOOKUP($B$26,'Rate Values (P)'!$B$4:$E$21,5,FALSE))</f>
        <v>#VALUE!</v>
      </c>
      <c r="O36" s="82" t="e">
        <f>IF($B$13="secondary",HLOOKUP($B$26,'Rate Values (S)'!$B$4:$E$21,12,FALSE),HLOOKUP($B$26,'Rate Values (P)'!$B$4:$E$21,12,FALSE))</f>
        <v>#VALUE!</v>
      </c>
      <c r="P36" s="32" t="e">
        <f>IF($B$13="secondary",HLOOKUP($B$26,'Rate Values (S)'!$B$4:$E$21,9,FALSE),HLOOKUP($B$26,'Rate Values (P)'!$B$4:$E$21,9,FALSE))</f>
        <v>#VALUE!</v>
      </c>
      <c r="Q36" s="48" t="e">
        <f>IF($B$13="secondary",HLOOKUP($B$26,'Rate Values (S)'!$B$4:$E$21,16,FALSE),HLOOKUP($B$26,'Rate Values (P)'!$B$4:$E$21,16,FALSE))</f>
        <v>#VALUE!</v>
      </c>
    </row>
    <row r="37" spans="1:41" x14ac:dyDescent="0.25">
      <c r="A37" s="73" t="s">
        <v>43</v>
      </c>
      <c r="B37" s="74" t="e">
        <f>HLOOKUP($B$27,'Rate Values (S)'!$M$4:$P$13,2,FALSE)</f>
        <v>#VALUE!</v>
      </c>
      <c r="C37" s="70"/>
      <c r="D37" s="74" t="e">
        <f>HLOOKUP($B$27,'Rate Values (S)'!$M$4:$P$13,2,FALSE)</f>
        <v>#VALUE!</v>
      </c>
      <c r="E37" s="83"/>
      <c r="G37" s="47" t="s">
        <v>1</v>
      </c>
      <c r="H37" s="32"/>
      <c r="I37" s="82" t="e">
        <f>IF(B13="Secondary",HLOOKUP($B$26,'Rate Values (S)'!$H$4:$K$21,13,FALSE),HLOOKUP($B$26,'Rate Values (P)'!$H$4:$K$21,13,FALSE))</f>
        <v>#VALUE!</v>
      </c>
      <c r="J37" s="32"/>
      <c r="K37" s="48" t="e">
        <f>IF($B$13="Secondary",HLOOKUP($B$26,'Rate Values (S)'!$H$4:$K$21,16,FALSE),HLOOKUP($B$26,'Rate Values (P)'!$H$4:$K$21,16,FALSE))</f>
        <v>#VALUE!</v>
      </c>
      <c r="M37" s="47" t="s">
        <v>1</v>
      </c>
      <c r="N37" s="32"/>
      <c r="O37" s="82" t="e">
        <f>IF($B$13="secondary",HLOOKUP($B$26,'Rate Values (S)'!$B$4:$E$21,13,FALSE),HLOOKUP($B$26,'Rate Values (P)'!$B$4:$E$21,13,FALSE))</f>
        <v>#VALUE!</v>
      </c>
      <c r="P37" s="32"/>
      <c r="Q37" s="48" t="e">
        <f>IF($B$13="secondary",HLOOKUP($B$26,'Rate Values (S)'!$B$4:$E$21,17,FALSE),HLOOKUP($B$26,'Rate Values (P)'!$B$4:$E$21,17,FALSE))</f>
        <v>#VALUE!</v>
      </c>
    </row>
    <row r="38" spans="1:41" x14ac:dyDescent="0.25">
      <c r="A38" s="63"/>
      <c r="B38" s="64"/>
      <c r="C38" s="65"/>
      <c r="D38" s="65"/>
      <c r="E38" s="66"/>
      <c r="F38" s="58"/>
      <c r="G38" s="86" t="s">
        <v>27</v>
      </c>
      <c r="H38" s="32"/>
      <c r="I38" s="82"/>
      <c r="J38" s="81"/>
      <c r="K38" s="48" t="e">
        <f>IF($B$13="Secondary",HLOOKUP($B$26,'Rate Values (S)'!$H$4:$K$21,17,FALSE),HLOOKUP($B$26,'Rate Values (P)'!$H$4:$K$21,17,FALSE))</f>
        <v>#VALUE!</v>
      </c>
      <c r="M38" s="86"/>
      <c r="N38" s="32"/>
      <c r="O38" s="82"/>
      <c r="P38" s="81"/>
      <c r="Q38" s="48"/>
    </row>
    <row r="39" spans="1:41" x14ac:dyDescent="0.25">
      <c r="A39" s="43"/>
      <c r="B39" s="34"/>
      <c r="C39" s="34"/>
      <c r="D39" s="34"/>
      <c r="E39" s="42"/>
      <c r="G39" s="43" t="s">
        <v>40</v>
      </c>
      <c r="H39" s="32" t="e">
        <f>IF($B$13="Secondary",HLOOKUP($B$26,'Rate Values (S)'!$H$4:$K$21,18,FALSE),HLOOKUP($B$26,'Rate Values (P)'!$H$4:$K$21,18,FALSE))</f>
        <v>#VALUE!</v>
      </c>
      <c r="I39" s="84"/>
      <c r="J39" s="32" t="e">
        <f>IF($B$13="Secondary",HLOOKUP($B$26,'Rate Values (S)'!$H$4:$K$21,18,FALSE),HLOOKUP($B$26,'Rate Values (P)'!$H$4:$K$21,18,FALSE))</f>
        <v>#VALUE!</v>
      </c>
      <c r="K39" s="85"/>
      <c r="M39" s="43" t="s">
        <v>40</v>
      </c>
      <c r="N39" s="32" t="e">
        <f>IF($B$13="secondary",HLOOKUP($B$26,'Rate Values (S)'!$B$4:$E$21,18,FALSE),HLOOKUP($B$26,'Rate Values (P)'!$B$4:$E$21,18,FALSE))</f>
        <v>#VALUE!</v>
      </c>
      <c r="O39" s="84"/>
      <c r="P39" s="32" t="e">
        <f>IF($B$13="secondary",HLOOKUP($B$26,'Rate Values (S)'!$B$4:$E$21,18,FALSE),HLOOKUP($B$26,'Rate Values (P)'!$B$4:$E$21,18,FALSE))</f>
        <v>#VALUE!</v>
      </c>
      <c r="Q39" s="85"/>
      <c r="AM39" s="4"/>
      <c r="AN39" s="5"/>
      <c r="AO39" s="3"/>
    </row>
    <row r="40" spans="1:41" x14ac:dyDescent="0.25">
      <c r="A40" s="44" t="s">
        <v>14</v>
      </c>
      <c r="B40" s="328" t="s">
        <v>8</v>
      </c>
      <c r="C40" s="333"/>
      <c r="D40" s="328" t="s">
        <v>9</v>
      </c>
      <c r="E40" s="330"/>
      <c r="G40" s="44" t="s">
        <v>14</v>
      </c>
      <c r="H40" s="328" t="s">
        <v>8</v>
      </c>
      <c r="I40" s="333"/>
      <c r="J40" s="328" t="s">
        <v>9</v>
      </c>
      <c r="K40" s="330"/>
      <c r="M40" s="44" t="s">
        <v>14</v>
      </c>
      <c r="N40" s="328" t="s">
        <v>8</v>
      </c>
      <c r="O40" s="333"/>
      <c r="P40" s="328" t="s">
        <v>9</v>
      </c>
      <c r="Q40" s="330"/>
      <c r="AM40" s="4"/>
      <c r="AN40" s="5"/>
      <c r="AO40" s="3"/>
    </row>
    <row r="41" spans="1:41" x14ac:dyDescent="0.25">
      <c r="A41" s="45" t="s">
        <v>15</v>
      </c>
      <c r="B41" s="30" t="s">
        <v>55</v>
      </c>
      <c r="C41" s="237" t="s">
        <v>16</v>
      </c>
      <c r="D41" s="30" t="str">
        <f>B41</f>
        <v>Demand (kW)</v>
      </c>
      <c r="E41" s="46" t="str">
        <f>+C41</f>
        <v>Usage (kWh)</v>
      </c>
      <c r="G41" s="45" t="s">
        <v>15</v>
      </c>
      <c r="H41" s="30" t="s">
        <v>55</v>
      </c>
      <c r="I41" s="237" t="s">
        <v>16</v>
      </c>
      <c r="J41" s="30" t="str">
        <f>+H41</f>
        <v>Demand (kW)</v>
      </c>
      <c r="K41" s="46" t="str">
        <f>+I41</f>
        <v>Usage (kWh)</v>
      </c>
      <c r="M41" s="45" t="s">
        <v>15</v>
      </c>
      <c r="N41" s="30" t="s">
        <v>55</v>
      </c>
      <c r="O41" s="237" t="s">
        <v>16</v>
      </c>
      <c r="P41" s="30" t="str">
        <f>+N41</f>
        <v>Demand (kW)</v>
      </c>
      <c r="Q41" s="46" t="str">
        <f>+O41</f>
        <v>Usage (kWh)</v>
      </c>
      <c r="AM41" s="4"/>
      <c r="AN41" s="5"/>
      <c r="AO41" s="3"/>
    </row>
    <row r="42" spans="1:41" x14ac:dyDescent="0.25">
      <c r="A42" s="47" t="s">
        <v>58</v>
      </c>
      <c r="B42" s="87" t="e">
        <f>MAX($E$9:$AB$9)</f>
        <v>#VALUE!</v>
      </c>
      <c r="C42" s="238" t="s">
        <v>29</v>
      </c>
      <c r="D42" s="87" t="e">
        <f>B42</f>
        <v>#VALUE!</v>
      </c>
      <c r="E42" s="88" t="s">
        <v>29</v>
      </c>
      <c r="G42" s="47" t="s">
        <v>13</v>
      </c>
      <c r="H42" s="87" t="e">
        <f>MAX($E$9:$AB$9)</f>
        <v>#VALUE!</v>
      </c>
      <c r="I42" s="238" t="s">
        <v>29</v>
      </c>
      <c r="J42" s="87" t="e">
        <f>H42</f>
        <v>#VALUE!</v>
      </c>
      <c r="K42" s="88" t="s">
        <v>29</v>
      </c>
      <c r="M42" s="47" t="s">
        <v>13</v>
      </c>
      <c r="N42" s="87" t="e">
        <f>MAX($E$9:$AB$9)</f>
        <v>#VALUE!</v>
      </c>
      <c r="O42" s="238" t="s">
        <v>29</v>
      </c>
      <c r="P42" s="87" t="e">
        <f>N42</f>
        <v>#VALUE!</v>
      </c>
      <c r="Q42" s="88" t="s">
        <v>29</v>
      </c>
      <c r="AM42" s="4"/>
      <c r="AN42" s="5"/>
      <c r="AO42" s="3"/>
    </row>
    <row r="43" spans="1:41" x14ac:dyDescent="0.25">
      <c r="A43" s="47" t="s">
        <v>0</v>
      </c>
      <c r="B43" s="87" t="e">
        <f>_xlfn.MAXIFS($E$9:$AB$9,$E$6:$AB$6,$A43)</f>
        <v>#VALUE!</v>
      </c>
      <c r="C43" s="239" t="e">
        <f>SUMIFS($E$8:$AB$8,$E$6:$AB$6,$A43)*$B$6</f>
        <v>#VALUE!</v>
      </c>
      <c r="D43" s="87" t="e">
        <f>_xlfn.MAXIFS($E$9:$AB$9,$E$6:$AB$6,$A43)</f>
        <v>#VALUE!</v>
      </c>
      <c r="E43" s="243" t="e">
        <f>SUMIFS($E$8:$AB$8,$E$6:$AB$6,$A43)*$B$6</f>
        <v>#VALUE!</v>
      </c>
      <c r="G43" s="47" t="s">
        <v>0</v>
      </c>
      <c r="H43" s="87" t="e">
        <f>_xlfn.MAXIFS($E$9:$AB$9,$E$4:$AB$4,$G43)</f>
        <v>#VALUE!</v>
      </c>
      <c r="I43" s="239" t="e">
        <f>SUMIFS($E$8:$AB$8,$E$4:$AB$4,$G43)*$B$6</f>
        <v>#VALUE!</v>
      </c>
      <c r="J43" s="87" t="e">
        <f>_xlfn.MAXIFS($E$9:$AB$9,$E$5:$AB$5,$G43)</f>
        <v>#VALUE!</v>
      </c>
      <c r="K43" s="243" t="e">
        <f>SUMIFS($E$8:$AB$8,$E$5:$AB$5,$G43)*$B$6</f>
        <v>#VALUE!</v>
      </c>
      <c r="M43" s="47" t="s">
        <v>0</v>
      </c>
      <c r="N43" s="87" t="e">
        <f>_xlfn.MAXIFS($E$9:$AB$9,$E$2:$AB$2,$M43)</f>
        <v>#VALUE!</v>
      </c>
      <c r="O43" s="239" t="e">
        <f>SUMIFS($E$8:$AB$8,$E$2:$AB$2,$M43)*$B$6</f>
        <v>#VALUE!</v>
      </c>
      <c r="P43" s="87">
        <f>_xlfn.MAXIFS($E$9:$AB$9,$E$3:$AB$3,$M43)</f>
        <v>0</v>
      </c>
      <c r="Q43" s="243" t="e">
        <f>SUMIFS($E$8:$AB$8,$D$3:$AA$3,$M43)*$B$6</f>
        <v>#VALUE!</v>
      </c>
      <c r="AM43" s="4"/>
      <c r="AN43" s="5"/>
      <c r="AO43" s="3"/>
    </row>
    <row r="44" spans="1:41" x14ac:dyDescent="0.25">
      <c r="A44" s="47" t="s">
        <v>1</v>
      </c>
      <c r="B44" s="87" t="e">
        <f>_xlfn.MAXIFS($E$9:$AB$9,$E$6:$AB$6,$A44)</f>
        <v>#VALUE!</v>
      </c>
      <c r="C44" s="239" t="e">
        <f>SUMIFS($E$8:$AB$8,$E$6:$AB$6,$A44)*$B$6</f>
        <v>#VALUE!</v>
      </c>
      <c r="D44" s="87" t="e">
        <f>_xlfn.MAXIFS($E$9:$AB$9,$E$6:$AB$6,$A44)</f>
        <v>#VALUE!</v>
      </c>
      <c r="E44" s="243" t="e">
        <f>SUMIFS($E$8:$AB$8,$E$6:$AB$6,$A44)*$B$6</f>
        <v>#VALUE!</v>
      </c>
      <c r="G44" s="47" t="s">
        <v>51</v>
      </c>
      <c r="H44" s="87" t="e">
        <f>_xlfn.MAXIFS($E$9:$AB$9,$E$4:$AB$4,$G44)</f>
        <v>#VALUE!</v>
      </c>
      <c r="I44" s="239" t="e">
        <f>SUMIFS($E$8:$AB$8,$E$4:$AB$4,$G44)*$B$6</f>
        <v>#VALUE!</v>
      </c>
      <c r="J44" s="87">
        <f>_xlfn.MAXIFS($E$9:$AB$9,$E$5:$AB$5,$G44)</f>
        <v>0</v>
      </c>
      <c r="K44" s="243" t="e">
        <f>SUMIFS($E$8:$AB$8,$E$5:$AB$5,$G44)*$B$6</f>
        <v>#VALUE!</v>
      </c>
      <c r="M44" s="47" t="s">
        <v>51</v>
      </c>
      <c r="N44" s="87" t="e">
        <f>_xlfn.MAXIFS($E$9:$AB$9,$E$2:$AB$2,$M44)</f>
        <v>#VALUE!</v>
      </c>
      <c r="O44" s="239" t="e">
        <f>SUMIFS($E$8:$AB$8,$E$2:$AB$2,$M44)*$B$6</f>
        <v>#VALUE!</v>
      </c>
      <c r="P44" s="87" t="e">
        <f>_xlfn.MAXIFS($E$9:$AB$9,$E$3:$AB$3,$M44)</f>
        <v>#VALUE!</v>
      </c>
      <c r="Q44" s="243" t="e">
        <f>SUMIFS($E$8:$AB$8,$D$3:$AA$3,$M44)*$B$6</f>
        <v>#VALUE!</v>
      </c>
      <c r="AM44" s="4"/>
      <c r="AN44" s="5"/>
      <c r="AO44" s="3"/>
    </row>
    <row r="45" spans="1:41" x14ac:dyDescent="0.25">
      <c r="A45" s="49" t="s">
        <v>27</v>
      </c>
      <c r="B45" s="87" t="e">
        <f>_xlfn.MAXIFS($E$9:$AB$9,$E$6:$AB$6,$A45)</f>
        <v>#VALUE!</v>
      </c>
      <c r="C45" s="239" t="e">
        <f>SUMIFS($E$8:$AB$8,$E$6:$AB$6,$A45)*$B$6</f>
        <v>#VALUE!</v>
      </c>
      <c r="D45" s="87" t="e">
        <f>_xlfn.MAXIFS($E$9:$AB$9,$E$6:$AB$6,$A45)</f>
        <v>#VALUE!</v>
      </c>
      <c r="E45" s="243" t="e">
        <f>SUMIFS($E$8:$AB$8,$E$6:$AB$6,$A45)*$B$6</f>
        <v>#VALUE!</v>
      </c>
      <c r="G45" s="49" t="s">
        <v>1</v>
      </c>
      <c r="H45" s="87" t="e">
        <f>_xlfn.MAXIFS($E$9:$AB$9,$E$4:$AB$4,$G45)</f>
        <v>#VALUE!</v>
      </c>
      <c r="I45" s="239" t="e">
        <f>SUMIFS($E$8:$AB$8,$E$4:$AB$4,$G45)*$B$6</f>
        <v>#VALUE!</v>
      </c>
      <c r="J45" s="87" t="e">
        <f>_xlfn.MAXIFS($E$9:$AB$9,$E$5:$AB$5,$G45)</f>
        <v>#VALUE!</v>
      </c>
      <c r="K45" s="243" t="e">
        <f>SUMIFS($E$8:$AB$8,$E$5:$AB$5,$G45)*$B$6</f>
        <v>#VALUE!</v>
      </c>
      <c r="M45" s="49" t="s">
        <v>1</v>
      </c>
      <c r="N45" s="87" t="e">
        <f>_xlfn.MAXIFS($E$9:$AB$9,$E$2:$AB$2,$M45)</f>
        <v>#VALUE!</v>
      </c>
      <c r="O45" s="239" t="e">
        <f>SUMIFS($E$8:$AB$8,$E$2:$AB$2,$M45)*$B$6</f>
        <v>#VALUE!</v>
      </c>
      <c r="P45" s="87" t="e">
        <f>_xlfn.MAXIFS($E$9:$AB$9,$E$3:$AB$3,$M45)</f>
        <v>#VALUE!</v>
      </c>
      <c r="Q45" s="243" t="e">
        <f>SUMIFS($E$8:$AB$8,$D$3:$AA$3,$M45)*$B$6</f>
        <v>#VALUE!</v>
      </c>
      <c r="AM45" s="4"/>
      <c r="AN45" s="5"/>
      <c r="AO45" s="3"/>
    </row>
    <row r="46" spans="1:41" x14ac:dyDescent="0.25">
      <c r="A46" s="43"/>
      <c r="B46" s="34"/>
      <c r="C46" s="34"/>
      <c r="D46" s="240"/>
      <c r="E46" s="241"/>
      <c r="G46" s="43"/>
      <c r="H46" s="34"/>
      <c r="I46" s="34"/>
      <c r="J46" s="242"/>
      <c r="K46" s="241"/>
      <c r="M46" s="43"/>
      <c r="N46" s="34"/>
      <c r="O46" s="34"/>
      <c r="P46" s="242"/>
      <c r="Q46" s="241"/>
      <c r="AM46" s="4"/>
      <c r="AN46" s="5"/>
      <c r="AO46" s="3"/>
    </row>
    <row r="47" spans="1:41" x14ac:dyDescent="0.25">
      <c r="A47" s="44" t="s">
        <v>17</v>
      </c>
      <c r="B47" s="328" t="s">
        <v>8</v>
      </c>
      <c r="C47" s="329"/>
      <c r="D47" s="328" t="s">
        <v>9</v>
      </c>
      <c r="E47" s="330"/>
      <c r="G47" s="44" t="s">
        <v>17</v>
      </c>
      <c r="H47" s="328" t="s">
        <v>8</v>
      </c>
      <c r="I47" s="329"/>
      <c r="J47" s="328" t="s">
        <v>9</v>
      </c>
      <c r="K47" s="330"/>
      <c r="M47" s="44" t="s">
        <v>17</v>
      </c>
      <c r="N47" s="328" t="s">
        <v>8</v>
      </c>
      <c r="O47" s="329"/>
      <c r="P47" s="328" t="s">
        <v>9</v>
      </c>
      <c r="Q47" s="330"/>
      <c r="AM47" s="4"/>
      <c r="AN47" s="5"/>
      <c r="AO47" s="3"/>
    </row>
    <row r="48" spans="1:41" x14ac:dyDescent="0.25">
      <c r="A48" s="45" t="s">
        <v>18</v>
      </c>
      <c r="B48" s="30" t="s">
        <v>43</v>
      </c>
      <c r="C48" s="31" t="s">
        <v>57</v>
      </c>
      <c r="D48" s="30" t="str">
        <f>+B48</f>
        <v>Subscription</v>
      </c>
      <c r="E48" s="46" t="str">
        <f>+C48</f>
        <v>Energy Fees</v>
      </c>
      <c r="F48" s="17"/>
      <c r="G48" s="45" t="s">
        <v>18</v>
      </c>
      <c r="H48" s="30" t="s">
        <v>19</v>
      </c>
      <c r="I48" s="31" t="s">
        <v>57</v>
      </c>
      <c r="J48" s="30" t="str">
        <f>+H48</f>
        <v>Demand Fees</v>
      </c>
      <c r="K48" s="46" t="str">
        <f>+I48</f>
        <v>Energy Fees</v>
      </c>
      <c r="M48" s="45" t="s">
        <v>18</v>
      </c>
      <c r="N48" s="30" t="s">
        <v>19</v>
      </c>
      <c r="O48" s="31" t="s">
        <v>57</v>
      </c>
      <c r="P48" s="30" t="str">
        <f>+N48</f>
        <v>Demand Fees</v>
      </c>
      <c r="Q48" s="46" t="str">
        <f>+O48</f>
        <v>Energy Fees</v>
      </c>
      <c r="AM48" s="4"/>
      <c r="AN48" s="5"/>
      <c r="AO48" s="3"/>
    </row>
    <row r="49" spans="1:41" x14ac:dyDescent="0.25">
      <c r="A49" s="50" t="s">
        <v>43</v>
      </c>
      <c r="B49" s="89" t="e">
        <f>ROUNDUP($B$42/IF($B$27="EV-Small",10,50),0)*B37</f>
        <v>#VALUE!</v>
      </c>
      <c r="C49" s="90"/>
      <c r="D49" s="89" t="e">
        <f>ROUNDUP($D$42/IF($B$27="EV-Small",10,50),0)*D37</f>
        <v>#VALUE!</v>
      </c>
      <c r="E49" s="66"/>
      <c r="F49" s="17"/>
      <c r="G49" s="50" t="s">
        <v>20</v>
      </c>
      <c r="H49" s="89" t="e">
        <f>H39</f>
        <v>#VALUE!</v>
      </c>
      <c r="I49" s="90"/>
      <c r="J49" s="89" t="e">
        <f>J39</f>
        <v>#VALUE!</v>
      </c>
      <c r="K49" s="66"/>
      <c r="M49" s="50" t="s">
        <v>20</v>
      </c>
      <c r="N49" s="89" t="e">
        <f>N39</f>
        <v>#VALUE!</v>
      </c>
      <c r="O49" s="90"/>
      <c r="P49" s="89" t="e">
        <f>P39</f>
        <v>#VALUE!</v>
      </c>
      <c r="Q49" s="66"/>
      <c r="AM49" s="4"/>
      <c r="AN49" s="5"/>
      <c r="AO49" s="3"/>
    </row>
    <row r="50" spans="1:41" x14ac:dyDescent="0.25">
      <c r="A50" s="47" t="s">
        <v>0</v>
      </c>
      <c r="B50" s="89" t="e">
        <f t="shared" ref="B50:E52" si="0">+B43*B34</f>
        <v>#VALUE!</v>
      </c>
      <c r="C50" s="90" t="e">
        <f t="shared" si="0"/>
        <v>#VALUE!</v>
      </c>
      <c r="D50" s="89" t="e">
        <f t="shared" si="0"/>
        <v>#VALUE!</v>
      </c>
      <c r="E50" s="66" t="e">
        <f t="shared" si="0"/>
        <v>#VALUE!</v>
      </c>
      <c r="F50" s="17"/>
      <c r="G50" s="47" t="s">
        <v>13</v>
      </c>
      <c r="H50" s="89" t="e">
        <f>+H42*H34</f>
        <v>#VALUE!</v>
      </c>
      <c r="I50" s="90"/>
      <c r="J50" s="89" t="e">
        <f>+J42*J34</f>
        <v>#VALUE!</v>
      </c>
      <c r="K50" s="66"/>
      <c r="M50" s="47" t="s">
        <v>13</v>
      </c>
      <c r="N50" s="89" t="e">
        <f>+N42*N34</f>
        <v>#VALUE!</v>
      </c>
      <c r="O50" s="90"/>
      <c r="P50" s="89" t="e">
        <f>+P42*P34</f>
        <v>#VALUE!</v>
      </c>
      <c r="Q50" s="66"/>
      <c r="AM50" s="4"/>
      <c r="AN50" s="5"/>
      <c r="AO50" s="3"/>
    </row>
    <row r="51" spans="1:41" x14ac:dyDescent="0.25">
      <c r="A51" s="47" t="s">
        <v>1</v>
      </c>
      <c r="B51" s="89" t="e">
        <f t="shared" si="0"/>
        <v>#VALUE!</v>
      </c>
      <c r="C51" s="90" t="e">
        <f t="shared" si="0"/>
        <v>#VALUE!</v>
      </c>
      <c r="D51" s="89" t="e">
        <f t="shared" si="0"/>
        <v>#VALUE!</v>
      </c>
      <c r="E51" s="66" t="e">
        <f t="shared" si="0"/>
        <v>#VALUE!</v>
      </c>
      <c r="F51" s="17"/>
      <c r="G51" s="47" t="s">
        <v>0</v>
      </c>
      <c r="H51" s="89" t="e">
        <f>+H43*H35</f>
        <v>#VALUE!</v>
      </c>
      <c r="I51" s="90" t="e">
        <f>+I43*I35</f>
        <v>#VALUE!</v>
      </c>
      <c r="J51" s="89" t="e">
        <f>+J43*J35</f>
        <v>#VALUE!</v>
      </c>
      <c r="K51" s="66" t="e">
        <f>+K43*K35</f>
        <v>#VALUE!</v>
      </c>
      <c r="M51" s="47" t="s">
        <v>0</v>
      </c>
      <c r="N51" s="89" t="e">
        <f>+N43*N35</f>
        <v>#VALUE!</v>
      </c>
      <c r="O51" s="90" t="e">
        <f>+O43*O35</f>
        <v>#VALUE!</v>
      </c>
      <c r="P51" s="89" t="e">
        <f>+P43*P35</f>
        <v>#VALUE!</v>
      </c>
      <c r="Q51" s="66" t="e">
        <f>+Q43*Q35</f>
        <v>#VALUE!</v>
      </c>
      <c r="AM51" s="4"/>
      <c r="AN51" s="5"/>
      <c r="AO51" s="3"/>
    </row>
    <row r="52" spans="1:41" x14ac:dyDescent="0.25">
      <c r="A52" s="47" t="s">
        <v>27</v>
      </c>
      <c r="B52" s="89" t="e">
        <f t="shared" si="0"/>
        <v>#VALUE!</v>
      </c>
      <c r="C52" s="90" t="e">
        <f t="shared" si="0"/>
        <v>#VALUE!</v>
      </c>
      <c r="D52" s="89" t="e">
        <f t="shared" si="0"/>
        <v>#VALUE!</v>
      </c>
      <c r="E52" s="66" t="e">
        <f t="shared" si="0"/>
        <v>#VALUE!</v>
      </c>
      <c r="F52" s="29"/>
      <c r="G52" s="47" t="s">
        <v>2</v>
      </c>
      <c r="H52" s="89" t="e">
        <f>+H44*H36</f>
        <v>#VALUE!</v>
      </c>
      <c r="I52" s="90" t="e">
        <f>+I44*I36</f>
        <v>#VALUE!</v>
      </c>
      <c r="J52" s="89" t="e">
        <f>+J44*J36</f>
        <v>#VALUE!</v>
      </c>
      <c r="K52" s="66" t="e">
        <f>+K44*K36</f>
        <v>#VALUE!</v>
      </c>
      <c r="L52" s="16"/>
      <c r="M52" s="47" t="s">
        <v>2</v>
      </c>
      <c r="N52" s="89" t="e">
        <f>+N44*N36</f>
        <v>#VALUE!</v>
      </c>
      <c r="O52" s="90" t="e">
        <f>+O44*O36</f>
        <v>#VALUE!</v>
      </c>
      <c r="P52" s="89" t="e">
        <f>+P44*P36</f>
        <v>#VALUE!</v>
      </c>
      <c r="Q52" s="66" t="e">
        <f>+Q44*Q36</f>
        <v>#VALUE!</v>
      </c>
      <c r="AM52" s="4"/>
      <c r="AN52" s="5"/>
      <c r="AO52" s="3"/>
    </row>
    <row r="53" spans="1:41" x14ac:dyDescent="0.25">
      <c r="A53" s="51" t="s">
        <v>21</v>
      </c>
      <c r="B53" s="91" t="e">
        <f>SUM(B49:B52)</f>
        <v>#VALUE!</v>
      </c>
      <c r="C53" s="92" t="e">
        <f>SUM(C49:C52)</f>
        <v>#VALUE!</v>
      </c>
      <c r="D53" s="91" t="e">
        <f>SUM(D49:D52)</f>
        <v>#VALUE!</v>
      </c>
      <c r="E53" s="93" t="e">
        <f>SUM(E49:E52)</f>
        <v>#VALUE!</v>
      </c>
      <c r="F53" s="17"/>
      <c r="G53" s="47" t="s">
        <v>1</v>
      </c>
      <c r="H53" s="89" t="e">
        <f>+H45*H37</f>
        <v>#VALUE!</v>
      </c>
      <c r="I53" s="90" t="e">
        <f>+I45*I37</f>
        <v>#VALUE!</v>
      </c>
      <c r="J53" s="89" t="e">
        <f>+J45*J37</f>
        <v>#VALUE!</v>
      </c>
      <c r="K53" s="66" t="e">
        <f>+K45*K37</f>
        <v>#VALUE!</v>
      </c>
      <c r="M53" s="47" t="s">
        <v>1</v>
      </c>
      <c r="N53" s="89" t="e">
        <f>+N45*N37</f>
        <v>#VALUE!</v>
      </c>
      <c r="O53" s="90" t="e">
        <f>+O45*O37</f>
        <v>#VALUE!</v>
      </c>
      <c r="P53" s="89" t="e">
        <f>+P45*P37</f>
        <v>#VALUE!</v>
      </c>
      <c r="Q53" s="66" t="e">
        <f>+Q45*Q37</f>
        <v>#VALUE!</v>
      </c>
      <c r="AM53" s="4"/>
      <c r="AN53" s="5"/>
      <c r="AO53" s="3"/>
    </row>
    <row r="54" spans="1:41" x14ac:dyDescent="0.25">
      <c r="A54" s="60"/>
      <c r="B54" s="61"/>
      <c r="C54" s="61"/>
      <c r="D54" s="61"/>
      <c r="E54" s="62"/>
      <c r="G54" s="51" t="s">
        <v>21</v>
      </c>
      <c r="H54" s="91" t="e">
        <f>+SUM(H49:H53)</f>
        <v>#VALUE!</v>
      </c>
      <c r="I54" s="92" t="e">
        <f>+SUM(I51:I53)</f>
        <v>#VALUE!</v>
      </c>
      <c r="J54" s="91" t="e">
        <f>+SUM(J49:J53)</f>
        <v>#VALUE!</v>
      </c>
      <c r="K54" s="93" t="e">
        <f>+SUM(K51:K53)</f>
        <v>#VALUE!</v>
      </c>
      <c r="M54" s="51" t="s">
        <v>21</v>
      </c>
      <c r="N54" s="91" t="e">
        <f>+SUM(N49:N53)</f>
        <v>#VALUE!</v>
      </c>
      <c r="O54" s="92" t="e">
        <f>+SUM(O51:O53)</f>
        <v>#VALUE!</v>
      </c>
      <c r="P54" s="91" t="e">
        <f>+SUM(P49:P53)</f>
        <v>#VALUE!</v>
      </c>
      <c r="Q54" s="93" t="e">
        <f>+SUM(Q51:Q53)</f>
        <v>#VALUE!</v>
      </c>
      <c r="AM54" s="4"/>
      <c r="AN54" s="5"/>
      <c r="AO54" s="3"/>
    </row>
    <row r="55" spans="1:41" x14ac:dyDescent="0.25">
      <c r="A55" s="43"/>
      <c r="B55" s="34"/>
      <c r="C55" s="34"/>
      <c r="D55" s="34"/>
      <c r="E55" s="42"/>
      <c r="G55" s="68" t="s">
        <v>56</v>
      </c>
      <c r="H55" s="34"/>
      <c r="I55" s="34"/>
      <c r="J55" s="34"/>
      <c r="K55" s="42"/>
      <c r="M55" s="68" t="s">
        <v>56</v>
      </c>
      <c r="N55" s="34"/>
      <c r="O55" s="34"/>
      <c r="P55" s="34"/>
      <c r="Q55" s="42"/>
      <c r="AM55" s="4"/>
      <c r="AN55" s="5"/>
      <c r="AO55" s="3"/>
    </row>
    <row r="56" spans="1:41" x14ac:dyDescent="0.25">
      <c r="A56" s="52" t="s">
        <v>22</v>
      </c>
      <c r="B56" s="36" t="s">
        <v>8</v>
      </c>
      <c r="C56" s="36" t="s">
        <v>9</v>
      </c>
      <c r="D56" s="36" t="s">
        <v>54</v>
      </c>
      <c r="E56" s="69"/>
      <c r="G56" s="52" t="s">
        <v>22</v>
      </c>
      <c r="H56" s="35" t="s">
        <v>8</v>
      </c>
      <c r="I56" s="35" t="s">
        <v>9</v>
      </c>
      <c r="J56" s="36" t="s">
        <v>54</v>
      </c>
      <c r="K56" s="236"/>
      <c r="M56" s="52" t="s">
        <v>22</v>
      </c>
      <c r="N56" s="35" t="s">
        <v>8</v>
      </c>
      <c r="O56" s="35" t="s">
        <v>9</v>
      </c>
      <c r="P56" s="36" t="s">
        <v>54</v>
      </c>
      <c r="Q56" s="42"/>
      <c r="AM56" s="4"/>
      <c r="AN56" s="5"/>
      <c r="AO56" s="3"/>
    </row>
    <row r="57" spans="1:41" x14ac:dyDescent="0.25">
      <c r="A57" s="52" t="s">
        <v>23</v>
      </c>
      <c r="B57" s="38" t="e">
        <f>SUM(B53:C53)</f>
        <v>#VALUE!</v>
      </c>
      <c r="C57" s="38" t="e">
        <f>SUM(D53:E53)</f>
        <v>#VALUE!</v>
      </c>
      <c r="D57" s="38" t="e">
        <f>E61/12</f>
        <v>#VALUE!</v>
      </c>
      <c r="E57" s="69"/>
      <c r="G57" s="52" t="s">
        <v>23</v>
      </c>
      <c r="H57" s="41" t="e">
        <f>SUM(H54:I54)</f>
        <v>#VALUE!</v>
      </c>
      <c r="I57" s="37" t="e">
        <f>SUM(J54:K54)</f>
        <v>#VALUE!</v>
      </c>
      <c r="J57" s="38" t="e">
        <f>K61/12</f>
        <v>#VALUE!</v>
      </c>
      <c r="K57" s="53"/>
      <c r="M57" s="52" t="s">
        <v>23</v>
      </c>
      <c r="N57" s="41" t="e">
        <f>SUM(N54:O54)</f>
        <v>#VALUE!</v>
      </c>
      <c r="O57" s="37" t="e">
        <f>SUM(P54:Q54)</f>
        <v>#VALUE!</v>
      </c>
      <c r="P57" s="38" t="e">
        <f>Q61/12</f>
        <v>#VALUE!</v>
      </c>
      <c r="Q57" s="53"/>
      <c r="AM57" s="4"/>
      <c r="AN57" s="5"/>
      <c r="AO57" s="3"/>
    </row>
    <row r="58" spans="1:41" x14ac:dyDescent="0.25">
      <c r="A58" s="52" t="s">
        <v>24</v>
      </c>
      <c r="B58" s="39" t="e">
        <f>+(B53+C53)/$B$20</f>
        <v>#VALUE!</v>
      </c>
      <c r="C58" s="39" t="e">
        <f>+(C53+D53)/$B$20</f>
        <v>#VALUE!</v>
      </c>
      <c r="D58" s="40" t="e">
        <f>((B58*B12)+(C58*(12-B12)))/12</f>
        <v>#VALUE!</v>
      </c>
      <c r="E58" s="42"/>
      <c r="G58" s="52" t="s">
        <v>24</v>
      </c>
      <c r="H58" s="39" t="e">
        <f>+(H54+I54)/$B$20</f>
        <v>#VALUE!</v>
      </c>
      <c r="I58" s="39" t="e">
        <f>+(J54+K54)/$B$20</f>
        <v>#VALUE!</v>
      </c>
      <c r="J58" s="40" t="e">
        <f>((H58*'Rate Values (S)'!$N$14)+(I58*(12-'Rate Values (S)'!$N$14)))/12</f>
        <v>#VALUE!</v>
      </c>
      <c r="K58" s="42"/>
      <c r="M58" s="52" t="s">
        <v>24</v>
      </c>
      <c r="N58" s="39" t="e">
        <f>+(N54+O54)/$B$20</f>
        <v>#VALUE!</v>
      </c>
      <c r="O58" s="39" t="e">
        <f>+(P54+Q54)/$B$20</f>
        <v>#VALUE!</v>
      </c>
      <c r="P58" s="40" t="e">
        <f>((N58*'Rate Values (S)'!$B$22)+(O58*(12-'Rate Values (S)'!$B$22)))/12</f>
        <v>#VALUE!</v>
      </c>
      <c r="Q58" s="42"/>
      <c r="AM58" s="4"/>
      <c r="AN58" s="5"/>
      <c r="AO58" s="3"/>
    </row>
    <row r="59" spans="1:41" x14ac:dyDescent="0.25">
      <c r="A59" s="43" t="s">
        <v>100</v>
      </c>
      <c r="B59" s="82" t="e">
        <f>B57/($B$4*$B$3*$B$6)</f>
        <v>#VALUE!</v>
      </c>
      <c r="C59" s="82" t="e">
        <f>C57/($B$4*$B$3*$B$6)</f>
        <v>#VALUE!</v>
      </c>
      <c r="D59" s="82" t="e">
        <f>D57/($B$4*$B$3*$B$6)</f>
        <v>#VALUE!</v>
      </c>
      <c r="E59" s="42"/>
      <c r="G59" s="43" t="s">
        <v>100</v>
      </c>
      <c r="H59" s="82" t="e">
        <f>H57/($B$4*$B$3*$B$6)</f>
        <v>#VALUE!</v>
      </c>
      <c r="I59" s="82" t="e">
        <f>I57/($B$4*$B$3*$B$6)</f>
        <v>#VALUE!</v>
      </c>
      <c r="J59" s="82" t="e">
        <f>J57/($B$4*$B$3*$B$6)</f>
        <v>#VALUE!</v>
      </c>
      <c r="K59" s="42"/>
      <c r="M59" s="43" t="s">
        <v>100</v>
      </c>
      <c r="N59" s="82" t="e">
        <f>N57/($B$4*$B$3*$B$6)</f>
        <v>#VALUE!</v>
      </c>
      <c r="O59" s="82" t="e">
        <f>O57/($B$4*$B$3*$B$6)</f>
        <v>#VALUE!</v>
      </c>
      <c r="P59" s="82" t="e">
        <f>P57/($B$4*$B$3*$B$6)</f>
        <v>#VALUE!</v>
      </c>
      <c r="Q59" s="42"/>
      <c r="AM59" s="4"/>
      <c r="AN59" s="5"/>
      <c r="AO59" s="3"/>
    </row>
    <row r="60" spans="1:41" x14ac:dyDescent="0.25">
      <c r="A60" s="43"/>
      <c r="B60" s="34"/>
      <c r="C60" s="34"/>
      <c r="D60" s="34"/>
      <c r="E60" s="42"/>
      <c r="G60" s="43"/>
      <c r="H60" s="34"/>
      <c r="I60" s="34"/>
      <c r="J60" s="34"/>
      <c r="K60" s="42"/>
      <c r="M60" s="43"/>
      <c r="N60" s="34"/>
      <c r="O60" s="34"/>
      <c r="P60" s="34"/>
      <c r="Q60" s="42"/>
      <c r="AM60" s="4"/>
      <c r="AN60" s="5"/>
      <c r="AO60" s="3"/>
    </row>
    <row r="61" spans="1:41" ht="15.75" thickBot="1" x14ac:dyDescent="0.3">
      <c r="A61" s="54"/>
      <c r="B61" s="55"/>
      <c r="C61" s="331" t="s">
        <v>52</v>
      </c>
      <c r="D61" s="332"/>
      <c r="E61" s="56" t="e">
        <f>(B53+C53)*'Rate Values (S)'!$N$14+(E53+D53)*(12-'Rate Values (S)'!$N$14)</f>
        <v>#VALUE!</v>
      </c>
      <c r="G61" s="54"/>
      <c r="H61" s="55"/>
      <c r="I61" s="331" t="s">
        <v>53</v>
      </c>
      <c r="J61" s="332"/>
      <c r="K61" s="56" t="e">
        <f>(H54+I54)*'Rate Values (S)'!$H$22+(K54+J54)*(12-'Rate Values (S)'!$H$22)</f>
        <v>#VALUE!</v>
      </c>
      <c r="M61" s="54"/>
      <c r="N61" s="55"/>
      <c r="O61" s="331" t="s">
        <v>53</v>
      </c>
      <c r="P61" s="332"/>
      <c r="Q61" s="56" t="e">
        <f>(N54+O54)*'Rate Values (S)'!$B$22+(Q54+P54)*(12-'Rate Values (S)'!$B$22)</f>
        <v>#VALUE!</v>
      </c>
      <c r="AM61" s="4"/>
      <c r="AN61" s="5"/>
      <c r="AO61" s="3"/>
    </row>
    <row r="62" spans="1:41" ht="15.75" thickBot="1" x14ac:dyDescent="0.3">
      <c r="D62" s="95" t="s">
        <v>70</v>
      </c>
      <c r="E62" s="96" t="e">
        <f>(K61-E61)/K61</f>
        <v>#VALUE!</v>
      </c>
      <c r="AM62" s="4"/>
      <c r="AN62" s="5"/>
      <c r="AO62" s="3"/>
    </row>
    <row r="63" spans="1:41" x14ac:dyDescent="0.25">
      <c r="E63" s="3"/>
      <c r="G63" t="s">
        <v>75</v>
      </c>
      <c r="H63" s="21" t="e">
        <f>(K37-K38)*(SUM(N8:R8)*B6)</f>
        <v>#VALUE!</v>
      </c>
      <c r="AM63" s="4"/>
      <c r="AN63" s="5"/>
      <c r="AO63" s="3"/>
    </row>
    <row r="64" spans="1:41" x14ac:dyDescent="0.25">
      <c r="G64" t="s">
        <v>71</v>
      </c>
      <c r="H64" s="94" t="e">
        <f>H63/I57</f>
        <v>#VALUE!</v>
      </c>
      <c r="AM64" s="4"/>
      <c r="AN64" s="5"/>
      <c r="AO64" s="3"/>
    </row>
    <row r="65" spans="1:41" x14ac:dyDescent="0.25">
      <c r="G65" t="s">
        <v>72</v>
      </c>
      <c r="AM65" s="4"/>
      <c r="AN65" s="5"/>
      <c r="AO65" s="3"/>
    </row>
    <row r="66" spans="1:41" x14ac:dyDescent="0.25">
      <c r="AM66" s="4"/>
      <c r="AN66" s="5"/>
      <c r="AO66" s="3"/>
    </row>
    <row r="69" spans="1:41" x14ac:dyDescent="0.25">
      <c r="D69" s="8"/>
    </row>
    <row r="72" spans="1:41" x14ac:dyDescent="0.25">
      <c r="F72" s="6"/>
    </row>
    <row r="76" spans="1:41" ht="15.75" thickBot="1" x14ac:dyDescent="0.3"/>
    <row r="77" spans="1:41" x14ac:dyDescent="0.25">
      <c r="A77" s="325" t="s">
        <v>97</v>
      </c>
      <c r="B77" s="326"/>
      <c r="C77" s="326"/>
      <c r="D77" s="326"/>
      <c r="E77" s="326"/>
      <c r="F77" s="326"/>
      <c r="G77" s="326"/>
      <c r="H77" s="326"/>
      <c r="I77" s="326"/>
      <c r="J77" s="326"/>
      <c r="K77" s="326"/>
      <c r="L77" s="326"/>
      <c r="M77" s="326"/>
      <c r="N77" s="326"/>
      <c r="O77" s="326"/>
      <c r="P77" s="326"/>
      <c r="Q77" s="326"/>
      <c r="R77" s="326"/>
      <c r="S77" s="326"/>
      <c r="T77" s="326"/>
      <c r="U77" s="326"/>
      <c r="V77" s="326"/>
      <c r="W77" s="326"/>
      <c r="X77" s="326"/>
      <c r="Y77" s="327"/>
    </row>
    <row r="78" spans="1:41" x14ac:dyDescent="0.25">
      <c r="A78" s="126" t="s">
        <v>91</v>
      </c>
      <c r="B78" s="127" t="str">
        <f>'Inputs &amp; Results'!M13</f>
        <v>Enter Value</v>
      </c>
      <c r="C78" s="127">
        <f t="shared" ref="C78:Y78" si="1">IF(B78&lt;22.999,B78+1,0)</f>
        <v>0</v>
      </c>
      <c r="D78" s="127">
        <f t="shared" si="1"/>
        <v>1</v>
      </c>
      <c r="E78" s="127">
        <f t="shared" si="1"/>
        <v>2</v>
      </c>
      <c r="F78" s="127">
        <f t="shared" si="1"/>
        <v>3</v>
      </c>
      <c r="G78" s="127">
        <f t="shared" si="1"/>
        <v>4</v>
      </c>
      <c r="H78" s="127">
        <f t="shared" si="1"/>
        <v>5</v>
      </c>
      <c r="I78" s="127">
        <f t="shared" si="1"/>
        <v>6</v>
      </c>
      <c r="J78" s="127">
        <f t="shared" si="1"/>
        <v>7</v>
      </c>
      <c r="K78" s="127">
        <f t="shared" si="1"/>
        <v>8</v>
      </c>
      <c r="L78" s="127">
        <f t="shared" si="1"/>
        <v>9</v>
      </c>
      <c r="M78" s="127">
        <f t="shared" si="1"/>
        <v>10</v>
      </c>
      <c r="N78" s="127">
        <f t="shared" si="1"/>
        <v>11</v>
      </c>
      <c r="O78" s="127">
        <f t="shared" si="1"/>
        <v>12</v>
      </c>
      <c r="P78" s="127">
        <f t="shared" si="1"/>
        <v>13</v>
      </c>
      <c r="Q78" s="127">
        <f t="shared" si="1"/>
        <v>14</v>
      </c>
      <c r="R78" s="127">
        <f t="shared" si="1"/>
        <v>15</v>
      </c>
      <c r="S78" s="127">
        <f t="shared" si="1"/>
        <v>16</v>
      </c>
      <c r="T78" s="127">
        <f t="shared" si="1"/>
        <v>17</v>
      </c>
      <c r="U78" s="127">
        <f t="shared" si="1"/>
        <v>18</v>
      </c>
      <c r="V78" s="127">
        <f t="shared" si="1"/>
        <v>19</v>
      </c>
      <c r="W78" s="127">
        <f t="shared" si="1"/>
        <v>20</v>
      </c>
      <c r="X78" s="127">
        <f t="shared" si="1"/>
        <v>21</v>
      </c>
      <c r="Y78" s="128">
        <f t="shared" si="1"/>
        <v>22</v>
      </c>
    </row>
    <row r="79" spans="1:41" x14ac:dyDescent="0.25">
      <c r="A79" s="126" t="s">
        <v>3</v>
      </c>
      <c r="B79" s="129" t="e">
        <f>IF('Inputs &amp; Results'!$M$16="Yes",'Inputs &amp; Results'!$C$32/'Inputs &amp; Results'!$M$14,'Inputs &amp; Results'!M12*'Inputs &amp; Results'!M11)</f>
        <v>#VALUE!</v>
      </c>
      <c r="C79" s="129" t="e">
        <f t="shared" ref="C79:Y79" si="2">IF(B79&lt;B80,B79,(B80))</f>
        <v>#VALUE!</v>
      </c>
      <c r="D79" s="129" t="e">
        <f t="shared" si="2"/>
        <v>#VALUE!</v>
      </c>
      <c r="E79" s="129" t="e">
        <f t="shared" si="2"/>
        <v>#VALUE!</v>
      </c>
      <c r="F79" s="129" t="e">
        <f t="shared" si="2"/>
        <v>#VALUE!</v>
      </c>
      <c r="G79" s="129" t="e">
        <f t="shared" si="2"/>
        <v>#VALUE!</v>
      </c>
      <c r="H79" s="129" t="e">
        <f t="shared" si="2"/>
        <v>#VALUE!</v>
      </c>
      <c r="I79" s="129" t="e">
        <f t="shared" si="2"/>
        <v>#VALUE!</v>
      </c>
      <c r="J79" s="129" t="e">
        <f t="shared" si="2"/>
        <v>#VALUE!</v>
      </c>
      <c r="K79" s="129" t="e">
        <f t="shared" si="2"/>
        <v>#VALUE!</v>
      </c>
      <c r="L79" s="129" t="e">
        <f t="shared" si="2"/>
        <v>#VALUE!</v>
      </c>
      <c r="M79" s="129" t="e">
        <f t="shared" si="2"/>
        <v>#VALUE!</v>
      </c>
      <c r="N79" s="129" t="e">
        <f t="shared" si="2"/>
        <v>#VALUE!</v>
      </c>
      <c r="O79" s="129" t="e">
        <f t="shared" si="2"/>
        <v>#VALUE!</v>
      </c>
      <c r="P79" s="129" t="e">
        <f t="shared" si="2"/>
        <v>#VALUE!</v>
      </c>
      <c r="Q79" s="129" t="e">
        <f t="shared" si="2"/>
        <v>#VALUE!</v>
      </c>
      <c r="R79" s="129" t="e">
        <f t="shared" si="2"/>
        <v>#VALUE!</v>
      </c>
      <c r="S79" s="129" t="e">
        <f t="shared" si="2"/>
        <v>#VALUE!</v>
      </c>
      <c r="T79" s="129" t="e">
        <f t="shared" si="2"/>
        <v>#VALUE!</v>
      </c>
      <c r="U79" s="129" t="e">
        <f t="shared" si="2"/>
        <v>#VALUE!</v>
      </c>
      <c r="V79" s="129" t="e">
        <f t="shared" si="2"/>
        <v>#VALUE!</v>
      </c>
      <c r="W79" s="129" t="e">
        <f t="shared" si="2"/>
        <v>#VALUE!</v>
      </c>
      <c r="X79" s="129" t="e">
        <f t="shared" si="2"/>
        <v>#VALUE!</v>
      </c>
      <c r="Y79" s="130" t="e">
        <f t="shared" si="2"/>
        <v>#VALUE!</v>
      </c>
    </row>
    <row r="80" spans="1:41" ht="15.75" thickBot="1" x14ac:dyDescent="0.3">
      <c r="A80" s="131" t="s">
        <v>90</v>
      </c>
      <c r="B80" s="132" t="e">
        <f>IF('Inputs &amp; Results'!$C$32-B79&lt;0,0,'Inputs &amp; Results'!$C$32-B79)</f>
        <v>#VALUE!</v>
      </c>
      <c r="C80" s="132" t="e">
        <f t="shared" ref="C80:Y80" si="3">B80-C79</f>
        <v>#VALUE!</v>
      </c>
      <c r="D80" s="132" t="e">
        <f t="shared" si="3"/>
        <v>#VALUE!</v>
      </c>
      <c r="E80" s="132" t="e">
        <f t="shared" si="3"/>
        <v>#VALUE!</v>
      </c>
      <c r="F80" s="132" t="e">
        <f t="shared" si="3"/>
        <v>#VALUE!</v>
      </c>
      <c r="G80" s="132" t="e">
        <f t="shared" si="3"/>
        <v>#VALUE!</v>
      </c>
      <c r="H80" s="132" t="e">
        <f t="shared" si="3"/>
        <v>#VALUE!</v>
      </c>
      <c r="I80" s="132" t="e">
        <f t="shared" si="3"/>
        <v>#VALUE!</v>
      </c>
      <c r="J80" s="132" t="e">
        <f t="shared" si="3"/>
        <v>#VALUE!</v>
      </c>
      <c r="K80" s="132" t="e">
        <f t="shared" si="3"/>
        <v>#VALUE!</v>
      </c>
      <c r="L80" s="132" t="e">
        <f t="shared" si="3"/>
        <v>#VALUE!</v>
      </c>
      <c r="M80" s="132" t="e">
        <f t="shared" si="3"/>
        <v>#VALUE!</v>
      </c>
      <c r="N80" s="132" t="e">
        <f t="shared" si="3"/>
        <v>#VALUE!</v>
      </c>
      <c r="O80" s="132" t="e">
        <f t="shared" si="3"/>
        <v>#VALUE!</v>
      </c>
      <c r="P80" s="132" t="e">
        <f t="shared" si="3"/>
        <v>#VALUE!</v>
      </c>
      <c r="Q80" s="132" t="e">
        <f t="shared" si="3"/>
        <v>#VALUE!</v>
      </c>
      <c r="R80" s="132" t="e">
        <f t="shared" si="3"/>
        <v>#VALUE!</v>
      </c>
      <c r="S80" s="132" t="e">
        <f t="shared" si="3"/>
        <v>#VALUE!</v>
      </c>
      <c r="T80" s="132" t="e">
        <f t="shared" si="3"/>
        <v>#VALUE!</v>
      </c>
      <c r="U80" s="132" t="e">
        <f t="shared" si="3"/>
        <v>#VALUE!</v>
      </c>
      <c r="V80" s="132" t="e">
        <f t="shared" si="3"/>
        <v>#VALUE!</v>
      </c>
      <c r="W80" s="132" t="e">
        <f t="shared" si="3"/>
        <v>#VALUE!</v>
      </c>
      <c r="X80" s="132" t="e">
        <f t="shared" si="3"/>
        <v>#VALUE!</v>
      </c>
      <c r="Y80" s="133" t="e">
        <f t="shared" si="3"/>
        <v>#VALUE!</v>
      </c>
    </row>
    <row r="82" spans="1:22" x14ac:dyDescent="0.25">
      <c r="A82" s="59"/>
    </row>
    <row r="83" spans="1:22" x14ac:dyDescent="0.25">
      <c r="A83" t="s">
        <v>122</v>
      </c>
    </row>
    <row r="84" spans="1:22" x14ac:dyDescent="0.25">
      <c r="A84" t="s">
        <v>121</v>
      </c>
      <c r="B84">
        <v>2019</v>
      </c>
      <c r="C84">
        <v>2020</v>
      </c>
      <c r="D84">
        <v>2021</v>
      </c>
      <c r="E84">
        <v>2022</v>
      </c>
      <c r="F84">
        <v>2023</v>
      </c>
      <c r="G84">
        <v>2024</v>
      </c>
      <c r="H84">
        <v>2025</v>
      </c>
      <c r="I84">
        <v>2026</v>
      </c>
      <c r="J84">
        <v>2027</v>
      </c>
      <c r="K84">
        <v>2028</v>
      </c>
      <c r="L84">
        <v>2029</v>
      </c>
      <c r="M84">
        <v>2030</v>
      </c>
      <c r="N84">
        <v>2031</v>
      </c>
      <c r="O84">
        <v>2032</v>
      </c>
      <c r="P84">
        <v>2033</v>
      </c>
      <c r="Q84">
        <v>2034</v>
      </c>
      <c r="R84">
        <v>2035</v>
      </c>
      <c r="S84">
        <v>2036</v>
      </c>
      <c r="T84">
        <v>2037</v>
      </c>
      <c r="U84">
        <v>2038</v>
      </c>
    </row>
    <row r="85" spans="1:22" x14ac:dyDescent="0.25">
      <c r="A85" t="s">
        <v>103</v>
      </c>
      <c r="B85" s="9" t="e">
        <f>P58</f>
        <v>#VALUE!</v>
      </c>
      <c r="C85" s="155" t="str">
        <f>'Inputs &amp; Results'!S4</f>
        <v/>
      </c>
      <c r="D85" s="155" t="e">
        <f>C85*(1+'Inputs &amp; Results'!$M$20)</f>
        <v>#VALUE!</v>
      </c>
      <c r="E85" s="155" t="e">
        <f>D85*(1+'Inputs &amp; Results'!$M$20)</f>
        <v>#VALUE!</v>
      </c>
      <c r="F85" s="155" t="e">
        <f>E85*(1+'Inputs &amp; Results'!$M$20)</f>
        <v>#VALUE!</v>
      </c>
      <c r="G85" s="155" t="e">
        <f>F85*(1+'Inputs &amp; Results'!$M$20)</f>
        <v>#VALUE!</v>
      </c>
      <c r="H85" s="155" t="e">
        <f>G85*(1+'Inputs &amp; Results'!$M$20)</f>
        <v>#VALUE!</v>
      </c>
      <c r="I85" s="155" t="e">
        <f>H85*(1+'Inputs &amp; Results'!$M$20)</f>
        <v>#VALUE!</v>
      </c>
      <c r="J85" s="155" t="e">
        <f>I85*(1+'Inputs &amp; Results'!$M$20)</f>
        <v>#VALUE!</v>
      </c>
      <c r="K85" s="155" t="e">
        <f>J85*(1+'Inputs &amp; Results'!$M$20)</f>
        <v>#VALUE!</v>
      </c>
      <c r="L85" s="155" t="e">
        <f>K85*(1+'Inputs &amp; Results'!$M$20)</f>
        <v>#VALUE!</v>
      </c>
      <c r="M85" s="155" t="e">
        <f>L85*(1+'Inputs &amp; Results'!$M$20)</f>
        <v>#VALUE!</v>
      </c>
      <c r="N85" s="155" t="e">
        <f>M85*(1+'Inputs &amp; Results'!$M$20)</f>
        <v>#VALUE!</v>
      </c>
      <c r="O85" s="155" t="e">
        <f>N85*(1+'Inputs &amp; Results'!$M$20)</f>
        <v>#VALUE!</v>
      </c>
      <c r="P85" s="155" t="e">
        <f>O85*(1+'Inputs &amp; Results'!$M$20)</f>
        <v>#VALUE!</v>
      </c>
      <c r="Q85" s="155" t="e">
        <f>P85*(1+'Inputs &amp; Results'!$M$20)</f>
        <v>#VALUE!</v>
      </c>
      <c r="R85" s="155" t="e">
        <f>Q85*(1+'Inputs &amp; Results'!$M$20)</f>
        <v>#VALUE!</v>
      </c>
      <c r="S85" s="155" t="e">
        <f>R85*(1+'Inputs &amp; Results'!$M$20)</f>
        <v>#VALUE!</v>
      </c>
      <c r="T85" s="155" t="e">
        <f>S85*(1+'Inputs &amp; Results'!$M$20)</f>
        <v>#VALUE!</v>
      </c>
      <c r="U85" s="155" t="e">
        <f>T85*(1+'Inputs &amp; Results'!$M$20)</f>
        <v>#VALUE!</v>
      </c>
      <c r="V85" s="155"/>
    </row>
    <row r="86" spans="1:22" x14ac:dyDescent="0.25">
      <c r="A86" t="s">
        <v>119</v>
      </c>
      <c r="B86" s="9" t="e">
        <f>B85</f>
        <v>#VALUE!</v>
      </c>
      <c r="C86" s="9" t="str">
        <f>'Inputs &amp; Results'!T4</f>
        <v/>
      </c>
      <c r="D86" s="155" t="e">
        <f>C86*(1+'Inputs &amp; Results'!$M$20)</f>
        <v>#VALUE!</v>
      </c>
      <c r="E86" s="155" t="e">
        <f>D86*(1+'Inputs &amp; Results'!$M$20)</f>
        <v>#VALUE!</v>
      </c>
      <c r="F86" s="155" t="e">
        <f>E86*(1+'Inputs &amp; Results'!$M$20)</f>
        <v>#VALUE!</v>
      </c>
      <c r="G86" s="155" t="e">
        <f>F86*(1+'Inputs &amp; Results'!$M$20)</f>
        <v>#VALUE!</v>
      </c>
      <c r="H86" s="155" t="e">
        <f>G86*(1+'Inputs &amp; Results'!$M$20)</f>
        <v>#VALUE!</v>
      </c>
      <c r="I86" s="155" t="e">
        <f>H86*(1+'Inputs &amp; Results'!$M$20)</f>
        <v>#VALUE!</v>
      </c>
      <c r="J86" s="155" t="e">
        <f>I86*(1+'Inputs &amp; Results'!$M$20)</f>
        <v>#VALUE!</v>
      </c>
      <c r="K86" s="155" t="e">
        <f>J86*(1+'Inputs &amp; Results'!$M$20)</f>
        <v>#VALUE!</v>
      </c>
      <c r="L86" s="155" t="e">
        <f>K86*(1+'Inputs &amp; Results'!$M$20)</f>
        <v>#VALUE!</v>
      </c>
      <c r="M86" s="155" t="e">
        <f>L86*(1+'Inputs &amp; Results'!$M$20)</f>
        <v>#VALUE!</v>
      </c>
      <c r="N86" s="155" t="e">
        <f>M86*(1+'Inputs &amp; Results'!$M$20)</f>
        <v>#VALUE!</v>
      </c>
      <c r="O86" s="155" t="e">
        <f>N86*(1+'Inputs &amp; Results'!$M$20)</f>
        <v>#VALUE!</v>
      </c>
      <c r="P86" s="155" t="e">
        <f>O86*(1+'Inputs &amp; Results'!$M$20)</f>
        <v>#VALUE!</v>
      </c>
      <c r="Q86" s="155" t="e">
        <f>P86*(1+'Inputs &amp; Results'!$M$20)</f>
        <v>#VALUE!</v>
      </c>
      <c r="R86" s="155" t="e">
        <f>Q86*(1+'Inputs &amp; Results'!$M$20)</f>
        <v>#VALUE!</v>
      </c>
      <c r="S86" s="155" t="e">
        <f>R86*(1+'Inputs &amp; Results'!$M$20)</f>
        <v>#VALUE!</v>
      </c>
      <c r="T86" s="155" t="e">
        <f>S86*(1+'Inputs &amp; Results'!$M$20)</f>
        <v>#VALUE!</v>
      </c>
      <c r="U86" s="155" t="e">
        <f>T86*(1+'Inputs &amp; Results'!$M$20)</f>
        <v>#VALUE!</v>
      </c>
      <c r="V86" s="155"/>
    </row>
    <row r="87" spans="1:22" x14ac:dyDescent="0.25">
      <c r="A87" s="17" t="s">
        <v>123</v>
      </c>
    </row>
    <row r="88" spans="1:22" x14ac:dyDescent="0.25">
      <c r="A88" s="17" t="s">
        <v>124</v>
      </c>
      <c r="B88">
        <v>1</v>
      </c>
      <c r="C88">
        <f>B88+1</f>
        <v>2</v>
      </c>
      <c r="D88">
        <f t="shared" ref="D88:U88" si="4">C88+1</f>
        <v>3</v>
      </c>
      <c r="E88">
        <f t="shared" si="4"/>
        <v>4</v>
      </c>
      <c r="F88">
        <f t="shared" si="4"/>
        <v>5</v>
      </c>
      <c r="G88">
        <f t="shared" si="4"/>
        <v>6</v>
      </c>
      <c r="H88">
        <f t="shared" si="4"/>
        <v>7</v>
      </c>
      <c r="I88">
        <f t="shared" si="4"/>
        <v>8</v>
      </c>
      <c r="J88">
        <f t="shared" si="4"/>
        <v>9</v>
      </c>
      <c r="K88">
        <f t="shared" si="4"/>
        <v>10</v>
      </c>
      <c r="L88">
        <f t="shared" si="4"/>
        <v>11</v>
      </c>
      <c r="M88">
        <f t="shared" si="4"/>
        <v>12</v>
      </c>
      <c r="N88">
        <f t="shared" si="4"/>
        <v>13</v>
      </c>
      <c r="O88">
        <f t="shared" si="4"/>
        <v>14</v>
      </c>
      <c r="P88">
        <f t="shared" si="4"/>
        <v>15</v>
      </c>
      <c r="Q88">
        <f t="shared" si="4"/>
        <v>16</v>
      </c>
      <c r="R88">
        <f t="shared" si="4"/>
        <v>17</v>
      </c>
      <c r="S88">
        <f t="shared" si="4"/>
        <v>18</v>
      </c>
      <c r="T88">
        <f t="shared" si="4"/>
        <v>19</v>
      </c>
      <c r="U88">
        <f t="shared" si="4"/>
        <v>20</v>
      </c>
    </row>
    <row r="89" spans="1:22" x14ac:dyDescent="0.25">
      <c r="A89" t="s">
        <v>103</v>
      </c>
      <c r="B89" s="9" t="e">
        <f>AVERAGE($B$85:B85)</f>
        <v>#VALUE!</v>
      </c>
      <c r="C89" s="9" t="e">
        <f>AVERAGE($B$85:C85)</f>
        <v>#VALUE!</v>
      </c>
      <c r="D89" s="9" t="e">
        <f>AVERAGE($B$85:D85)</f>
        <v>#VALUE!</v>
      </c>
      <c r="E89" s="9" t="e">
        <f>AVERAGE($B$85:E85)</f>
        <v>#VALUE!</v>
      </c>
      <c r="F89" s="9" t="e">
        <f>AVERAGE($B$85:F85)</f>
        <v>#VALUE!</v>
      </c>
      <c r="G89" s="9" t="e">
        <f>AVERAGE($B$85:G85)</f>
        <v>#VALUE!</v>
      </c>
      <c r="H89" s="9" t="e">
        <f>AVERAGE($B$85:H85)</f>
        <v>#VALUE!</v>
      </c>
      <c r="I89" s="9" t="e">
        <f>AVERAGE($B$85:I85)</f>
        <v>#VALUE!</v>
      </c>
      <c r="J89" s="9" t="e">
        <f>AVERAGE($B$85:J85)</f>
        <v>#VALUE!</v>
      </c>
      <c r="K89" s="9" t="e">
        <f>AVERAGE($B$85:K85)</f>
        <v>#VALUE!</v>
      </c>
      <c r="L89" s="9" t="e">
        <f>AVERAGE($B$85:L85)</f>
        <v>#VALUE!</v>
      </c>
      <c r="M89" s="9" t="e">
        <f>AVERAGE($B$85:M85)</f>
        <v>#VALUE!</v>
      </c>
      <c r="N89" s="9" t="e">
        <f>AVERAGE($B$85:N85)</f>
        <v>#VALUE!</v>
      </c>
      <c r="O89" s="9" t="e">
        <f>AVERAGE($B$85:O85)</f>
        <v>#VALUE!</v>
      </c>
      <c r="P89" s="9" t="e">
        <f>AVERAGE($B$85:P85)</f>
        <v>#VALUE!</v>
      </c>
      <c r="Q89" s="9" t="e">
        <f>AVERAGE($B$85:Q85)</f>
        <v>#VALUE!</v>
      </c>
      <c r="R89" s="9" t="e">
        <f>AVERAGE($B$85:R85)</f>
        <v>#VALUE!</v>
      </c>
      <c r="S89" s="9" t="e">
        <f>AVERAGE($B$85:S85)</f>
        <v>#VALUE!</v>
      </c>
      <c r="T89" s="9" t="e">
        <f>AVERAGE($B$85:T85)</f>
        <v>#VALUE!</v>
      </c>
      <c r="U89" s="9" t="e">
        <f>AVERAGE($B$85:U85)</f>
        <v>#VALUE!</v>
      </c>
    </row>
    <row r="90" spans="1:22" x14ac:dyDescent="0.25">
      <c r="A90" t="s">
        <v>119</v>
      </c>
      <c r="B90" s="9" t="e">
        <f>AVERAGE($B$86:B86)</f>
        <v>#VALUE!</v>
      </c>
      <c r="C90" s="9" t="e">
        <f>AVERAGE($B$86:C86)</f>
        <v>#VALUE!</v>
      </c>
      <c r="D90" s="9" t="e">
        <f>AVERAGE($B$86:D86)</f>
        <v>#VALUE!</v>
      </c>
      <c r="E90" s="9" t="e">
        <f>AVERAGE($B$86:E86)</f>
        <v>#VALUE!</v>
      </c>
      <c r="F90" s="9" t="e">
        <f>AVERAGE($B$86:F86)</f>
        <v>#VALUE!</v>
      </c>
      <c r="G90" s="9" t="e">
        <f>AVERAGE($B$86:G86)</f>
        <v>#VALUE!</v>
      </c>
      <c r="H90" s="9" t="e">
        <f>AVERAGE($B$86:H86)</f>
        <v>#VALUE!</v>
      </c>
      <c r="I90" s="9" t="e">
        <f>AVERAGE($B$86:I86)</f>
        <v>#VALUE!</v>
      </c>
      <c r="J90" s="9" t="e">
        <f>AVERAGE($B$86:J86)</f>
        <v>#VALUE!</v>
      </c>
      <c r="K90" s="9" t="e">
        <f>AVERAGE($B$86:K86)</f>
        <v>#VALUE!</v>
      </c>
      <c r="L90" s="9" t="e">
        <f>AVERAGE($B$86:L86)</f>
        <v>#VALUE!</v>
      </c>
      <c r="M90" s="9" t="e">
        <f>AVERAGE($B$86:M86)</f>
        <v>#VALUE!</v>
      </c>
      <c r="N90" s="9" t="e">
        <f>AVERAGE($B$86:N86)</f>
        <v>#VALUE!</v>
      </c>
      <c r="O90" s="9" t="e">
        <f>AVERAGE($B$86:O86)</f>
        <v>#VALUE!</v>
      </c>
      <c r="P90" s="9" t="e">
        <f>AVERAGE($B$86:P86)</f>
        <v>#VALUE!</v>
      </c>
      <c r="Q90" s="9" t="e">
        <f>AVERAGE($B$86:Q86)</f>
        <v>#VALUE!</v>
      </c>
      <c r="R90" s="9" t="e">
        <f>AVERAGE($B$86:R86)</f>
        <v>#VALUE!</v>
      </c>
      <c r="S90" s="9" t="e">
        <f>AVERAGE($B$86:S86)</f>
        <v>#VALUE!</v>
      </c>
      <c r="T90" s="9" t="e">
        <f>AVERAGE($B$86:T86)</f>
        <v>#VALUE!</v>
      </c>
      <c r="U90" s="9" t="e">
        <f>AVERAGE($B$86:U86)</f>
        <v>#VALUE!</v>
      </c>
    </row>
  </sheetData>
  <sheetProtection algorithmName="SHA-512" hashValue="Fx+qXrPhMiYmc9XACeU91CpDFmBXLOP0i37N3MgYTLxS3A26/kabgrirwYavftXHEfWS8WEg0XcVhOFsNMtDog==" saltValue="QOZsHw39mcmk95/u3I6yAA==" spinCount="100000" sheet="1" objects="1" scenarios="1"/>
  <dataConsolidate/>
  <mergeCells count="29">
    <mergeCell ref="A2:B2"/>
    <mergeCell ref="A9:B9"/>
    <mergeCell ref="A15:B15"/>
    <mergeCell ref="A19:B19"/>
    <mergeCell ref="N40:O40"/>
    <mergeCell ref="B40:C40"/>
    <mergeCell ref="D40:E40"/>
    <mergeCell ref="A31:E31"/>
    <mergeCell ref="G31:K31"/>
    <mergeCell ref="B32:C32"/>
    <mergeCell ref="D32:E32"/>
    <mergeCell ref="H32:I32"/>
    <mergeCell ref="J32:K32"/>
    <mergeCell ref="M31:Q31"/>
    <mergeCell ref="N32:O32"/>
    <mergeCell ref="P32:Q32"/>
    <mergeCell ref="P40:Q40"/>
    <mergeCell ref="N47:O47"/>
    <mergeCell ref="P47:Q47"/>
    <mergeCell ref="O61:P61"/>
    <mergeCell ref="H40:I40"/>
    <mergeCell ref="J40:K40"/>
    <mergeCell ref="I61:J61"/>
    <mergeCell ref="J47:K47"/>
    <mergeCell ref="A77:Y77"/>
    <mergeCell ref="B47:C47"/>
    <mergeCell ref="D47:E47"/>
    <mergeCell ref="C61:D61"/>
    <mergeCell ref="H47:I47"/>
  </mergeCells>
  <conditionalFormatting sqref="E6:AB6">
    <cfRule type="cellIs" dxfId="43" priority="21" operator="equal">
      <formula>"SOP"</formula>
    </cfRule>
    <cfRule type="cellIs" dxfId="42" priority="22" operator="equal">
      <formula>"Peak"</formula>
    </cfRule>
    <cfRule type="cellIs" dxfId="41" priority="23" operator="equal">
      <formula>"Partial"</formula>
    </cfRule>
    <cfRule type="cellIs" dxfId="40" priority="24" operator="equal">
      <formula>"Off"</formula>
    </cfRule>
  </conditionalFormatting>
  <conditionalFormatting sqref="E2:AB2">
    <cfRule type="cellIs" dxfId="39" priority="1" operator="equal">
      <formula>"SOP"</formula>
    </cfRule>
    <cfRule type="cellIs" dxfId="38" priority="2" operator="equal">
      <formula>"Peak"</formula>
    </cfRule>
    <cfRule type="cellIs" dxfId="37" priority="3" operator="equal">
      <formula>"Partial"</formula>
    </cfRule>
    <cfRule type="cellIs" dxfId="36" priority="4" operator="equal">
      <formula>"Off"</formula>
    </cfRule>
  </conditionalFormatting>
  <conditionalFormatting sqref="E5:AB5">
    <cfRule type="cellIs" dxfId="35" priority="13" operator="equal">
      <formula>"SOP"</formula>
    </cfRule>
    <cfRule type="cellIs" dxfId="34" priority="14" operator="equal">
      <formula>"Peak"</formula>
    </cfRule>
    <cfRule type="cellIs" dxfId="33" priority="15" operator="equal">
      <formula>"Partial"</formula>
    </cfRule>
    <cfRule type="cellIs" dxfId="32" priority="16" operator="equal">
      <formula>"Off"</formula>
    </cfRule>
  </conditionalFormatting>
  <conditionalFormatting sqref="E4:AB4">
    <cfRule type="cellIs" dxfId="31" priority="9" operator="equal">
      <formula>"SOP"</formula>
    </cfRule>
    <cfRule type="cellIs" dxfId="30" priority="10" operator="equal">
      <formula>"Peak"</formula>
    </cfRule>
    <cfRule type="cellIs" dxfId="29" priority="11" operator="equal">
      <formula>"Partial"</formula>
    </cfRule>
    <cfRule type="cellIs" dxfId="28" priority="12" operator="equal">
      <formula>"Off"</formula>
    </cfRule>
  </conditionalFormatting>
  <conditionalFormatting sqref="E3:AB3">
    <cfRule type="cellIs" dxfId="27" priority="5" operator="equal">
      <formula>"SOP"</formula>
    </cfRule>
    <cfRule type="cellIs" dxfId="26" priority="6" operator="equal">
      <formula>"Peak"</formula>
    </cfRule>
    <cfRule type="cellIs" dxfId="25" priority="7" operator="equal">
      <formula>"Partial"</formula>
    </cfRule>
    <cfRule type="cellIs" dxfId="24" priority="8" operator="equal">
      <formula>"Off"</formula>
    </cfRule>
  </conditionalFormatting>
  <pageMargins left="0.7" right="0.7" top="0.75" bottom="0.75" header="0.3" footer="0.3"/>
  <pageSetup paperSize="5" scale="40" fitToWidth="3" orientation="landscape" r:id="rId1"/>
  <headerFooter>
    <oddHeader>&amp;CPACIFIC GAS &amp; ELECTRIC COMPANY
COMMERCIAL ELECTRIC VEHICLE RATE PROPOSAL (A.18-11-003)
CHAPTER 1 WORKPAPERS
TRANSIT</oddHeader>
  </headerFooter>
  <colBreaks count="1" manualBreakCount="1">
    <brk id="2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sheetPr>
  <dimension ref="A2:AH30"/>
  <sheetViews>
    <sheetView showGridLines="0" zoomScale="70" zoomScaleNormal="70" workbookViewId="0">
      <selection activeCell="J24" sqref="J24"/>
    </sheetView>
  </sheetViews>
  <sheetFormatPr defaultRowHeight="15" x14ac:dyDescent="0.25"/>
  <cols>
    <col min="1" max="1" width="28.28515625" bestFit="1" customWidth="1"/>
    <col min="2" max="2" width="8.28515625" bestFit="1" customWidth="1"/>
    <col min="3" max="3" width="9" bestFit="1" customWidth="1"/>
    <col min="4" max="4" width="9.42578125" bestFit="1" customWidth="1"/>
    <col min="5" max="5" width="10.5703125" bestFit="1" customWidth="1"/>
    <col min="7" max="7" width="18.42578125" customWidth="1"/>
    <col min="8" max="8" width="13.7109375" bestFit="1" customWidth="1"/>
    <col min="9" max="9" width="12.5703125" bestFit="1" customWidth="1"/>
    <col min="10" max="10" width="13.7109375" bestFit="1" customWidth="1"/>
    <col min="11" max="11" width="12.5703125" bestFit="1" customWidth="1"/>
    <col min="13" max="13" width="24" bestFit="1" customWidth="1"/>
    <col min="14" max="15" width="13" bestFit="1" customWidth="1"/>
    <col min="16" max="16" width="15.5703125" bestFit="1" customWidth="1"/>
    <col min="17" max="17" width="12.5703125" bestFit="1" customWidth="1"/>
    <col min="18" max="18" width="22.5703125" bestFit="1" customWidth="1"/>
    <col min="19" max="19" width="22.5703125" customWidth="1"/>
    <col min="20" max="20" width="20.140625" customWidth="1"/>
    <col min="21" max="21" width="18" customWidth="1"/>
    <col min="22" max="22" width="20.42578125" bestFit="1" customWidth="1"/>
    <col min="23" max="23" width="18.28515625" bestFit="1" customWidth="1"/>
    <col min="24" max="24" width="11.28515625" bestFit="1" customWidth="1"/>
    <col min="30" max="30" width="20.42578125" bestFit="1" customWidth="1"/>
    <col min="31" max="31" width="9.42578125" bestFit="1" customWidth="1"/>
    <col min="32" max="32" width="11.140625" bestFit="1" customWidth="1"/>
    <col min="33" max="33" width="11.28515625" bestFit="1" customWidth="1"/>
    <col min="35" max="35" width="17.28515625" customWidth="1"/>
    <col min="36" max="39" width="9.85546875" customWidth="1"/>
  </cols>
  <sheetData>
    <row r="2" spans="1:34" ht="15.75" thickBot="1" x14ac:dyDescent="0.3">
      <c r="G2" s="15" t="s">
        <v>77</v>
      </c>
    </row>
    <row r="3" spans="1:34" x14ac:dyDescent="0.25">
      <c r="A3" s="339" t="s">
        <v>176</v>
      </c>
      <c r="B3" s="340"/>
      <c r="C3" s="340"/>
      <c r="D3" s="340"/>
      <c r="E3" s="341"/>
      <c r="G3" s="339" t="s">
        <v>80</v>
      </c>
      <c r="H3" s="340"/>
      <c r="I3" s="340"/>
      <c r="J3" s="340"/>
      <c r="K3" s="341"/>
      <c r="M3" s="339" t="s">
        <v>189</v>
      </c>
      <c r="N3" s="340"/>
      <c r="O3" s="340"/>
      <c r="P3" s="341"/>
      <c r="R3" s="342" t="s">
        <v>78</v>
      </c>
      <c r="S3" s="343"/>
      <c r="T3" s="343"/>
      <c r="U3" s="343"/>
      <c r="V3" s="343"/>
      <c r="W3" s="343"/>
      <c r="X3" s="344"/>
      <c r="AA3" t="s">
        <v>152</v>
      </c>
    </row>
    <row r="4" spans="1:34" x14ac:dyDescent="0.25">
      <c r="A4" s="98" t="s">
        <v>67</v>
      </c>
      <c r="B4" s="80" t="s">
        <v>60</v>
      </c>
      <c r="C4" s="80" t="s">
        <v>61</v>
      </c>
      <c r="D4" s="80" t="s">
        <v>62</v>
      </c>
      <c r="E4" s="99" t="s">
        <v>63</v>
      </c>
      <c r="G4" s="98" t="s">
        <v>67</v>
      </c>
      <c r="H4" s="80" t="s">
        <v>60</v>
      </c>
      <c r="I4" s="80" t="s">
        <v>61</v>
      </c>
      <c r="J4" s="80" t="s">
        <v>62</v>
      </c>
      <c r="K4" s="99" t="s">
        <v>63</v>
      </c>
      <c r="M4" s="98" t="s">
        <v>74</v>
      </c>
      <c r="N4" s="80" t="s">
        <v>41</v>
      </c>
      <c r="O4" s="80" t="s">
        <v>59</v>
      </c>
      <c r="P4" s="111" t="s">
        <v>42</v>
      </c>
      <c r="R4" s="10" t="s">
        <v>39</v>
      </c>
      <c r="S4" s="252" t="s">
        <v>39</v>
      </c>
      <c r="T4" s="185" t="s">
        <v>82</v>
      </c>
      <c r="U4" s="252" t="s">
        <v>83</v>
      </c>
      <c r="V4" s="185" t="s">
        <v>84</v>
      </c>
      <c r="W4" s="252" t="s">
        <v>85</v>
      </c>
      <c r="X4" s="251" t="s">
        <v>79</v>
      </c>
      <c r="AA4" t="s">
        <v>153</v>
      </c>
    </row>
    <row r="5" spans="1:34" x14ac:dyDescent="0.25">
      <c r="A5" s="100" t="s">
        <v>65</v>
      </c>
      <c r="B5" s="78"/>
      <c r="C5" s="78"/>
      <c r="D5" s="78"/>
      <c r="E5" s="101"/>
      <c r="G5" s="100" t="s">
        <v>65</v>
      </c>
      <c r="H5" s="78"/>
      <c r="I5" s="78"/>
      <c r="J5" s="78"/>
      <c r="K5" s="101"/>
      <c r="M5" s="67" t="s">
        <v>43</v>
      </c>
      <c r="N5" s="18">
        <v>25.103192346859082</v>
      </c>
      <c r="O5" s="18">
        <v>183.85747483640813</v>
      </c>
      <c r="P5" s="112">
        <v>172.86753457205145</v>
      </c>
      <c r="R5" s="180">
        <v>0</v>
      </c>
      <c r="S5" s="253">
        <v>0</v>
      </c>
      <c r="T5" s="245" t="s">
        <v>1</v>
      </c>
      <c r="U5" s="255" t="s">
        <v>1</v>
      </c>
      <c r="V5" s="245" t="s">
        <v>1</v>
      </c>
      <c r="W5" s="255" t="s">
        <v>1</v>
      </c>
      <c r="X5" s="164" t="s">
        <v>1</v>
      </c>
      <c r="AA5" t="s">
        <v>154</v>
      </c>
    </row>
    <row r="6" spans="1:34" x14ac:dyDescent="0.25">
      <c r="A6" s="98" t="s">
        <v>13</v>
      </c>
      <c r="B6" s="77"/>
      <c r="C6" s="77">
        <v>19.13</v>
      </c>
      <c r="D6" s="77">
        <v>17.54</v>
      </c>
      <c r="E6" s="226">
        <v>17.57</v>
      </c>
      <c r="G6" s="98" t="s">
        <v>13</v>
      </c>
      <c r="H6" s="77"/>
      <c r="I6" s="77">
        <v>11.264205419103535</v>
      </c>
      <c r="J6" s="77">
        <v>17.740223259022521</v>
      </c>
      <c r="K6" s="102">
        <v>17.232831107480386</v>
      </c>
      <c r="M6" s="113" t="s">
        <v>44</v>
      </c>
      <c r="N6" s="79"/>
      <c r="O6" s="79"/>
      <c r="P6" s="114"/>
      <c r="R6" s="180">
        <v>4.1666666666666664E-2</v>
      </c>
      <c r="S6" s="253">
        <f>S5+1</f>
        <v>1</v>
      </c>
      <c r="T6" s="245" t="s">
        <v>1</v>
      </c>
      <c r="U6" s="255" t="s">
        <v>1</v>
      </c>
      <c r="V6" s="245" t="s">
        <v>1</v>
      </c>
      <c r="W6" s="255" t="s">
        <v>1</v>
      </c>
      <c r="X6" s="164" t="s">
        <v>1</v>
      </c>
    </row>
    <row r="7" spans="1:34" x14ac:dyDescent="0.25">
      <c r="A7" s="98" t="s">
        <v>0</v>
      </c>
      <c r="B7" s="103"/>
      <c r="C7" s="103"/>
      <c r="D7" s="103">
        <v>19.95</v>
      </c>
      <c r="E7" s="228">
        <v>19.29</v>
      </c>
      <c r="G7" s="98" t="s">
        <v>0</v>
      </c>
      <c r="H7" s="103"/>
      <c r="I7" s="103"/>
      <c r="J7" s="103">
        <v>21.584076841943009</v>
      </c>
      <c r="K7" s="104">
        <v>21.324345962668048</v>
      </c>
      <c r="M7" s="67" t="s">
        <v>45</v>
      </c>
      <c r="N7" s="18">
        <v>0.30296722226758549</v>
      </c>
      <c r="O7" s="18">
        <v>0.30266833899510814</v>
      </c>
      <c r="P7" s="112">
        <v>0.29697610708932592</v>
      </c>
      <c r="R7" s="180">
        <v>8.3333333333333301E-2</v>
      </c>
      <c r="S7" s="253">
        <f t="shared" ref="S7:S28" si="0">S6+1</f>
        <v>2</v>
      </c>
      <c r="T7" s="245" t="s">
        <v>1</v>
      </c>
      <c r="U7" s="255" t="s">
        <v>1</v>
      </c>
      <c r="V7" s="245" t="s">
        <v>1</v>
      </c>
      <c r="W7" s="255" t="s">
        <v>1</v>
      </c>
      <c r="X7" s="164" t="s">
        <v>1</v>
      </c>
      <c r="AA7" t="s">
        <v>155</v>
      </c>
    </row>
    <row r="8" spans="1:34" x14ac:dyDescent="0.25">
      <c r="A8" s="98" t="s">
        <v>2</v>
      </c>
      <c r="B8" s="103"/>
      <c r="C8" s="103"/>
      <c r="D8" s="103">
        <v>5.5</v>
      </c>
      <c r="E8" s="228">
        <v>5.32</v>
      </c>
      <c r="G8" s="98" t="s">
        <v>2</v>
      </c>
      <c r="H8" s="103"/>
      <c r="I8" s="103"/>
      <c r="J8" s="103">
        <v>4.44809425247559</v>
      </c>
      <c r="K8" s="104">
        <v>4.4059052259478797</v>
      </c>
      <c r="M8" s="67" t="s">
        <v>46</v>
      </c>
      <c r="N8" s="18">
        <v>0.11799845018490387</v>
      </c>
      <c r="O8" s="18">
        <v>0.11079338870087185</v>
      </c>
      <c r="P8" s="112">
        <v>0.10752293915558113</v>
      </c>
      <c r="R8" s="180">
        <v>0.125</v>
      </c>
      <c r="S8" s="253">
        <f t="shared" si="0"/>
        <v>3</v>
      </c>
      <c r="T8" s="245" t="s">
        <v>1</v>
      </c>
      <c r="U8" s="255" t="s">
        <v>1</v>
      </c>
      <c r="V8" s="245" t="s">
        <v>1</v>
      </c>
      <c r="W8" s="255" t="s">
        <v>1</v>
      </c>
      <c r="X8" s="164" t="s">
        <v>1</v>
      </c>
      <c r="AA8" t="s">
        <v>157</v>
      </c>
    </row>
    <row r="9" spans="1:34" x14ac:dyDescent="0.25">
      <c r="A9" s="100" t="s">
        <v>66</v>
      </c>
      <c r="B9" s="105"/>
      <c r="C9" s="105"/>
      <c r="D9" s="105"/>
      <c r="E9" s="230"/>
      <c r="G9" s="100" t="s">
        <v>66</v>
      </c>
      <c r="H9" s="105"/>
      <c r="I9" s="105"/>
      <c r="J9" s="105"/>
      <c r="K9" s="106"/>
      <c r="M9" s="67" t="s">
        <v>47</v>
      </c>
      <c r="N9" s="18">
        <v>9.2656726483951929E-2</v>
      </c>
      <c r="O9" s="18">
        <v>8.8816667887076317E-2</v>
      </c>
      <c r="P9" s="112">
        <v>8.608062254054917E-2</v>
      </c>
      <c r="R9" s="180">
        <v>0.16666666666666699</v>
      </c>
      <c r="S9" s="253">
        <f t="shared" si="0"/>
        <v>4</v>
      </c>
      <c r="T9" s="245" t="s">
        <v>1</v>
      </c>
      <c r="U9" s="255" t="s">
        <v>1</v>
      </c>
      <c r="V9" s="245" t="s">
        <v>1</v>
      </c>
      <c r="W9" s="255" t="s">
        <v>1</v>
      </c>
      <c r="X9" s="164" t="s">
        <v>1</v>
      </c>
      <c r="AA9" t="s">
        <v>156</v>
      </c>
    </row>
    <row r="10" spans="1:34" x14ac:dyDescent="0.25">
      <c r="A10" s="98" t="s">
        <v>13</v>
      </c>
      <c r="B10" s="103"/>
      <c r="C10" s="103">
        <v>11.24</v>
      </c>
      <c r="D10" s="103">
        <v>17.54</v>
      </c>
      <c r="E10" s="228">
        <v>17.57</v>
      </c>
      <c r="G10" s="98" t="s">
        <v>13</v>
      </c>
      <c r="H10" s="103"/>
      <c r="I10" s="103">
        <v>11.264205419103535</v>
      </c>
      <c r="J10" s="103">
        <v>17.740223259022521</v>
      </c>
      <c r="K10" s="104">
        <v>17.232831107480386</v>
      </c>
      <c r="M10" s="113" t="s">
        <v>48</v>
      </c>
      <c r="N10" s="79"/>
      <c r="O10" s="79"/>
      <c r="P10" s="114"/>
      <c r="R10" s="180">
        <v>0.20833333333333301</v>
      </c>
      <c r="S10" s="253">
        <f t="shared" si="0"/>
        <v>5</v>
      </c>
      <c r="T10" s="245" t="s">
        <v>1</v>
      </c>
      <c r="U10" s="255" t="s">
        <v>1</v>
      </c>
      <c r="V10" s="245" t="s">
        <v>1</v>
      </c>
      <c r="W10" s="255" t="s">
        <v>1</v>
      </c>
      <c r="X10" s="164" t="s">
        <v>1</v>
      </c>
    </row>
    <row r="11" spans="1:34" x14ac:dyDescent="0.25">
      <c r="A11" s="98" t="s">
        <v>0</v>
      </c>
      <c r="B11" s="103"/>
      <c r="C11" s="103"/>
      <c r="D11" s="103"/>
      <c r="E11" s="228"/>
      <c r="G11" s="98" t="s">
        <v>0</v>
      </c>
      <c r="H11" s="103"/>
      <c r="I11" s="103"/>
      <c r="J11" s="103"/>
      <c r="K11" s="104">
        <v>1.54022843936952</v>
      </c>
      <c r="M11" s="67" t="s">
        <v>45</v>
      </c>
      <c r="N11" s="18">
        <f>N7</f>
        <v>0.30296722226758549</v>
      </c>
      <c r="O11" s="18">
        <f t="shared" ref="O11:P11" si="1">O7</f>
        <v>0.30266833899510814</v>
      </c>
      <c r="P11" s="112">
        <f t="shared" si="1"/>
        <v>0.29697610708932592</v>
      </c>
      <c r="R11" s="180">
        <v>0.25</v>
      </c>
      <c r="S11" s="253">
        <f t="shared" si="0"/>
        <v>6</v>
      </c>
      <c r="T11" s="245" t="s">
        <v>1</v>
      </c>
      <c r="U11" s="255" t="s">
        <v>1</v>
      </c>
      <c r="V11" s="245" t="s">
        <v>1</v>
      </c>
      <c r="W11" s="255" t="s">
        <v>1</v>
      </c>
      <c r="X11" s="164" t="s">
        <v>1</v>
      </c>
    </row>
    <row r="12" spans="1:34" x14ac:dyDescent="0.25">
      <c r="A12" s="98" t="s">
        <v>2</v>
      </c>
      <c r="B12" s="77"/>
      <c r="C12" s="77"/>
      <c r="D12" s="77">
        <v>0.12</v>
      </c>
      <c r="E12" s="226">
        <v>0.05</v>
      </c>
      <c r="G12" s="98" t="s">
        <v>2</v>
      </c>
      <c r="H12" s="77"/>
      <c r="I12" s="77"/>
      <c r="J12" s="77">
        <v>1.4785780478486701</v>
      </c>
      <c r="K12" s="102"/>
      <c r="M12" s="67" t="s">
        <v>46</v>
      </c>
      <c r="N12" s="18">
        <f t="shared" ref="N12:P13" si="2">N8</f>
        <v>0.11799845018490387</v>
      </c>
      <c r="O12" s="18">
        <f t="shared" si="2"/>
        <v>0.11079338870087185</v>
      </c>
      <c r="P12" s="112">
        <f t="shared" si="2"/>
        <v>0.10752293915558113</v>
      </c>
      <c r="R12" s="180">
        <v>0.29166666666666702</v>
      </c>
      <c r="S12" s="253">
        <f t="shared" si="0"/>
        <v>7</v>
      </c>
      <c r="T12" s="245" t="s">
        <v>1</v>
      </c>
      <c r="U12" s="255" t="s">
        <v>1</v>
      </c>
      <c r="V12" s="245" t="s">
        <v>1</v>
      </c>
      <c r="W12" s="255" t="s">
        <v>1</v>
      </c>
      <c r="X12" s="164" t="s">
        <v>1</v>
      </c>
    </row>
    <row r="13" spans="1:34" ht="15.75" thickBot="1" x14ac:dyDescent="0.3">
      <c r="A13" s="100" t="s">
        <v>44</v>
      </c>
      <c r="B13" s="107"/>
      <c r="C13" s="107"/>
      <c r="D13" s="107"/>
      <c r="E13" s="232"/>
      <c r="G13" s="100" t="s">
        <v>44</v>
      </c>
      <c r="H13" s="107"/>
      <c r="I13" s="107"/>
      <c r="J13" s="107"/>
      <c r="K13" s="108"/>
      <c r="M13" s="115" t="s">
        <v>47</v>
      </c>
      <c r="N13" s="116">
        <f t="shared" si="2"/>
        <v>9.2656726483951929E-2</v>
      </c>
      <c r="O13" s="116">
        <f t="shared" si="2"/>
        <v>8.8816667887076317E-2</v>
      </c>
      <c r="P13" s="117">
        <f t="shared" si="2"/>
        <v>8.608062254054917E-2</v>
      </c>
      <c r="R13" s="180">
        <v>0.33333333333333298</v>
      </c>
      <c r="S13" s="253">
        <f t="shared" si="0"/>
        <v>8</v>
      </c>
      <c r="T13" s="246" t="s">
        <v>1</v>
      </c>
      <c r="U13" s="256" t="s">
        <v>1</v>
      </c>
      <c r="V13" s="245" t="s">
        <v>1</v>
      </c>
      <c r="W13" s="255" t="s">
        <v>1</v>
      </c>
      <c r="X13" s="164" t="s">
        <v>1</v>
      </c>
    </row>
    <row r="14" spans="1:34" x14ac:dyDescent="0.25">
      <c r="A14" s="98" t="s">
        <v>0</v>
      </c>
      <c r="B14" s="77">
        <v>0.56628000000000001</v>
      </c>
      <c r="C14" s="77">
        <v>0.22455</v>
      </c>
      <c r="D14" s="77">
        <v>0.16009000000000001</v>
      </c>
      <c r="E14" s="226">
        <v>0.14971999999999999</v>
      </c>
      <c r="G14" s="98" t="s">
        <v>0</v>
      </c>
      <c r="H14" s="77">
        <v>0.33116276097922498</v>
      </c>
      <c r="I14" s="77">
        <v>0.24955160624803152</v>
      </c>
      <c r="J14" s="77">
        <v>0.14212981614670286</v>
      </c>
      <c r="K14" s="102">
        <v>0.13502563060749795</v>
      </c>
      <c r="L14" s="10"/>
      <c r="M14" s="204" t="s">
        <v>26</v>
      </c>
      <c r="N14" s="121">
        <v>4</v>
      </c>
      <c r="R14" s="180">
        <v>0.375</v>
      </c>
      <c r="S14" s="253">
        <f t="shared" si="0"/>
        <v>9</v>
      </c>
      <c r="T14" s="248" t="s">
        <v>51</v>
      </c>
      <c r="U14" s="257" t="s">
        <v>51</v>
      </c>
      <c r="V14" s="245" t="s">
        <v>1</v>
      </c>
      <c r="W14" s="255" t="s">
        <v>1</v>
      </c>
      <c r="X14" s="164" t="s">
        <v>27</v>
      </c>
    </row>
    <row r="15" spans="1:34" x14ac:dyDescent="0.25">
      <c r="A15" s="98" t="s">
        <v>2</v>
      </c>
      <c r="B15" s="77">
        <v>0.26945999999999998</v>
      </c>
      <c r="C15" s="77">
        <v>0.16941999999999999</v>
      </c>
      <c r="D15" s="77">
        <v>0.11567</v>
      </c>
      <c r="E15" s="226">
        <v>0.10935</v>
      </c>
      <c r="G15" s="98" t="s">
        <v>2</v>
      </c>
      <c r="H15" s="77">
        <v>0</v>
      </c>
      <c r="I15" s="77">
        <v>0.1878614676222965</v>
      </c>
      <c r="J15" s="77">
        <v>0.11729415493636147</v>
      </c>
      <c r="K15" s="102">
        <v>0.11279445046213536</v>
      </c>
      <c r="R15" s="180">
        <v>0.41666666666666702</v>
      </c>
      <c r="S15" s="253">
        <f t="shared" si="0"/>
        <v>10</v>
      </c>
      <c r="T15" s="248" t="s">
        <v>51</v>
      </c>
      <c r="U15" s="257" t="s">
        <v>51</v>
      </c>
      <c r="V15" s="245" t="s">
        <v>1</v>
      </c>
      <c r="W15" s="255" t="s">
        <v>1</v>
      </c>
      <c r="X15" s="164" t="s">
        <v>27</v>
      </c>
      <c r="AD15" s="20"/>
      <c r="AE15" s="19"/>
      <c r="AF15" s="19"/>
      <c r="AG15" s="19"/>
    </row>
    <row r="16" spans="1:34" x14ac:dyDescent="0.25">
      <c r="A16" s="98" t="s">
        <v>64</v>
      </c>
      <c r="B16" s="77">
        <v>0.19786999999999999</v>
      </c>
      <c r="C16" s="77">
        <v>0.14135</v>
      </c>
      <c r="D16" s="77">
        <v>8.6249999999999993E-2</v>
      </c>
      <c r="E16" s="226">
        <v>8.1640000000000004E-2</v>
      </c>
      <c r="G16" s="98" t="s">
        <v>64</v>
      </c>
      <c r="H16" s="77">
        <v>0.21322661470308329</v>
      </c>
      <c r="I16" s="77">
        <v>0.15529505522084924</v>
      </c>
      <c r="J16" s="77">
        <v>9.9730375328407769E-2</v>
      </c>
      <c r="K16" s="102">
        <v>9.5239860691255271E-2</v>
      </c>
      <c r="R16" s="180">
        <v>0.45833333333333298</v>
      </c>
      <c r="S16" s="253">
        <f t="shared" si="0"/>
        <v>11</v>
      </c>
      <c r="T16" s="248" t="s">
        <v>51</v>
      </c>
      <c r="U16" s="257" t="s">
        <v>51</v>
      </c>
      <c r="V16" s="245" t="s">
        <v>1</v>
      </c>
      <c r="W16" s="255" t="s">
        <v>1</v>
      </c>
      <c r="X16" s="164" t="s">
        <v>27</v>
      </c>
      <c r="AD16" s="20"/>
      <c r="AE16" s="19"/>
      <c r="AF16" s="19"/>
      <c r="AG16" s="19"/>
      <c r="AH16" s="75"/>
    </row>
    <row r="17" spans="1:33" x14ac:dyDescent="0.25">
      <c r="A17" s="100" t="s">
        <v>48</v>
      </c>
      <c r="B17" s="107"/>
      <c r="C17" s="107"/>
      <c r="D17" s="107"/>
      <c r="E17" s="232"/>
      <c r="G17" s="100" t="s">
        <v>48</v>
      </c>
      <c r="H17" s="107"/>
      <c r="I17" s="107"/>
      <c r="J17" s="107"/>
      <c r="K17" s="108"/>
      <c r="R17" s="180">
        <v>0.5</v>
      </c>
      <c r="S17" s="253">
        <f t="shared" si="0"/>
        <v>12</v>
      </c>
      <c r="T17" s="250" t="s">
        <v>0</v>
      </c>
      <c r="U17" s="257" t="s">
        <v>51</v>
      </c>
      <c r="V17" s="245" t="s">
        <v>1</v>
      </c>
      <c r="W17" s="255" t="s">
        <v>1</v>
      </c>
      <c r="X17" s="164" t="s">
        <v>27</v>
      </c>
      <c r="AD17" s="4"/>
      <c r="AE17" s="19"/>
      <c r="AF17" s="19"/>
      <c r="AG17" s="19"/>
    </row>
    <row r="18" spans="1:33" x14ac:dyDescent="0.25">
      <c r="A18" s="118" t="s">
        <v>0</v>
      </c>
      <c r="E18" s="226"/>
      <c r="G18" s="98" t="s">
        <v>0</v>
      </c>
      <c r="H18" s="77">
        <v>0.22355450379342681</v>
      </c>
      <c r="I18" s="77">
        <v>0.17328460905287313</v>
      </c>
      <c r="J18" s="77">
        <v>0.12635484509787526</v>
      </c>
      <c r="K18" s="102">
        <v>0.12178203229640357</v>
      </c>
      <c r="R18" s="180">
        <v>0.54166666666666696</v>
      </c>
      <c r="S18" s="253">
        <f t="shared" si="0"/>
        <v>13</v>
      </c>
      <c r="T18" s="250" t="s">
        <v>0</v>
      </c>
      <c r="U18" s="257" t="s">
        <v>51</v>
      </c>
      <c r="V18" s="245" t="s">
        <v>1</v>
      </c>
      <c r="W18" s="255" t="s">
        <v>1</v>
      </c>
      <c r="X18" s="164" t="s">
        <v>27</v>
      </c>
      <c r="AD18" s="20"/>
      <c r="AE18" s="19"/>
      <c r="AF18" s="19"/>
      <c r="AG18" s="19"/>
    </row>
    <row r="19" spans="1:33" x14ac:dyDescent="0.25">
      <c r="A19" s="98" t="s">
        <v>81</v>
      </c>
      <c r="B19" s="77">
        <v>0.21443999999999999</v>
      </c>
      <c r="C19" s="77">
        <v>0.14107</v>
      </c>
      <c r="D19" s="77">
        <v>0.10958</v>
      </c>
      <c r="E19" s="226">
        <v>0.10349</v>
      </c>
      <c r="G19" s="98" t="s">
        <v>64</v>
      </c>
      <c r="H19" s="77">
        <v>0.20381264031955387</v>
      </c>
      <c r="I19" s="77">
        <v>0.13780561212724152</v>
      </c>
      <c r="J19" s="77">
        <v>9.9661476428999876E-2</v>
      </c>
      <c r="K19" s="102">
        <v>9.5102630308646449E-2</v>
      </c>
      <c r="R19" s="180">
        <v>0.58333333333333304</v>
      </c>
      <c r="S19" s="253">
        <f t="shared" si="0"/>
        <v>14</v>
      </c>
      <c r="T19" s="250" t="s">
        <v>0</v>
      </c>
      <c r="U19" s="257" t="s">
        <v>51</v>
      </c>
      <c r="V19" s="248" t="s">
        <v>51</v>
      </c>
      <c r="W19" s="255" t="s">
        <v>1</v>
      </c>
      <c r="X19" s="164" t="s">
        <v>1</v>
      </c>
      <c r="AD19" s="20"/>
      <c r="AE19" s="19"/>
      <c r="AF19" s="19"/>
      <c r="AG19" s="19"/>
    </row>
    <row r="20" spans="1:33" x14ac:dyDescent="0.25">
      <c r="A20" s="98" t="s">
        <v>64</v>
      </c>
      <c r="B20" s="77">
        <v>0.19620000000000001</v>
      </c>
      <c r="C20" s="77">
        <v>0.124</v>
      </c>
      <c r="D20" s="77">
        <v>9.3549999999999994E-2</v>
      </c>
      <c r="E20" s="226">
        <v>8.8469999999999993E-2</v>
      </c>
      <c r="G20" s="98" t="s">
        <v>27</v>
      </c>
      <c r="H20" s="77">
        <v>0.18739520912689334</v>
      </c>
      <c r="I20" s="77">
        <v>0.10146561212724151</v>
      </c>
      <c r="J20" s="77">
        <v>6.3841476428999872E-2</v>
      </c>
      <c r="K20" s="102">
        <v>5.9352630308646445E-2</v>
      </c>
      <c r="R20" s="180">
        <v>0.625</v>
      </c>
      <c r="S20" s="253">
        <f t="shared" si="0"/>
        <v>15</v>
      </c>
      <c r="T20" s="250" t="s">
        <v>0</v>
      </c>
      <c r="U20" s="257" t="s">
        <v>51</v>
      </c>
      <c r="V20" s="248" t="s">
        <v>51</v>
      </c>
      <c r="W20" s="255" t="s">
        <v>1</v>
      </c>
      <c r="X20" s="164" t="s">
        <v>1</v>
      </c>
      <c r="AD20" s="20"/>
    </row>
    <row r="21" spans="1:33" ht="15.75" thickBot="1" x14ac:dyDescent="0.3">
      <c r="A21" s="22" t="s">
        <v>40</v>
      </c>
      <c r="B21" s="109">
        <v>26</v>
      </c>
      <c r="C21" s="109">
        <v>140</v>
      </c>
      <c r="D21" s="109">
        <v>600</v>
      </c>
      <c r="E21" s="110">
        <v>1200</v>
      </c>
      <c r="G21" s="22" t="s">
        <v>40</v>
      </c>
      <c r="H21" s="109">
        <v>25</v>
      </c>
      <c r="I21" s="109">
        <v>140</v>
      </c>
      <c r="J21" s="109">
        <v>720</v>
      </c>
      <c r="K21" s="110">
        <v>1300</v>
      </c>
      <c r="R21" s="180">
        <v>0.66666666666666696</v>
      </c>
      <c r="S21" s="253">
        <f t="shared" si="0"/>
        <v>16</v>
      </c>
      <c r="T21" s="250" t="s">
        <v>0</v>
      </c>
      <c r="U21" s="257" t="s">
        <v>51</v>
      </c>
      <c r="V21" s="148" t="s">
        <v>0</v>
      </c>
      <c r="W21" s="260" t="s">
        <v>0</v>
      </c>
      <c r="X21" s="164" t="s">
        <v>0</v>
      </c>
      <c r="AD21" s="4"/>
    </row>
    <row r="22" spans="1:33" x14ac:dyDescent="0.25">
      <c r="A22" s="119" t="s">
        <v>26</v>
      </c>
      <c r="B22" s="121">
        <v>6</v>
      </c>
      <c r="G22" s="119" t="s">
        <v>26</v>
      </c>
      <c r="H22" s="121">
        <v>4</v>
      </c>
      <c r="R22" s="180">
        <v>0.70833333333333304</v>
      </c>
      <c r="S22" s="253">
        <f t="shared" si="0"/>
        <v>17</v>
      </c>
      <c r="T22" s="250" t="s">
        <v>0</v>
      </c>
      <c r="U22" s="257" t="s">
        <v>51</v>
      </c>
      <c r="V22" s="148" t="s">
        <v>0</v>
      </c>
      <c r="W22" s="260" t="s">
        <v>0</v>
      </c>
      <c r="X22" s="164" t="s">
        <v>0</v>
      </c>
      <c r="AD22" s="20"/>
    </row>
    <row r="23" spans="1:33" x14ac:dyDescent="0.25">
      <c r="B23" s="120"/>
      <c r="R23" s="180">
        <v>0.75</v>
      </c>
      <c r="S23" s="253">
        <f t="shared" si="0"/>
        <v>18</v>
      </c>
      <c r="T23" s="248" t="s">
        <v>51</v>
      </c>
      <c r="U23" s="257" t="s">
        <v>51</v>
      </c>
      <c r="V23" s="148" t="s">
        <v>0</v>
      </c>
      <c r="W23" s="260" t="s">
        <v>0</v>
      </c>
      <c r="X23" s="164" t="s">
        <v>0</v>
      </c>
      <c r="AD23" s="20"/>
    </row>
    <row r="24" spans="1:33" x14ac:dyDescent="0.25">
      <c r="G24" s="119" t="s">
        <v>86</v>
      </c>
      <c r="R24" s="180">
        <v>0.79166666666666696</v>
      </c>
      <c r="S24" s="253">
        <f t="shared" si="0"/>
        <v>19</v>
      </c>
      <c r="T24" s="248" t="s">
        <v>51</v>
      </c>
      <c r="U24" s="257" t="s">
        <v>51</v>
      </c>
      <c r="V24" s="148" t="s">
        <v>0</v>
      </c>
      <c r="W24" s="260" t="s">
        <v>0</v>
      </c>
      <c r="X24" s="164" t="s">
        <v>0</v>
      </c>
      <c r="AD24" s="20"/>
    </row>
    <row r="25" spans="1:33" x14ac:dyDescent="0.25">
      <c r="R25" s="180">
        <v>0.83333333333333304</v>
      </c>
      <c r="S25" s="253">
        <f t="shared" si="0"/>
        <v>20</v>
      </c>
      <c r="T25" s="248" t="s">
        <v>51</v>
      </c>
      <c r="U25" s="257" t="s">
        <v>51</v>
      </c>
      <c r="V25" s="148" t="s">
        <v>0</v>
      </c>
      <c r="W25" s="260" t="s">
        <v>0</v>
      </c>
      <c r="X25" s="164" t="s">
        <v>0</v>
      </c>
      <c r="AD25" s="4"/>
    </row>
    <row r="26" spans="1:33" x14ac:dyDescent="0.25">
      <c r="R26" s="180">
        <v>0.875</v>
      </c>
      <c r="S26" s="253">
        <f t="shared" si="0"/>
        <v>21</v>
      </c>
      <c r="T26" s="249" t="s">
        <v>51</v>
      </c>
      <c r="U26" s="258" t="s">
        <v>51</v>
      </c>
      <c r="V26" s="248" t="s">
        <v>51</v>
      </c>
      <c r="W26" s="255" t="s">
        <v>1</v>
      </c>
      <c r="X26" s="164" t="s">
        <v>0</v>
      </c>
      <c r="AD26" s="20"/>
    </row>
    <row r="27" spans="1:33" x14ac:dyDescent="0.25">
      <c r="R27" s="180">
        <v>0.91666666666666696</v>
      </c>
      <c r="S27" s="253">
        <f t="shared" si="0"/>
        <v>22</v>
      </c>
      <c r="T27" s="245" t="s">
        <v>1</v>
      </c>
      <c r="U27" s="255" t="s">
        <v>1</v>
      </c>
      <c r="V27" s="245" t="s">
        <v>51</v>
      </c>
      <c r="W27" s="255" t="s">
        <v>1</v>
      </c>
      <c r="X27" s="164" t="s">
        <v>1</v>
      </c>
      <c r="AD27" s="20"/>
    </row>
    <row r="28" spans="1:33" ht="15.75" thickBot="1" x14ac:dyDescent="0.3">
      <c r="R28" s="181">
        <v>0.95833333333333304</v>
      </c>
      <c r="S28" s="254">
        <f t="shared" si="0"/>
        <v>23</v>
      </c>
      <c r="T28" s="247" t="s">
        <v>1</v>
      </c>
      <c r="U28" s="259" t="s">
        <v>1</v>
      </c>
      <c r="V28" s="247" t="s">
        <v>1</v>
      </c>
      <c r="W28" s="259" t="s">
        <v>1</v>
      </c>
      <c r="X28" s="182" t="s">
        <v>1</v>
      </c>
      <c r="AD28" s="20"/>
    </row>
    <row r="29" spans="1:33" x14ac:dyDescent="0.25">
      <c r="T29" s="122"/>
      <c r="U29" s="122"/>
      <c r="AD29" s="76"/>
    </row>
    <row r="30" spans="1:33" x14ac:dyDescent="0.25">
      <c r="R30" s="15" t="s">
        <v>180</v>
      </c>
    </row>
  </sheetData>
  <sheetProtection algorithmName="SHA-512" hashValue="DPjLQR1toGqSX1LBM92fGi4T1VTsG+gh6GvBqylTaGLmc+dHByqBexfm/VT2fv0tW7Qc4gf7GE9m9JTLrovLSQ==" saltValue="E77sTcg7lfIoMEInxKI1ow==" spinCount="100000" sheet="1" objects="1" scenarios="1"/>
  <mergeCells count="4">
    <mergeCell ref="G3:K3"/>
    <mergeCell ref="M3:P3"/>
    <mergeCell ref="A3:E3"/>
    <mergeCell ref="R3:X3"/>
  </mergeCells>
  <conditionalFormatting sqref="X5:X28">
    <cfRule type="cellIs" dxfId="23" priority="9" operator="equal">
      <formula>"SOP"</formula>
    </cfRule>
    <cfRule type="cellIs" dxfId="22" priority="10" operator="equal">
      <formula>"Peak"</formula>
    </cfRule>
    <cfRule type="cellIs" dxfId="21" priority="11" operator="equal">
      <formula>"Partial"</formula>
    </cfRule>
    <cfRule type="cellIs" dxfId="20" priority="12" operator="equal">
      <formula>"Off"</formula>
    </cfRule>
  </conditionalFormatting>
  <conditionalFormatting sqref="V21:V25">
    <cfRule type="cellIs" dxfId="19" priority="5" operator="equal">
      <formula>"SOP"</formula>
    </cfRule>
    <cfRule type="cellIs" dxfId="18" priority="6" operator="equal">
      <formula>"Peak"</formula>
    </cfRule>
    <cfRule type="cellIs" dxfId="17" priority="7" operator="equal">
      <formula>"Partial"</formula>
    </cfRule>
    <cfRule type="cellIs" dxfId="16" priority="8" operator="equal">
      <formula>"Off"</formula>
    </cfRule>
  </conditionalFormatting>
  <conditionalFormatting sqref="W21:W25">
    <cfRule type="cellIs" dxfId="15" priority="1" operator="equal">
      <formula>"SOP"</formula>
    </cfRule>
    <cfRule type="cellIs" dxfId="14" priority="2" operator="equal">
      <formula>"Peak"</formula>
    </cfRule>
    <cfRule type="cellIs" dxfId="13" priority="3" operator="equal">
      <formula>"Partial"</formula>
    </cfRule>
    <cfRule type="cellIs" dxfId="12" priority="4" operator="equal">
      <formula>"Off"</formula>
    </cfRule>
  </conditionalFormatting>
  <pageMargins left="0.7" right="0.7" top="0.75" bottom="0.75" header="0.3" footer="0.3"/>
  <pageSetup scale="58" orientation="portrait" r:id="rId1"/>
  <headerFooter>
    <oddHeader>&amp;CPACIFIC GAS &amp; ELECTRIC COMPANY
COMMERCIAL ELECTRIC VEHICLE RATE PROPOSAL (A.18-11-003)
CHAPTER 1 WORKPAPERS
RATE VALUES</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721C5-DAA7-4D14-B363-E6ECF275F1D8}">
  <sheetPr>
    <tabColor theme="3" tint="-0.249977111117893"/>
  </sheetPr>
  <dimension ref="A2:AH30"/>
  <sheetViews>
    <sheetView showGridLines="0" zoomScale="70" zoomScaleNormal="70" workbookViewId="0">
      <selection activeCell="K49" sqref="K49"/>
    </sheetView>
  </sheetViews>
  <sheetFormatPr defaultRowHeight="15" x14ac:dyDescent="0.25"/>
  <cols>
    <col min="1" max="1" width="28.28515625" bestFit="1" customWidth="1"/>
    <col min="2" max="2" width="8.28515625" bestFit="1" customWidth="1"/>
    <col min="3" max="3" width="9" bestFit="1" customWidth="1"/>
    <col min="4" max="4" width="11.42578125" customWidth="1"/>
    <col min="5" max="5" width="10.5703125" bestFit="1" customWidth="1"/>
    <col min="7" max="7" width="18.42578125" customWidth="1"/>
    <col min="8" max="8" width="13.7109375" bestFit="1" customWidth="1"/>
    <col min="9" max="9" width="12.5703125" bestFit="1" customWidth="1"/>
    <col min="10" max="10" width="13.7109375" bestFit="1" customWidth="1"/>
    <col min="11" max="11" width="12.5703125" bestFit="1" customWidth="1"/>
    <col min="13" max="13" width="24" bestFit="1" customWidth="1"/>
    <col min="14" max="15" width="13" bestFit="1" customWidth="1"/>
    <col min="16" max="16" width="15.5703125" bestFit="1" customWidth="1"/>
    <col min="17" max="17" width="12.5703125" bestFit="1" customWidth="1"/>
    <col min="18" max="18" width="22.5703125" bestFit="1" customWidth="1"/>
    <col min="19" max="19" width="22.5703125" customWidth="1"/>
    <col min="20" max="20" width="20.140625" customWidth="1"/>
    <col min="21" max="21" width="18" customWidth="1"/>
    <col min="22" max="22" width="20.42578125" bestFit="1" customWidth="1"/>
    <col min="23" max="23" width="18.28515625" bestFit="1" customWidth="1"/>
    <col min="24" max="24" width="11.28515625" bestFit="1" customWidth="1"/>
    <col min="30" max="30" width="20.42578125" bestFit="1" customWidth="1"/>
    <col min="31" max="31" width="9.42578125" bestFit="1" customWidth="1"/>
    <col min="32" max="32" width="11.140625" bestFit="1" customWidth="1"/>
    <col min="33" max="33" width="11.28515625" bestFit="1" customWidth="1"/>
    <col min="35" max="35" width="17.28515625" customWidth="1"/>
    <col min="36" max="39" width="9.85546875" customWidth="1"/>
  </cols>
  <sheetData>
    <row r="2" spans="1:34" ht="15.75" thickBot="1" x14ac:dyDescent="0.3">
      <c r="G2" s="15" t="s">
        <v>77</v>
      </c>
    </row>
    <row r="3" spans="1:34" x14ac:dyDescent="0.25">
      <c r="A3" s="339" t="s">
        <v>176</v>
      </c>
      <c r="B3" s="340"/>
      <c r="C3" s="340"/>
      <c r="D3" s="340"/>
      <c r="E3" s="341"/>
      <c r="G3" s="339" t="s">
        <v>190</v>
      </c>
      <c r="H3" s="340"/>
      <c r="I3" s="340"/>
      <c r="J3" s="340"/>
      <c r="K3" s="341"/>
      <c r="M3" s="339" t="s">
        <v>189</v>
      </c>
      <c r="N3" s="340"/>
      <c r="O3" s="340"/>
      <c r="P3" s="341"/>
      <c r="R3" s="342" t="s">
        <v>78</v>
      </c>
      <c r="S3" s="343"/>
      <c r="T3" s="343"/>
      <c r="U3" s="343"/>
      <c r="V3" s="343"/>
      <c r="W3" s="343"/>
      <c r="X3" s="344"/>
      <c r="AA3" t="s">
        <v>152</v>
      </c>
    </row>
    <row r="4" spans="1:34" x14ac:dyDescent="0.25">
      <c r="A4" s="98" t="s">
        <v>67</v>
      </c>
      <c r="B4" s="80" t="s">
        <v>60</v>
      </c>
      <c r="C4" s="80" t="s">
        <v>61</v>
      </c>
      <c r="D4" s="80" t="s">
        <v>62</v>
      </c>
      <c r="E4" s="99" t="s">
        <v>63</v>
      </c>
      <c r="G4" s="98" t="s">
        <v>67</v>
      </c>
      <c r="H4" s="80" t="s">
        <v>60</v>
      </c>
      <c r="I4" s="80" t="s">
        <v>61</v>
      </c>
      <c r="J4" s="80" t="s">
        <v>62</v>
      </c>
      <c r="K4" s="99" t="s">
        <v>63</v>
      </c>
      <c r="M4" s="98" t="s">
        <v>74</v>
      </c>
      <c r="N4" s="80" t="s">
        <v>41</v>
      </c>
      <c r="O4" s="80" t="s">
        <v>59</v>
      </c>
      <c r="P4" s="111" t="s">
        <v>42</v>
      </c>
      <c r="R4" s="10" t="s">
        <v>39</v>
      </c>
      <c r="S4" s="252" t="s">
        <v>39</v>
      </c>
      <c r="T4" s="185" t="s">
        <v>82</v>
      </c>
      <c r="U4" s="252" t="s">
        <v>83</v>
      </c>
      <c r="V4" s="185" t="s">
        <v>84</v>
      </c>
      <c r="W4" s="252" t="s">
        <v>85</v>
      </c>
      <c r="X4" s="251" t="s">
        <v>79</v>
      </c>
      <c r="AA4" t="s">
        <v>153</v>
      </c>
    </row>
    <row r="5" spans="1:34" x14ac:dyDescent="0.25">
      <c r="A5" s="100" t="s">
        <v>65</v>
      </c>
      <c r="B5" s="78"/>
      <c r="C5" s="78"/>
      <c r="D5" s="78"/>
      <c r="E5" s="101"/>
      <c r="G5" s="100" t="s">
        <v>65</v>
      </c>
      <c r="H5" s="78"/>
      <c r="I5" s="78"/>
      <c r="J5" s="78"/>
      <c r="K5" s="101"/>
      <c r="M5" s="67" t="s">
        <v>43</v>
      </c>
      <c r="N5" s="18">
        <v>25.103192346859082</v>
      </c>
      <c r="O5" s="18">
        <v>183.85747483640813</v>
      </c>
      <c r="P5" s="112">
        <v>172.86753457205145</v>
      </c>
      <c r="R5" s="180">
        <v>0</v>
      </c>
      <c r="S5" s="253">
        <v>0</v>
      </c>
      <c r="T5" s="245" t="s">
        <v>1</v>
      </c>
      <c r="U5" s="255" t="s">
        <v>1</v>
      </c>
      <c r="V5" s="245" t="s">
        <v>1</v>
      </c>
      <c r="W5" s="255" t="s">
        <v>1</v>
      </c>
      <c r="X5" s="164" t="s">
        <v>1</v>
      </c>
      <c r="AA5" t="s">
        <v>154</v>
      </c>
    </row>
    <row r="6" spans="1:34" x14ac:dyDescent="0.25">
      <c r="A6" s="98" t="s">
        <v>13</v>
      </c>
      <c r="B6" s="77"/>
      <c r="C6" s="225">
        <v>18.13</v>
      </c>
      <c r="D6" s="225">
        <v>14.34</v>
      </c>
      <c r="E6" s="226">
        <v>15.2</v>
      </c>
      <c r="G6" s="261" t="s">
        <v>13</v>
      </c>
      <c r="H6" s="225"/>
      <c r="I6" s="225">
        <v>11.078177508348013</v>
      </c>
      <c r="J6" s="225">
        <v>14.489801134317286</v>
      </c>
      <c r="K6" s="226">
        <v>15.612543284333405</v>
      </c>
      <c r="M6" s="113" t="s">
        <v>44</v>
      </c>
      <c r="N6" s="79"/>
      <c r="O6" s="79"/>
      <c r="P6" s="114"/>
      <c r="R6" s="180">
        <v>4.1666666666666664E-2</v>
      </c>
      <c r="S6" s="253">
        <f>S5+1</f>
        <v>1</v>
      </c>
      <c r="T6" s="245" t="s">
        <v>1</v>
      </c>
      <c r="U6" s="255" t="s">
        <v>1</v>
      </c>
      <c r="V6" s="245" t="s">
        <v>1</v>
      </c>
      <c r="W6" s="255" t="s">
        <v>1</v>
      </c>
      <c r="X6" s="164" t="s">
        <v>1</v>
      </c>
    </row>
    <row r="7" spans="1:34" x14ac:dyDescent="0.25">
      <c r="A7" s="98" t="s">
        <v>0</v>
      </c>
      <c r="B7" s="103"/>
      <c r="C7" s="227"/>
      <c r="D7" s="227">
        <v>17.75</v>
      </c>
      <c r="E7" s="228">
        <v>20.62</v>
      </c>
      <c r="G7" s="261" t="s">
        <v>0</v>
      </c>
      <c r="H7" s="227"/>
      <c r="I7" s="227"/>
      <c r="J7" s="227">
        <v>19.255733214344161</v>
      </c>
      <c r="K7" s="228">
        <v>21.948608106938842</v>
      </c>
      <c r="M7" s="67" t="s">
        <v>45</v>
      </c>
      <c r="N7" s="18">
        <v>0.30296722226758549</v>
      </c>
      <c r="O7" s="18">
        <v>0.30266833899510814</v>
      </c>
      <c r="P7" s="112">
        <v>0.29697610708932592</v>
      </c>
      <c r="R7" s="180">
        <v>8.3333333333333301E-2</v>
      </c>
      <c r="S7" s="253">
        <f t="shared" ref="S7:S28" si="0">S6+1</f>
        <v>2</v>
      </c>
      <c r="T7" s="245" t="s">
        <v>1</v>
      </c>
      <c r="U7" s="255" t="s">
        <v>1</v>
      </c>
      <c r="V7" s="245" t="s">
        <v>1</v>
      </c>
      <c r="W7" s="255" t="s">
        <v>1</v>
      </c>
      <c r="X7" s="164" t="s">
        <v>1</v>
      </c>
    </row>
    <row r="8" spans="1:34" x14ac:dyDescent="0.25">
      <c r="A8" s="98" t="s">
        <v>2</v>
      </c>
      <c r="B8" s="103"/>
      <c r="C8" s="227"/>
      <c r="D8" s="227">
        <v>4.8099999999999996</v>
      </c>
      <c r="E8" s="228">
        <v>5.45</v>
      </c>
      <c r="G8" s="261" t="s">
        <v>2</v>
      </c>
      <c r="H8" s="227"/>
      <c r="I8" s="227"/>
      <c r="J8" s="227">
        <v>3.9996960538419302</v>
      </c>
      <c r="K8" s="228">
        <v>4.2543109668902197</v>
      </c>
      <c r="M8" s="67" t="s">
        <v>46</v>
      </c>
      <c r="N8" s="18">
        <v>0.11799845018490387</v>
      </c>
      <c r="O8" s="18">
        <v>0.11079338870087185</v>
      </c>
      <c r="P8" s="112">
        <v>0.10752293915558113</v>
      </c>
      <c r="R8" s="180">
        <v>0.125</v>
      </c>
      <c r="S8" s="253">
        <f t="shared" si="0"/>
        <v>3</v>
      </c>
      <c r="T8" s="245" t="s">
        <v>1</v>
      </c>
      <c r="U8" s="255" t="s">
        <v>1</v>
      </c>
      <c r="V8" s="245" t="s">
        <v>1</v>
      </c>
      <c r="W8" s="255" t="s">
        <v>1</v>
      </c>
      <c r="X8" s="164" t="s">
        <v>1</v>
      </c>
    </row>
    <row r="9" spans="1:34" x14ac:dyDescent="0.25">
      <c r="A9" s="100" t="s">
        <v>66</v>
      </c>
      <c r="B9" s="105"/>
      <c r="C9" s="229"/>
      <c r="D9" s="229"/>
      <c r="E9" s="230"/>
      <c r="G9" s="262" t="s">
        <v>66</v>
      </c>
      <c r="H9" s="229"/>
      <c r="I9" s="229"/>
      <c r="J9" s="229"/>
      <c r="K9" s="224"/>
      <c r="M9" s="67" t="s">
        <v>47</v>
      </c>
      <c r="N9" s="18">
        <v>9.2656726483951929E-2</v>
      </c>
      <c r="O9" s="18">
        <v>8.8816667887076317E-2</v>
      </c>
      <c r="P9" s="112">
        <v>8.608062254054917E-2</v>
      </c>
      <c r="R9" s="180">
        <v>0.16666666666666699</v>
      </c>
      <c r="S9" s="253">
        <f t="shared" si="0"/>
        <v>4</v>
      </c>
      <c r="T9" s="245" t="s">
        <v>1</v>
      </c>
      <c r="U9" s="255" t="s">
        <v>1</v>
      </c>
      <c r="V9" s="245" t="s">
        <v>1</v>
      </c>
      <c r="W9" s="255" t="s">
        <v>1</v>
      </c>
      <c r="X9" s="164" t="s">
        <v>1</v>
      </c>
    </row>
    <row r="10" spans="1:34" x14ac:dyDescent="0.25">
      <c r="A10" s="98" t="s">
        <v>13</v>
      </c>
      <c r="B10" s="103"/>
      <c r="C10" s="227">
        <v>11.54</v>
      </c>
      <c r="D10" s="227">
        <v>14.34</v>
      </c>
      <c r="E10" s="228">
        <v>15.2</v>
      </c>
      <c r="G10" s="261" t="s">
        <v>13</v>
      </c>
      <c r="H10" s="227"/>
      <c r="I10" s="227">
        <v>11.078177508348013</v>
      </c>
      <c r="J10" s="227">
        <v>14.489801134317286</v>
      </c>
      <c r="K10" s="228">
        <v>15.612543284333405</v>
      </c>
      <c r="M10" s="113" t="s">
        <v>48</v>
      </c>
      <c r="N10" s="79"/>
      <c r="O10" s="79"/>
      <c r="P10" s="114"/>
      <c r="R10" s="180">
        <v>0.20833333333333301</v>
      </c>
      <c r="S10" s="253">
        <f t="shared" si="0"/>
        <v>5</v>
      </c>
      <c r="T10" s="245" t="s">
        <v>1</v>
      </c>
      <c r="U10" s="255" t="s">
        <v>1</v>
      </c>
      <c r="V10" s="245" t="s">
        <v>1</v>
      </c>
      <c r="W10" s="255" t="s">
        <v>1</v>
      </c>
      <c r="X10" s="164" t="s">
        <v>1</v>
      </c>
    </row>
    <row r="11" spans="1:34" x14ac:dyDescent="0.25">
      <c r="A11" s="98" t="s">
        <v>0</v>
      </c>
      <c r="B11" s="103"/>
      <c r="C11" s="227"/>
      <c r="D11" s="227"/>
      <c r="E11" s="228"/>
      <c r="G11" s="261" t="s">
        <v>0</v>
      </c>
      <c r="H11" s="227"/>
      <c r="I11" s="227"/>
      <c r="J11" s="227"/>
      <c r="K11" s="228"/>
      <c r="M11" s="67" t="s">
        <v>45</v>
      </c>
      <c r="N11" s="18">
        <f>N7</f>
        <v>0.30296722226758549</v>
      </c>
      <c r="O11" s="18">
        <f t="shared" ref="O11:P11" si="1">O7</f>
        <v>0.30266833899510814</v>
      </c>
      <c r="P11" s="112">
        <f t="shared" si="1"/>
        <v>0.29697610708932592</v>
      </c>
      <c r="R11" s="180">
        <v>0.25</v>
      </c>
      <c r="S11" s="253">
        <f t="shared" si="0"/>
        <v>6</v>
      </c>
      <c r="T11" s="245" t="s">
        <v>1</v>
      </c>
      <c r="U11" s="255" t="s">
        <v>1</v>
      </c>
      <c r="V11" s="245" t="s">
        <v>1</v>
      </c>
      <c r="W11" s="255" t="s">
        <v>1</v>
      </c>
      <c r="X11" s="164" t="s">
        <v>1</v>
      </c>
    </row>
    <row r="12" spans="1:34" x14ac:dyDescent="0.25">
      <c r="A12" s="98" t="s">
        <v>2</v>
      </c>
      <c r="B12" s="77"/>
      <c r="C12" s="225"/>
      <c r="D12" s="225">
        <v>0.15</v>
      </c>
      <c r="E12" s="226">
        <v>0.13</v>
      </c>
      <c r="G12" s="261" t="s">
        <v>2</v>
      </c>
      <c r="H12" s="225"/>
      <c r="I12" s="225"/>
      <c r="J12" s="225">
        <v>1.1002163332083901</v>
      </c>
      <c r="K12" s="228">
        <v>1.54138393960555</v>
      </c>
      <c r="M12" s="67" t="s">
        <v>46</v>
      </c>
      <c r="N12" s="18">
        <f t="shared" ref="N12:P13" si="2">N8</f>
        <v>0.11799845018490387</v>
      </c>
      <c r="O12" s="18">
        <f t="shared" si="2"/>
        <v>0.11079338870087185</v>
      </c>
      <c r="P12" s="112">
        <f t="shared" si="2"/>
        <v>0.10752293915558113</v>
      </c>
      <c r="R12" s="180">
        <v>0.29166666666666702</v>
      </c>
      <c r="S12" s="253">
        <f t="shared" si="0"/>
        <v>7</v>
      </c>
      <c r="T12" s="245" t="s">
        <v>1</v>
      </c>
      <c r="U12" s="255" t="s">
        <v>1</v>
      </c>
      <c r="V12" s="245" t="s">
        <v>1</v>
      </c>
      <c r="W12" s="255" t="s">
        <v>1</v>
      </c>
      <c r="X12" s="164" t="s">
        <v>1</v>
      </c>
    </row>
    <row r="13" spans="1:34" ht="15.75" thickBot="1" x14ac:dyDescent="0.3">
      <c r="A13" s="100" t="s">
        <v>44</v>
      </c>
      <c r="B13" s="107"/>
      <c r="C13" s="231"/>
      <c r="D13" s="231"/>
      <c r="E13" s="232"/>
      <c r="G13" s="262" t="s">
        <v>44</v>
      </c>
      <c r="H13" s="231"/>
      <c r="I13" s="231"/>
      <c r="J13" s="231"/>
      <c r="K13" s="232"/>
      <c r="M13" s="115" t="s">
        <v>47</v>
      </c>
      <c r="N13" s="116">
        <f t="shared" si="2"/>
        <v>9.2656726483951929E-2</v>
      </c>
      <c r="O13" s="116">
        <f t="shared" si="2"/>
        <v>8.8816667887076317E-2</v>
      </c>
      <c r="P13" s="117">
        <f t="shared" si="2"/>
        <v>8.608062254054917E-2</v>
      </c>
      <c r="R13" s="180">
        <v>0.33333333333333298</v>
      </c>
      <c r="S13" s="253">
        <f t="shared" si="0"/>
        <v>8</v>
      </c>
      <c r="T13" s="246" t="s">
        <v>1</v>
      </c>
      <c r="U13" s="256" t="s">
        <v>1</v>
      </c>
      <c r="V13" s="245" t="s">
        <v>1</v>
      </c>
      <c r="W13" s="255" t="s">
        <v>1</v>
      </c>
      <c r="X13" s="164" t="s">
        <v>1</v>
      </c>
    </row>
    <row r="14" spans="1:34" x14ac:dyDescent="0.25">
      <c r="A14" s="98" t="s">
        <v>0</v>
      </c>
      <c r="B14" s="77">
        <v>0.56628000000000001</v>
      </c>
      <c r="C14" s="225">
        <v>0.21118999999999999</v>
      </c>
      <c r="D14" s="225">
        <v>0.14898</v>
      </c>
      <c r="E14" s="226">
        <v>0.15153</v>
      </c>
      <c r="G14" s="261" t="s">
        <v>0</v>
      </c>
      <c r="H14" s="225">
        <v>0.33116276097922498</v>
      </c>
      <c r="I14" s="225">
        <v>0.23729188268037493</v>
      </c>
      <c r="J14" s="225">
        <v>0.12917357837748328</v>
      </c>
      <c r="K14" s="226">
        <v>0.13215499371144496</v>
      </c>
      <c r="L14" s="10"/>
      <c r="M14" s="204" t="s">
        <v>26</v>
      </c>
      <c r="N14" s="121">
        <v>4</v>
      </c>
      <c r="R14" s="180">
        <v>0.375</v>
      </c>
      <c r="S14" s="253">
        <f t="shared" si="0"/>
        <v>9</v>
      </c>
      <c r="T14" s="248" t="s">
        <v>51</v>
      </c>
      <c r="U14" s="257" t="s">
        <v>51</v>
      </c>
      <c r="V14" s="245" t="s">
        <v>1</v>
      </c>
      <c r="W14" s="255" t="s">
        <v>1</v>
      </c>
      <c r="X14" s="164" t="s">
        <v>27</v>
      </c>
    </row>
    <row r="15" spans="1:34" x14ac:dyDescent="0.25">
      <c r="A15" s="98" t="s">
        <v>2</v>
      </c>
      <c r="B15" s="77">
        <v>0.26945999999999998</v>
      </c>
      <c r="C15" s="225">
        <v>0.16063</v>
      </c>
      <c r="D15" s="225">
        <v>0.10693</v>
      </c>
      <c r="E15" s="226">
        <v>0.10703</v>
      </c>
      <c r="G15" s="261" t="s">
        <v>2</v>
      </c>
      <c r="H15" s="225">
        <v>0</v>
      </c>
      <c r="I15" s="225">
        <v>0.1789892304092669</v>
      </c>
      <c r="J15" s="225">
        <v>0.11012887710817898</v>
      </c>
      <c r="K15" s="226">
        <v>0.10836851766331447</v>
      </c>
      <c r="R15" s="180">
        <v>0.41666666666666702</v>
      </c>
      <c r="S15" s="253">
        <f t="shared" si="0"/>
        <v>10</v>
      </c>
      <c r="T15" s="248" t="s">
        <v>51</v>
      </c>
      <c r="U15" s="257" t="s">
        <v>51</v>
      </c>
      <c r="V15" s="245" t="s">
        <v>1</v>
      </c>
      <c r="W15" s="255" t="s">
        <v>1</v>
      </c>
      <c r="X15" s="164" t="s">
        <v>27</v>
      </c>
      <c r="AD15" s="20"/>
      <c r="AE15" s="19"/>
      <c r="AF15" s="19"/>
      <c r="AG15" s="19"/>
    </row>
    <row r="16" spans="1:34" x14ac:dyDescent="0.25">
      <c r="A16" s="98" t="s">
        <v>64</v>
      </c>
      <c r="B16" s="77">
        <v>0.19786999999999999</v>
      </c>
      <c r="C16" s="225">
        <v>0.13400000000000001</v>
      </c>
      <c r="D16" s="225">
        <v>7.9899999999999999E-2</v>
      </c>
      <c r="E16" s="226">
        <v>7.9659999999999995E-2</v>
      </c>
      <c r="G16" s="261" t="s">
        <v>64</v>
      </c>
      <c r="H16" s="225">
        <v>0.21322661470308329</v>
      </c>
      <c r="I16" s="225">
        <v>0.14815328248238091</v>
      </c>
      <c r="J16" s="225">
        <v>9.3566540446447882E-2</v>
      </c>
      <c r="K16" s="226">
        <v>9.1771682995952689E-2</v>
      </c>
      <c r="R16" s="180">
        <v>0.45833333333333298</v>
      </c>
      <c r="S16" s="253">
        <f t="shared" si="0"/>
        <v>11</v>
      </c>
      <c r="T16" s="248" t="s">
        <v>51</v>
      </c>
      <c r="U16" s="257" t="s">
        <v>51</v>
      </c>
      <c r="V16" s="245" t="s">
        <v>1</v>
      </c>
      <c r="W16" s="255" t="s">
        <v>1</v>
      </c>
      <c r="X16" s="164" t="s">
        <v>27</v>
      </c>
      <c r="AD16" s="20"/>
      <c r="AE16" s="19"/>
      <c r="AF16" s="19"/>
      <c r="AG16" s="19"/>
      <c r="AH16" s="75"/>
    </row>
    <row r="17" spans="1:33" x14ac:dyDescent="0.25">
      <c r="A17" s="100" t="s">
        <v>48</v>
      </c>
      <c r="B17" s="107"/>
      <c r="C17" s="231"/>
      <c r="D17" s="231"/>
      <c r="E17" s="232"/>
      <c r="G17" s="262" t="s">
        <v>48</v>
      </c>
      <c r="H17" s="231"/>
      <c r="I17" s="231"/>
      <c r="J17" s="231"/>
      <c r="K17" s="232"/>
      <c r="R17" s="180">
        <v>0.5</v>
      </c>
      <c r="S17" s="253">
        <f t="shared" si="0"/>
        <v>12</v>
      </c>
      <c r="T17" s="250" t="s">
        <v>0</v>
      </c>
      <c r="U17" s="257" t="s">
        <v>51</v>
      </c>
      <c r="V17" s="245" t="s">
        <v>1</v>
      </c>
      <c r="W17" s="255" t="s">
        <v>1</v>
      </c>
      <c r="X17" s="164" t="s">
        <v>27</v>
      </c>
      <c r="AD17" s="4"/>
      <c r="AE17" s="19"/>
      <c r="AF17" s="19"/>
      <c r="AG17" s="19"/>
    </row>
    <row r="18" spans="1:33" x14ac:dyDescent="0.25">
      <c r="A18" s="118" t="s">
        <v>0</v>
      </c>
      <c r="C18" s="233"/>
      <c r="D18" s="233"/>
      <c r="E18" s="226"/>
      <c r="G18" s="261" t="s">
        <v>0</v>
      </c>
      <c r="H18" s="225">
        <v>0.22355450379342681</v>
      </c>
      <c r="I18" s="225">
        <v>0.1644345009619616</v>
      </c>
      <c r="J18" s="225">
        <v>0.11884909166286509</v>
      </c>
      <c r="K18" s="226">
        <v>0.11701709041210097</v>
      </c>
      <c r="R18" s="180">
        <v>0.54166666666666696</v>
      </c>
      <c r="S18" s="253">
        <f t="shared" si="0"/>
        <v>13</v>
      </c>
      <c r="T18" s="250" t="s">
        <v>0</v>
      </c>
      <c r="U18" s="257" t="s">
        <v>51</v>
      </c>
      <c r="V18" s="245" t="s">
        <v>1</v>
      </c>
      <c r="W18" s="255" t="s">
        <v>1</v>
      </c>
      <c r="X18" s="164" t="s">
        <v>27</v>
      </c>
      <c r="AD18" s="20"/>
      <c r="AE18" s="19"/>
      <c r="AF18" s="19"/>
      <c r="AG18" s="19"/>
    </row>
    <row r="19" spans="1:33" x14ac:dyDescent="0.25">
      <c r="A19" s="98" t="s">
        <v>81</v>
      </c>
      <c r="B19" s="77">
        <v>0.21443999999999999</v>
      </c>
      <c r="C19" s="225">
        <v>0.13750000000000001</v>
      </c>
      <c r="D19" s="225">
        <v>0.10125000000000001</v>
      </c>
      <c r="E19" s="226">
        <v>0.10117</v>
      </c>
      <c r="G19" s="261" t="s">
        <v>64</v>
      </c>
      <c r="H19" s="225">
        <v>0.20381264031955387</v>
      </c>
      <c r="I19" s="225">
        <v>0.13080082221469191</v>
      </c>
      <c r="J19" s="225">
        <v>9.3677914542068572E-2</v>
      </c>
      <c r="K19" s="226">
        <v>9.1818540953086766E-2</v>
      </c>
      <c r="R19" s="180">
        <v>0.58333333333333304</v>
      </c>
      <c r="S19" s="253">
        <f t="shared" si="0"/>
        <v>14</v>
      </c>
      <c r="T19" s="250" t="s">
        <v>0</v>
      </c>
      <c r="U19" s="257" t="s">
        <v>51</v>
      </c>
      <c r="V19" s="248" t="s">
        <v>51</v>
      </c>
      <c r="W19" s="255" t="s">
        <v>1</v>
      </c>
      <c r="X19" s="164" t="s">
        <v>1</v>
      </c>
      <c r="AD19" s="20"/>
      <c r="AE19" s="19"/>
      <c r="AF19" s="19"/>
      <c r="AG19" s="19"/>
    </row>
    <row r="20" spans="1:33" x14ac:dyDescent="0.25">
      <c r="A20" s="98" t="s">
        <v>64</v>
      </c>
      <c r="B20" s="77">
        <v>0.19620000000000001</v>
      </c>
      <c r="C20" s="225">
        <v>0.12162000000000001</v>
      </c>
      <c r="D20" s="225">
        <v>8.6580000000000004E-2</v>
      </c>
      <c r="E20" s="226">
        <v>8.6379999999999998E-2</v>
      </c>
      <c r="G20" s="261" t="s">
        <v>27</v>
      </c>
      <c r="H20" s="225">
        <v>0.18739520912689334</v>
      </c>
      <c r="I20" s="225">
        <v>9.4460822214691903E-2</v>
      </c>
      <c r="J20" s="225">
        <v>5.7857914542068581E-2</v>
      </c>
      <c r="K20" s="226">
        <v>5.6068540953086776E-2</v>
      </c>
      <c r="R20" s="180">
        <v>0.625</v>
      </c>
      <c r="S20" s="253">
        <f t="shared" si="0"/>
        <v>15</v>
      </c>
      <c r="T20" s="250" t="s">
        <v>0</v>
      </c>
      <c r="U20" s="257" t="s">
        <v>51</v>
      </c>
      <c r="V20" s="248" t="s">
        <v>51</v>
      </c>
      <c r="W20" s="255" t="s">
        <v>1</v>
      </c>
      <c r="X20" s="164" t="s">
        <v>1</v>
      </c>
      <c r="AD20" s="20"/>
    </row>
    <row r="21" spans="1:33" ht="15.75" thickBot="1" x14ac:dyDescent="0.3">
      <c r="A21" s="22" t="s">
        <v>40</v>
      </c>
      <c r="B21" s="109">
        <v>26</v>
      </c>
      <c r="C21" s="109">
        <v>140</v>
      </c>
      <c r="D21" s="109">
        <v>1000</v>
      </c>
      <c r="E21" s="110">
        <v>1500</v>
      </c>
      <c r="G21" s="22" t="s">
        <v>40</v>
      </c>
      <c r="H21" s="109">
        <v>25</v>
      </c>
      <c r="I21" s="109">
        <v>140</v>
      </c>
      <c r="J21" s="109">
        <v>1100</v>
      </c>
      <c r="K21" s="110">
        <v>1300</v>
      </c>
      <c r="R21" s="180">
        <v>0.66666666666666696</v>
      </c>
      <c r="S21" s="253">
        <f t="shared" si="0"/>
        <v>16</v>
      </c>
      <c r="T21" s="250" t="s">
        <v>0</v>
      </c>
      <c r="U21" s="257" t="s">
        <v>51</v>
      </c>
      <c r="V21" s="148" t="s">
        <v>0</v>
      </c>
      <c r="W21" s="260" t="s">
        <v>0</v>
      </c>
      <c r="X21" s="164" t="s">
        <v>0</v>
      </c>
      <c r="AD21" s="4"/>
    </row>
    <row r="22" spans="1:33" x14ac:dyDescent="0.25">
      <c r="A22" s="119" t="s">
        <v>26</v>
      </c>
      <c r="B22" s="121">
        <v>6</v>
      </c>
      <c r="G22" s="119" t="s">
        <v>26</v>
      </c>
      <c r="H22" s="121">
        <v>4</v>
      </c>
      <c r="R22" s="180">
        <v>0.70833333333333304</v>
      </c>
      <c r="S22" s="253">
        <f t="shared" si="0"/>
        <v>17</v>
      </c>
      <c r="T22" s="250" t="s">
        <v>0</v>
      </c>
      <c r="U22" s="257" t="s">
        <v>51</v>
      </c>
      <c r="V22" s="148" t="s">
        <v>0</v>
      </c>
      <c r="W22" s="260" t="s">
        <v>0</v>
      </c>
      <c r="X22" s="164" t="s">
        <v>0</v>
      </c>
      <c r="AD22" s="20"/>
    </row>
    <row r="23" spans="1:33" x14ac:dyDescent="0.25">
      <c r="B23" s="120"/>
      <c r="R23" s="180">
        <v>0.75</v>
      </c>
      <c r="S23" s="253">
        <f t="shared" si="0"/>
        <v>18</v>
      </c>
      <c r="T23" s="248" t="s">
        <v>51</v>
      </c>
      <c r="U23" s="257" t="s">
        <v>51</v>
      </c>
      <c r="V23" s="148" t="s">
        <v>0</v>
      </c>
      <c r="W23" s="260" t="s">
        <v>0</v>
      </c>
      <c r="X23" s="164" t="s">
        <v>0</v>
      </c>
      <c r="AD23" s="20"/>
    </row>
    <row r="24" spans="1:33" x14ac:dyDescent="0.25">
      <c r="G24" s="119" t="s">
        <v>86</v>
      </c>
      <c r="R24" s="180">
        <v>0.79166666666666696</v>
      </c>
      <c r="S24" s="253">
        <f t="shared" si="0"/>
        <v>19</v>
      </c>
      <c r="T24" s="248" t="s">
        <v>51</v>
      </c>
      <c r="U24" s="257" t="s">
        <v>51</v>
      </c>
      <c r="V24" s="148" t="s">
        <v>0</v>
      </c>
      <c r="W24" s="260" t="s">
        <v>0</v>
      </c>
      <c r="X24" s="164" t="s">
        <v>0</v>
      </c>
      <c r="AD24" s="20"/>
    </row>
    <row r="25" spans="1:33" x14ac:dyDescent="0.25">
      <c r="R25" s="180">
        <v>0.83333333333333304</v>
      </c>
      <c r="S25" s="253">
        <f t="shared" si="0"/>
        <v>20</v>
      </c>
      <c r="T25" s="248" t="s">
        <v>51</v>
      </c>
      <c r="U25" s="257" t="s">
        <v>51</v>
      </c>
      <c r="V25" s="148" t="s">
        <v>0</v>
      </c>
      <c r="W25" s="260" t="s">
        <v>0</v>
      </c>
      <c r="X25" s="164" t="s">
        <v>0</v>
      </c>
      <c r="AD25" s="4"/>
    </row>
    <row r="26" spans="1:33" x14ac:dyDescent="0.25">
      <c r="R26" s="180">
        <v>0.875</v>
      </c>
      <c r="S26" s="253">
        <f t="shared" si="0"/>
        <v>21</v>
      </c>
      <c r="T26" s="249" t="s">
        <v>51</v>
      </c>
      <c r="U26" s="258" t="s">
        <v>51</v>
      </c>
      <c r="V26" s="248" t="s">
        <v>51</v>
      </c>
      <c r="W26" s="255" t="s">
        <v>1</v>
      </c>
      <c r="X26" s="164" t="s">
        <v>0</v>
      </c>
      <c r="AD26" s="20"/>
    </row>
    <row r="27" spans="1:33" x14ac:dyDescent="0.25">
      <c r="R27" s="180">
        <v>0.91666666666666696</v>
      </c>
      <c r="S27" s="253">
        <f t="shared" si="0"/>
        <v>22</v>
      </c>
      <c r="T27" s="245" t="s">
        <v>1</v>
      </c>
      <c r="U27" s="255" t="s">
        <v>1</v>
      </c>
      <c r="V27" s="245" t="s">
        <v>51</v>
      </c>
      <c r="W27" s="255" t="s">
        <v>1</v>
      </c>
      <c r="X27" s="164" t="s">
        <v>1</v>
      </c>
      <c r="AD27" s="20"/>
    </row>
    <row r="28" spans="1:33" ht="15.75" thickBot="1" x14ac:dyDescent="0.3">
      <c r="R28" s="181">
        <v>0.95833333333333304</v>
      </c>
      <c r="S28" s="254">
        <f t="shared" si="0"/>
        <v>23</v>
      </c>
      <c r="T28" s="247" t="s">
        <v>1</v>
      </c>
      <c r="U28" s="259" t="s">
        <v>1</v>
      </c>
      <c r="V28" s="247" t="s">
        <v>1</v>
      </c>
      <c r="W28" s="259" t="s">
        <v>1</v>
      </c>
      <c r="X28" s="182" t="s">
        <v>1</v>
      </c>
      <c r="AD28" s="20"/>
    </row>
    <row r="29" spans="1:33" x14ac:dyDescent="0.25">
      <c r="T29" s="122"/>
      <c r="U29" s="122"/>
      <c r="AD29" s="76"/>
    </row>
    <row r="30" spans="1:33" x14ac:dyDescent="0.25">
      <c r="R30" s="15" t="s">
        <v>135</v>
      </c>
    </row>
  </sheetData>
  <sheetProtection algorithmName="SHA-512" hashValue="Y7oedlDNoVOM2/mqS35O/r5j/E8OcDrxzo8gvqLhW3IJUew8CcgEJts5pdkIB+FMhl2aElZUJjZy0vjFkQAdLg==" saltValue="OjoGRJ0SuG9AmXMR2kmDzw==" spinCount="100000" sheet="1" objects="1" scenarios="1"/>
  <mergeCells count="4">
    <mergeCell ref="A3:E3"/>
    <mergeCell ref="G3:K3"/>
    <mergeCell ref="M3:P3"/>
    <mergeCell ref="R3:X3"/>
  </mergeCells>
  <conditionalFormatting sqref="X5:X28">
    <cfRule type="cellIs" dxfId="11" priority="9" operator="equal">
      <formula>"SOP"</formula>
    </cfRule>
    <cfRule type="cellIs" dxfId="10" priority="10" operator="equal">
      <formula>"Peak"</formula>
    </cfRule>
    <cfRule type="cellIs" dxfId="9" priority="11" operator="equal">
      <formula>"Partial"</formula>
    </cfRule>
    <cfRule type="cellIs" dxfId="8" priority="12" operator="equal">
      <formula>"Off"</formula>
    </cfRule>
  </conditionalFormatting>
  <conditionalFormatting sqref="V21:V25">
    <cfRule type="cellIs" dxfId="7" priority="5" operator="equal">
      <formula>"SOP"</formula>
    </cfRule>
    <cfRule type="cellIs" dxfId="6" priority="6" operator="equal">
      <formula>"Peak"</formula>
    </cfRule>
    <cfRule type="cellIs" dxfId="5" priority="7" operator="equal">
      <formula>"Partial"</formula>
    </cfRule>
    <cfRule type="cellIs" dxfId="4" priority="8" operator="equal">
      <formula>"Off"</formula>
    </cfRule>
  </conditionalFormatting>
  <conditionalFormatting sqref="W21:W25">
    <cfRule type="cellIs" dxfId="3" priority="1" operator="equal">
      <formula>"SOP"</formula>
    </cfRule>
    <cfRule type="cellIs" dxfId="2" priority="2" operator="equal">
      <formula>"Peak"</formula>
    </cfRule>
    <cfRule type="cellIs" dxfId="1" priority="3" operator="equal">
      <formula>"Partial"</formula>
    </cfRule>
    <cfRule type="cellIs" dxfId="0" priority="4" operator="equal">
      <formula>"Off"</formula>
    </cfRule>
  </conditionalFormatting>
  <pageMargins left="0.7" right="0.7" top="0.75" bottom="0.75" header="0.3" footer="0.3"/>
  <pageSetup scale="58" orientation="portrait" r:id="rId1"/>
  <headerFooter>
    <oddHeader>&amp;CPACIFIC GAS &amp; ELECTRIC COMPANY
COMMERCIAL ELECTRIC VEHICLE RATE PROPOSAL (A.18-11-003)
CHAPTER 1 WORKPAPERS
RATE VALUES</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499984740745262"/>
    <pageSetUpPr fitToPage="1"/>
  </sheetPr>
  <dimension ref="B1:N18"/>
  <sheetViews>
    <sheetView workbookViewId="0">
      <selection activeCell="L30" sqref="L30"/>
    </sheetView>
  </sheetViews>
  <sheetFormatPr defaultRowHeight="15" x14ac:dyDescent="0.25"/>
  <sheetData>
    <row r="1" spans="2:14" x14ac:dyDescent="0.25">
      <c r="C1" t="s">
        <v>136</v>
      </c>
      <c r="D1" t="s">
        <v>137</v>
      </c>
      <c r="E1" t="s">
        <v>138</v>
      </c>
      <c r="F1" t="s">
        <v>139</v>
      </c>
      <c r="G1" t="s">
        <v>140</v>
      </c>
      <c r="H1" t="s">
        <v>141</v>
      </c>
      <c r="I1" t="s">
        <v>142</v>
      </c>
      <c r="J1" t="s">
        <v>143</v>
      </c>
      <c r="K1" t="s">
        <v>144</v>
      </c>
      <c r="L1" t="s">
        <v>145</v>
      </c>
      <c r="M1" t="s">
        <v>146</v>
      </c>
      <c r="N1" t="s">
        <v>147</v>
      </c>
    </row>
    <row r="2" spans="2:14" x14ac:dyDescent="0.25">
      <c r="B2" t="s">
        <v>34</v>
      </c>
      <c r="E2" t="s">
        <v>76</v>
      </c>
    </row>
    <row r="3" spans="2:14" x14ac:dyDescent="0.25">
      <c r="B3" s="12" t="s">
        <v>30</v>
      </c>
      <c r="C3" s="13">
        <v>2.5960000000000001</v>
      </c>
      <c r="D3" s="13">
        <v>2.7559999999999998</v>
      </c>
      <c r="E3" s="13">
        <v>3.3879999999999999</v>
      </c>
      <c r="F3" s="13">
        <v>3.2610000000000001</v>
      </c>
      <c r="G3" s="13">
        <v>3.8039999999999998</v>
      </c>
      <c r="H3" s="13">
        <v>3.5960000000000001</v>
      </c>
      <c r="I3" s="13">
        <v>3.8119999999999998</v>
      </c>
      <c r="J3" s="13">
        <v>3.5939999999999999</v>
      </c>
      <c r="K3" s="13">
        <v>3.1749999999999998</v>
      </c>
      <c r="L3" s="13">
        <v>2.9449999999999998</v>
      </c>
      <c r="M3" s="13">
        <v>2.819</v>
      </c>
      <c r="N3" s="13">
        <v>2.7759999999999998</v>
      </c>
    </row>
    <row r="4" spans="2:14" x14ac:dyDescent="0.25">
      <c r="B4" s="12" t="s">
        <v>31</v>
      </c>
      <c r="C4" s="13">
        <v>2.823</v>
      </c>
      <c r="D4" s="13">
        <v>2.4769999999999999</v>
      </c>
      <c r="E4" s="13">
        <v>2.6789999999999998</v>
      </c>
      <c r="F4" s="13">
        <v>2.8220000000000001</v>
      </c>
      <c r="G4" s="13">
        <v>2.855</v>
      </c>
      <c r="H4" s="13">
        <v>2.93</v>
      </c>
      <c r="I4" s="13">
        <v>2.911</v>
      </c>
      <c r="J4" s="13">
        <v>2.7450000000000001</v>
      </c>
      <c r="K4" s="13">
        <v>2.8029999999999999</v>
      </c>
      <c r="L4" s="13">
        <v>2.8620000000000001</v>
      </c>
      <c r="M4" s="13">
        <v>2.7879999999999998</v>
      </c>
      <c r="N4" s="13">
        <v>2.738</v>
      </c>
    </row>
    <row r="5" spans="2:14" x14ac:dyDescent="0.25">
      <c r="B5" s="12" t="s">
        <v>32</v>
      </c>
      <c r="C5" s="13">
        <v>2.8479999999999999</v>
      </c>
      <c r="D5" s="13">
        <v>2.9460000000000002</v>
      </c>
      <c r="E5" s="13">
        <v>3.0590000000000002</v>
      </c>
      <c r="F5" s="13">
        <v>3.0670000000000002</v>
      </c>
      <c r="G5" s="13">
        <v>3.101</v>
      </c>
      <c r="H5" s="13">
        <v>3.08</v>
      </c>
      <c r="I5" s="13">
        <v>3.0049999999999999</v>
      </c>
      <c r="J5" s="13">
        <v>3.073</v>
      </c>
      <c r="K5" s="13">
        <v>3.22</v>
      </c>
      <c r="L5" s="13">
        <v>3.137</v>
      </c>
      <c r="M5" s="13">
        <v>3.294</v>
      </c>
      <c r="N5" s="13">
        <v>3.1869999999999998</v>
      </c>
    </row>
    <row r="6" spans="2:14" x14ac:dyDescent="0.25">
      <c r="B6" s="12" t="s">
        <v>33</v>
      </c>
      <c r="C6" s="13">
        <v>3.2690000000000001</v>
      </c>
      <c r="D6" s="13">
        <v>3.4180000000000001</v>
      </c>
      <c r="E6" s="13">
        <v>3.476</v>
      </c>
      <c r="F6" s="13">
        <v>3.617</v>
      </c>
      <c r="G6" s="13">
        <v>3.69</v>
      </c>
      <c r="H6" s="13">
        <v>3.673</v>
      </c>
      <c r="I6" s="13">
        <v>3.605</v>
      </c>
      <c r="J6" s="13">
        <v>3.556</v>
      </c>
      <c r="K6" s="13">
        <v>3.5880000000000001</v>
      </c>
      <c r="L6" s="13">
        <v>3.76</v>
      </c>
      <c r="M6" s="13">
        <v>3.6320000000000001</v>
      </c>
      <c r="N6" s="13">
        <v>3.3679999999999999</v>
      </c>
    </row>
    <row r="8" spans="2:14" x14ac:dyDescent="0.25">
      <c r="B8" t="s">
        <v>36</v>
      </c>
      <c r="C8" s="14">
        <f>AVERAGE(C6:N6)</f>
        <v>3.5543333333333336</v>
      </c>
    </row>
    <row r="9" spans="2:14" x14ac:dyDescent="0.25">
      <c r="C9" s="14"/>
    </row>
    <row r="10" spans="2:14" x14ac:dyDescent="0.25">
      <c r="C10" s="14"/>
    </row>
    <row r="12" spans="2:14" x14ac:dyDescent="0.25">
      <c r="B12" t="s">
        <v>35</v>
      </c>
      <c r="E12" s="97" t="s">
        <v>73</v>
      </c>
    </row>
    <row r="13" spans="2:14" x14ac:dyDescent="0.25">
      <c r="B13" s="12">
        <v>2015</v>
      </c>
      <c r="C13" s="13">
        <v>3.2120000000000002</v>
      </c>
      <c r="D13" s="13">
        <v>3.11</v>
      </c>
      <c r="E13" s="13">
        <v>3.1819999999999999</v>
      </c>
      <c r="F13" s="13">
        <v>3.0979999999999999</v>
      </c>
      <c r="G13" s="13">
        <v>3.254</v>
      </c>
      <c r="H13" s="13">
        <v>3.1920000000000002</v>
      </c>
      <c r="I13" s="13">
        <v>3.1150000000000002</v>
      </c>
      <c r="J13" s="13">
        <v>2.9350000000000001</v>
      </c>
      <c r="K13" s="13">
        <v>2.85</v>
      </c>
      <c r="L13" s="13">
        <v>2.8140000000000001</v>
      </c>
      <c r="M13" s="13">
        <v>2.7679999999999998</v>
      </c>
      <c r="N13" s="13">
        <v>2.6440000000000001</v>
      </c>
    </row>
    <row r="14" spans="2:14" x14ac:dyDescent="0.25">
      <c r="B14" s="12" t="s">
        <v>31</v>
      </c>
      <c r="C14" s="13">
        <v>2.5259999999999998</v>
      </c>
      <c r="D14" s="13">
        <v>2.335</v>
      </c>
      <c r="E14" s="13">
        <v>2.387</v>
      </c>
      <c r="F14" s="13">
        <v>2.4590000000000001</v>
      </c>
      <c r="G14" s="13">
        <v>2.6360000000000001</v>
      </c>
      <c r="H14" s="13">
        <v>2.782</v>
      </c>
      <c r="I14" s="13">
        <v>2.7850000000000001</v>
      </c>
      <c r="J14" s="13">
        <v>2.722</v>
      </c>
      <c r="K14" s="13">
        <v>2.7490000000000001</v>
      </c>
      <c r="L14" s="13">
        <v>2.8170000000000002</v>
      </c>
      <c r="M14" s="13">
        <v>2.82</v>
      </c>
      <c r="N14" s="13">
        <v>2.851</v>
      </c>
    </row>
    <row r="15" spans="2:14" x14ac:dyDescent="0.25">
      <c r="B15" s="12" t="s">
        <v>32</v>
      </c>
      <c r="C15" s="13">
        <v>2.9319999999999999</v>
      </c>
      <c r="D15" s="13">
        <v>2.9569999999999999</v>
      </c>
      <c r="E15" s="13">
        <v>2.9350000000000001</v>
      </c>
      <c r="F15" s="13">
        <v>2.9380000000000002</v>
      </c>
      <c r="G15" s="13">
        <v>2.9220000000000002</v>
      </c>
      <c r="H15" s="13">
        <v>2.895</v>
      </c>
      <c r="I15" s="13">
        <v>2.8759999999999999</v>
      </c>
      <c r="J15" s="13">
        <v>2.9590000000000001</v>
      </c>
      <c r="K15" s="13">
        <v>3.1680000000000001</v>
      </c>
      <c r="L15" s="13">
        <v>3.1720000000000002</v>
      </c>
      <c r="M15" s="13">
        <v>3.5870000000000002</v>
      </c>
      <c r="N15" s="13">
        <v>3.5590000000000002</v>
      </c>
    </row>
    <row r="16" spans="2:14" x14ac:dyDescent="0.25">
      <c r="B16" s="12" t="s">
        <v>33</v>
      </c>
      <c r="C16" s="13">
        <v>3.6389999999999998</v>
      </c>
      <c r="D16" s="13">
        <v>3.68</v>
      </c>
      <c r="E16" s="13">
        <v>3.6539999999999999</v>
      </c>
      <c r="F16" s="13">
        <v>3.7730000000000001</v>
      </c>
      <c r="G16" s="13">
        <v>3.9409999999999998</v>
      </c>
      <c r="H16" s="13">
        <v>3.9820000000000002</v>
      </c>
      <c r="I16" s="13">
        <v>3.9569999999999999</v>
      </c>
      <c r="J16" s="13">
        <v>3.94</v>
      </c>
      <c r="K16" s="13">
        <v>3.9729999999999999</v>
      </c>
      <c r="L16" s="13">
        <v>4.0860000000000003</v>
      </c>
      <c r="M16" s="13">
        <v>4.0179999999999998</v>
      </c>
      <c r="N16" s="13">
        <v>3.8580000000000001</v>
      </c>
    </row>
    <row r="18" spans="2:3" x14ac:dyDescent="0.25">
      <c r="B18" t="s">
        <v>36</v>
      </c>
      <c r="C18" s="14">
        <f>AVERAGE(C16:N16)</f>
        <v>3.875083333333333</v>
      </c>
    </row>
  </sheetData>
  <sheetProtection algorithmName="SHA-512" hashValue="vGyGQvnJ/9XZl/Moj4zvRDAsbfRdQBF/off127Q7yVoA2ejvLsuJJbvaDQBzeD5/Etnat5xKRYox+s/E/FWbRA==" saltValue="DCWV03ONKgSjW0ZKpK+/Bg==" spinCount="100000" sheet="1" objects="1" scenarios="1"/>
  <hyperlinks>
    <hyperlink ref="E12" r:id="rId1" xr:uid="{190BE9A3-3970-450B-B40F-EF3E4501CBDF}"/>
  </hyperlinks>
  <pageMargins left="0.7" right="0.7" top="0.75" bottom="0.75" header="0.3" footer="0.3"/>
  <pageSetup scale="70" orientation="portrait" r:id="rId2"/>
  <headerFooter>
    <oddHeader>&amp;CPACIFIC GAS &amp; ELECTRIC COMPANY
COMMERCIAL ELECTRIC VEHICLE RATE PROPOSAL (A.18-11-003)
CHAPTER 1 WORKPAPERS
HISTORICAL GAS DIESEL PRICES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29BB7B65293043888AD656A1A62D9F" ma:contentTypeVersion="2" ma:contentTypeDescription="Create a new document." ma:contentTypeScope="" ma:versionID="38a19e179284c77a9a342ceb652d69da">
  <xsd:schema xmlns:xsd="http://www.w3.org/2001/XMLSchema" xmlns:xs="http://www.w3.org/2001/XMLSchema" xmlns:p="http://schemas.microsoft.com/office/2006/metadata/properties" targetNamespace="http://schemas.microsoft.com/office/2006/metadata/properties" ma:root="true" ma:fieldsID="945b1eb723395c1f2f5ab635b757cc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5E0292-46BF-4063-A584-CE9D87867431}">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B60D4EA-4C9C-4722-8259-FAA6EB28033C}">
  <ds:schemaRefs>
    <ds:schemaRef ds:uri="http://schemas.microsoft.com/sharepoint/v3/contenttype/forms"/>
  </ds:schemaRefs>
</ds:datastoreItem>
</file>

<file path=customXml/itemProps3.xml><?xml version="1.0" encoding="utf-8"?>
<ds:datastoreItem xmlns:ds="http://schemas.openxmlformats.org/officeDocument/2006/customXml" ds:itemID="{9E13DDE2-665C-4F87-9295-A13E4B16BE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 &amp; Disclaimers</vt:lpstr>
      <vt:lpstr>Inputs &amp; Results</vt:lpstr>
      <vt:lpstr>Calculations</vt:lpstr>
      <vt:lpstr>Rate Values (S)</vt:lpstr>
      <vt:lpstr>Rate Values (P)</vt:lpstr>
      <vt:lpstr>Historical Gas Diesel Price</vt:lpstr>
      <vt:lpstr>'Inputs &amp;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Calder Silcox</dc:creator>
  <cp:lastModifiedBy>Voellmann, Kimberly</cp:lastModifiedBy>
  <cp:lastPrinted>2019-01-31T00:48:50Z</cp:lastPrinted>
  <dcterms:created xsi:type="dcterms:W3CDTF">2018-04-17T05:14:23Z</dcterms:created>
  <dcterms:modified xsi:type="dcterms:W3CDTF">2019-01-31T17:46:51Z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0x0101000829BB7B65293043888AD656A1A62D9F</vt:lpwstr>
  </property>
</Properties>
</file>